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<sst xmlns="http://schemas.openxmlformats.org/spreadsheetml/2006/main" count="10134" uniqueCount="8379">
  <si>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</si>
  <si>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</si>
  <si>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</si>
  <si>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</si>
  <si>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</si>
  <si>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</si>
  <si>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</si>
  <si>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</si>
  <si>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</si>
  <si>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</si>
  <si>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</si>
  <si>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</si>
  <si>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</si>
  <si>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</si>
  <si>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</si>
  <si>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</si>
  <si>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</si>
  <si>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</si>
  <si>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</si>
  <si>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</si>
  <si>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</si>
  <si>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</si>
  <si>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</si>
  <si>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</si>
  <si>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</si>
  <si>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</si>
  <si>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</si>
  <si>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</si>
  <si>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</si>
  <si>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</si>
  <si>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</si>
  <si>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</si>
  <si>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</si>
  <si>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</si>
  <si>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</si>
  <si>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</si>
  <si>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</si>
  <si>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</si>
  <si>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</si>
  <si>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</si>
  <si>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</si>
  <si>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</si>
  <si>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</si>
  <si>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</si>
  <si>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</si>
  <si>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</si>
  <si>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</si>
  <si>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</si>
  <si>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</si>
  <si>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</si>
  <si>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</si>
  <si>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</si>
  <si>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</si>
  <si>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</si>
  <si>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</si>
  <si>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</si>
  <si>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</si>
  <si>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</si>
  <si>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</si>
  <si>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</si>
  <si>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</si>
  <si>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</si>
  <si>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</si>
  <si>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</si>
  <si>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</si>
  <si>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</si>
  <si>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</si>
  <si>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</si>
  <si>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</si>
  <si>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</si>
  <si>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</si>
  <si>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</si>
  <si>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</si>
  <si>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</si>
  <si>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</si>
  <si>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</si>
  <si>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</si>
  <si>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</si>
  <si>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</si>
  <si>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</si>
  <si>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</si>
  <si>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</si>
  <si>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</si>
  <si>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</si>
  <si>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</si>
  <si>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</si>
  <si>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</si>
  <si>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</si>
  <si>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</si>
  <si>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</si>
  <si>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</si>
  <si>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</si>
  <si>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</si>
  <si>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</si>
  <si>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</si>
  <si>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</si>
  <si>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</si>
  <si>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</si>
  <si>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</si>
  <si>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</si>
  <si>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</si>
  <si>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</si>
  <si>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</si>
  <si>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</si>
  <si>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</si>
  <si>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</si>
  <si>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</si>
  <si>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</si>
  <si>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</si>
  <si>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</si>
  <si>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</si>
  <si>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</si>
  <si>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</si>
  <si>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</si>
  <si>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</si>
  <si>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</si>
  <si>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</si>
  <si>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</si>
  <si>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</si>
  <si>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</si>
  <si>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</si>
  <si>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</si>
  <si>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</si>
  <si>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</si>
  <si>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</si>
  <si>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</si>
  <si>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</si>
  <si>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</si>
  <si>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</si>
  <si>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</si>
  <si>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</si>
  <si>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</si>
  <si>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</si>
  <si>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</si>
  <si>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</si>
  <si>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</si>
  <si>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</si>
  <si>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</si>
  <si>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</si>
  <si>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</si>
  <si>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</si>
  <si>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</si>
  <si>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</si>
  <si>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</si>
  <si>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</si>
  <si>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</si>
  <si>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</si>
  <si>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</si>
  <si>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</si>
  <si>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</si>
  <si>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</si>
  <si>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</si>
  <si>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</si>
  <si>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</si>
  <si>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</si>
  <si>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</si>
  <si>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</si>
  <si>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</si>
  <si>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</si>
  <si>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</si>
  <si>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</si>
  <si>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</si>
  <si>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</si>
  <si>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</si>
  <si>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</si>
  <si>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</si>
  <si>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</si>
  <si>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</si>
  <si>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</si>
  <si>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</si>
  <si>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</si>
  <si>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</si>
  <si>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</si>
  <si>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</si>
  <si>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</si>
  <si>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</si>
  <si>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</si>
  <si>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</si>
  <si>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</si>
  <si>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</si>
  <si>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</si>
  <si>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</si>
  <si>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</si>
  <si>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</si>
  <si>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</si>
  <si>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</si>
  <si>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</si>
  <si>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</si>
  <si>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</si>
  <si>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</si>
  <si>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</si>
  <si>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</si>
  <si>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</si>
  <si>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</si>
  <si>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</si>
  <si>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</si>
  <si>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</si>
  <si>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</si>
  <si>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</si>
  <si>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</si>
  <si>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</si>
  <si>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</si>
  <si>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</si>
  <si>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</si>
  <si>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</si>
  <si>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</si>
  <si>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</si>
  <si>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</si>
  <si>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</si>
  <si>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</si>
  <si>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</si>
  <si>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</si>
  <si>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</si>
  <si>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</si>
  <si>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</si>
  <si>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</si>
  <si>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</si>
  <si>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</si>
  <si>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</si>
  <si>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</si>
  <si>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</si>
  <si>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</si>
  <si>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</si>
  <si>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</si>
  <si>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</si>
  <si>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</si>
  <si>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</si>
  <si>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</si>
  <si>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</si>
  <si>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</si>
  <si>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</si>
  <si>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</si>
  <si>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</si>
  <si>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</si>
  <si>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</si>
  <si>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</si>
  <si>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</si>
  <si>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</si>
  <si>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</si>
  <si>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</si>
  <si>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</si>
  <si>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</si>
  <si>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</si>
  <si>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</si>
  <si>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</si>
  <si>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</si>
  <si>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</si>
  <si>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</si>
  <si>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</si>
  <si>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</si>
  <si>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</si>
  <si>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</si>
  <si>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</si>
  <si>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</si>
  <si>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</si>
  <si>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</si>
  <si>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</si>
  <si>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</si>
  <si>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</si>
  <si>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</si>
  <si>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</si>
  <si>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</si>
  <si>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</si>
  <si>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</si>
  <si>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</si>
  <si>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</si>
  <si>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</si>
  <si>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</si>
  <si>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</si>
  <si>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</si>
  <si>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</si>
  <si>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</si>
  <si>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</si>
  <si>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</si>
  <si>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</si>
  <si>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</si>
  <si>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</si>
  <si>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</si>
  <si>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</si>
  <si>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</si>
  <si>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</si>
  <si>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</si>
  <si>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</si>
  <si>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</si>
  <si>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</si>
  <si>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</si>
  <si>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</si>
  <si>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</si>
  <si>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</si>
  <si>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</si>
  <si>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</si>
  <si>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</si>
  <si>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</si>
  <si>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</si>
  <si>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</si>
  <si>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</si>
  <si>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</si>
  <si>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</si>
  <si>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</si>
  <si>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</si>
  <si>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</si>
  <si>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</si>
  <si>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</si>
  <si>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</si>
  <si>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</si>
  <si>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</si>
  <si>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</si>
  <si>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</si>
  <si>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</si>
  <si>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</si>
  <si>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</si>
  <si>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</si>
  <si>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</si>
  <si>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</si>
  <si>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</si>
  <si>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</si>
  <si>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</si>
  <si>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</si>
  <si>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</si>
  <si>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</si>
  <si>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</si>
  <si>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</si>
  <si>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</si>
  <si>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</si>
  <si>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</si>
  <si>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</si>
  <si>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</si>
  <si>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</si>
  <si>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</si>
  <si>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</si>
  <si>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</si>
  <si>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</si>
  <si>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</si>
  <si>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</si>
  <si>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</si>
  <si>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</si>
  <si>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</si>
  <si>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</si>
  <si>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</si>
  <si>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</si>
  <si>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</si>
  <si>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</si>
  <si>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</si>
  <si>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</si>
  <si>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</si>
  <si>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</si>
  <si>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</si>
  <si>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</si>
  <si>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</si>
  <si>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</si>
  <si>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</si>
  <si>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</si>
  <si>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</si>
  <si>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</si>
  <si>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</si>
  <si>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</si>
  <si>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</si>
  <si>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</si>
  <si>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</si>
  <si>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</si>
  <si>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</si>
  <si>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</si>
  <si>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</si>
  <si>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</si>
  <si>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</si>
  <si>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</si>
  <si>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</si>
  <si>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</si>
  <si>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</si>
  <si>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</si>
  <si>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</si>
  <si>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</si>
  <si>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</si>
  <si>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</si>
  <si>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</si>
  <si>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</si>
  <si>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</si>
  <si>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</si>
  <si>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</si>
  <si>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</si>
  <si>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</si>
  <si>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</si>
  <si>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</si>
  <si>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</si>
  <si>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</si>
  <si>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</si>
  <si>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</si>
  <si>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</si>
  <si>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</si>
  <si>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</si>
  <si>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</si>
  <si>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</si>
  <si>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</si>
  <si>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</si>
  <si>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</si>
  <si>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</si>
  <si>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</si>
  <si>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</si>
  <si>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</si>
  <si>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</si>
  <si>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</si>
  <si>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</si>
  <si>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</si>
  <si>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</si>
  <si>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</si>
  <si>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</si>
  <si>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</si>
  <si>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</si>
  <si>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</si>
  <si>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</si>
  <si>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</si>
  <si>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</si>
  <si>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</si>
  <si>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</si>
  <si>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</si>
  <si>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</si>
  <si>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</si>
  <si>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</si>
  <si>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</si>
  <si>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</si>
  <si>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</si>
  <si>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</si>
  <si>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</si>
  <si>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</si>
  <si>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</si>
  <si>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</si>
  <si>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</si>
  <si>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</si>
  <si>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</si>
  <si>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</si>
  <si>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</si>
  <si>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</si>
  <si>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</si>
  <si>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</si>
  <si>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</si>
  <si>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</si>
  <si>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</si>
  <si>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</si>
  <si>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</si>
  <si>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</si>
  <si>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</si>
  <si>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</si>
  <si>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</si>
  <si>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</si>
  <si>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</si>
  <si>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</si>
  <si>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</si>
  <si>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</si>
  <si>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</si>
  <si>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</si>
  <si>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</si>
  <si>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</si>
  <si>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</si>
  <si>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</si>
  <si>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</si>
  <si>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</si>
  <si>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</si>
  <si>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</si>
  <si>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</si>
  <si>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</si>
  <si>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</si>
  <si>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</si>
  <si>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</si>
  <si>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</si>
  <si>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</si>
  <si>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</si>
  <si>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</si>
  <si>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</si>
  <si>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</si>
  <si>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</si>
  <si>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</si>
  <si>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</si>
  <si>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</si>
  <si>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</si>
  <si>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</si>
  <si>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</si>
  <si>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</si>
  <si>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</si>
  <si>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</si>
  <si>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</si>
  <si>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</si>
  <si>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</si>
  <si>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</si>
  <si>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</si>
  <si>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</si>
  <si>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</si>
  <si>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</si>
  <si>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</si>
  <si>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</si>
  <si>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</si>
  <si>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</si>
  <si>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</si>
  <si>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</si>
  <si>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</si>
  <si>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</si>
  <si>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</si>
  <si>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</si>
  <si>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</si>
  <si>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</si>
  <si>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</si>
  <si>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</si>
  <si>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</si>
  <si>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</si>
  <si>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</si>
  <si>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</si>
  <si>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</si>
  <si>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</si>
  <si>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</si>
  <si>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</si>
  <si>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</si>
  <si>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</si>
  <si>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</si>
  <si>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</si>
  <si>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</si>
  <si>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</si>
  <si>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</si>
  <si>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</si>
  <si>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</si>
  <si>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</si>
  <si>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</si>
  <si>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</si>
  <si>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</si>
  <si>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</si>
  <si>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</si>
  <si>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</si>
  <si>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</si>
  <si>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</si>
  <si>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</si>
  <si>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</si>
  <si>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</si>
  <si>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</si>
  <si>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</si>
  <si>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</si>
  <si>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</si>
  <si>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</si>
  <si>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</si>
  <si>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</si>
  <si>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</si>
  <si>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</si>
  <si>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</si>
  <si>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</si>
  <si>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</si>
  <si>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</si>
  <si>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</si>
  <si>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</si>
  <si>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</si>
  <si>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</si>
  <si>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</si>
  <si>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</si>
  <si>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</si>
  <si>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</si>
  <si>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</si>
  <si>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</si>
  <si>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</si>
  <si>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</si>
  <si>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</si>
  <si>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</si>
  <si>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</si>
  <si>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</si>
  <si>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</si>
  <si>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</si>
  <si>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</si>
  <si>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</si>
  <si>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</si>
  <si>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</si>
  <si>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</si>
  <si>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</si>
  <si>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</si>
  <si>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</si>
  <si>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</si>
  <si>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</si>
  <si>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</si>
  <si>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</si>
  <si>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</si>
  <si>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</si>
  <si>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</si>
  <si>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</si>
  <si>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</si>
  <si>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</si>
  <si>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</si>
  <si>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</si>
  <si>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</si>
  <si>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</si>
  <si>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</si>
  <si>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</si>
  <si>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</si>
  <si>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</si>
  <si>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</si>
  <si>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</si>
  <si>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</si>
  <si>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</si>
  <si>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</si>
  <si>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</si>
  <si>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</si>
  <si>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</si>
  <si>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</si>
  <si>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</si>
  <si>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</si>
  <si>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</si>
  <si>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</si>
  <si>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</si>
  <si>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</si>
  <si>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</si>
  <si>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</si>
  <si>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</si>
  <si>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</si>
  <si>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</si>
  <si>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</si>
  <si>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</si>
  <si>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</si>
  <si>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</si>
  <si>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</si>
  <si>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</si>
  <si>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</si>
  <si>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</si>
  <si>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</si>
  <si>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</si>
  <si>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</si>
  <si>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</si>
  <si>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</si>
  <si>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</si>
  <si>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</si>
  <si>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</si>
  <si>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</si>
  <si>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</si>
  <si>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</si>
  <si>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</si>
  <si>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</si>
  <si>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</si>
  <si>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</si>
  <si>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</si>
  <si>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</si>
  <si>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</si>
  <si>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</si>
  <si>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</si>
  <si>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</si>
  <si>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</si>
  <si>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</si>
  <si>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</si>
  <si>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</si>
  <si>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</si>
  <si>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</si>
  <si>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</si>
  <si>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</si>
  <si>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</si>
  <si>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</si>
  <si>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</si>
  <si>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</si>
  <si>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</si>
  <si>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</si>
  <si>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</si>
  <si>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</si>
  <si>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</si>
  <si>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</si>
  <si>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</si>
  <si>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</si>
  <si>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</si>
  <si>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</si>
  <si>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</si>
  <si>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</si>
  <si>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</si>
  <si>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</si>
  <si>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</si>
  <si>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</si>
  <si>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</si>
  <si>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</si>
  <si>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</si>
  <si>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</si>
  <si>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</si>
  <si>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</si>
  <si>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</si>
  <si>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</si>
  <si>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</si>
  <si>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</si>
  <si>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</si>
  <si>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</si>
  <si>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</si>
  <si>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</si>
  <si>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</si>
  <si>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</si>
  <si>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</si>
  <si>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</si>
  <si>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</si>
  <si>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</si>
  <si>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</si>
  <si>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</si>
  <si>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</si>
  <si>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</si>
  <si>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</si>
  <si>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</si>
  <si>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</si>
  <si>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</si>
  <si>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</si>
  <si>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</si>
  <si>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</si>
  <si>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</si>
  <si>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</si>
  <si>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</si>
  <si>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</si>
  <si>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</si>
  <si>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</si>
  <si>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</si>
  <si>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</si>
  <si>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</si>
  <si>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</si>
  <si>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</si>
  <si>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</si>
  <si>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</si>
  <si>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</si>
  <si>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</si>
  <si>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</si>
  <si>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</si>
  <si>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</si>
  <si>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</si>
  <si>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</si>
  <si>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</si>
  <si>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</si>
  <si>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</si>
  <si>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</si>
  <si>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</si>
  <si>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</si>
  <si>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</si>
  <si>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</si>
  <si>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</si>
  <si>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</si>
  <si>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</si>
  <si>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</si>
  <si>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</si>
  <si>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</si>
  <si>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</si>
  <si>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</si>
  <si>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</si>
  <si>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</si>
  <si>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</si>
  <si>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</si>
  <si>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</si>
  <si>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</si>
  <si>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</si>
  <si>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</si>
  <si>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</si>
  <si>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</si>
  <si>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</si>
  <si>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</si>
  <si>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</si>
  <si>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</si>
  <si>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</si>
  <si>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</si>
  <si>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</si>
  <si>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</si>
  <si>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</si>
  <si>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</si>
  <si>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</si>
  <si>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</si>
  <si>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</si>
  <si>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</si>
  <si>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</si>
  <si>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</si>
  <si>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</si>
  <si>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</si>
  <si>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</si>
  <si>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</si>
  <si>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</si>
  <si>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</si>
  <si>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</si>
  <si>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</si>
  <si>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</si>
  <si>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</si>
  <si>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</si>
  <si>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</si>
  <si>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</si>
  <si>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</si>
  <si>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</si>
  <si>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</si>
  <si>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</si>
  <si>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</si>
  <si>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</si>
  <si>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</si>
  <si>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</si>
  <si>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</si>
  <si>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</si>
  <si>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</si>
  <si>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</si>
  <si>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</si>
  <si>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</si>
  <si>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</si>
  <si>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</si>
  <si>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</si>
  <si>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</si>
  <si>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</si>
  <si>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</si>
  <si>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</si>
  <si>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</si>
  <si>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</si>
  <si>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</si>
  <si>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</si>
  <si>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</si>
  <si>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</si>
  <si>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</si>
  <si>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</si>
  <si>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</si>
  <si>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</si>
  <si>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</si>
  <si>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</si>
  <si>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</si>
  <si>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</si>
  <si>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</si>
  <si>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</si>
  <si>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</si>
  <si>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</si>
  <si>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</si>
  <si>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</si>
  <si>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</si>
  <si>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</si>
  <si>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</si>
  <si>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</si>
  <si>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</si>
  <si>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</si>
  <si>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</si>
  <si>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</si>
  <si>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</si>
  <si>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</si>
  <si>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</si>
  <si>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</si>
  <si>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</si>
  <si>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</si>
  <si>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</si>
  <si>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</si>
  <si>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</si>
  <si>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</si>
  <si>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</si>
  <si>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</si>
  <si>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</si>
  <si>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</si>
  <si>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</si>
  <si>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</si>
  <si>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</si>
  <si>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</si>
  <si>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</si>
  <si>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</si>
  <si>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</si>
  <si>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</si>
  <si>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</si>
  <si>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</si>
  <si>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</si>
  <si>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</si>
  <si>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</si>
  <si>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</si>
  <si>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</si>
  <si>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</si>
  <si>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</si>
  <si>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</si>
  <si>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</si>
  <si>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</si>
  <si>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</si>
  <si>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</si>
  <si>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</si>
  <si>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</si>
  <si>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</si>
  <si>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</si>
  <si>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</si>
  <si>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</si>
  <si>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</si>
  <si>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</si>
  <si>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</si>
  <si>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</si>
  <si>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</si>
  <si>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</si>
  <si>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</si>
  <si>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</si>
  <si>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</si>
  <si>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</si>
  <si>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</si>
  <si>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</si>
  <si>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</si>
  <si>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</si>
  <si>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</si>
  <si>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</si>
  <si>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</si>
  <si>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</si>
  <si>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</si>
  <si>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</si>
  <si>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</si>
  <si>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</si>
  <si>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</si>
  <si>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</si>
  <si>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</si>
  <si>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</si>
  <si>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</si>
  <si>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</si>
  <si>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</si>
  <si>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</si>
  <si>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</si>
  <si>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</si>
  <si>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</si>
  <si>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</si>
  <si>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</si>
  <si>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</si>
  <si>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</si>
  <si>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</si>
  <si>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</si>
  <si>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</si>
  <si>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</si>
  <si>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</si>
  <si>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</si>
  <si>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</si>
  <si>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</si>
  <si>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</si>
  <si>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</si>
  <si>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</si>
  <si>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</si>
  <si>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</si>
  <si>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</si>
  <si>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</si>
  <si>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</si>
  <si>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</si>
  <si>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</si>
  <si>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</si>
  <si>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</si>
  <si>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</si>
  <si>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</si>
  <si>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</si>
  <si>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</si>
  <si>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</si>
  <si>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</si>
  <si>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</si>
  <si>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</si>
  <si>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</si>
  <si>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</si>
  <si>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</si>
  <si>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</si>
  <si>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</si>
  <si>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</si>
  <si>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</si>
  <si>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</si>
  <si>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</si>
  <si>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</si>
  <si>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</si>
  <si>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</si>
  <si>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</si>
  <si>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</si>
  <si>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</si>
  <si>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</si>
  <si>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</si>
  <si>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</si>
  <si>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</si>
  <si>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</si>
  <si>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</si>
  <si>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</si>
  <si>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</si>
  <si>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</si>
  <si>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</si>
  <si>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</si>
  <si>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</si>
  <si>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</si>
  <si>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</si>
  <si>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</si>
  <si>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</si>
  <si>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</si>
  <si>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</si>
  <si>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</si>
  <si>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</si>
  <si>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</si>
  <si>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</si>
  <si>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</si>
  <si>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</si>
  <si>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</si>
  <si>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</si>
  <si>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</si>
  <si>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</si>
  <si>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</si>
  <si>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</si>
  <si>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</si>
  <si>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</si>
  <si>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</si>
  <si>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</si>
  <si>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</si>
  <si>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</si>
  <si>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</si>
  <si>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</si>
  <si>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</si>
  <si>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</si>
  <si>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</si>
  <si>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</si>
  <si>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</si>
  <si>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</si>
  <si>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</si>
  <si>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</si>
  <si>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</si>
  <si>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</si>
  <si>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</si>
  <si>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</si>
  <si>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</si>
  <si>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</si>
  <si>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</si>
  <si>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</si>
  <si>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</si>
  <si>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</si>
  <si>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</si>
  <si>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</si>
  <si>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</si>
  <si>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</si>
  <si>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</si>
  <si>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</si>
  <si>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</si>
  <si>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</si>
  <si>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</si>
  <si>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</si>
  <si>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</si>
  <si>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</si>
  <si>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</si>
  <si>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</si>
  <si>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</si>
  <si>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</si>
  <si>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</si>
  <si>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</si>
  <si>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</si>
  <si>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</si>
  <si>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</si>
  <si>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</si>
  <si>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</si>
  <si>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</si>
  <si>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</si>
  <si>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</si>
  <si>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</si>
  <si>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</si>
  <si>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</si>
  <si>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</si>
  <si>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</si>
  <si>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</si>
  <si>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</si>
  <si>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</si>
  <si>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</si>
  <si>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</si>
  <si>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</si>
  <si>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</si>
  <si>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</si>
  <si>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</si>
  <si>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</si>
  <si>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</si>
  <si>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</si>
  <si>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</si>
  <si>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</si>
  <si>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</si>
  <si>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</si>
  <si>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</si>
  <si>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</si>
  <si>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</si>
  <si>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</si>
  <si>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</si>
  <si>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</si>
  <si>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</si>
  <si>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</si>
  <si>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</si>
  <si>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</si>
  <si>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</si>
  <si>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</si>
  <si>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</si>
  <si>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</si>
  <si>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</si>
  <si>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</si>
  <si>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</si>
  <si>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</si>
  <si>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</si>
  <si>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</si>
  <si>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</si>
  <si>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</si>
  <si>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</si>
  <si>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</si>
  <si>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</si>
  <si>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</si>
  <si>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</si>
  <si>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</si>
  <si>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</si>
  <si>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</si>
  <si>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</si>
  <si>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</si>
  <si>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</si>
  <si>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</si>
  <si>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</si>
  <si>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</si>
  <si>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</si>
  <si>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</si>
  <si>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</si>
  <si>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</si>
  <si>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</si>
  <si>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</si>
  <si>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</si>
  <si>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</si>
  <si>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</si>
  <si>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</si>
  <si>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</si>
  <si>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</si>
  <si>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</si>
  <si>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</si>
  <si>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</si>
  <si>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</si>
  <si>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</si>
  <si>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</si>
  <si>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</si>
  <si>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</si>
  <si>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</si>
  <si>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</si>
  <si>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</si>
  <si>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</si>
  <si>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</si>
  <si>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</si>
  <si>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</si>
  <si>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</si>
  <si>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</si>
  <si>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</si>
  <si>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</si>
  <si>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</si>
  <si>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</si>
  <si>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</si>
  <si>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</si>
  <si>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</si>
  <si>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</si>
  <si>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</si>
  <si>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</si>
  <si>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</si>
  <si>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</si>
  <si>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</si>
  <si>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</si>
  <si>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</si>
  <si>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</si>
  <si>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</si>
  <si>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</si>
  <si>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</si>
  <si>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</si>
  <si>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</si>
  <si>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</si>
  <si>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</si>
  <si>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</si>
  <si>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</si>
  <si>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</si>
  <si>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</si>
  <si>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</si>
  <si>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</si>
  <si>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</si>
  <si>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</si>
  <si>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</si>
  <si>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</si>
  <si>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</si>
  <si>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</si>
  <si>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</si>
  <si>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</si>
  <si>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</si>
  <si>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</si>
  <si>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</si>
  <si>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</si>
  <si>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</si>
  <si>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</si>
  <si>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</si>
  <si>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</si>
  <si>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</si>
  <si>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</si>
  <si>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</si>
  <si>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</si>
  <si>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</si>
  <si>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</si>
  <si>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</si>
  <si>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</si>
  <si>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</si>
  <si>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</si>
  <si>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</si>
  <si>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</si>
  <si>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</si>
  <si>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</si>
  <si>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</si>
  <si>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</si>
  <si>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</si>
  <si>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</si>
  <si>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</si>
  <si>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</si>
  <si>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</si>
  <si>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</si>
  <si>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</si>
  <si>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</si>
  <si>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</si>
  <si>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</si>
  <si>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</si>
  <si>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</si>
  <si>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</si>
  <si>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</si>
  <si>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</si>
  <si>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</si>
  <si>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</si>
  <si>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</si>
  <si>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</si>
  <si>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</si>
  <si>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</si>
  <si>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</si>
  <si>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</si>
  <si>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</si>
  <si>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</si>
  <si>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</si>
  <si>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</si>
  <si>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</si>
  <si>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</si>
  <si>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</si>
  <si>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</si>
  <si>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</si>
  <si>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</si>
  <si>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</si>
  <si>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</si>
  <si>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</si>
  <si>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</si>
  <si>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</si>
  <si>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</si>
  <si>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</si>
  <si>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</si>
  <si>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</si>
  <si>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</si>
  <si>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</si>
  <si>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</si>
  <si>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</si>
  <si>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</si>
  <si>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</si>
  <si>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</si>
  <si>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</si>
  <si>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</si>
  <si>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</si>
  <si>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</si>
  <si>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</si>
  <si>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</si>
  <si>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</si>
  <si>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</si>
  <si>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</si>
  <si>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</si>
  <si>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</si>
  <si>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</si>
  <si>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</si>
  <si>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</si>
  <si>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</si>
  <si>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</si>
  <si>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</si>
  <si>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</si>
  <si>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</si>
  <si>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</si>
  <si>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</si>
  <si>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</si>
  <si>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</si>
  <si>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</si>
  <si>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</si>
  <si>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</si>
  <si>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</si>
  <si>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</si>
  <si>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</si>
  <si>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</si>
  <si>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</si>
  <si>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</si>
  <si>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</si>
  <si>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</si>
  <si>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</si>
  <si>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</si>
  <si>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</si>
  <si>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</si>
  <si>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</si>
  <si>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</si>
  <si>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</si>
  <si>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</si>
  <si>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</si>
  <si>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</si>
  <si>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</si>
  <si>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</si>
  <si>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</si>
  <si>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</si>
  <si>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</si>
  <si>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</si>
  <si>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</si>
  <si>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</si>
  <si>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</si>
  <si>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</si>
  <si>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</si>
  <si>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</si>
  <si>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</si>
  <si>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</si>
  <si>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</si>
  <si>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</si>
  <si>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</si>
  <si>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</si>
  <si>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</si>
  <si>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</si>
  <si>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</si>
  <si>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</si>
  <si>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</si>
  <si>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</si>
  <si>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</si>
  <si>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</si>
  <si>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</si>
  <si>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</si>
  <si>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</si>
  <si>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</si>
  <si>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</si>
  <si>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</si>
  <si>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</si>
  <si>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</si>
  <si>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</si>
  <si>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</si>
  <si>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</si>
  <si>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</si>
  <si>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</si>
  <si>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</si>
  <si>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</si>
  <si>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</si>
  <si>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</si>
  <si>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</si>
  <si>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</si>
  <si>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</si>
  <si>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</si>
  <si>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</si>
  <si>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</si>
  <si>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</si>
  <si>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</si>
  <si>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</si>
  <si>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</si>
  <si>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</si>
  <si>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</si>
  <si>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</si>
  <si>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</si>
  <si>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</si>
  <si>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</si>
  <si>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</si>
  <si>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</si>
  <si>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</si>
  <si>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</si>
  <si>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</si>
  <si>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</si>
  <si>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</si>
  <si>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</si>
  <si>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</si>
  <si>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</si>
  <si>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</si>
  <si>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</si>
  <si>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</si>
  <si>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</si>
  <si>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</si>
  <si>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</si>
  <si>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</si>
  <si>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</si>
  <si>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</si>
  <si>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</si>
  <si>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</si>
  <si>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</si>
  <si>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</si>
  <si>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</si>
  <si>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</si>
  <si>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</si>
  <si>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</si>
  <si>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</si>
  <si>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</si>
  <si>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</si>
  <si>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</si>
  <si>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</si>
  <si>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</si>
  <si>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</si>
  <si>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</si>
  <si>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</si>
  <si>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</si>
  <si>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</si>
  <si>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</si>
  <si>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</si>
  <si>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</si>
  <si>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</si>
  <si>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</si>
  <si>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</si>
  <si>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</si>
  <si>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</si>
  <si>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</si>
  <si>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</si>
  <si>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</si>
  <si>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</si>
  <si>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</si>
  <si>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</si>
  <si>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</si>
  <si>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</si>
  <si>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</si>
  <si>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</si>
  <si>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</si>
  <si>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</si>
  <si>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</si>
  <si>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</si>
  <si>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</si>
  <si>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</si>
  <si>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</si>
  <si>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</si>
  <si>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</si>
  <si>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</si>
  <si>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</si>
  <si>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</si>
  <si>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</si>
  <si>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</si>
  <si>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</si>
  <si>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</si>
  <si>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</si>
  <si>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</si>
  <si>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</si>
  <si>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</si>
  <si>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</si>
  <si>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</si>
  <si>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</si>
  <si>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</si>
  <si>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</si>
  <si>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</si>
  <si>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</si>
  <si>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</si>
  <si>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</si>
  <si>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</si>
  <si>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</si>
  <si>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</si>
  <si>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</si>
  <si>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</si>
  <si>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</si>
  <si>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</si>
  <si>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</si>
  <si>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</si>
  <si>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</si>
  <si>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</si>
  <si>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</si>
  <si>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</si>
  <si>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</si>
  <si>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</si>
  <si>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</si>
  <si>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</si>
  <si>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</si>
  <si>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</si>
  <si>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</si>
  <si>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</si>
  <si>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</si>
  <si>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</si>
  <si>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</si>
  <si>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</si>
  <si>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</si>
  <si>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</si>
  <si>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</si>
  <si>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</si>
  <si>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</si>
  <si>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</si>
  <si>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</si>
  <si>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</si>
  <si>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</si>
  <si>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</si>
  <si>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</si>
  <si>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</si>
  <si>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</si>
  <si>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</si>
  <si>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</si>
  <si>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</si>
  <si>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</si>
  <si>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</si>
  <si>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</si>
  <si>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</si>
  <si>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</si>
  <si>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</si>
  <si>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</si>
  <si>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</si>
  <si>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</si>
  <si>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</si>
  <si>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</si>
  <si>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</si>
  <si>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</si>
  <si>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</si>
  <si>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</si>
  <si>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</si>
  <si>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</si>
  <si>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</si>
  <si>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</si>
  <si>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</si>
  <si>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</si>
  <si>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</si>
  <si>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</si>
  <si>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</si>
  <si>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</si>
  <si>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</si>
  <si>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</si>
  <si>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</si>
  <si>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</si>
  <si>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</si>
  <si>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</si>
  <si>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</si>
  <si>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</si>
  <si>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</si>
  <si>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</si>
  <si>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</si>
  <si>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</si>
  <si>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</si>
  <si>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</si>
  <si>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</si>
  <si>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</si>
  <si>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</si>
  <si>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</si>
  <si>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</si>
  <si>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</si>
  <si>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</si>
  <si>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</si>
  <si>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</si>
  <si>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</si>
  <si>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</si>
  <si>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</si>
  <si>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</si>
  <si>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</si>
  <si>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</si>
  <si>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</si>
  <si>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</si>
  <si>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</si>
  <si>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</si>
  <si>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</si>
  <si>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</si>
  <si>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</si>
  <si>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</si>
  <si>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</si>
  <si>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</si>
  <si>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</si>
  <si>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</si>
  <si>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</si>
  <si>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</si>
  <si>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</si>
  <si>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</si>
  <si>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</si>
  <si>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</si>
  <si>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</si>
  <si>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</si>
  <si>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</si>
  <si>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</si>
  <si>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</si>
  <si>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</si>
  <si>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</si>
  <si>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</si>
  <si>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</si>
  <si>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</si>
  <si>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</si>
  <si>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</si>
  <si>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</si>
  <si>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</si>
  <si>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</si>
  <si>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</si>
  <si>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</si>
  <si>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</si>
  <si>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</si>
  <si>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</si>
  <si>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</si>
  <si>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</si>
  <si>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</si>
  <si>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</si>
  <si>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</si>
  <si>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</si>
  <si>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</si>
  <si>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</si>
  <si>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</si>
  <si>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</si>
  <si>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</si>
  <si>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</si>
  <si>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</si>
  <si>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</si>
  <si>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</si>
  <si>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</si>
  <si>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</si>
  <si>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</si>
  <si>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</si>
  <si>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</si>
  <si>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</si>
  <si>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</si>
  <si>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</si>
  <si>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</si>
  <si>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</si>
  <si>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</si>
  <si>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</si>
  <si>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</si>
  <si>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</si>
  <si>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</si>
  <si>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</si>
  <si>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</si>
  <si>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</si>
  <si>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</si>
  <si>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</si>
  <si>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</si>
  <si>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</si>
  <si>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</si>
  <si>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</si>
  <si>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</si>
  <si>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</si>
  <si>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</si>
  <si>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</si>
  <si>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</si>
  <si>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</si>
  <si>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</si>
  <si>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</si>
  <si>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</si>
  <si>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</si>
  <si>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</si>
  <si>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</si>
  <si>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</si>
  <si>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</si>
  <si>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</si>
  <si>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</si>
  <si>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</si>
  <si>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</si>
  <si>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</si>
  <si>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</si>
  <si>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</si>
  <si>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</si>
  <si>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</si>
  <si>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</si>
  <si>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</si>
  <si>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</si>
  <si>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</si>
  <si>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</si>
  <si>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</si>
  <si>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</si>
  <si>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</si>
  <si>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</si>
  <si>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</si>
  <si>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</si>
  <si>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</si>
  <si>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</si>
  <si>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</si>
  <si>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</si>
  <si>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</si>
  <si>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</si>
  <si>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</si>
  <si>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</si>
  <si>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</si>
  <si>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</si>
  <si>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</si>
  <si>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</si>
  <si>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</si>
  <si>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</si>
  <si>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</si>
  <si>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</si>
  <si>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</si>
  <si>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</si>
  <si>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</si>
  <si>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</si>
  <si>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</si>
  <si>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</si>
  <si>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</si>
  <si>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</si>
  <si>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</si>
  <si>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</si>
  <si>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</si>
  <si>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</si>
  <si>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</si>
  <si>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</si>
  <si>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</si>
  <si>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</si>
  <si>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</si>
  <si>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</si>
  <si>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</si>
  <si>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</si>
  <si>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</si>
  <si>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</si>
  <si>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</si>
  <si>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</si>
  <si>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</si>
  <si>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</si>
  <si>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</si>
  <si>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</si>
  <si>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</si>
  <si>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</si>
  <si>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</si>
  <si>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</si>
  <si>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</si>
  <si>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</si>
  <si>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</si>
  <si>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</si>
  <si>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</si>
  <si>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</si>
  <si>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</si>
  <si>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</si>
  <si>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</si>
  <si>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</si>
  <si>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</si>
  <si>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</si>
  <si>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</si>
  <si>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</si>
  <si>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</si>
  <si>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</si>
  <si>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</si>
  <si>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</si>
  <si>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</si>
  <si>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</si>
  <si>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</si>
  <si>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</si>
  <si>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</si>
  <si>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</si>
  <si>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</si>
  <si>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</si>
  <si>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</si>
  <si>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</si>
  <si>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</si>
  <si>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</si>
  <si>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</si>
  <si>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</si>
  <si>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</si>
  <si>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</si>
  <si>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</si>
  <si>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</si>
  <si>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</si>
  <si>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</si>
  <si>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</si>
  <si>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</si>
  <si>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</si>
  <si>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</si>
  <si>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</si>
  <si>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</si>
  <si>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</si>
  <si>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</si>
  <si>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</si>
  <si>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</si>
  <si>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</si>
  <si>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</si>
  <si>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</si>
  <si>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</si>
  <si>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</si>
  <si>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</si>
  <si>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</si>
  <si>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</si>
  <si>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</si>
  <si>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</si>
  <si>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</si>
  <si>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</si>
  <si>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</si>
  <si>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</si>
  <si>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</si>
  <si>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</si>
  <si>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</si>
  <si>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</si>
  <si>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</si>
  <si>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</si>
  <si>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</si>
  <si>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</si>
  <si>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</si>
  <si>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</si>
  <si>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</si>
  <si>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</si>
  <si>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</si>
  <si>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</si>
  <si>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</si>
  <si>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</si>
  <si>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</si>
  <si>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</si>
  <si>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</si>
  <si>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</si>
  <si>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</si>
  <si>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</si>
  <si>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</si>
  <si>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</si>
  <si>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</si>
  <si>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</si>
  <si>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</si>
  <si>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</si>
  <si>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</si>
  <si>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</si>
  <si>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</si>
  <si>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</si>
  <si>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</si>
  <si>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</si>
  <si>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</si>
  <si>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</si>
  <si>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</si>
  <si>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</si>
  <si>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</si>
  <si>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</si>
  <si>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</si>
  <si>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</si>
  <si>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</si>
  <si>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</si>
  <si>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</si>
  <si>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</si>
  <si>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</si>
  <si>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</si>
  <si>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</si>
  <si>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</si>
  <si>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</si>
  <si>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</si>
  <si>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</si>
  <si>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</si>
  <si>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</si>
  <si>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</si>
  <si>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</si>
  <si>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</si>
  <si>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</si>
  <si>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</si>
  <si>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</si>
  <si>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</si>
  <si>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</si>
  <si>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</si>
  <si>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</si>
  <si>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</si>
  <si>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</si>
  <si>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</si>
  <si>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</si>
  <si>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</si>
  <si>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</si>
  <si>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</si>
  <si>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</si>
  <si>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</si>
  <si>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</si>
  <si>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</si>
  <si>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</si>
  <si>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</si>
  <si>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</si>
  <si>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</si>
  <si>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</si>
  <si>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</si>
  <si>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</si>
  <si>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</si>
  <si>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</si>
  <si>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</si>
  <si>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</si>
  <si>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</si>
  <si>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</si>
  <si>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</si>
  <si>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</si>
  <si>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</si>
  <si>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</si>
  <si>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</si>
  <si>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</si>
  <si>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</si>
  <si>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</si>
  <si>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</si>
  <si>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</si>
  <si>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</si>
  <si>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</si>
  <si>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</si>
  <si>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</si>
  <si>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</si>
  <si>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</si>
  <si>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</si>
  <si>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</si>
  <si>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</si>
  <si>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</si>
  <si>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</si>
  <si>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</si>
  <si>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</si>
  <si>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</si>
  <si>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</si>
  <si>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</si>
  <si>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</si>
  <si>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</si>
  <si>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</si>
  <si>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</si>
  <si>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</si>
  <si>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</si>
  <si>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</si>
  <si>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</si>
  <si>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</si>
  <si>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</si>
  <si>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</si>
  <si>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</si>
  <si>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</si>
  <si>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</si>
  <si>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</si>
  <si>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</si>
  <si>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</si>
  <si>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</si>
  <si>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</si>
  <si>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</si>
  <si>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</si>
  <si>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</si>
  <si>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</si>
  <si>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</si>
  <si>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</si>
  <si>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</si>
  <si>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</si>
  <si>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</si>
  <si>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</si>
  <si>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</si>
  <si>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</si>
  <si>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</si>
  <si>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</si>
  <si>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</si>
  <si>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</si>
  <si>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</si>
  <si>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</si>
  <si>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</si>
  <si>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</si>
  <si>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</si>
  <si>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</si>
  <si>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</si>
  <si>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</si>
  <si>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</si>
  <si>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</si>
  <si>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</si>
  <si>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</si>
  <si>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</si>
  <si>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</si>
  <si>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</si>
  <si>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</si>
  <si>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</si>
  <si>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</si>
  <si>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</si>
  <si>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</si>
  <si>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</si>
  <si>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</si>
  <si>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</si>
  <si>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</si>
  <si>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</si>
  <si>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</si>
  <si>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</si>
  <si>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</si>
  <si>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</si>
  <si>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</si>
  <si>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</si>
  <si>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</si>
  <si>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</si>
  <si>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</si>
  <si>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</si>
  <si>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</si>
  <si>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</si>
  <si>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</si>
  <si>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</si>
  <si>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</si>
  <si>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</si>
  <si>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</si>
  <si>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</si>
  <si>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</si>
  <si>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</si>
  <si>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</si>
  <si>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</si>
  <si>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</si>
  <si>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</si>
  <si>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</si>
  <si>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</si>
  <si>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</si>
  <si>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</si>
  <si>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</si>
  <si>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</si>
  <si>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</si>
  <si>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</si>
  <si>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</si>
  <si>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</si>
  <si>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</si>
  <si>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</si>
  <si>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</si>
  <si>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</si>
  <si>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</si>
  <si>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</si>
  <si>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</si>
  <si>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</si>
  <si>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</si>
  <si>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</si>
  <si>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</si>
  <si>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</si>
  <si>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</si>
  <si>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</si>
  <si>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</si>
  <si>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</si>
  <si>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</si>
  <si>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</si>
  <si>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</si>
  <si>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</si>
  <si>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</si>
  <si>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</si>
  <si>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</si>
  <si>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</si>
  <si>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</si>
  <si>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</si>
  <si>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</si>
  <si>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</si>
  <si>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</si>
  <si>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</si>
  <si>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</si>
  <si>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</si>
  <si>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</si>
  <si>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</si>
  <si>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</si>
  <si>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</si>
  <si>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</si>
  <si>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</si>
  <si>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</si>
  <si>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</si>
  <si>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</si>
  <si>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</si>
  <si>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</si>
  <si>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</si>
  <si>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</si>
  <si>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</si>
  <si>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</si>
  <si>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</si>
  <si>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</si>
  <si>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</si>
  <si>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</si>
  <si>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</si>
  <si>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</si>
  <si>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</si>
  <si>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</si>
  <si>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</si>
  <si>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</si>
  <si>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</si>
  <si>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</si>
  <si>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</si>
  <si>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</si>
  <si>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</si>
  <si>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</si>
  <si>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</si>
  <si>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</si>
  <si>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</si>
  <si>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</si>
  <si>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</si>
  <si>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</si>
  <si>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</si>
  <si>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</si>
  <si>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</si>
  <si>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</si>
  <si>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</si>
  <si>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</si>
  <si>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</si>
  <si>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</si>
  <si>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</si>
  <si>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</si>
  <si>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</si>
  <si>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</si>
  <si>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</si>
  <si>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</si>
  <si>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</si>
  <si>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</si>
  <si>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</si>
  <si>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</si>
  <si>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</si>
  <si>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</si>
  <si>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</si>
  <si>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</si>
  <si>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</si>
  <si>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</si>
  <si>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</si>
  <si>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</si>
  <si>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</si>
  <si>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</si>
  <si>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</si>
  <si>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</si>
  <si>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</si>
  <si>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</si>
  <si>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</si>
  <si>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</si>
  <si>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</si>
  <si>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</si>
  <si>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</si>
  <si>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</si>
  <si>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</si>
  <si>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</si>
  <si>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</si>
  <si>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</si>
  <si>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</si>
  <si>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</si>
  <si>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</si>
  <si>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</si>
  <si>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</si>
  <si>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</si>
  <si>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</si>
  <si>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</si>
  <si>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</si>
  <si>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</si>
  <si>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</si>
  <si>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</si>
  <si>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</si>
  <si>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</si>
  <si>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</si>
  <si>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</si>
  <si>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</si>
  <si>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</si>
  <si>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</si>
  <si>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</si>
  <si>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</si>
  <si>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</si>
  <si>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</si>
  <si>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</si>
  <si>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</si>
  <si>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</si>
  <si>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</si>
  <si>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</si>
  <si>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</si>
  <si>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</si>
  <si>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</si>
  <si>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</si>
  <si>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</si>
  <si>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</si>
  <si>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</si>
  <si>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</si>
  <si>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</si>
  <si>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</si>
  <si>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</si>
  <si>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</si>
  <si>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</si>
  <si>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</si>
  <si>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</si>
  <si>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</si>
  <si>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</si>
  <si>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</si>
  <si>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</si>
  <si>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</si>
  <si>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</si>
  <si>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</si>
  <si>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</si>
  <si>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</si>
  <si>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</si>
  <si>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</si>
  <si>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</si>
  <si>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</si>
  <si>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</si>
  <si>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</si>
  <si>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</si>
  <si>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</si>
  <si>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</si>
  <si>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</si>
  <si>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</si>
  <si>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</si>
  <si>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</si>
  <si>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</si>
  <si>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</si>
  <si>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</si>
  <si>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</si>
  <si>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</si>
  <si>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</si>
  <si>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</si>
  <si>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</si>
  <si>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</si>
  <si>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</si>
  <si>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</si>
  <si>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</si>
  <si>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crie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</si>
  <si>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</si>
  <si>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</si>
  <si>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</si>
  <si>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</si>
  <si>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</si>
  <si>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</si>
  <si>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</si>
  <si>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</si>
  <si>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</si>
  <si>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</si>
  <si>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</si>
  <si>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</si>
  <si>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</si>
  <si>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</si>
  <si>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</si>
  <si>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</si>
  <si>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</si>
  <si>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</si>
  <si>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</si>
  <si>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</si>
  <si>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</si>
  <si>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</si>
  <si>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</si>
  <si>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</si>
  <si>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</si>
  <si>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</si>
  <si>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</si>
  <si>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</si>
  <si>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</si>
  <si>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</si>
  <si>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</si>
  <si>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</si>
  <si>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</si>
  <si>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</si>
  <si>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</si>
  <si>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</si>
  <si>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</si>
  <si>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</si>
  <si>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</si>
  <si>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</si>
  <si>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</si>
  <si>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</si>
  <si>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</si>
  <si>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</si>
  <si>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</si>
  <si>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</si>
  <si>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</si>
  <si>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</si>
  <si>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</si>
  <si>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</si>
  <si>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</si>
  <si>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</si>
  <si>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</si>
  <si>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</si>
  <si>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</si>
  <si>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</si>
  <si>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</si>
  <si>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</si>
  <si>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</si>
  <si>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</si>
  <si>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</si>
  <si>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</si>
  <si>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</si>
  <si>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</si>
  <si>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</si>
  <si>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</si>
  <si>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</si>
  <si>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</si>
  <si>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</si>
  <si>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</si>
  <si>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</si>
  <si>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</si>
  <si>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</si>
  <si>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</si>
  <si>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</si>
  <si>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</si>
  <si>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</si>
  <si>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</si>
  <si>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</si>
  <si>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</si>
  <si>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</si>
  <si>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</si>
  <si>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</si>
  <si>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</si>
  <si>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</si>
  <si>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</si>
  <si>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</si>
  <si>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</si>
  <si>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</si>
  <si>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</si>
  <si>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</si>
  <si>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</si>
  <si>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</si>
  <si>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</si>
  <si>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</si>
  <si>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</si>
  <si>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</si>
  <si>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</si>
  <si>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</si>
  <si>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</si>
  <si>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</si>
  <si>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</si>
  <si>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</si>
  <si>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</si>
  <si>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</si>
  <si>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</si>
  <si>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</si>
  <si>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</si>
  <si>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</si>
  <si>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</si>
  <si>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</si>
  <si>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</si>
  <si>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</si>
  <si>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</si>
  <si>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</si>
  <si>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</si>
  <si>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</si>
  <si>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</si>
  <si>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</si>
  <si>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</si>
  <si>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</si>
  <si>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</si>
  <si>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</si>
  <si>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</si>
  <si>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</si>
  <si>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</si>
  <si>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</si>
  <si>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</si>
  <si>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</si>
  <si>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</si>
  <si>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</si>
  <si>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</si>
  <si>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</si>
  <si>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</si>
  <si>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</si>
  <si>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</si>
  <si>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</si>
  <si>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</si>
  <si>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</si>
  <si>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</si>
  <si>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</si>
  <si>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</si>
  <si>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</si>
  <si>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</si>
  <si>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</si>
  <si>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</si>
  <si>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</si>
  <si>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</si>
  <si>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</si>
  <si>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</si>
  <si>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</si>
  <si>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</si>
  <si>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</si>
  <si>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</si>
  <si>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</si>
  <si>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</si>
  <si>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</si>
  <si>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</si>
  <si>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</si>
  <si>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</si>
  <si>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</si>
  <si>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</si>
  <si>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</si>
  <si>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</si>
  <si>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</si>
  <si>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</si>
  <si>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</si>
  <si>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</si>
  <si>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</si>
  <si>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</si>
  <si>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</si>
  <si>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</si>
  <si>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</si>
  <si>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</si>
  <si>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</si>
  <si>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</si>
  <si>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</si>
  <si>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</si>
  <si>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</si>
  <si>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</si>
  <si>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</si>
  <si>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</si>
  <si>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</si>
  <si>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</si>
  <si>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</si>
  <si>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</si>
  <si>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</si>
  <si>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</si>
  <si>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</si>
  <si>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</si>
  <si>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</si>
  <si>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</si>
  <si>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</si>
  <si>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</si>
  <si>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</si>
  <si>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</si>
  <si>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</si>
  <si>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</si>
  <si>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</si>
  <si>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</si>
  <si>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</si>
  <si>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</si>
  <si>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</si>
  <si>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</si>
  <si>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</si>
  <si>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</si>
  <si>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</si>
  <si>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</si>
  <si>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</si>
  <si>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</si>
  <si>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</si>
  <si>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</si>
  <si>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</si>
  <si>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</si>
  <si>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</si>
  <si>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</si>
  <si>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</si>
  <si>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</si>
  <si>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</si>
  <si>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</si>
  <si>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</si>
  <si>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</si>
  <si>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</si>
  <si>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</si>
  <si>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</si>
  <si>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</si>
  <si>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</si>
  <si>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</si>
  <si>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</si>
  <si>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</si>
  <si>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</si>
  <si>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</si>
  <si>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</si>
  <si>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</si>
  <si>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</si>
  <si>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</si>
  <si>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</si>
  <si>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</si>
  <si>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</si>
  <si>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</si>
  <si>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</si>
  <si>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</si>
  <si>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</si>
  <si>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</si>
  <si>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</si>
  <si>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</si>
  <si>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</si>
  <si>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</si>
  <si>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</si>
  <si>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</si>
  <si>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</si>
  <si>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</si>
  <si>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</si>
  <si>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</si>
  <si>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</si>
  <si>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</si>
  <si>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</si>
  <si>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</si>
  <si>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</si>
  <si>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</si>
  <si>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</si>
  <si>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</si>
  <si>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</si>
  <si>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</si>
  <si>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</si>
  <si>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</si>
  <si>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</si>
  <si>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</si>
  <si>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</si>
  <si>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</si>
  <si>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</si>
  <si>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</si>
  <si>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</si>
  <si>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</si>
  <si>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</si>
  <si>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</si>
  <si>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</si>
  <si>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</si>
  <si>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</si>
  <si>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</si>
  <si>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</si>
  <si>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</si>
  <si>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</si>
  <si>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</si>
  <si>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</si>
  <si>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</si>
  <si>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</si>
  <si>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</si>
  <si>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</si>
  <si>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</si>
  <si>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</si>
  <si>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</si>
  <si>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</si>
  <si>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</si>
  <si>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</si>
  <si>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</si>
  <si>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</si>
  <si>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</si>
  <si>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</si>
  <si>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</si>
  <si>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</si>
  <si>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</si>
  <si>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</si>
  <si>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</si>
  <si>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</si>
  <si>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</si>
  <si>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</si>
  <si>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</si>
  <si>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</si>
  <si>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</si>
  <si>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</si>
  <si>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</si>
  <si>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</si>
  <si>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</si>
  <si>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</si>
  <si>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</si>
  <si>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</si>
  <si>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</si>
  <si>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</si>
  <si>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</si>
  <si>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</si>
  <si>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</si>
  <si>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</si>
  <si>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</si>
  <si>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</si>
  <si>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</si>
  <si>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</si>
  <si>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</si>
  <si>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</si>
  <si>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</si>
  <si>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</si>
  <si>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</si>
  <si>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</si>
  <si>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</si>
  <si>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</si>
  <si>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</si>
  <si>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</si>
  <si>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</si>
  <si>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</si>
  <si>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</si>
  <si>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</si>
  <si>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</si>
  <si>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</si>
  <si>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</si>
  <si>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</si>
  <si>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</si>
  <si>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</si>
  <si>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</si>
  <si>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</si>
  <si>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</si>
  <si>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</si>
  <si>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</si>
  <si>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</si>
  <si>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</si>
  <si>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</si>
  <si>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</si>
  <si>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</si>
  <si>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</si>
  <si>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</si>
  <si>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</si>
  <si>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</si>
  <si>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</si>
  <si>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</si>
  <si>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</si>
  <si>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</si>
  <si>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</si>
  <si>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</si>
  <si>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</si>
  <si>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</si>
  <si>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</si>
  <si>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</si>
  <si>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</si>
  <si>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</si>
  <si>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</si>
  <si>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</si>
  <si>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</si>
  <si>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</si>
  <si>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</si>
  <si>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</si>
  <si>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</si>
  <si>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</si>
  <si>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</si>
  <si>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</si>
  <si>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</si>
  <si>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</si>
  <si>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</si>
  <si>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</si>
  <si>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</si>
  <si>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</si>
  <si>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</si>
  <si>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</si>
  <si>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</si>
  <si>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</si>
  <si>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</si>
  <si>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</si>
  <si>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</si>
  <si>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</si>
  <si>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</si>
  <si>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</si>
  <si>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</si>
  <si>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</si>
  <si>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</si>
  <si>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</si>
  <si>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</si>
  <si>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</si>
  <si>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</si>
  <si>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</si>
  <si>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</si>
  <si>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</si>
  <si>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</si>
  <si>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</si>
  <si>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</si>
  <si>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</si>
  <si>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</si>
  <si>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</si>
  <si>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</si>
  <si>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</si>
  <si>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</si>
  <si>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</si>
  <si>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</si>
  <si>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</si>
  <si>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</si>
  <si>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</si>
  <si>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</si>
  <si>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</si>
  <si>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</si>
  <si>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</si>
  <si>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</si>
  <si>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</si>
  <si>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</si>
  <si>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</si>
  <si>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</si>
  <si>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</si>
  <si>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</si>
  <si>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</si>
  <si>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</si>
  <si>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</si>
  <si>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</si>
  <si>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</si>
  <si>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</si>
  <si>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</si>
  <si>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</si>
  <si>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</si>
  <si>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</si>
  <si>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</si>
  <si>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</si>
  <si>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</si>
  <si>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</si>
  <si>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</si>
  <si>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</si>
  <si>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</si>
  <si>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</si>
  <si>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</si>
  <si>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</si>
  <si>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</si>
  <si>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</si>
  <si>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</si>
  <si>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</si>
  <si>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</si>
  <si>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</si>
  <si>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</si>
  <si>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</si>
  <si>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</si>
  <si>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</si>
  <si>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</si>
  <si>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</si>
  <si>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</si>
  <si>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</si>
  <si>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</si>
  <si>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</si>
  <si>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</si>
  <si>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</si>
  <si>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</si>
  <si>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</si>
  <si>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</si>
  <si>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</si>
  <si>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</si>
  <si>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</si>
  <si>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</si>
  <si>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</si>
  <si>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</si>
  <si>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</si>
  <si>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</si>
  <si>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</si>
  <si>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</si>
  <si>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</si>
  <si>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</si>
  <si>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</si>
  <si>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</si>
  <si>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</si>
  <si>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</si>
  <si>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</si>
  <si>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</si>
  <si>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</si>
  <si>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</si>
  <si>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</si>
  <si>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</si>
  <si>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</si>
  <si>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</si>
  <si>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</si>
  <si>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</si>
  <si>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</si>
  <si>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</si>
  <si>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</si>
  <si>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</si>
  <si>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</si>
  <si>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</si>
  <si>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</si>
  <si>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</si>
  <si>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</si>
  <si>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</si>
  <si>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</si>
  <si>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</si>
  <si>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</si>
  <si>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</si>
  <si>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</si>
  <si>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</si>
  <si>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</si>
  <si>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</si>
  <si>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</si>
  <si>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</si>
  <si>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</si>
  <si>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</si>
  <si>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</si>
  <si>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</si>
  <si>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</si>
  <si>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</si>
  <si>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</si>
  <si>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</si>
  <si>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</si>
  <si>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</si>
  <si>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</si>
  <si>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</si>
  <si>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</si>
  <si>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</si>
  <si>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</si>
  <si>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</si>
  <si>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</si>
  <si>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</si>
  <si>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</si>
  <si>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</si>
  <si>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</si>
  <si>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</si>
  <si>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</si>
  <si>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</si>
  <si>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</si>
  <si>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</si>
  <si>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</si>
  <si>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</si>
  <si>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</si>
  <si>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</si>
  <si>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</si>
  <si>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</si>
  <si>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</si>
  <si>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</si>
  <si>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</si>
  <si>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</si>
  <si>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</si>
  <si>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</si>
  <si>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</si>
  <si>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</si>
  <si>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</si>
  <si>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</si>
  <si>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</si>
  <si>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</si>
  <si>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</si>
  <si>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</si>
  <si>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</si>
  <si>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</si>
  <si>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</si>
  <si>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</si>
  <si>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</si>
  <si>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</si>
  <si>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</si>
  <si>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</si>
  <si>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</si>
  <si>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</si>
  <si>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</si>
  <si>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</si>
  <si>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</si>
  <si>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</si>
  <si>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</si>
  <si>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</si>
  <si>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</si>
  <si>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</si>
  <si>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</si>
  <si>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</si>
  <si>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</si>
  <si>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</si>
  <si>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</si>
  <si>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</si>
  <si>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</si>
  <si>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</si>
  <si>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</si>
  <si>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</si>
  <si>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</si>
  <si>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</si>
  <si>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</si>
  <si>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</si>
  <si>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</si>
  <si>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</si>
  <si>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</si>
  <si>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</si>
  <si>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</si>
  <si>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</si>
  <si>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</si>
  <si>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</si>
  <si>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</si>
  <si>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</si>
  <si>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</si>
  <si>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</si>
  <si>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</si>
  <si>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</si>
  <si>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</si>
  <si>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</si>
  <si>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</si>
  <si>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</si>
  <si>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</si>
  <si>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</si>
  <si>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</si>
  <si>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</si>
  <si>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</si>
  <si>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</si>
  <si>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</si>
  <si>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</si>
  <si>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</si>
  <si>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</si>
  <si>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</si>
  <si>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</si>
  <si>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</si>
  <si>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</si>
  <si>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</si>
  <si>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</si>
  <si>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</si>
  <si>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</si>
  <si>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</si>
  <si>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</si>
  <si>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</si>
  <si>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</si>
  <si>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</si>
  <si>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</si>
  <si>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</si>
  <si>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</si>
  <si>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</si>
  <si>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</si>
  <si>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</si>
  <si>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</si>
  <si>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</si>
  <si>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</si>
  <si>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</si>
  <si>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</si>
  <si>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</si>
  <si>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</si>
  <si>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</si>
  <si>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</si>
  <si>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</si>
  <si>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</si>
  <si>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</si>
  <si>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</si>
  <si>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</si>
  <si>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</si>
  <si>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</si>
  <si>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</si>
  <si>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</si>
  <si>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</si>
  <si>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</si>
  <si>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</si>
  <si>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</si>
  <si>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</si>
  <si>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</si>
  <si>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</si>
  <si>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</si>
  <si>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</si>
  <si>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</si>
  <si>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</si>
  <si>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</si>
  <si>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</si>
  <si>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</si>
  <si>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</si>
  <si>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</si>
  <si>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</si>
  <si>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</si>
  <si>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</si>
  <si>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</si>
  <si>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</si>
  <si>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</si>
  <si>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</si>
  <si>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</si>
  <si>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</si>
  <si>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</si>
  <si>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</si>
  <si>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</si>
  <si>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</si>
  <si>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</si>
  <si>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</si>
  <si>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</si>
  <si>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</si>
  <si>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</si>
  <si>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</si>
  <si>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</si>
  <si>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</si>
  <si>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</si>
  <si>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</si>
  <si>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</si>
  <si>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</si>
  <si>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</si>
  <si>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</si>
  <si>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</si>
  <si>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</si>
  <si>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</si>
  <si>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</si>
  <si>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</si>
  <si>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</si>
  <si>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</si>
  <si>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</si>
  <si>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</si>
  <si>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</si>
  <si>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</si>
  <si>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</si>
  <si>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</si>
  <si>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</si>
  <si>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</si>
  <si>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</si>
  <si>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</si>
  <si>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</si>
  <si>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</si>
  <si>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</si>
  <si>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</si>
  <si>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</si>
  <si>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</si>
  <si>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</si>
  <si>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</si>
  <si>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</si>
  <si>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</si>
  <si>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</si>
  <si>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</si>
  <si>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</si>
  <si>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</si>
  <si>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</si>
  <si>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</si>
  <si>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</si>
  <si>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</si>
  <si>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</si>
  <si>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</si>
  <si>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</si>
  <si>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</si>
  <si>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</si>
  <si>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</si>
  <si>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</si>
  <si>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</si>
  <si>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</si>
  <si>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</si>
  <si>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</si>
  <si>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</si>
  <si>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</si>
  <si>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</si>
  <si>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</si>
  <si>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</si>
  <si>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</si>
  <si>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</si>
  <si>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</si>
  <si>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</si>
  <si>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</si>
  <si>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</si>
  <si>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</si>
  <si>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</si>
  <si>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</si>
  <si>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</si>
  <si>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</si>
  <si>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</si>
  <si>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</si>
  <si>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</si>
  <si>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</si>
  <si>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</si>
  <si>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</si>
  <si>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</si>
  <si>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</si>
  <si>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</si>
  <si>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</si>
  <si>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</si>
  <si>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</si>
  <si>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</si>
  <si>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</si>
  <si>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</si>
  <si>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</si>
  <si>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</si>
  <si>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</si>
  <si>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</si>
  <si>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</si>
  <si>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</si>
  <si>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</si>
  <si>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</si>
  <si>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</si>
  <si>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</si>
  <si>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</si>
  <si>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</si>
  <si>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</si>
  <si>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</si>
  <si>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</si>
  <si>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</si>
  <si>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</si>
  <si>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</si>
  <si>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</si>
  <si>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</si>
  <si>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</si>
  <si>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</si>
  <si>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</si>
  <si>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</si>
  <si>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</si>
  <si>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</si>
  <si>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</si>
  <si>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</si>
  <si>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</si>
  <si>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</si>
  <si>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</si>
  <si>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</si>
  <si>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</si>
  <si>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</si>
  <si>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</si>
  <si>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</si>
  <si>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</si>
  <si>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</si>
  <si>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</si>
  <si>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</si>
  <si>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</si>
  <si>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</si>
  <si>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</si>
  <si>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</si>
  <si>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</si>
  <si>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</si>
  <si>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</si>
  <si>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</si>
  <si>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</si>
  <si>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</si>
  <si>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</si>
  <si>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</si>
  <si>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</si>
  <si>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</si>
  <si>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</si>
  <si>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</si>
  <si>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</si>
  <si>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</si>
  <si>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</si>
  <si>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</si>
  <si>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</si>
  <si>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</si>
  <si>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</si>
  <si>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</si>
  <si>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</si>
  <si>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</si>
  <si>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</si>
  <si>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</si>
  <si>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</si>
  <si>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</si>
  <si>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</si>
  <si>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</si>
  <si>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</si>
  <si>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</si>
  <si>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</si>
  <si>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</si>
  <si>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</si>
  <si>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</si>
  <si>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</si>
  <si>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</si>
  <si>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</si>
  <si>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</si>
  <si>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</si>
  <si>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</si>
  <si>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</si>
  <si>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</si>
  <si>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</si>
  <si>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</si>
  <si>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</si>
  <si>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</si>
  <si>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</si>
  <si>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</si>
  <si>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</si>
  <si>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</si>
  <si>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</si>
  <si>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</si>
  <si>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</si>
  <si>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</si>
  <si>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</si>
  <si>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</si>
  <si>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</si>
  <si>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</si>
  <si>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</si>
  <si>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</si>
  <si>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</si>
  <si>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</si>
  <si>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</si>
  <si>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</si>
  <si>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</si>
  <si>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</si>
  <si>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</si>
  <si>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</si>
  <si>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</si>
  <si>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</si>
  <si>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</si>
  <si>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</si>
  <si>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</si>
  <si>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</si>
  <si>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</si>
  <si>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</si>
  <si>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</si>
  <si>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</si>
  <si>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</si>
  <si>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</si>
  <si>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</si>
  <si>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</si>
  <si>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</si>
  <si>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</si>
  <si>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</si>
  <si>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</si>
  <si>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</si>
  <si>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</si>
  <si>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</si>
  <si>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</si>
  <si>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</si>
  <si>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</si>
  <si>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</si>
  <si>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</si>
  <si>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</si>
  <si>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</si>
  <si>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</si>
  <si>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</si>
  <si>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</si>
  <si>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</si>
  <si>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</si>
  <si>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</si>
  <si>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</si>
  <si>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</si>
  <si>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</si>
  <si>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</si>
  <si>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</si>
  <si>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</si>
  <si>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</si>
  <si>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</si>
  <si>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</si>
  <si>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</si>
  <si>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</si>
  <si>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</si>
  <si>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</si>
  <si>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</si>
  <si>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</si>
  <si>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</si>
  <si>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</si>
  <si>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</si>
  <si>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</si>
  <si>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</si>
  <si>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</si>
  <si>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</si>
  <si>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</si>
  <si>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</si>
  <si>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</si>
  <si>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</si>
  <si>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</si>
  <si>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</si>
  <si>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</si>
  <si>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</si>
  <si>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</si>
  <si>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</si>
  <si>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</si>
  <si>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</si>
  <si>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</si>
  <si>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</si>
  <si>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</si>
  <si>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</si>
  <si>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</si>
  <si>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</si>
  <si>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</si>
  <si>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</si>
  <si>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</si>
  <si>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</si>
  <si>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</si>
  <si>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</si>
  <si>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</si>
  <si>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</si>
  <si>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</si>
  <si>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</si>
  <si>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</si>
  <si>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</si>
  <si>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</si>
  <si>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</si>
  <si>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</si>
  <si>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</si>
  <si>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</si>
  <si>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</si>
  <si>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</si>
  <si>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</si>
  <si>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</si>
  <si>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</si>
  <si>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</si>
  <si>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</si>
  <si>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</si>
  <si>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</si>
  <si>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</si>
  <si>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</si>
  <si>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</si>
  <si>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</si>
  <si>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</si>
  <si>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</si>
  <si>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</si>
  <si>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</si>
  <si>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</si>
  <si>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</si>
  <si>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</si>
  <si>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</si>
  <si>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</si>
  <si>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</si>
  <si>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</si>
  <si>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</si>
  <si>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</si>
  <si>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</si>
  <si>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</si>
  <si>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</si>
  <si>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</si>
  <si>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</si>
  <si>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</si>
  <si>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</si>
  <si>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</si>
  <si>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</si>
  <si>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</si>
  <si>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</si>
  <si>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</si>
  <si>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</si>
  <si>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</si>
  <si>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</si>
  <si>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</si>
  <si>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</si>
  <si>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</si>
  <si>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</si>
  <si>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</si>
  <si>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</si>
  <si>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</si>
  <si>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</si>
  <si>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</si>
  <si>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</si>
  <si>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</si>
  <si>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</si>
  <si>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</si>
  <si>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</si>
  <si>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</si>
  <si>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</si>
  <si>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</si>
  <si>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</si>
  <si>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</si>
  <si>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</si>
  <si>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</si>
  <si>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</si>
  <si>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</si>
  <si>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</si>
  <si>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</si>
  <si>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</si>
  <si>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</si>
  <si>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</si>
  <si>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</si>
  <si>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</si>
  <si>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</si>
  <si>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</si>
  <si>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</si>
  <si>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</si>
  <si>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</si>
  <si>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</si>
  <si>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</si>
  <si>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</si>
  <si>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</si>
  <si>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</si>
  <si>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</si>
  <si>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</si>
  <si>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</si>
  <si>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</si>
  <si>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</si>
  <si>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</si>
  <si>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</si>
  <si>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</si>
  <si>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</si>
  <si>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</si>
  <si>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</si>
  <si>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</si>
  <si>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</si>
  <si>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</si>
  <si>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</si>
  <si>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</si>
  <si>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</si>
  <si>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</si>
  <si>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</si>
  <si>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</si>
  <si>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</si>
  <si>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</si>
  <si>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</si>
  <si>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</si>
  <si>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</si>
  <si>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</si>
  <si>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</si>
  <si>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</si>
  <si>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</si>
  <si>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</si>
  <si>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</si>
  <si>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</si>
  <si>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</si>
  <si>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</si>
  <si>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</si>
  <si>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</si>
  <si>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</si>
  <si>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</si>
  <si>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</si>
  <si>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</si>
  <si>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</si>
  <si>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</si>
  <si>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</si>
  <si>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</si>
  <si>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</si>
  <si>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</si>
  <si>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</si>
  <si>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</si>
  <si>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</si>
  <si>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</si>
  <si>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</si>
  <si>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</si>
  <si>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</si>
  <si>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</si>
  <si>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</si>
  <si>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</si>
  <si>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</si>
  <si>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</si>
  <si>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</si>
  <si>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</si>
  <si>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</si>
  <si>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</si>
  <si>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</si>
  <si>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</si>
  <si>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</si>
  <si>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</si>
  <si>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</si>
  <si>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</si>
  <si>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</si>
  <si>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</si>
  <si>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</si>
  <si>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</si>
  <si>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</si>
  <si>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</si>
  <si>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</si>
  <si>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</si>
  <si>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</si>
  <si>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</si>
  <si>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</si>
  <si>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</si>
  <si>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</si>
  <si>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</si>
  <si>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</si>
  <si>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</si>
  <si>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</si>
  <si>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</si>
  <si>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</si>
  <si>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</si>
  <si>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</si>
  <si>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</si>
  <si>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</si>
  <si>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</si>
  <si>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</si>
  <si>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</si>
  <si>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</si>
  <si>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</si>
  <si>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</si>
  <si>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</si>
  <si>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</si>
  <si>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</si>
  <si>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</si>
  <si>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</si>
  <si>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</si>
  <si>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</si>
  <si>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</si>
  <si>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</si>
  <si>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</si>
  <si>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</si>
  <si>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</si>
  <si>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</si>
  <si>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</si>
  <si>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</si>
  <si>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</si>
  <si>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</si>
  <si>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</si>
  <si>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</si>
  <si>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</si>
  <si>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</si>
  <si>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</si>
  <si>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</si>
  <si>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</si>
  <si>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</si>
  <si>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</si>
  <si>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</si>
  <si>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</si>
  <si>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</si>
  <si>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</si>
  <si>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</si>
  <si>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</si>
  <si>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</si>
  <si>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</si>
  <si>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</si>
  <si>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</si>
  <si>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</si>
  <si>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</si>
  <si>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</si>
  <si>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</si>
  <si>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</si>
  <si>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</si>
  <si>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</si>
  <si>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</si>
  <si>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</si>
  <si>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</si>
  <si>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</si>
  <si>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</si>
  <si>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</si>
  <si>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</si>
  <si>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</si>
  <si>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</si>
  <si>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</si>
  <si>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</si>
  <si>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</si>
  <si>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</si>
  <si>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</si>
  <si>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</si>
  <si>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</si>
  <si>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</si>
  <si>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</si>
  <si>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</si>
  <si>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</si>
  <si>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</si>
  <si>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</si>
  <si>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</si>
  <si>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</si>
  <si>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</si>
  <si>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</si>
  <si>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</si>
  <si>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</si>
  <si>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</si>
  <si>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</si>
  <si>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</si>
  <si>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</si>
  <si>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</si>
  <si>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</si>
  <si>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</si>
  <si>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</si>
  <si>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</si>
  <si>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</si>
  <si>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</si>
  <si>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</si>
  <si>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</si>
  <si>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</si>
  <si>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</si>
  <si>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</si>
  <si>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</si>
  <si>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</si>
  <si>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</si>
  <si>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</si>
  <si>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</si>
  <si>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</si>
  <si>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</si>
  <si>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</si>
  <si>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</si>
  <si>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</si>
  <si>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</si>
  <si>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</si>
  <si>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</si>
  <si>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</si>
  <si>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</si>
  <si>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</si>
  <si>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</si>
  <si>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</si>
  <si>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</si>
  <si>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</si>
  <si>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</si>
  <si>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</si>
  <si>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</si>
  <si>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</si>
  <si>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</si>
  <si>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</si>
  <si>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</si>
  <si>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</si>
  <si>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</si>
  <si>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</si>
  <si>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</si>
  <si>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</si>
  <si>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</si>
  <si>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</si>
  <si>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</si>
  <si>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</si>
  <si>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</si>
  <si>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</si>
  <si>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</si>
  <si>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</si>
  <si>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</si>
  <si>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</si>
  <si>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</si>
  <si>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</si>
  <si>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</si>
  <si>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</si>
  <si>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</si>
  <si>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</si>
  <si>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</si>
  <si>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</si>
  <si>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</si>
  <si>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</si>
  <si>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</si>
  <si>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</si>
  <si>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</si>
  <si>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</si>
  <si>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</si>
  <si>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</si>
  <si>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</si>
  <si>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</si>
  <si>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</si>
  <si>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</si>
  <si>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</si>
  <si>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</si>
  <si>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</si>
  <si>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</si>
  <si>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</si>
  <si>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</si>
  <si>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</si>
  <si>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</si>
  <si>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</si>
  <si>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</si>
  <si>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</si>
  <si>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</si>
  <si>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</si>
  <si>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</si>
  <si>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</si>
  <si>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</si>
  <si>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</si>
  <si>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</si>
  <si>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</si>
  <si>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</si>
  <si>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</si>
  <si>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</si>
  <si>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</si>
  <si>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</si>
  <si>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</si>
  <si>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</si>
  <si>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</si>
  <si>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</si>
  <si>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</si>
  <si>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</si>
  <si>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</si>
  <si>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</si>
  <si>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</si>
  <si>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</si>
  <si>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</si>
  <si>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</si>
  <si>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</si>
  <si>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</si>
  <si>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</si>
  <si>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</si>
  <si>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</si>
  <si>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</si>
  <si>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</si>
  <si>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</si>
  <si>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</si>
  <si>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</si>
  <si>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</si>
  <si>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</si>
  <si>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</si>
  <si>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</si>
  <si>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</si>
  <si>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</si>
  <si>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</si>
  <si>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</si>
  <si>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</si>
  <si>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</si>
  <si>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</si>
  <si>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</si>
  <si>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</si>
  <si>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</si>
  <si>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</si>
  <si>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</si>
  <si>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</si>
  <si>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</si>
  <si>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</si>
  <si>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</si>
  <si>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</si>
  <si>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</si>
  <si>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</si>
  <si>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</si>
  <si>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</si>
  <si>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</si>
  <si>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</si>
  <si>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</si>
  <si>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</si>
  <si>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</si>
  <si>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</si>
  <si>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</si>
  <si>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</si>
  <si>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</si>
  <si>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</si>
  <si>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</si>
  <si>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</si>
  <si>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</si>
  <si>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</si>
  <si>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</si>
  <si>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</si>
  <si>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</si>
  <si>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</si>
  <si>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</si>
  <si>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</si>
  <si>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</si>
  <si>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</si>
  <si>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</si>
  <si>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</si>
  <si>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</si>
  <si>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</si>
  <si>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</si>
  <si>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</si>
  <si>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</si>
  <si>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</si>
  <si>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</si>
  <si>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</si>
  <si>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</si>
  <si>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</si>
  <si>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</si>
  <si>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</si>
  <si>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</si>
  <si>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</si>
  <si>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</si>
  <si>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</si>
  <si>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</si>
  <si>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</si>
  <si>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</si>
  <si>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</si>
  <si>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</si>
  <si>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</si>
  <si>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</si>
  <si>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</si>
  <si>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</si>
  <si>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</si>
  <si>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</si>
  <si>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</si>
  <si>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</si>
  <si>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</si>
  <si>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</si>
  <si>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</si>
  <si>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</si>
  <si>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</si>
  <si>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</si>
  <si>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</si>
  <si>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</si>
  <si>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</si>
  <si>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</si>
  <si>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</si>
  <si>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</si>
  <si>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</si>
  <si>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</si>
  <si>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</si>
  <si>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</si>
  <si>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</si>
  <si>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</si>
  <si>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</si>
  <si>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</si>
  <si>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</si>
  <si>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</si>
  <si>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</si>
  <si>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</si>
  <si>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</si>
  <si>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</si>
  <si>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</si>
  <si>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</si>
  <si>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</si>
  <si>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</si>
  <si>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</si>
  <si>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</si>
  <si>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</si>
  <si>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</si>
  <si>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</si>
  <si>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</si>
  <si>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</si>
  <si>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</si>
  <si>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</si>
  <si>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</si>
  <si>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</si>
  <si>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</si>
  <si>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</si>
  <si>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</si>
  <si>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</si>
  <si>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</si>
  <si>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</si>
  <si>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</si>
  <si>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</si>
  <si>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</si>
  <si>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</si>
  <si>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</si>
  <si>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</si>
  <si>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</si>
  <si>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</si>
  <si>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</si>
  <si>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</si>
  <si>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</si>
  <si>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</si>
  <si>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</si>
  <si>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</si>
  <si>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</si>
  <si>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</si>
  <si>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</si>
  <si>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</si>
  <si>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</si>
  <si>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</si>
  <si>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</si>
  <si>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</si>
  <si>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</si>
  <si>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</si>
  <si>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</si>
  <si>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</si>
  <si>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</si>
  <si>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</si>
  <si>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</si>
  <si>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</si>
  <si>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</si>
  <si>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</si>
  <si>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</si>
  <si>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</si>
  <si>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</si>
  <si>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</si>
  <si>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</si>
  <si>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</si>
  <si>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</si>
  <si>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</si>
  <si>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</si>
  <si>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</si>
  <si>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</si>
  <si>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</si>
  <si>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</si>
  <si>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</si>
  <si>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</si>
  <si>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</si>
  <si>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</si>
  <si>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</si>
  <si>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</si>
  <si>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</si>
  <si>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</si>
  <si>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</si>
  <si>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</si>
  <si>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</si>
  <si>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</si>
  <si>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</si>
  <si>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</si>
  <si>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</si>
  <si>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</si>
  <si>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</si>
  <si>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</si>
  <si>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</si>
  <si>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</si>
  <si>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</si>
  <si>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</si>
  <si>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</si>
  <si>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</si>
  <si>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</si>
  <si>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</si>
  <si>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</si>
  <si>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</si>
  <si>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</si>
  <si>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</si>
  <si>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</si>
  <si>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</si>
  <si>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</si>
  <si>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</si>
  <si>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</si>
  <si>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</si>
  <si>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</si>
  <si>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</si>
  <si>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</si>
  <si>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</si>
  <si>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</si>
  <si>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</si>
  <si>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</si>
  <si>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</si>
  <si>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</si>
  <si>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</si>
  <si>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</si>
  <si>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</si>
  <si>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</si>
  <si>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</si>
  <si>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</si>
  <si>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</si>
  <si>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</si>
  <si>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</si>
  <si>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</si>
  <si>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</si>
  <si>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</si>
  <si>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</si>
  <si>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</si>
  <si>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</si>
  <si>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</si>
  <si>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</si>
  <si>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</si>
  <si>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</si>
  <si>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</si>
  <si>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</si>
  <si>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</si>
  <si>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</si>
  <si>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</si>
  <si>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</si>
  <si>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</si>
  <si>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</si>
  <si>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</si>
  <si>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</si>
  <si>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</si>
  <si>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</si>
  <si>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</si>
  <si>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</si>
  <si>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</si>
  <si>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</si>
  <si>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</si>
  <si>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</si>
  <si>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</si>
  <si>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</si>
  <si>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</si>
  <si>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</si>
  <si>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</si>
  <si>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</si>
  <si>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</si>
  <si>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</si>
  <si>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</si>
  <si>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</si>
  <si>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</si>
  <si>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</si>
  <si>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</si>
  <si>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</si>
  <si>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</si>
  <si>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</si>
  <si>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</si>
  <si>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</si>
  <si>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</si>
  <si>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</si>
  <si>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</si>
  <si>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</si>
  <si>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</si>
  <si>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</si>
  <si>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</si>
  <si>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</si>
  <si>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</si>
  <si>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</si>
  <si>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</si>
  <si>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</si>
  <si>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</si>
  <si>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</si>
  <si>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</si>
  <si>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</si>
  <si>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</si>
  <si>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</si>
  <si>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</si>
  <si>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</si>
  <si>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</si>
  <si>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</si>
  <si>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</si>
  <si>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</si>
  <si>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</si>
  <si>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</si>
  <si>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</si>
  <si>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</si>
  <si>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</si>
  <si>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</si>
  <si>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</si>
  <si>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</si>
  <si>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</si>
  <si>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</si>
  <si>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</si>
  <si>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</si>
  <si>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</si>
  <si>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</si>
  <si>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</si>
  <si>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</si>
  <si>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</si>
  <si>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</si>
  <si>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</si>
  <si>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</si>
  <si>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</si>
  <si>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</si>
  <si>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</si>
  <si>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</si>
  <si>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</si>
  <si>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</si>
  <si>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</si>
  <si>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</si>
  <si>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</si>
  <si>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</si>
  <si>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</si>
  <si>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</si>
  <si>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</si>
  <si>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</si>
  <si>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</si>
  <si>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</si>
  <si>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</si>
  <si>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</si>
  <si>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</si>
  <si>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</si>
  <si>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</si>
  <si>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</si>
  <si>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</si>
  <si>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</si>
  <si>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</si>
  <si>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</si>
  <si>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</si>
  <si>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</si>
  <si>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</si>
  <si>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</si>
  <si>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</si>
  <si>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</si>
  <si>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</si>
  <si>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</si>
  <si>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</si>
  <si>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</si>
  <si>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</si>
  <si>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</si>
  <si>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</si>
  <si>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</si>
  <si>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</si>
  <si>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</si>
  <si>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</si>
  <si>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</si>
  <si>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</si>
  <si>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</si>
  <si>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</si>
  <si>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</si>
  <si>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</si>
  <si>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</si>
  <si>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</si>
  <si>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</si>
  <si>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</si>
  <si>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</si>
  <si>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</si>
  <si>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</si>
  <si>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</si>
  <si>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</si>
  <si>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</si>
  <si>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</si>
  <si>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</si>
  <si>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</si>
  <si>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</si>
  <si>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</si>
  <si>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</si>
  <si>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</si>
  <si>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</si>
  <si>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</si>
  <si>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</si>
  <si>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</si>
  <si>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</si>
  <si>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</si>
  <si>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</si>
  <si>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</si>
  <si>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</si>
  <si>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</si>
  <si>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</si>
  <si>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</si>
  <si>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</si>
  <si>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</si>
  <si>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</si>
  <si>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</si>
  <si>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</si>
  <si>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</si>
  <si>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</si>
  <si>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</si>
  <si>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</si>
  <si>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</si>
  <si>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</si>
  <si>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</si>
  <si>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</si>
  <si>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</si>
  <si>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</si>
  <si>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</si>
  <si>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</si>
  <si>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</si>
  <si>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</si>
  <si>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</si>
  <si>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</si>
  <si>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</si>
  <si>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</si>
  <si>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</si>
  <si>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</si>
  <si>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</si>
  <si>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</si>
  <si>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</si>
  <si>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</si>
  <si>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</si>
  <si>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</si>
  <si>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</si>
  <si>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</si>
  <si>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</si>
  <si>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</si>
  <si>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</si>
  <si>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</si>
  <si>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</si>
  <si>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</si>
  <si>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</si>
  <si>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</si>
  <si>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</si>
  <si>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</si>
  <si>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</si>
  <si>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</si>
  <si>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</si>
  <si>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</si>
  <si>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</si>
  <si>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</si>
  <si>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</si>
  <si>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</si>
  <si>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</si>
  <si>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</si>
  <si>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</si>
  <si>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</si>
  <si>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</si>
  <si>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</si>
  <si>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</si>
  <si>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</si>
  <si>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</si>
  <si>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</si>
  <si>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</si>
  <si>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</si>
  <si>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</si>
  <si>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</si>
  <si>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</si>
  <si>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</si>
  <si>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</si>
  <si>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</si>
  <si>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</si>
  <si>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</si>
  <si>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</si>
  <si>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</si>
  <si>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</si>
  <si>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</si>
  <si>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</si>
  <si>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</si>
  <si>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</si>
  <si>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</si>
  <si>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</si>
  <si>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</si>
  <si>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</si>
  <si>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</si>
  <si>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</si>
  <si>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</si>
  <si>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</si>
  <si>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</si>
  <si>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</si>
  <si>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</si>
  <si>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</si>
  <si>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</si>
  <si>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</si>
  <si>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</si>
  <si>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</si>
  <si>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</si>
  <si>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</si>
  <si>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</si>
  <si>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</si>
  <si>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</si>
  <si>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</si>
  <si>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</si>
  <si>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</si>
  <si>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</si>
  <si>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</si>
  <si>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</si>
  <si>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</si>
  <si>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</si>
  <si>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</si>
  <si>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</si>
  <si>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</si>
  <si>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</si>
  <si>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</si>
  <si>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</si>
  <si>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</si>
  <si>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</si>
  <si>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</si>
  <si>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</si>
  <si>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</si>
  <si>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</si>
  <si>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</si>
  <si>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</si>
  <si>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</si>
  <si>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</si>
  <si>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</si>
  <si>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</si>
  <si>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</si>
  <si>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</si>
  <si>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</si>
  <si>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</si>
  <si>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</si>
  <si>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</si>
  <si>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</si>
  <si>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</si>
  <si>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</si>
  <si>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</si>
  <si>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</si>
  <si>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</si>
  <si>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</si>
  <si>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</si>
  <si>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</si>
  <si>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</si>
  <si>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</si>
  <si>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</si>
  <si>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</si>
  <si>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</si>
  <si>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</si>
  <si>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</si>
  <si>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</si>
  <si>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</si>
  <si>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</si>
  <si>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</si>
  <si>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</si>
  <si>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</si>
  <si>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</si>
  <si>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</si>
  <si>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</si>
  <si>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</si>
  <si>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</si>
  <si>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</si>
  <si>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</si>
  <si>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</si>
  <si>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</si>
  <si>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</si>
  <si>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</si>
  <si>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</si>
  <si>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</si>
  <si>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</si>
  <si>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</si>
  <si>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</si>
  <si>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</si>
  <si>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</si>
  <si>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</si>
  <si>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</si>
  <si>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</si>
  <si>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</si>
  <si>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</si>
  <si>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</si>
  <si>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</si>
  <si>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</si>
  <si>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</si>
  <si>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</si>
  <si>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</si>
  <si>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</si>
  <si>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</si>
  <si>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</si>
  <si>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</si>
  <si>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</si>
  <si>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</si>
  <si>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</si>
  <si>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</si>
  <si>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</si>
  <si>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</si>
  <si>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</si>
  <si>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</si>
  <si>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</si>
  <si>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</si>
  <si>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</si>
  <si>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</si>
  <si>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</si>
  <si>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</si>
  <si>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</si>
  <si>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</si>
  <si>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</si>
  <si>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</si>
  <si>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</si>
  <si>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</si>
  <si>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</si>
  <si>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</si>
  <si>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</si>
  <si>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</si>
  <si>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</si>
  <si>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</si>
  <si>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</si>
  <si>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</si>
  <si>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</si>
  <si>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</si>
  <si>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</si>
  <si>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</si>
  <si>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</si>
  <si>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</si>
  <si>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</si>
  <si>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</si>
  <si>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</si>
  <si>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</si>
  <si>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</si>
  <si>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</si>
  <si>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</si>
  <si>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</si>
  <si>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</si>
  <si>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</si>
  <si>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</si>
  <si>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</si>
  <si>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</si>
  <si>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</si>
  <si>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</si>
  <si>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</si>
  <si>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</si>
  <si>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</si>
  <si>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</si>
  <si>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</si>
  <si>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</si>
  <si>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</si>
  <si>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</si>
  <si>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</si>
  <si>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</si>
  <si>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</si>
  <si>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</si>
  <si>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</si>
  <si>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</si>
  <si>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</si>
  <si>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</si>
  <si>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</si>
  <si>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</si>
  <si>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</si>
  <si>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</si>
  <si>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</si>
  <si>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</si>
  <si>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</si>
  <si>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</si>
  <si>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</si>
  <si>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</si>
  <si>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</si>
  <si>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</si>
  <si>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</si>
  <si>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</si>
  <si>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</si>
  <si>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</si>
  <si>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</si>
  <si>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</si>
  <si>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</si>
  <si>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</si>
  <si>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</si>
  <si>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</si>
  <si>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</si>
  <si>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</si>
  <si>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</si>
  <si>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</si>
  <si>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</si>
  <si>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</si>
  <si>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</si>
  <si>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</si>
  <si>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</si>
  <si>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</si>
  <si>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</si>
  <si>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</si>
  <si>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</si>
  <si>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</si>
  <si>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</si>
  <si>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</si>
  <si>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</si>
  <si>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</si>
  <si>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</si>
  <si>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</si>
  <si>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</si>
  <si>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</si>
  <si>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</si>
  <si>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</si>
  <si>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</si>
  <si>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</si>
  <si>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</si>
  <si>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</si>
  <si>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</si>
  <si>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</si>
  <si>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</si>
  <si>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</si>
  <si>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</si>
  <si>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</si>
  <si>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</si>
  <si>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</si>
  <si>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</si>
  <si>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</si>
  <si>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</si>
  <si>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</si>
  <si>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</si>
  <si>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</si>
  <si>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</si>
  <si>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</si>
  <si>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</si>
  <si>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</si>
  <si>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</si>
  <si>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</si>
  <si>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</si>
  <si>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</si>
  <si>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</si>
  <si>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</si>
  <si>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</si>
  <si>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</si>
  <si>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</si>
  <si>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</si>
  <si>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</si>
  <si>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</si>
  <si>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</si>
  <si>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</si>
  <si>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</si>
  <si>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</si>
  <si>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</si>
  <si>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</si>
  <si>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</si>
  <si>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</si>
  <si>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</si>
  <si>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</si>
  <si>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</si>
  <si>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</si>
  <si>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</si>
  <si>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</si>
  <si>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</si>
  <si>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</si>
  <si>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</si>
  <si>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</si>
  <si>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</si>
  <si>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</si>
  <si>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</si>
  <si>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</si>
  <si>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</si>
  <si>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</si>
  <si>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</si>
  <si>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</si>
  <si>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</si>
  <si>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</si>
  <si>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</si>
  <si>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</si>
  <si>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</si>
  <si>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</si>
  <si>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</si>
  <si>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</si>
  <si>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</si>
  <si>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</si>
  <si>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</si>
  <si>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</si>
  <si>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</si>
  <si>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</si>
  <si>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</si>
  <si>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</si>
  <si>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</si>
  <si>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</si>
  <si>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</si>
  <si>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</si>
  <si>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</si>
  <si>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</si>
  <si>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</si>
  <si>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</si>
  <si>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</si>
  <si>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</si>
  <si>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</si>
  <si>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</si>
  <si>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</si>
  <si>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</si>
  <si>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</si>
  <si>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</si>
  <si>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</si>
  <si>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</si>
  <si>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</si>
  <si>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</si>
  <si>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</si>
  <si>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</si>
  <si>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</si>
  <si>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</si>
  <si>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</si>
  <si>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</si>
  <si>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</si>
  <si>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</si>
  <si>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</si>
  <si>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</si>
  <si>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</si>
  <si>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</si>
  <si>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</si>
  <si>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</si>
  <si>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</si>
  <si>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</si>
  <si>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</si>
  <si>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</si>
  <si>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</si>
  <si>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</si>
  <si>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</si>
  <si>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</si>
  <si>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</si>
  <si>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</si>
  <si>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</si>
  <si>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</si>
  <si>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</si>
  <si>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</si>
  <si>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</si>
  <si>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</si>
  <si>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</si>
  <si>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</si>
  <si>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</si>
  <si>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</si>
  <si>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</si>
  <si>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</si>
  <si>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</si>
  <si>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</si>
  <si>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</si>
  <si>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</si>
  <si>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</si>
  <si>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</si>
  <si>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</si>
  <si>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</si>
  <si>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</si>
  <si>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</si>
  <si>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</si>
  <si>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</si>
  <si>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</si>
  <si>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</si>
  <si>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</si>
  <si>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</si>
  <si>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</si>
  <si>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</si>
  <si>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</si>
  <si>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</si>
  <si>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</si>
  <si>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</si>
  <si>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</si>
  <si>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</si>
  <si>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</si>
  <si>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</si>
  <si>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</si>
  <si>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</si>
  <si>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</si>
  <si>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</si>
  <si>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</si>
  <si>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</si>
  <si>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</si>
  <si>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</si>
  <si>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</si>
  <si>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</si>
  <si>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</si>
  <si>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</si>
  <si>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</si>
  <si>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</si>
  <si>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</si>
  <si>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</si>
  <si>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</si>
  <si>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</si>
  <si>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</si>
  <si>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</si>
  <si>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</si>
  <si>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</si>
  <si>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</si>
  <si>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</si>
  <si>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</si>
  <si>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</si>
  <si>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</si>
  <si>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</si>
  <si>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</si>
  <si>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</si>
  <si>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</si>
  <si>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</si>
  <si>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</si>
  <si>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</si>
  <si>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</si>
  <si>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</si>
  <si>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</si>
  <si>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</si>
  <si>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</si>
  <si>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</si>
  <si>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</si>
  <si>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</si>
  <si>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</si>
  <si>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</si>
  <si>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</si>
  <si>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</si>
  <si>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</si>
  <si>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</si>
  <si>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</si>
  <si>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</si>
  <si>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</si>
  <si>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</si>
  <si>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</si>
  <si>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</si>
  <si>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</si>
  <si>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</si>
  <si>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</si>
  <si>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</si>
  <si>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</si>
  <si>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</si>
  <si>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</si>
  <si>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</si>
  <si>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</si>
  <si>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</si>
  <si>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</si>
  <si>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</si>
  <si>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</si>
  <si>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</si>
  <si>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</si>
  <si>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</si>
  <si>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</si>
  <si>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</si>
  <si>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</si>
  <si>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</si>
  <si>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</si>
  <si>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</si>
  <si>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</si>
  <si>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</si>
  <si>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</si>
  <si>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</si>
  <si>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</si>
  <si>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</si>
  <si>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</si>
  <si>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</si>
  <si>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</si>
  <si>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</si>
  <si>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</si>
  <si>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</si>
  <si>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</si>
  <si>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</si>
  <si>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</si>
  <si>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</si>
  <si>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</si>
  <si>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</si>
  <si>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</si>
  <si>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</si>
  <si>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</si>
  <si>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</si>
  <si>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</si>
  <si>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</si>
  <si>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</si>
  <si>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</si>
  <si>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</si>
  <si>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</si>
  <si>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</si>
  <si>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</si>
  <si>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</si>
  <si>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</si>
  <si>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</si>
  <si>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</si>
  <si>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</si>
  <si>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</si>
  <si>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</si>
  <si>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</si>
  <si>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</si>
  <si>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</si>
  <si>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</si>
  <si>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</si>
  <si>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</si>
  <si>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</si>
  <si>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</si>
  <si>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</si>
  <si>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</si>
  <si>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</si>
  <si>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</si>
  <si>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</si>
  <si>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</si>
  <si>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</si>
  <si>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</si>
  <si>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</si>
  <si>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</si>
  <si>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</si>
  <si>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</si>
  <si>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</si>
  <si>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</si>
  <si>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</si>
  <si>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</si>
  <si>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</si>
  <si>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</si>
  <si>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</si>
  <si>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</si>
  <si>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</si>
  <si>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</si>
  <si>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</si>
  <si>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</si>
  <si>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</si>
  <si>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</si>
  <si>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</si>
  <si>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</si>
  <si>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</si>
  <si>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</si>
  <si>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</si>
  <si>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</si>
  <si>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</si>
  <si>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</si>
  <si>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</si>
  <si>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</si>
  <si>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</si>
  <si>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</si>
  <si>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</si>
  <si>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</si>
  <si>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</si>
  <si>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</si>
  <si>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</si>
  <si>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</si>
  <si>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</si>
  <si>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</si>
  <si>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</si>
  <si>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</si>
  <si>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</si>
  <si>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</si>
  <si>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</si>
  <si>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</si>
  <si>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</si>
  <si>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</si>
  <si>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</si>
  <si>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</si>
  <si>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</si>
  <si>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</si>
  <si>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</si>
  <si>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</si>
  <si>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</si>
  <si>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</si>
  <si>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</si>
  <si>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</si>
  <si>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</si>
  <si>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</si>
  <si>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</si>
  <si>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</si>
  <si>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</si>
  <si>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</si>
  <si>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</si>
  <si>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</si>
  <si>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</si>
  <si>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</si>
  <si>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</si>
  <si>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</si>
  <si>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</si>
  <si>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</si>
  <si>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</si>
  <si>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</si>
  <si>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</si>
  <si>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</si>
  <si>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</si>
  <si>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</si>
  <si>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</si>
  <si>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</si>
  <si>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</si>
  <si>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</si>
  <si>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</si>
  <si>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</si>
  <si>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</si>
  <si>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</si>
  <si>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</si>
  <si>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</si>
  <si>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</si>
  <si>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</si>
  <si>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</si>
  <si>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</si>
  <si>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</si>
  <si>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</si>
  <si>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</si>
  <si>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</si>
  <si>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</si>
  <si>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</si>
  <si>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</si>
  <si>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</si>
  <si>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</si>
  <si>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</si>
  <si>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</si>
  <si>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</si>
  <si>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</si>
  <si>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</si>
  <si>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</si>
  <si>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</si>
  <si>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</si>
  <si>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</si>
  <si>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</si>
  <si>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</si>
  <si>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</si>
  <si>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</si>
  <si>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</si>
  <si>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</si>
  <si>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</si>
  <si>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</si>
  <si>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</si>
  <si>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</si>
  <si>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</si>
  <si>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</si>
  <si>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</si>
  <si>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</si>
  <si>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</si>
  <si>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</si>
  <si>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</si>
  <si>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</si>
  <si>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</si>
  <si>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</si>
  <si>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</si>
  <si>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</si>
  <si>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</si>
  <si>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</si>
  <si>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</si>
  <si>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</si>
  <si>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</si>
  <si>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</si>
  <si>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</si>
  <si>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</si>
  <si>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</si>
  <si>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</si>
  <si>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</si>
  <si>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</si>
  <si>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</si>
  <si>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</si>
  <si>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</si>
  <si>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</si>
  <si>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</si>
  <si>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</si>
  <si>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</si>
  <si>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</si>
  <si>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</si>
  <si>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</si>
  <si>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</si>
  <si>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</si>
  <si>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</si>
  <si>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</si>
  <si>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</si>
  <si>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</si>
  <si>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</si>
  <si>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</si>
  <si>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</si>
  <si>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</si>
  <si>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</si>
  <si>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</si>
  <si>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</si>
  <si>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</si>
  <si>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</si>
  <si>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</si>
  <si>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</si>
  <si>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</si>
  <si>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</si>
  <si>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</si>
  <si>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</si>
  <si>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</si>
  <si>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</si>
  <si>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</si>
  <si>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</si>
  <si>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</si>
  <si>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</si>
  <si>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</si>
  <si>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</si>
  <si>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</si>
  <si>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</si>
  <si>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</si>
  <si>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</si>
  <si>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</si>
  <si>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</si>
  <si>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</si>
  <si>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</si>
  <si>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</si>
  <si>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</si>
  <si>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</si>
  <si>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</si>
  <si>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</si>
  <si>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</si>
  <si>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</si>
  <si>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</si>
  <si>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</si>
  <si>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</si>
  <si>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</si>
  <si>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</si>
  <si>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</si>
  <si>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</si>
  <si>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</si>
  <si>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</si>
  <si>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</si>
  <si>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</si>
  <si>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</si>
  <si>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</si>
  <si>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</si>
  <si>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</si>
  <si>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</si>
  <si>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</si>
  <si>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</si>
  <si>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</si>
  <si>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</si>
  <si>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</si>
  <si>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</si>
  <si>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</si>
  <si>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</si>
  <si>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</si>
  <si>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</si>
  <si>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</si>
  <si>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</si>
  <si>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</si>
  <si>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</si>
  <si>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</si>
  <si>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</si>
  <si>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</si>
  <si>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</si>
  <si>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</si>
  <si>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</si>
  <si>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</si>
  <si>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</si>
  <si>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</si>
  <si>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</si>
  <si>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</si>
  <si>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</si>
  <si>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</si>
  <si>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</si>
  <si>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</si>
  <si>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</si>
  <si>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</si>
  <si>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</si>
  <si>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</si>
  <si>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</si>
  <si>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</si>
  <si>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</si>
  <si>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</si>
  <si>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</si>
  <si>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</si>
  <si>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</si>
  <si>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</si>
  <si>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</si>
  <si>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</si>
  <si>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</si>
  <si>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</si>
  <si>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</si>
  <si>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</si>
  <si>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</si>
  <si>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</si>
  <si>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</si>
  <si>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</si>
  <si>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</si>
  <si>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</si>
  <si>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</si>
  <si>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</si>
  <si>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</si>
  <si>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</si>
  <si>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</si>
  <si>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</si>
  <si>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</si>
  <si>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</si>
  <si>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</si>
  <si>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</si>
  <si>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</si>
  <si>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</si>
  <si>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</si>
  <si>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</si>
  <si>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</si>
  <si>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</si>
  <si>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</si>
  <si>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</si>
  <si>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</si>
  <si>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</si>
  <si>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</si>
  <si>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</si>
  <si>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</si>
  <si>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</si>
  <si>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</si>
  <si>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</si>
  <si>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</si>
  <si>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</si>
  <si>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</si>
  <si>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</si>
  <si>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</si>
  <si>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</si>
  <si>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</si>
  <si>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</si>
  <si>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</si>
  <si>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</si>
  <si>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</si>
  <si>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</si>
  <si>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</si>
  <si>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</si>
  <si>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</si>
  <si>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</si>
  <si>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</si>
  <si>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</si>
  <si>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</si>
  <si>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</si>
  <si>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</si>
  <si>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</si>
  <si>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</si>
  <si>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</si>
  <si>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</si>
  <si>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</si>
  <si>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</si>
  <si>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</si>
  <si>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</si>
  <si>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</si>
  <si>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</si>
  <si>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</si>
  <si>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</si>
  <si>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</si>
  <si>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</si>
  <si>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</si>
  <si>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</si>
  <si>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</si>
  <si>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</si>
  <si>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</si>
  <si>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</si>
  <si>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</si>
  <si>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</si>
  <si>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</si>
  <si>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</si>
  <si>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</si>
  <si>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</si>
  <si>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</si>
  <si>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</si>
  <si>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</si>
  <si>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</si>
  <si>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</si>
  <si>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</si>
  <si>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</si>
  <si>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</si>
  <si>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</si>
  <si>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</si>
  <si>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</si>
  <si>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</si>
  <si>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</si>
  <si>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</si>
  <si>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</si>
  <si>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</si>
  <si>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</si>
  <si>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</si>
  <si>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</si>
  <si>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</si>
  <si>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</si>
  <si>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</si>
  <si>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</si>
  <si>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</si>
  <si>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</si>
  <si>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</si>
  <si>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</si>
  <si>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</si>
  <si>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</si>
  <si>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</si>
  <si>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</si>
  <si>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</si>
  <si>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</si>
  <si>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</si>
  <si>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</si>
  <si>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</si>
  <si>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</si>
  <si>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</si>
  <si>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</si>
  <si>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</si>
  <si>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</si>
  <si>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</si>
  <si>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</si>
  <si>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</si>
  <si>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</si>
  <si>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</si>
  <si>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</si>
  <si>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</si>
  <si>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</si>
  <si>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</si>
  <si>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</si>
  <si>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</si>
  <si>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</si>
  <si>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</si>
  <si>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</si>
  <si>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</si>
  <si>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</si>
  <si>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</si>
  <si>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</si>
  <si>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</si>
  <si>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</si>
  <si>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</si>
  <si>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</si>
  <si>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</si>
  <si>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</si>
  <si>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</si>
  <si>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</si>
  <si>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</si>
  <si>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</si>
  <si>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</si>
  <si>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</si>
  <si>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</si>
  <si>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</si>
  <si>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</si>
  <si>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</si>
  <si>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</si>
  <si>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</si>
  <si>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</si>
  <si>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</si>
  <si>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</si>
  <si>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</si>
  <si>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</si>
  <si>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</si>
  <si>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</si>
  <si>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</si>
  <si>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</si>
  <si>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</si>
  <si>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</si>
  <si>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</si>
  <si>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</si>
  <si>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</si>
  <si>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</si>
  <si>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</si>
  <si>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</si>
  <si>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</si>
  <si>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</si>
  <si>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</si>
  <si>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</si>
  <si>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</si>
  <si>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</si>
  <si>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</si>
  <si>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</si>
  <si>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</si>
  <si>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</si>
  <si>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</si>
  <si>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</si>
  <si>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</si>
  <si>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</si>
  <si>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</si>
  <si>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</si>
  <si>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</si>
  <si>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</si>
  <si>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</si>
  <si>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</si>
  <si>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</si>
  <si>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</si>
  <si>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</si>
  <si>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</si>
  <si>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</si>
  <si>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</si>
  <si>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</si>
  <si>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</si>
  <si>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</si>
  <si>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</si>
  <si>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</si>
  <si>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</si>
  <si>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</si>
  <si>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</si>
  <si>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</si>
  <si>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</si>
  <si>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</si>
  <si>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</si>
  <si>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</si>
  <si>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</si>
  <si>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</si>
  <si>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</si>
  <si>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</si>
  <si>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</si>
  <si>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</si>
  <si>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</si>
  <si>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</si>
  <si>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</si>
  <si>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</si>
  <si>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</si>
  <si>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</si>
  <si>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</si>
  <si>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</si>
  <si>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</si>
  <si>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</si>
  <si>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</si>
  <si>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</si>
  <si>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</si>
  <si>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</si>
  <si>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</si>
  <si>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</si>
  <si>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</si>
  <si>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</si>
  <si>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</si>
  <si>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</si>
  <si>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</si>
  <si>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</si>
  <si>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</si>
  <si>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</si>
  <si>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</si>
  <si>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</si>
  <si>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</si>
  <si>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</si>
  <si>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</si>
  <si>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</si>
  <si>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</si>
  <si>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</si>
  <si>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</si>
  <si>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</si>
  <si>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</si>
  <si>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</si>
  <si>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</si>
  <si>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</si>
  <si>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</si>
  <si>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</si>
  <si>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</si>
  <si>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</si>
  <si>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</si>
  <si>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</si>
  <si>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</si>
  <si>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</si>
  <si>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</si>
  <si>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</si>
  <si>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</si>
  <si>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</si>
  <si>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</si>
  <si>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</si>
  <si>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</si>
  <si>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</si>
  <si>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</si>
  <si>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</si>
  <si>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</si>
  <si>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</si>
  <si>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</si>
  <si>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</si>
  <si>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</si>
  <si>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</si>
  <si>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</si>
  <si>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</si>
  <si>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</si>
  <si>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</si>
  <si>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</si>
  <si>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</si>
  <si>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</si>
  <si>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</si>
  <si>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</si>
  <si>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</si>
  <si>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</si>
  <si>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</si>
  <si>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</si>
  <si>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</si>
  <si>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</si>
  <si>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</si>
  <si>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</si>
  <si>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</si>
  <si>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</si>
  <si>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</si>
  <si>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</si>
  <si>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</si>
  <si>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</si>
  <si>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</si>
  <si>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</si>
  <si>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</si>
  <si>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</si>
  <si>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</si>
  <si>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</si>
  <si>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</si>
  <si>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</si>
  <si>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</si>
  <si>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</si>
  <si>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</si>
  <si>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</si>
  <si>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</si>
  <si>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</si>
  <si>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</si>
  <si>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</si>
  <si>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</si>
  <si>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</si>
  <si>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</si>
  <si>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</si>
  <si>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</si>
  <si>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</si>
  <si>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</si>
  <si>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</si>
  <si>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</si>
  <si>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</si>
  <si>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</si>
  <si>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</si>
  <si>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</si>
  <si>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</si>
  <si>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</si>
  <si>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</si>
  <si>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</si>
  <si>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</si>
  <si>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</si>
  <si>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</si>
  <si>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</si>
  <si>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</si>
  <si>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</si>
  <si>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</si>
  <si>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</si>
  <si>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</si>
  <si>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</si>
  <si>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</si>
  <si>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</si>
  <si>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</si>
  <si>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</si>
  <si>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</si>
  <si>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</si>
  <si>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</si>
  <si>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</si>
  <si>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</si>
  <si>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</si>
  <si>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</si>
  <si>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</si>
  <si>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</si>
  <si>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</si>
  <si>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</si>
  <si>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</si>
  <si>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</si>
  <si>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</si>
  <si>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</si>
  <si>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</si>
  <si>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</si>
  <si>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</si>
  <si>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</si>
  <si>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</si>
  <si>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</si>
  <si>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</si>
  <si>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</si>
  <si>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</si>
  <si>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</si>
  <si>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</si>
  <si>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</si>
  <si>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</si>
  <si>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</si>
  <si>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</si>
  <si>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</si>
  <si>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</si>
  <si>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</si>
  <si>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</si>
  <si>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</si>
  <si>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</si>
  <si>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</si>
  <si>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</si>
  <si>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</si>
  <si>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</si>
  <si>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</si>
  <si>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</si>
  <si>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</si>
  <si>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</si>
  <si>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</si>
  <si>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</si>
  <si>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</si>
  <si>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</si>
  <si>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</si>
  <si>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</si>
  <si>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</si>
  <si>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</si>
  <si>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</si>
  <si>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</si>
  <si>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</si>
  <si>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</si>
  <si>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</si>
  <si>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</si>
  <si>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</si>
  <si>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</si>
  <si>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</si>
  <si>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</si>
  <si>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</si>
  <si>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</si>
  <si>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</si>
  <si>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</si>
  <si>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</si>
  <si>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</si>
  <si>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</si>
  <si>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</si>
  <si>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</si>
  <si>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</si>
  <si>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</si>
  <si>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</si>
  <si>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</si>
  <si>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</si>
  <si>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</si>
  <si>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</si>
  <si>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</si>
  <si>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</si>
  <si>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</si>
  <si>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</si>
  <si>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</si>
  <si>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</si>
  <si>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</si>
  <si>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</si>
  <si>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</si>
  <si>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</si>
  <si>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</si>
  <si>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</si>
  <si>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</si>
  <si>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</si>
  <si>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</si>
  <si>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</si>
  <si>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</si>
  <si>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</si>
  <si>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</si>
  <si>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</si>
  <si>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</si>
  <si>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</si>
  <si>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</si>
  <si>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</si>
  <si>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</si>
  <si>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</si>
  <si>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</si>
  <si>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</si>
  <si>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</si>
  <si>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</si>
  <si>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</si>
  <si>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</si>
  <si>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</si>
  <si>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</si>
  <si>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</si>
  <si>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</si>
  <si>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</si>
  <si>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</si>
  <si>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</si>
  <si>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</si>
  <si>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</si>
  <si>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</si>
  <si>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</si>
  <si>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</si>
  <si>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</si>
  <si>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</si>
  <si>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</si>
  <si>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</si>
  <si>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</si>
  <si>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</si>
  <si>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</si>
  <si>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</si>
  <si>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</si>
  <si>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</si>
  <si>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</si>
  <si>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</si>
  <si>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</si>
  <si>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</si>
  <si>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</si>
  <si>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</si>
  <si>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</si>
  <si>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</si>
  <si>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</si>
  <si>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</si>
  <si>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</si>
  <si>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</si>
  <si>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</si>
  <si>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</si>
  <si>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</si>
  <si>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</si>
  <si>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</si>
  <si>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</si>
  <si>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</si>
  <si>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</si>
  <si>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</si>
  <si>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</si>
  <si>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</si>
  <si>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</si>
  <si>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</si>
  <si>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</si>
  <si>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</si>
  <si>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</si>
  <si>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</si>
  <si>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</si>
  <si>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</si>
  <si>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</si>
  <si>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</si>
  <si>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</si>
  <si>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</si>
  <si>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</si>
  <si>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</si>
  <si>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</si>
  <si>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</si>
  <si>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</si>
  <si>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</si>
  <si>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</si>
  <si>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</si>
  <si>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</si>
  <si>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</si>
  <si>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</si>
  <si>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</si>
  <si>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</si>
  <si>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</si>
  <si>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</si>
  <si>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</si>
  <si>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</si>
  <si>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</si>
  <si>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</si>
  <si>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</si>
  <si>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</si>
  <si>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</si>
  <si>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</si>
  <si>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</si>
  <si>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</si>
  <si>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</si>
  <si>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</si>
  <si>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</si>
  <si>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</si>
  <si>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</si>
  <si>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</si>
  <si>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</si>
  <si>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</si>
  <si>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</si>
  <si>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</si>
  <si>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</si>
  <si>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</si>
  <si>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</si>
  <si>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</si>
  <si>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</si>
  <si>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</si>
  <si>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</si>
  <si>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</si>
  <si>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</si>
  <si>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</si>
  <si>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</si>
  <si>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</si>
  <si>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</si>
  <si>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</si>
  <si>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</si>
  <si>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</si>
  <si>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</si>
  <si>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</si>
  <si>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</si>
  <si>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</si>
  <si>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</si>
  <si>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</si>
  <si>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</si>
  <si>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</si>
  <si>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</si>
  <si>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</si>
  <si>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</si>
  <si>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</si>
  <si>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</si>
  <si>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</si>
  <si>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</si>
  <si>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</si>
  <si>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</si>
  <si>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</si>
  <si>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</si>
  <si>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</si>
  <si>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</si>
  <si>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</si>
  <si>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</si>
  <si>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</si>
  <si>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</si>
  <si>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</si>
  <si>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</si>
  <si>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</si>
  <si>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</si>
  <si>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</si>
  <si>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</si>
  <si>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</si>
  <si>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</si>
  <si>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</si>
  <si>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</si>
  <si>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</si>
  <si>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</si>
  <si>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</si>
  <si>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</si>
  <si>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</si>
  <si>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</si>
  <si>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</si>
  <si>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</si>
  <si>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</si>
  <si>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</si>
  <si>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</si>
  <si>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</si>
  <si>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</si>
  <si>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</si>
  <si>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</si>
  <si>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</si>
  <si>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</si>
  <si>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</si>
  <si>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</si>
  <si>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</si>
  <si>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</si>
  <si>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</si>
  <si>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</si>
  <si>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</si>
  <si>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</si>
  <si>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</si>
  <si>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</si>
  <si>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</si>
  <si>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</si>
  <si>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</si>
  <si>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</si>
  <si>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</si>
  <si>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</si>
  <si>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</si>
  <si>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</si>
  <si>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</si>
  <si>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</si>
  <si>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</si>
  <si>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</si>
  <si>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</si>
  <si>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</si>
  <si>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</si>
  <si>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</si>
  <si>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</si>
  <si>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</si>
  <si>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</si>
  <si>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</si>
  <si>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</si>
  <si>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</si>
  <si>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</si>
  <si>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</si>
  <si>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</si>
  <si>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</si>
  <si>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</si>
  <si>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</si>
  <si>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</si>
  <si>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</si>
  <si>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</si>
  <si>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</si>
  <si>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</si>
  <si>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</si>
  <si>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</si>
  <si>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</si>
  <si>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</si>
  <si>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</si>
  <si>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</si>
  <si>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</si>
  <si>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</si>
  <si>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</si>
  <si>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</si>
  <si>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</si>
  <si>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</si>
  <si>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</si>
  <si>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</si>
  <si>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</si>
  <si>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</si>
  <si>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</si>
  <si>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</si>
  <si>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</si>
  <si>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</si>
  <si>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</si>
  <si>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</si>
  <si>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</si>
  <si>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</si>
  <si>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</si>
  <si>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</si>
  <si>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</si>
  <si>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</si>
  <si>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</si>
  <si>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</si>
  <si>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</si>
  <si>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</si>
  <si>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</si>
  <si>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</si>
  <si>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</si>
  <si>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</si>
  <si>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</si>
  <si>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</si>
  <si>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</si>
  <si>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</si>
  <si>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</si>
  <si>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</si>
  <si>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</si>
  <si>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</si>
  <si>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</si>
  <si>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</si>
  <si>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</si>
  <si>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</si>
  <si>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</si>
  <si>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</si>
  <si>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</si>
  <si>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</si>
  <si>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</si>
  <si>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</si>
  <si>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</si>
  <si>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</si>
  <si>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</si>
  <si>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</si>
  <si>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</si>
  <si>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</si>
  <si>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</si>
  <si>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</si>
  <si>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</si>
  <si>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</si>
  <si>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</si>
  <si>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</si>
  <si>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</si>
  <si>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</si>
  <si>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</si>
  <si>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</si>
  <si>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</si>
  <si>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</si>
  <si>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</si>
  <si>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</si>
  <si>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</si>
  <si>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</si>
  <si>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</si>
  <si>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</si>
  <si>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</si>
  <si>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</si>
  <si>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</si>
  <si>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</si>
  <si>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</si>
  <si>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</si>
  <si>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</si>
  <si>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</si>
  <si>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</si>
  <si>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</si>
  <si>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</si>
  <si>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</si>
  <si>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</si>
  <si>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</si>
  <si>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</si>
  <si>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</si>
  <si>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</si>
  <si>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</si>
  <si>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</si>
  <si>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</si>
  <si>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</si>
  <si>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</si>
  <si>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</si>
  <si>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</si>
  <si>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</si>
  <si>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</si>
  <si>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</si>
  <si>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</si>
  <si>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</si>
  <si>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</si>
  <si>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</si>
  <si>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</si>
  <si>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</si>
  <si>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</si>
  <si>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</si>
  <si>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</si>
  <si>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</si>
  <si>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</si>
  <si>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</si>
  <si>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</si>
  <si>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</si>
  <si>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</si>
  <si>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</si>
  <si>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</si>
  <si>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</si>
  <si>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</si>
  <si>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</si>
  <si>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</si>
  <si>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</si>
  <si>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</si>
  <si>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</si>
  <si>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</si>
  <si>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</si>
  <si>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</si>
  <si>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</si>
  <si>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</si>
  <si>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</si>
  <si>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</si>
  <si>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</si>
  <si>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</si>
  <si>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</si>
  <si>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</si>
  <si>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</si>
  <si>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</si>
  <si>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</si>
  <si>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</si>
  <si>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</si>
  <si>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</si>
  <si>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</si>
  <si>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</si>
  <si>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</si>
  <si>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</si>
  <si>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</si>
  <si>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</si>
  <si>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</si>
  <si>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</si>
  <si>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</si>
  <si>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</si>
  <si>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</si>
  <si>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</si>
  <si>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</si>
  <si>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</si>
  <si>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</si>
  <si>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</si>
  <si>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</si>
  <si>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</si>
  <si>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</si>
  <si>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</si>
  <si>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</si>
  <si>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</si>
  <si>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</si>
  <si>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</si>
  <si>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</si>
  <si>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</si>
  <si>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</si>
  <si>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</si>
  <si>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</si>
  <si>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</si>
  <si>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</si>
  <si>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</si>
  <si>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</si>
  <si>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</si>
  <si>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</si>
  <si>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</si>
  <si>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</si>
  <si>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</si>
  <si>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</si>
  <si>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</si>
  <si>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</si>
  <si>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</si>
  <si>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</si>
  <si>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</si>
  <si>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</si>
  <si>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</si>
  <si>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</si>
  <si>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</si>
  <si>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</si>
  <si>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</si>
  <si>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</si>
  <si>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</si>
  <si>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</si>
  <si>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</si>
  <si>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</si>
  <si>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</si>
  <si>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</si>
  <si>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</si>
  <si>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</si>
  <si>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</si>
  <si>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</si>
  <si>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</si>
  <si>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</si>
  <si>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</si>
  <si>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</si>
  <si>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</si>
  <si>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</si>
  <si>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</si>
  <si>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</si>
  <si>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</si>
  <si>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</si>
  <si>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</si>
  <si>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</si>
  <si>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</si>
  <si>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</si>
  <si>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</si>
  <si>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</si>
  <si>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</si>
  <si>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</si>
  <si>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</si>
  <si>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</si>
  <si>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</si>
  <si>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</si>
  <si>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</si>
  <si>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</si>
  <si>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</si>
  <si>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</si>
  <si>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</si>
  <si>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</si>
  <si>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</si>
  <si>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</si>
  <si>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</si>
  <si>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</si>
  <si>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</si>
  <si>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</si>
  <si>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</si>
  <si>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</si>
  <si>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</si>
  <si>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</si>
  <si>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</si>
  <si>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</si>
  <si>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</si>
  <si>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</si>
  <si>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</si>
  <si>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</si>
  <si>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</si>
  <si>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</si>
  <si>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</si>
  <si>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</si>
  <si>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</si>
  <si>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</si>
  <si>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</si>
  <si>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</si>
  <si>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</si>
  <si>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</si>
  <si>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</si>
  <si>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</si>
  <si>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</si>
  <si>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</si>
  <si>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</si>
  <si>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</si>
  <si>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</si>
  <si>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usada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</si>
  <si>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</si>
  <si>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</si>
  <si>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</si>
  <si>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</si>
  <si>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</si>
  <si>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</si>
  <si>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</si>
  <si>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</si>
  <si>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</si>
  <si>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</si>
  <si>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</si>
  <si>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</si>
  <si>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</si>
  <si>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</si>
  <si>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</si>
  <si>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</si>
  <si>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</si>
  <si>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</si>
  <si>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</si>
  <si>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</si>
  <si>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</si>
  <si>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</si>
  <si>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</si>
  <si>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</si>
  <si>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</si>
  <si>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</si>
  <si>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</si>
  <si>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</si>
  <si>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</si>
  <si>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</si>
  <si>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</si>
  <si>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</si>
  <si>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</si>
  <si>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</si>
  <si>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</si>
  <si>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</si>
  <si>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</si>
  <si>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</si>
  <si>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</si>
  <si>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</si>
  <si>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</si>
  <si>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</si>
  <si>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</si>
  <si>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</si>
  <si>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</si>
  <si>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</si>
  <si>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</si>
  <si>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</si>
  <si>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</si>
  <si>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</si>
  <si>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</si>
  <si>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</si>
  <si>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</si>
  <si>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</si>
  <si>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</si>
  <si>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</si>
  <si>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</si>
  <si>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</si>
  <si>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</si>
  <si>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</si>
  <si>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</si>
  <si>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</si>
  <si>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</si>
  <si>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</si>
  <si>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</si>
  <si>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</si>
  <si>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</si>
  <si>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</si>
  <si>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</si>
  <si>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</si>
  <si>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</si>
  <si>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</si>
  <si>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</si>
  <si>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</si>
  <si>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</si>
  <si>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</si>
  <si>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</si>
  <si>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</si>
  <si>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</si>
  <si>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</si>
  <si>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</si>
  <si>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</si>
  <si>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</si>
  <si>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</si>
  <si>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</si>
  <si>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</si>
  <si>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</si>
  <si>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</si>
  <si>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</si>
  <si>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</si>
  <si>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</si>
  <si>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</si>
  <si>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</si>
  <si>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</si>
  <si>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</si>
  <si>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</si>
  <si>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</si>
  <si>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</si>
  <si>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</si>
  <si>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</si>
  <si>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</si>
  <si>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</si>
  <si>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</si>
  <si>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</si>
  <si>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</si>
  <si>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</si>
  <si>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</si>
  <si>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</si>
  <si>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</si>
  <si>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</si>
  <si>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</si>
  <si>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</si>
  <si>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</si>
  <si>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</si>
  <si>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</si>
  <si>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</si>
  <si>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</si>
  <si>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</si>
  <si>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</si>
  <si>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</si>
  <si>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</si>
  <si>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</si>
  <si>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</si>
  <si>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</si>
  <si>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</si>
  <si>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</si>
  <si>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</si>
  <si>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</si>
  <si>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</si>
  <si>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</si>
  <si>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</si>
  <si>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</si>
  <si>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</si>
  <si>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</si>
  <si>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</si>
  <si>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</si>
  <si>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</si>
  <si>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</si>
  <si>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</si>
  <si>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</si>
  <si>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</si>
  <si>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</si>
  <si>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</si>
  <si>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</si>
  <si>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</si>
  <si>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</si>
  <si>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</si>
  <si>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</si>
  <si>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</si>
  <si>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</si>
  <si>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</si>
  <si>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</si>
  <si>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</si>
  <si>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</si>
  <si>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</si>
  <si>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</si>
  <si>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</si>
  <si>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</si>
  <si>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</si>
  <si>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</si>
  <si>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</si>
  <si>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</si>
  <si>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</si>
  <si>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</si>
  <si>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</si>
  <si>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</si>
  <si>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</si>
  <si>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</si>
  <si>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</si>
  <si>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</si>
  <si>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</si>
  <si>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</si>
  <si>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</si>
  <si>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</si>
  <si>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</si>
  <si>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</si>
  <si>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</si>
  <si>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</si>
  <si>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</si>
  <si>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</si>
  <si>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</si>
  <si>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</si>
  <si>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</si>
  <si>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</si>
  <si>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</si>
  <si>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</si>
  <si>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</si>
  <si>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</si>
  <si>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</si>
  <si>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</si>
  <si>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</si>
  <si>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</si>
  <si>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</si>
  <si>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</si>
  <si>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</si>
  <si>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</si>
  <si>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</si>
  <si>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</si>
  <si>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</si>
  <si>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</si>
  <si>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</si>
  <si>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</si>
  <si>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</si>
  <si>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</si>
  <si>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</si>
  <si>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</si>
  <si>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</si>
  <si>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</si>
  <si>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</si>
  <si>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</si>
  <si>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</si>
  <si>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</si>
  <si>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</si>
  <si>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</si>
  <si>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</si>
  <si>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</si>
  <si>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</si>
  <si>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</si>
  <si>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</si>
  <si>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</si>
  <si>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</si>
  <si>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</si>
  <si>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</si>
  <si>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</si>
  <si>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</si>
  <si>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</si>
  <si>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</si>
  <si>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</si>
  <si>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</si>
  <si>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</si>
  <si>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</si>
  <si>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</si>
  <si>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</si>
  <si>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</si>
  <si>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</si>
  <si>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</si>
  <si>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</si>
  <si>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</si>
  <si>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</si>
  <si>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</si>
  <si>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</si>
  <si>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</si>
  <si>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</si>
  <si>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</si>
  <si>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</si>
  <si>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</si>
  <si>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</si>
  <si>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</si>
  <si>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</si>
  <si>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</si>
  <si>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</si>
  <si>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</si>
  <si>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</si>
  <si>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</si>
  <si>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</si>
  <si>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</si>
  <si>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</si>
  <si>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</si>
  <si>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</si>
  <si>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</si>
  <si>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</si>
  <si>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</si>
  <si>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</si>
  <si>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</si>
  <si>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</si>
  <si>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</si>
  <si>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</si>
  <si>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</si>
  <si>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</si>
  <si>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</si>
  <si>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</si>
  <si>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</si>
  <si>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</si>
  <si>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</si>
  <si>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</si>
  <si>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</si>
  <si>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</si>
  <si>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</si>
  <si>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</si>
  <si>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</si>
  <si>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</si>
  <si>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</si>
  <si>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</si>
  <si>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</si>
  <si>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</si>
  <si>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</si>
  <si>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</si>
  <si>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</si>
  <si>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</si>
  <si>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</si>
  <si>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</si>
  <si>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</si>
  <si>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</si>
  <si>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</si>
  <si>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</si>
  <si>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</si>
  <si>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</si>
  <si>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</si>
  <si>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</si>
  <si>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</si>
  <si>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</si>
  <si>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</si>
  <si>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</si>
  <si>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</si>
  <si>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</si>
  <si>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</si>
  <si>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</si>
  <si>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</si>
  <si>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</si>
  <si>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</si>
  <si>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</si>
  <si>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</si>
  <si>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</si>
  <si>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</si>
  <si>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</si>
  <si>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</si>
  <si>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</si>
  <si>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</si>
  <si>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</si>
  <si>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</si>
  <si>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</si>
  <si>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</si>
  <si>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</si>
  <si>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</si>
  <si>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</si>
  <si>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</si>
  <si>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</si>
  <si>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</si>
  <si>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</si>
  <si>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</si>
  <si>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</si>
  <si>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</si>
  <si>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</si>
  <si>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</si>
  <si>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</si>
  <si>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</si>
  <si>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</si>
  <si>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</si>
  <si>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</si>
  <si>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</si>
  <si>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</si>
  <si>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</si>
  <si>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</si>
  <si>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</si>
  <si>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</si>
  <si>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</si>
  <si>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</si>
  <si>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</si>
  <si>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</si>
  <si>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</si>
  <si>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</si>
  <si>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</si>
  <si>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</si>
  <si>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</si>
  <si>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</si>
  <si>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</si>
  <si>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</si>
  <si>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</si>
  <si>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</si>
  <si>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</si>
  <si>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</si>
  <si>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</si>
  <si>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</si>
  <si>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</si>
  <si>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</si>
  <si>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</si>
  <si>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</si>
  <si>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</si>
  <si>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</si>
  <si>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</si>
  <si>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</si>
  <si>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</si>
  <si>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</si>
  <si>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</si>
  <si>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</si>
  <si>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</si>
  <si>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</si>
  <si>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</si>
  <si>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</si>
  <si>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</si>
  <si>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</si>
  <si>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</si>
  <si>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</si>
  <si>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</si>
  <si>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</si>
  <si>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</si>
  <si>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</si>
  <si>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</si>
  <si>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</si>
  <si>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</si>
  <si>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</si>
  <si>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</si>
  <si>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</si>
  <si>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</si>
  <si>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</si>
  <si>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</si>
  <si>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</si>
  <si>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</si>
  <si>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</si>
  <si>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</si>
  <si>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</si>
  <si>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</si>
  <si>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</si>
  <si>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</si>
  <si>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</si>
  <si>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</si>
  <si>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</si>
  <si>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</si>
  <si>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</si>
  <si>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</si>
  <si>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</si>
  <si>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</si>
  <si>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</si>
  <si>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</si>
  <si>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</si>
  <si>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</si>
  <si>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</si>
  <si>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</si>
  <si>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</si>
  <si>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</si>
  <si>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</si>
  <si>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</si>
  <si>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</si>
  <si>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</si>
  <si>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</si>
  <si>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</si>
  <si>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</si>
  <si>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</si>
  <si>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</si>
  <si>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</si>
  <si>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</si>
  <si>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</si>
  <si>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</si>
  <si>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</si>
  <si>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</si>
  <si>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</si>
  <si>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</si>
  <si>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</si>
  <si>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</si>
  <si>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</si>
  <si>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</si>
  <si>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</si>
  <si>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</si>
  <si>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</si>
  <si>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</si>
  <si>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</si>
  <si>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</si>
  <si>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</si>
  <si>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</si>
  <si>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</si>
  <si>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</si>
  <si>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</si>
  <si>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</si>
  <si>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</si>
  <si>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</si>
  <si>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</si>
  <si>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</si>
  <si>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</si>
  <si>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</si>
  <si>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</si>
  <si>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</si>
  <si>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</si>
  <si>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</si>
  <si>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</si>
  <si>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</si>
  <si>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</si>
  <si>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</si>
  <si>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</si>
  <si>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</si>
  <si>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</si>
  <si>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</si>
  <si>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</si>
  <si>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</si>
  <si>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</si>
  <si>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</si>
  <si>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</si>
  <si>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</si>
  <si>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</si>
  <si>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</si>
  <si>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</si>
  <si>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</si>
  <si>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</si>
  <si>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</si>
  <si>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</si>
  <si>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</si>
  <si>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</si>
  <si>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</si>
  <si>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</si>
  <si>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</si>
  <si>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</si>
  <si>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</si>
  <si>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</si>
  <si>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</si>
  <si>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</si>
  <si>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</si>
  <si>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</si>
  <si>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</si>
  <si>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</si>
  <si>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</si>
  <si>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</si>
  <si>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</si>
  <si>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</si>
  <si>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</si>
  <si>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</si>
  <si>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</si>
  <si>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</si>
  <si>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</si>
  <si>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</si>
  <si>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</si>
  <si>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</si>
  <si>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</si>
  <si>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</si>
  <si>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</si>
  <si>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</si>
  <si>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</si>
  <si>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</si>
  <si>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</si>
  <si>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</si>
  <si>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</si>
  <si>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</si>
  <si>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</si>
  <si>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</si>
  <si>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</si>
  <si>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</si>
  <si>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</si>
  <si>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</si>
  <si>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</si>
  <si>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</si>
  <si>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</si>
  <si>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</si>
  <si>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</si>
  <si>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</si>
  <si>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</si>
  <si>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</si>
  <si>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</si>
  <si>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</si>
  <si>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</si>
  <si>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</si>
  <si>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</si>
  <si>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</si>
  <si>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</si>
  <si>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</si>
  <si>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</si>
  <si>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</si>
  <si>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</si>
  <si>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</si>
  <si>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</si>
  <si>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</si>
  <si>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</si>
  <si>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</si>
  <si>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</si>
  <si>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</si>
  <si>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</si>
  <si>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</si>
  <si>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</si>
  <si>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</si>
  <si>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</si>
  <si>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</si>
  <si>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</si>
  <si>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</si>
  <si>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</si>
  <si>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</si>
  <si>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</si>
  <si>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</si>
  <si>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</si>
  <si>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</si>
  <si>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</si>
  <si>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</si>
  <si>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</si>
  <si>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</si>
  <si>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</si>
  <si>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</si>
  <si>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</si>
  <si>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</si>
  <si>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</si>
  <si>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</si>
  <si>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</si>
  <si>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</si>
  <si>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</si>
  <si>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</si>
  <si>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</si>
  <si>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</si>
  <si>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</si>
  <si>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</si>
  <si>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</si>
  <si>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</si>
  <si>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</si>
  <si>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</si>
  <si>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</si>
  <si>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</si>
  <si>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</si>
  <si>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</si>
  <si>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</si>
  <si>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</si>
  <si>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</si>
  <si>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</si>
  <si>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</si>
  <si>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</si>
  <si>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</si>
  <si>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</si>
  <si>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</si>
  <si>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</si>
  <si>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</si>
  <si>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</si>
  <si>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</si>
  <si>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</si>
  <si>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</si>
  <si>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</si>
  <si>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</si>
  <si>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</si>
  <si>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</si>
  <si>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</si>
  <si>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</si>
  <si>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</si>
  <si>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</si>
  <si>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</si>
  <si>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</si>
  <si>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</si>
  <si>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</si>
  <si>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</si>
  <si>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</si>
  <si>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</si>
  <si>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</si>
  <si>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</si>
  <si>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</si>
  <si>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</si>
  <si>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</si>
  <si>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</si>
  <si>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</si>
  <si>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</si>
  <si>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</si>
  <si>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</si>
  <si>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</si>
  <si>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</si>
  <si>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</si>
  <si>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</si>
  <si>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</si>
  <si>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</si>
  <si>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</si>
  <si>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</si>
  <si>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</si>
  <si>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</si>
  <si>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</si>
  <si>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</si>
  <si>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</si>
  <si>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</si>
  <si>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</si>
  <si>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</si>
  <si>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</si>
  <si>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</si>
  <si>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</si>
  <si>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</si>
  <si>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</si>
  <si>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</si>
  <si>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</si>
  <si>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</si>
  <si>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</si>
  <si>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</si>
  <si>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</si>
  <si>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</si>
  <si>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</si>
  <si>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</si>
  <si>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</si>
  <si>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</si>
  <si>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</si>
  <si>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</si>
  <si>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</si>
  <si>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</si>
  <si>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</si>
  <si>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</si>
  <si>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</si>
  <si>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</si>
  <si>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</si>
  <si>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</si>
  <si>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</si>
  <si>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</si>
  <si>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</si>
  <si>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</si>
  <si>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</si>
  <si>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</si>
  <si>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</si>
  <si>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</si>
  <si>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</si>
  <si>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</si>
  <si>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</si>
  <si>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</si>
  <si>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</si>
  <si>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</si>
  <si>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</si>
  <si>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</si>
  <si>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</si>
  <si>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</si>
  <si>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</si>
  <si>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</si>
  <si>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</si>
  <si>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</si>
  <si>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</si>
  <si>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</si>
  <si>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</si>
  <si>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</si>
  <si>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</si>
  <si>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</si>
  <si>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</si>
  <si>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</si>
  <si>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</si>
  <si>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</si>
  <si>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</si>
  <si>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</si>
  <si>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</si>
  <si>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</si>
  <si>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</si>
  <si>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</si>
  <si>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</si>
  <si>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</si>
  <si>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</si>
  <si>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</si>
  <si>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</si>
  <si>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</si>
  <si>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</si>
  <si>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</si>
  <si>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</si>
  <si>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</si>
  <si>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</si>
  <si>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</si>
  <si>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</si>
  <si>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</si>
  <si>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</si>
  <si>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</si>
  <si>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</si>
  <si>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</si>
  <si>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</si>
  <si>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</si>
  <si>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</si>
  <si>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</si>
  <si>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</si>
  <si>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</si>
  <si>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</si>
  <si>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</si>
  <si>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</si>
  <si>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</si>
  <si>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</si>
  <si>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</si>
  <si>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</si>
  <si>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</si>
  <si>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</si>
  <si>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</si>
  <si>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</si>
  <si>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</si>
  <si>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</si>
  <si>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</si>
  <si>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</si>
  <si>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</si>
  <si>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</si>
  <si>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</si>
  <si>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</si>
  <si>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</si>
  <si>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</si>
  <si>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</si>
  <si>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</si>
  <si>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</si>
  <si>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</si>
  <si>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</si>
  <si>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</si>
  <si>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</si>
  <si>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</si>
  <si>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</si>
  <si>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</si>
  <si>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</si>
  <si>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</si>
  <si>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</si>
  <si>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</si>
  <si>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</si>
  <si>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</si>
  <si>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</si>
  <si>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</si>
  <si>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</si>
  <si>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</si>
  <si>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</si>
  <si>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</si>
  <si>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</si>
  <si>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</si>
  <si>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</si>
  <si>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</si>
  <si>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</si>
  <si>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</si>
  <si>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</si>
  <si>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</si>
  <si>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</si>
  <si>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</si>
  <si>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</si>
  <si>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</si>
  <si>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</si>
  <si>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</si>
  <si>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</si>
  <si>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</si>
  <si>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</si>
  <si>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</si>
  <si>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</si>
  <si>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</si>
  <si>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</si>
  <si>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</si>
  <si>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</si>
  <si>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</si>
  <si>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</si>
  <si>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</si>
  <si>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</si>
  <si>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</si>
  <si>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</si>
  <si>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</si>
  <si>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</si>
  <si>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</si>
  <si>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</si>
  <si>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</si>
  <si>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</si>
  <si>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</si>
  <si>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</si>
  <si>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</si>
  <si>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</si>
  <si>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</si>
  <si>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</si>
  <si>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</si>
  <si>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</si>
  <si>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</si>
  <si>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</si>
  <si>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</si>
  <si>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</si>
  <si>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</si>
  <si>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</si>
  <si>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</si>
  <si>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</si>
  <si>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</si>
  <si>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</si>
  <si>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</si>
  <si>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</si>
  <si>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</si>
  <si>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</si>
  <si>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</si>
  <si>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</si>
  <si>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</si>
  <si>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</si>
  <si>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</si>
  <si>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</si>
  <si>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</si>
  <si>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</si>
  <si>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</si>
  <si>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</si>
  <si>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</si>
  <si>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</si>
  <si>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</si>
  <si>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</si>
  <si>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</si>
  <si>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</si>
  <si>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</si>
  <si>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</si>
  <si>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</si>
  <si>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</si>
  <si>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</si>
  <si>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</si>
  <si>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</si>
  <si>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</si>
  <si>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</si>
  <si>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</si>
  <si>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</si>
  <si>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</si>
  <si>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</si>
  <si>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</si>
  <si>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</si>
  <si>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</si>
  <si>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</si>
  <si>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</si>
  <si>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</si>
  <si>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Please support the official game by 逆流茶会(NLCH) - A Simple Life with My Unobtrusive Sister
Guide: Official Discord-RORO, Facilitator-MIO, 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</si>
  <si>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</si>
  <si>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</si>
  <si>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</si>
  <si>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</si>
  <si>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</si>
  <si>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</si>
  <si>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</si>
  <si>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</si>
  <si>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</si>
  <si>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</si>
  <si>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</si>
  <si>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</si>
  <si>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</si>
  <si>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</si>
  <si>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</si>
  <si>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</si>
  <si>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</si>
  <si>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</si>
  <si>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</si>
  <si>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</si>
  <si>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</si>
  <si>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</si>
  <si>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</si>
  <si>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</si>
  <si>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</si>
  <si>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</si>
  <si>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</si>
  <si>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</si>
  <si>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</si>
  <si>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</si>
  <si>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</si>
  <si>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</si>
  <si>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</si>
  <si>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</si>
  <si>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</si>
  <si>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</si>
  <si>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</si>
  <si>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</si>
  <si>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</si>
  <si>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</si>
  <si>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</si>
  <si>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</si>
  <si>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</si>
  <si>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</si>
  <si>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</si>
  <si>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</si>
  <si>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</si>
  <si>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</si>
  <si>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</si>
  <si>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</si>
  <si>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</si>
  <si>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</si>
  <si>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</si>
  <si>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</si>
  <si>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</si>
  <si>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</si>
  <si>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</si>
  <si>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</si>
  <si>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</si>
  <si>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</si>
  <si>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</si>
  <si>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</si>
  <si>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</si>
  <si>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</si>
  <si>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</si>
  <si>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</si>
  <si>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</si>
  <si>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</si>
  <si>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</si>
  <si>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</si>
  <si>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</si>
  <si>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</si>
  <si>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</si>
  <si>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</si>
  <si>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</si>
  <si>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</si>
  <si>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</si>
  <si>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</si>
  <si>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</si>
  <si>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</si>
  <si>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</si>
  <si>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</si>
  <si>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</si>
  <si>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</si>
  <si>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</si>
  <si>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</si>
  <si>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</si>
  <si>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</si>
  <si>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</si>
  <si>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</si>
  <si>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</si>
  <si>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</si>
  <si>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</si>
  <si>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</si>
  <si>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</si>
  <si>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</si>
  <si>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</si>
  <si>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</si>
  <si>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</si>
  <si>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</si>
  <si>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</si>
  <si>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</si>
  <si>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</si>
  <si>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</si>
  <si>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</si>
  <si>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</si>
  <si>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</si>
  <si>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</si>
  <si>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</si>
  <si>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</si>
  <si>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</si>
  <si>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</si>
  <si>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</si>
  <si>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</si>
  <si>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</si>
  <si>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</si>
  <si>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</si>
  <si>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</si>
  <si>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</si>
  <si>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</si>
  <si>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</si>
  <si>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</si>
  <si>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</si>
  <si>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</si>
  <si>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</si>
  <si>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</si>
  <si>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</si>
  <si>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</si>
  <si>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</si>
  <si>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</si>
  <si>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</si>
  <si>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</si>
  <si>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</si>
  <si>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</si>
  <si>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</si>
  <si>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</si>
  <si>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</si>
  <si>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</si>
  <si>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</si>
  <si>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</si>
  <si>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</si>
  <si>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</si>
  <si>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</si>
  <si>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</si>
  <si>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</si>
  <si>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</si>
  <si>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</si>
  <si>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</si>
  <si>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</si>
  <si>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</si>
  <si>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</si>
  <si>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</si>
  <si>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</si>
  <si>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</si>
  <si>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</si>
  <si>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</si>
  <si>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</si>
  <si>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</si>
  <si>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</si>
  <si>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</si>
  <si>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</si>
  <si>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</si>
  <si>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</si>
  <si>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</si>
  <si>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</si>
  <si>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</si>
  <si>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</si>
  <si>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</si>
  <si>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</si>
  <si>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</si>
  <si>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</si>
  <si>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</si>
  <si>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</si>
  <si>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</si>
  <si>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</si>
  <si>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</si>
  <si>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</si>
  <si>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</si>
  <si>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</si>
  <si>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</si>
  <si>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</si>
  <si>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</si>
  <si>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</si>
  <si>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</si>
  <si>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</si>
  <si>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</si>
  <si>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</si>
  <si>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</si>
  <si>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</si>
  <si>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</si>
  <si>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</si>
  <si>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</si>
  <si>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</si>
  <si>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</si>
  <si>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</si>
  <si>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</si>
  <si>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</si>
  <si>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</si>
  <si>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</si>
  <si>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</si>
  <si>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</si>
  <si>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</si>
  <si>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</si>
  <si>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</si>
  <si>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</si>
  <si>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</si>
  <si>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</si>
  <si>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</si>
  <si>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</si>
  <si>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</si>
  <si>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</si>
  <si>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</si>
  <si>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</si>
  <si>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</si>
  <si>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</si>
  <si>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</si>
  <si>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</si>
  <si>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</si>
  <si>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</si>
  <si>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</si>
  <si>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</si>
  <si>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</si>
  <si>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</si>
  <si>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</si>
  <si>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</si>
  <si>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</si>
  <si>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</si>
  <si>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</si>
  <si>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</si>
  <si>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</si>
  <si>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</si>
  <si>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</si>
  <si>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</si>
  <si>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</si>
  <si>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</si>
  <si>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</si>
  <si>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</si>
  <si>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</si>
  <si>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</si>
  <si>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</si>
  <si>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</si>
  <si>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</si>
  <si>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</si>
  <si>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</si>
  <si>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</si>
  <si>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</si>
  <si>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</si>
  <si>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</si>
  <si>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</si>
  <si>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</si>
  <si>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</si>
  <si>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</si>
  <si>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</si>
  <si>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</si>
  <si>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</si>
  <si>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</si>
  <si>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</si>
  <si>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</si>
  <si>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</si>
  <si>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</si>
  <si>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</si>
  <si>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</si>
  <si>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</si>
  <si>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</si>
  <si>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</si>
  <si>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</si>
  <si>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</si>
  <si>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</si>
  <si>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</si>
  <si>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</si>
  <si>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</si>
  <si>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</si>
  <si>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</si>
  <si>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</si>
  <si>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</si>
  <si>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</si>
  <si>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</si>
  <si>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</si>
  <si>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</si>
  <si>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</si>
  <si>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</si>
  <si>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</si>
  <si>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</si>
  <si>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</si>
  <si>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</si>
  <si>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</si>
  <si>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</si>
  <si>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</si>
  <si>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</si>
  <si>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</si>
  <si>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</si>
  <si>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</si>
  <si>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</si>
  <si>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</si>
  <si>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</si>
  <si>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</si>
  <si>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</si>
  <si>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</si>
  <si>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</si>
  <si>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</si>
  <si>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</si>
  <si>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</si>
  <si>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</si>
  <si>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</si>
  <si>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</si>
  <si>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</si>
  <si>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</si>
  <si>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</si>
  <si>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</si>
  <si>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</si>
  <si>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</si>
  <si>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</si>
  <si>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</si>
  <si>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</si>
  <si>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</si>
  <si>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</si>
  <si>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</si>
  <si>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</si>
  <si>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</si>
  <si>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</si>
  <si>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</si>
  <si>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</si>
  <si>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</si>
  <si>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</si>
  <si>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</si>
  <si>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</si>
  <si>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</si>
  <si>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</si>
  <si>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</si>
  <si>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</si>
  <si>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</si>
  <si>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</si>
  <si>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</si>
  <si>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</si>
  <si>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</si>
  <si>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</si>
  <si>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</si>
  <si>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</si>
  <si>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</si>
  <si>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</si>
  <si>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</si>
  <si>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</si>
  <si>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</si>
  <si>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</si>
  <si>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</si>
  <si>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</si>
  <si>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</si>
  <si>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</si>
  <si>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</si>
  <si>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</si>
  <si>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</si>
  <si>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</si>
  <si>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</si>
  <si>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</si>
  <si>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</si>
  <si>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</si>
  <si>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</si>
  <si>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</si>
  <si>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</si>
  <si>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</si>
  <si>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</si>
  <si>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</si>
  <si>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</si>
  <si>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</si>
  <si>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</si>
  <si>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</si>
  <si>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</si>
  <si>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</si>
  <si>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</si>
  <si>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</si>
  <si>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</si>
  <si>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</si>
  <si>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</si>
  <si>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</si>
  <si>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</si>
  <si>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</si>
  <si>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</si>
  <si>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</si>
  <si>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</si>
  <si>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</si>
  <si>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</si>
  <si>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</si>
  <si>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</si>
  <si>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</si>
  <si>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</si>
  <si>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</si>
  <si>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</si>
  <si>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</si>
  <si>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</si>
  <si>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</si>
  <si>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</si>
  <si>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</si>
  <si>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</si>
  <si>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</si>
  <si>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</si>
  <si>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</si>
  <si>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</si>
  <si>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</si>
  <si>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</si>
  <si>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</si>
  <si>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</si>
  <si>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</si>
  <si>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</si>
  <si>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</si>
  <si>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</si>
  <si>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</si>
  <si>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</si>
  <si>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</si>
  <si>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</si>
  <si>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</si>
  <si>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</si>
  <si>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</si>
  <si>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</si>
  <si>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</si>
  <si>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</si>
  <si>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</si>
  <si>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</si>
  <si>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</si>
  <si>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</si>
  <si>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</si>
  <si>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</si>
  <si>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</si>
  <si>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</si>
  <si>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</si>
  <si>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</si>
  <si>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</si>
  <si>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</si>
  <si>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</si>
  <si>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</si>
  <si>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</si>
  <si>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</si>
  <si>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</si>
  <si>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</si>
  <si>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</si>
  <si>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</si>
  <si>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</si>
  <si>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</si>
  <si>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</si>
  <si>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</si>
  <si>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</si>
  <si>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</si>
  <si>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</si>
  <si>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</si>
  <si>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</si>
  <si>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</si>
  <si>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</si>
  <si>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</si>
  <si>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</si>
  <si>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</si>
  <si>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</si>
  <si>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</si>
  <si>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</si>
  <si>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</si>
  <si>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</si>
  <si>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</si>
  <si>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</si>
  <si>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</si>
  <si>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</si>
  <si>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</si>
  <si>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</si>
  <si>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</si>
  <si>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</si>
  <si>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</si>
  <si>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</si>
  <si>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</si>
  <si>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</si>
  <si>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</si>
  <si>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</si>
  <si>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</si>
  <si>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</si>
  <si>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</si>
  <si>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</si>
  <si>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</si>
  <si>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</si>
  <si>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</si>
  <si>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</si>
  <si>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</si>
  <si>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</si>
  <si>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</si>
  <si>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</si>
  <si>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</si>
  <si>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</si>
  <si>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</si>
  <si>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</si>
  <si>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</si>
  <si>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</si>
  <si>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</si>
  <si>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</si>
  <si>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</si>
  <si>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</si>
  <si>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</si>
  <si>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</si>
  <si>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</si>
  <si>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</si>
  <si>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</si>
  <si>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</si>
  <si>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</si>
  <si>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</si>
  <si>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</si>
  <si>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</si>
  <si>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</si>
  <si>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</si>
  <si>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</si>
  <si>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</si>
  <si>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</si>
  <si>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</si>
  <si>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</si>
  <si>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</si>
  <si>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</si>
  <si>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</si>
  <si>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</si>
  <si>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</si>
  <si>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</si>
  <si>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</si>
  <si>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</si>
  <si>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</si>
  <si>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</si>
  <si>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</si>
  <si>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</si>
  <si>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</si>
  <si>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</si>
  <si>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</si>
  <si>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</si>
  <si>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</si>
  <si>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</si>
  <si>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</si>
  <si>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</si>
  <si>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</si>
  <si>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</si>
  <si>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</si>
  <si>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</si>
  <si>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</si>
  <si>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</si>
  <si>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</si>
  <si>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</si>
  <si>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</si>
  <si>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</si>
  <si>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</si>
  <si>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</si>
  <si>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</si>
  <si>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</si>
  <si>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</si>
  <si>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</si>
  <si>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</si>
  <si>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</si>
  <si>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</si>
  <si>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</si>
  <si>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</si>
  <si>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</si>
  <si>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</si>
  <si>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</si>
  <si>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</si>
  <si>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</si>
  <si>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</si>
  <si>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</si>
  <si>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</si>
  <si>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</si>
  <si>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</si>
  <si>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</si>
  <si>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</si>
  <si>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</si>
  <si>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</si>
  <si>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</si>
  <si>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</si>
  <si>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</si>
  <si>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</si>
  <si>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</si>
  <si>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</si>
  <si>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</si>
  <si>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</si>
  <si>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</si>
  <si>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</si>
  <si>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</si>
  <si>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</si>
  <si>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</si>
  <si>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</si>
  <si>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</si>
  <si>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</si>
  <si>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</si>
  <si>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</si>
  <si>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</si>
  <si>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</si>
  <si>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</si>
  <si>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</si>
  <si>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</si>
  <si>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</si>
  <si>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</si>
  <si>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</si>
  <si>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</si>
  <si>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</si>
  <si>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</si>
  <si>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</si>
  <si>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</si>
  <si>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</si>
  <si>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</si>
  <si>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</si>
  <si>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</si>
  <si>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</si>
  <si>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</si>
  <si>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</si>
  <si>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</si>
  <si>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</si>
  <si>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</si>
  <si>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</si>
  <si>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</si>
  <si>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</si>
  <si>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</si>
  <si>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</si>
  <si>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</si>
  <si>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</si>
  <si>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</si>
  <si>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</si>
  <si>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</si>
  <si>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</si>
  <si>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</si>
  <si>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</si>
  <si>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</si>
  <si>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</si>
  <si>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</si>
  <si>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</si>
  <si>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</si>
  <si>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</si>
  <si>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</si>
  <si>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</si>
  <si>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</si>
  <si>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</si>
  <si>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</si>
  <si>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</si>
  <si>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</si>
  <si>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</si>
  <si>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</si>
  <si>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</si>
  <si>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</si>
  <si>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</si>
  <si>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</si>
  <si>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</si>
  <si>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</si>
  <si>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</si>
  <si>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</si>
  <si>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</si>
  <si>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</si>
  <si>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</si>
  <si>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</si>
  <si>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</si>
  <si>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</si>
  <si>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</si>
  <si>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</si>
  <si>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</si>
  <si>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</si>
  <si>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</si>
  <si>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</si>
  <si>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</si>
  <si>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</si>
  <si>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</si>
  <si>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</si>
  <si>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</si>
  <si>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</si>
  <si>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</si>
  <si>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</si>
  <si>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</si>
  <si>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</si>
  <si>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</si>
  <si>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</si>
  <si>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</si>
  <si>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</si>
  <si>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</si>
  <si>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</si>
  <si>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</si>
  <si>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</si>
  <si>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</si>
  <si>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</si>
  <si>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</si>
  <si>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</si>
  <si>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</si>
  <si>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</si>
  <si>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</si>
  <si>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</si>
  <si>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</si>
  <si>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</si>
  <si>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</si>
  <si>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</si>
  <si>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</si>
  <si>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</si>
  <si>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</si>
  <si>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</si>
  <si>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</si>
  <si>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</si>
  <si>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</si>
  <si>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</si>
  <si>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</si>
  <si>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</si>
  <si>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</si>
  <si>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</si>
  <si>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</si>
  <si>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</si>
  <si>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</si>
  <si>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</si>
  <si>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</si>
  <si>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</si>
  <si>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</si>
  <si>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</si>
  <si>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</si>
  <si>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</si>
  <si>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</si>
  <si>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</si>
  <si>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</si>
  <si>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</si>
  <si>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</si>
  <si>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</si>
  <si>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</si>
  <si>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</si>
  <si>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</si>
  <si>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</si>
  <si>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</si>
  <si>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</si>
  <si>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</si>
  <si>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</si>
  <si>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</si>
  <si>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</si>
  <si>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</si>
  <si>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</si>
  <si>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</si>
  <si>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</si>
  <si>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</si>
  <si>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</si>
  <si>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</si>
  <si>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</si>
  <si>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</si>
  <si>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</si>
  <si>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</si>
  <si>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</si>
  <si>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</si>
  <si>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</si>
  <si>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</si>
  <si>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</si>
  <si>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</si>
  <si>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</si>
  <si>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</si>
  <si>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</si>
  <si>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</si>
  <si>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</si>
  <si>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</si>
  <si>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</si>
  <si>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</si>
  <si>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</si>
  <si>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</si>
  <si>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</si>
  <si>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</si>
  <si>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</si>
  <si>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</si>
  <si>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</si>
  <si>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</si>
  <si>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</si>
  <si>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</si>
  <si>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</si>
  <si>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</si>
  <si>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</si>
  <si>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</si>
  <si>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</si>
  <si>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</si>
  <si>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</si>
  <si>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</si>
  <si>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</si>
  <si>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</si>
  <si>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</si>
  <si>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</si>
  <si>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</si>
  <si>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</si>
  <si>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</si>
  <si>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</si>
  <si>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</si>
  <si>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</si>
  <si>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</si>
  <si>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</si>
  <si>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</si>
  <si>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</si>
  <si>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</si>
  <si>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</si>
  <si>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</si>
  <si>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</si>
  <si>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</si>
  <si>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</si>
  <si>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</si>
  <si>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</si>
  <si>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</si>
  <si>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</si>
  <si>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</si>
  <si>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</si>
  <si>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</si>
  <si>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</si>
  <si>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</si>
  <si>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</si>
  <si>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</si>
  <si>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</si>
  <si>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</si>
  <si>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</si>
  <si>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</si>
  <si>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</si>
  <si>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</si>
  <si>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</si>
  <si>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</si>
  <si>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</si>
  <si>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</si>
  <si>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</si>
  <si>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</si>
  <si>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</si>
  <si>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</si>
  <si>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</si>
  <si>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</si>
  <si>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</si>
  <si>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</si>
  <si>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</si>
  <si>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</si>
  <si>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</si>
  <si>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</si>
  <si>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</si>
  <si>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</si>
  <si>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</si>
  <si>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</si>
  <si>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</si>
  <si>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</si>
  <si>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</si>
  <si>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</si>
  <si>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</si>
  <si>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</si>
  <si>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</si>
  <si>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</si>
  <si>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</si>
  <si>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</si>
  <si>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</si>
  <si>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</si>
  <si>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</si>
  <si>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</si>
  <si>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</si>
  <si>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</si>
  <si>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</si>
  <si>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</si>
  <si>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</si>
  <si>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</si>
  <si>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</si>
  <si>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</si>
  <si>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</si>
  <si>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</si>
  <si>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</si>
  <si>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</si>
  <si>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</si>
  <si>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</si>
  <si>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</si>
  <si>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</si>
  <si>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</si>
  <si>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</si>
  <si>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</si>
  <si>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</si>
  <si>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</si>
  <si>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</si>
  <si>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</si>
  <si>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</si>
  <si>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</si>
  <si>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</si>
  <si>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</si>
  <si>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</si>
  <si>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</si>
  <si>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</si>
  <si>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</si>
  <si>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</si>
  <si>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</si>
  <si>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</si>
  <si>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</si>
  <si>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</si>
  <si>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</si>
  <si>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</si>
  <si>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</si>
  <si>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</si>
  <si>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</si>
  <si>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</si>
  <si>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</si>
  <si>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</si>
  <si>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</si>
  <si>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</si>
  <si>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</si>
  <si>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</si>
  <si>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</si>
  <si>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</si>
  <si>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</si>
  <si>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</si>
  <si>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</si>
  <si>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</si>
  <si>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</si>
  <si>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</si>
  <si>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</si>
  <si>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</si>
  <si>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</si>
  <si>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</si>
  <si>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</si>
  <si>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</si>
  <si>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</si>
  <si>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</si>
  <si>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</si>
  <si>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</si>
  <si>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</si>
  <si>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</si>
  <si>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</si>
  <si>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</si>
  <si>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</si>
  <si>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</si>
  <si>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</si>
  <si>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</si>
  <si>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</si>
  <si>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</si>
  <si>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</si>
  <si>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</si>
  <si>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</si>
  <si>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</si>
  <si>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</si>
  <si>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</si>
  <si>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</si>
  <si>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</si>
  <si>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</si>
  <si>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</si>
  <si>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</si>
  <si>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</si>
  <si>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</si>
  <si>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</si>
  <si>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</si>
  <si>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</si>
  <si>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</si>
  <si>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</si>
  <si>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</si>
  <si>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</si>
  <si>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</si>
  <si>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</si>
  <si>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</si>
  <si>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</si>
  <si>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</si>
  <si>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</si>
  <si>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</si>
  <si>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</si>
  <si>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</si>
  <si>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</si>
  <si>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</si>
  <si>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</si>
  <si>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</si>
  <si>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</si>
  <si>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</si>
  <si>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</si>
  <si>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</si>
  <si>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</si>
  <si>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</si>
  <si>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</si>
  <si>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</si>
  <si>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</si>
  <si>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</si>
  <si>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</si>
  <si>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</si>
  <si>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</si>
  <si>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</si>
  <si>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</si>
  <si>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</si>
  <si>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</si>
  <si>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</si>
  <si>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</si>
  <si>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</si>
  <si>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</si>
  <si>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</si>
  <si>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</si>
  <si>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</si>
  <si>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</si>
  <si>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</si>
  <si>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</si>
  <si>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</si>
  <si>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</si>
  <si>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</si>
  <si>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</si>
  <si>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</si>
  <si>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</si>
  <si>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</si>
  <si>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</si>
  <si>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</si>
  <si>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</si>
  <si>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</si>
  <si>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</si>
  <si>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</si>
  <si>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</si>
  <si>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</si>
  <si>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</si>
  <si>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</si>
  <si>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</si>
  <si>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</si>
  <si>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</si>
  <si>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</si>
  <si>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</si>
  <si>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</si>
  <si>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</si>
  <si>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</si>
  <si>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</si>
  <si>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</si>
  <si>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</si>
  <si>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</si>
  <si>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</si>
  <si>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</si>
  <si>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</si>
  <si>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</si>
  <si>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</si>
  <si>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</si>
  <si>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</si>
  <si>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</si>
  <si>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</si>
  <si>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</si>
  <si>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</si>
  <si>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</si>
  <si>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</si>
  <si>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</si>
  <si>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</si>
  <si>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</si>
  <si>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</si>
  <si>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</si>
  <si>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</si>
  <si>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</si>
  <si>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</si>
  <si>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</si>
  <si>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</si>
  <si>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</si>
  <si>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</si>
  <si>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</si>
  <si>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</si>
  <si>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</si>
  <si>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</si>
  <si>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</si>
  <si>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</si>
  <si>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</si>
  <si>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</si>
  <si>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</si>
  <si>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</si>
  <si>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</si>
  <si>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</si>
  <si>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</si>
  <si>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</si>
  <si>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</si>
  <si>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</si>
  <si>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</si>
  <si>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</si>
  <si>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</si>
  <si>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</si>
  <si>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</si>
  <si>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</si>
  <si>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</si>
  <si>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</si>
  <si>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</si>
  <si>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</si>
  <si>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</si>
  <si>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</si>
  <si>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</si>
  <si>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</si>
  <si>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</si>
  <si>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</si>
  <si>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</si>
  <si>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</si>
  <si>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</si>
  <si>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</si>
  <si>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</si>
  <si>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</si>
  <si>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</si>
  <si>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Please support the official game by 逆流茶会(NLCH) - A Simple Life with My Unobtrusive Sister
Guide: Official Discord-RORO, Facilitator-MIO, 落染, Translator-눈_눈、Ruika、zNagato、Libeti、Gabriel B、maltesey、AndyJango、Hyphot
Please do not copy without permission</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</si>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</sst>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2">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19" numFmtId="0" xfId="0" applyAlignment="1" applyFont="1">
      <alignment horizontal="center" vertical="center"/>
    </xf>
    <xf borderId="0" fillId="5" fontId="19"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8" numFmtId="0" xfId="0" applyAlignment="1" applyFont="1">
      <alignment horizontal="center" vertical="center"/>
    </xf>
    <xf borderId="0" fillId="5" fontId="8" numFmtId="0" xfId="0" applyAlignment="1" applyFont="1">
      <alignment horizontal="center" vertical="center"/>
    </xf>
    <xf borderId="0" fillId="17" fontId="8" numFmtId="0" xfId="0" applyAlignment="1" applyFont="1">
      <alignment horizontal="center" shrinkToFit="0" vertical="center" wrapText="1"/>
    </xf>
    <xf borderId="0" fillId="17" fontId="8" numFmtId="0" xfId="0" applyAlignment="1" applyFont="1">
      <alignment horizontal="center" readingOrder="0" vertical="center"/>
    </xf>
    <xf borderId="0" fillId="17" fontId="25" numFmtId="0" xfId="0" applyAlignment="1" applyFont="1">
      <alignment horizontal="center" shrinkToFit="0" vertical="center" wrapText="1"/>
    </xf>
    <xf borderId="0" fillId="17" fontId="8" numFmtId="0" xfId="0" applyAlignment="1" applyFont="1">
      <alignment shrinkToFit="0" vertical="center" wrapText="1"/>
    </xf>
    <xf borderId="0" fillId="8" fontId="23"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vertical="center"/>
    </xf>
    <xf borderId="0" fillId="5" fontId="8" numFmtId="0" xfId="0" applyAlignment="1" applyFont="1">
      <alignment horizontal="center" shrinkToFit="0" vertical="center" wrapText="0"/>
    </xf>
    <xf borderId="0" fillId="5" fontId="54"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5" numFmtId="0" xfId="0" applyAlignment="1" applyFont="1">
      <alignment horizontal="center" shrinkToFit="0" vertical="center" wrapText="1"/>
    </xf>
    <xf borderId="0" fillId="4" fontId="55" numFmtId="0" xfId="0" applyAlignment="1" applyFont="1">
      <alignment horizontal="center" shrinkToFit="0" vertical="center" wrapText="1"/>
    </xf>
    <xf borderId="0" fillId="4" fontId="55" numFmtId="0" xfId="0" applyAlignment="1" applyFont="1">
      <alignment horizontal="center" readingOrder="0" shrinkToFit="0" vertical="center" wrapText="1"/>
    </xf>
    <xf borderId="0" fillId="3" fontId="55"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6"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57" numFmtId="0" xfId="0" applyAlignment="1" applyFont="1">
      <alignment horizontal="center" vertical="center"/>
    </xf>
    <xf borderId="0" fillId="0" fontId="57" numFmtId="0" xfId="0" applyAlignment="1" applyFont="1">
      <alignment horizontal="left" vertical="center"/>
    </xf>
    <xf borderId="0" fillId="3" fontId="58" numFmtId="0" xfId="0" applyAlignment="1" applyFont="1">
      <alignment horizontal="left" shrinkToFit="0" vertical="center" wrapText="1"/>
    </xf>
    <xf borderId="0" fillId="15" fontId="2" numFmtId="0" xfId="0" applyAlignment="1" applyFont="1">
      <alignment horizontal="left" shrinkToFit="0" vertical="center" wrapText="1"/>
    </xf>
    <xf borderId="0" fillId="2" fontId="57"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57" numFmtId="0" xfId="0" applyAlignment="1" applyFont="1">
      <alignment horizontal="left" vertical="center"/>
    </xf>
    <xf borderId="0" fillId="5" fontId="57" numFmtId="0" xfId="0" applyAlignment="1" applyFont="1">
      <alignment horizontal="left" vertical="center"/>
    </xf>
    <xf borderId="0" fillId="15" fontId="57" numFmtId="0" xfId="0" applyAlignment="1" applyFont="1">
      <alignment horizontal="left" vertical="center"/>
    </xf>
    <xf borderId="0" fillId="18" fontId="57" numFmtId="0" xfId="0" applyAlignment="1" applyFont="1">
      <alignment horizontal="center" vertical="center"/>
    </xf>
    <xf borderId="0" fillId="8"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57"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59" numFmtId="0" xfId="0" applyAlignment="1" applyFont="1">
      <alignment readingOrder="0" shrinkToFit="0" wrapText="1"/>
    </xf>
    <xf borderId="0" fillId="5" fontId="60" numFmtId="0" xfId="0" applyAlignment="1" applyFont="1">
      <alignment readingOrder="0" shrinkToFit="0" wrapText="1"/>
    </xf>
    <xf borderId="0" fillId="15" fontId="61" numFmtId="0" xfId="0" applyAlignment="1" applyFont="1">
      <alignment readingOrder="0" shrinkToFit="0" wrapText="1"/>
    </xf>
    <xf borderId="0" fillId="16" fontId="62" numFmtId="0" xfId="0" applyAlignment="1" applyFont="1">
      <alignment readingOrder="0" shrinkToFit="0" wrapText="1"/>
    </xf>
    <xf borderId="0" fillId="14" fontId="63" numFmtId="0" xfId="0" applyAlignment="1" applyFont="1">
      <alignment readingOrder="0" shrinkToFit="0" wrapText="1"/>
    </xf>
    <xf borderId="0" fillId="4" fontId="64" numFmtId="0" xfId="0" applyAlignment="1" applyFont="1">
      <alignment shrinkToFit="0" vertical="center" wrapText="1"/>
    </xf>
    <xf borderId="0" fillId="7" fontId="65"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6" numFmtId="0" xfId="0" applyAlignment="1" applyFont="1">
      <alignment horizontal="left" readingOrder="0" shrinkToFit="0" vertical="center" wrapText="1"/>
    </xf>
    <xf borderId="0" fillId="5" fontId="6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68" numFmtId="0" xfId="0" applyAlignment="1" applyFont="1">
      <alignment horizontal="left" readingOrder="0" shrinkToFit="0" vertical="center" wrapText="1"/>
    </xf>
    <xf borderId="0" fillId="16" fontId="69"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0" numFmtId="0" xfId="0" applyAlignment="1" applyFont="1">
      <alignment horizontal="left" readingOrder="0" shrinkToFit="0" vertical="center" wrapText="1"/>
    </xf>
    <xf borderId="0" fillId="7" fontId="57" numFmtId="0" xfId="0" applyAlignment="1" applyFont="1">
      <alignment vertical="bottom"/>
    </xf>
    <xf borderId="0" fillId="7" fontId="71"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update, it is recommended to manually download the latest version from the official w"&amp;"ebsite and use automatic updates to the latest version (in some regions, a VPN is required to access this update function).
4. An iOS version is not currently being considered by the official team.
5. This file does not require permission; everyone can "&amp;"directly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a la última versión (en algunas regiones, se requiere una VPN para acceder a esta función de actuali"&amp;"zación).
4. El equipo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a la última versión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허가가"&amp;"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자동 업데이트를 사용하는 것이 좋습니다(일부 지역에서는 이 업데이트 기능에 접속하려면 VPN이 필요합니다).
4. iOS 버전은 현재 공식 팀에서 검토 중이 아닙니다.
5. 이 파일은 허가가 필요하지 "&amp;"않으며,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허가가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자동 업데이트를 사용하는 것이 좋습니다(일부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официа"&amp;"льного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треб"&amp;"уется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Update empfehlen wir, die neueste Version manuell von der offiziellen Website herunterzuladen und die automatischen Updates zu ak"&amp;"tivieren (in einigen Regionen ist ein VPN erforderlich, um diese Update-Funktion zu nutzen).
4. Eine iOS-Version wird vom offiziellen Team derzeit nicht in Betracht gezogen.
5. Diese Datei benötigt keine Berechtigung; jeder kann sie direkt über die Tabs"&amp;"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Update empfehlen wir, die neueste Version manuell von der offiziellen Website herunterzuladen und die automatischen Updates zu aktivieren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nhấ"&amp;"t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đều"&amp;"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"&amp;"importante, recomenda-se baixar manualmente a versão mais recente do site oficial e usar as atualizações automáticas para a versão mais recente (em algumas regiões, uma VPN é necessária para acessar essa função de atualização).
4. Uma versão para iOS não"&amp;"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importante,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0"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9"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Armor")</f>
        <v>2025년 1월 6일: 0.6C 버전 정보 추가: Armor</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IFERROR(__xludf.DUMMYFUNCTION("GOOGLETRANSLATE(A87,""zh-tw"",""ja"")"),"2024/10/9にイベントとお知らせを追加しました")</f>
        <v>2024/10/9にイベントとお知らせを追加しました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2" t="s">
        <v>216</v>
      </c>
      <c r="AO1" s="62"/>
    </row>
    <row r="2" ht="34.5" customHeight="1">
      <c r="AO2" s="62"/>
    </row>
    <row r="3">
      <c r="A3" s="66" t="s">
        <v>217</v>
      </c>
      <c r="B3" s="67" t="s">
        <v>218</v>
      </c>
      <c r="C3" s="68" t="s">
        <v>219</v>
      </c>
      <c r="D3" s="69" t="s">
        <v>220</v>
      </c>
      <c r="E3" s="66" t="s">
        <v>217</v>
      </c>
      <c r="F3" s="67" t="str">
        <f>IFERROR(__xludf.DUMMYFUNCTION("GOOGLETRANSLATE(B3,""zh-tw"",""ja"")"),"SLG事件")</f>
        <v>SLG事件</v>
      </c>
      <c r="G3" s="68" t="str">
        <f>IFERROR(__xludf.DUMMYFUNCTION("GOOGLETRANSLATE(C3,""zh-tw"",""ja"")"),"説明する")</f>
        <v>説明する</v>
      </c>
      <c r="H3" s="69" t="str">
        <f>IFERROR(__xludf.DUMMYFUNCTION("GOOGLETRANSLATE(D3,""zh-tw"",""ja"")"),"結果")</f>
        <v>結果</v>
      </c>
      <c r="I3" s="66" t="s">
        <v>217</v>
      </c>
      <c r="J3" s="67" t="s">
        <v>221</v>
      </c>
      <c r="K3" s="68" t="s">
        <v>222</v>
      </c>
      <c r="L3" s="69" t="s">
        <v>223</v>
      </c>
      <c r="M3" s="70" t="str">
        <f>IFERROR(__xludf.DUMMYFUNCTION("GOOGLETRANSLATE(E3,""zh-tw"",""en"")"),"NO.")</f>
        <v>NO.</v>
      </c>
      <c r="N3" s="71" t="str">
        <f>IFERROR(__xludf.DUMMYFUNCTION("GOOGLETRANSLATE(B3,""zh-tw"",""zh"")"),"SLG事件")</f>
        <v>SLG事件</v>
      </c>
      <c r="O3" s="72" t="str">
        <f>IFERROR(__xludf.DUMMYFUNCTION("GOOGLETRANSLATE(C3,""zh-tw"",""zh"")"),"说明")</f>
        <v>说明</v>
      </c>
      <c r="P3" s="73" t="str">
        <f>IFERROR(__xludf.DUMMYFUNCTION("GOOGLETRANSLATE(D3,""zh-tw"",""zh"")"),"结果")</f>
        <v>结果</v>
      </c>
      <c r="Q3" s="70" t="s">
        <v>217</v>
      </c>
      <c r="R3" s="74" t="s">
        <v>224</v>
      </c>
      <c r="S3" s="75" t="s">
        <v>225</v>
      </c>
      <c r="T3" s="76" t="s">
        <v>226</v>
      </c>
      <c r="U3" s="70" t="s">
        <v>217</v>
      </c>
      <c r="V3" s="71" t="str">
        <f>IFERROR(__xludf.DUMMYFUNCTION("GOOGLETRANSLATE(B3,""zh-tw"",""KO"")"),"SLG 사건")</f>
        <v>SLG 사건</v>
      </c>
      <c r="W3" s="72" t="str">
        <f>IFERROR(__xludf.DUMMYFUNCTION("GOOGLETRANSLATE(C3,""zh-tw"",""KO"")"),"설명하다")</f>
        <v>설명하다</v>
      </c>
      <c r="X3" s="73" t="str">
        <f>IFERROR(__xludf.DUMMYFUNCTION("GOOGLETRANSLATE(D3,""zh-tw"",""KO"")"),"결과")</f>
        <v>결과</v>
      </c>
      <c r="Y3" s="66" t="s">
        <v>217</v>
      </c>
      <c r="Z3" s="67" t="s">
        <v>227</v>
      </c>
      <c r="AA3" s="68" t="s">
        <v>228</v>
      </c>
      <c r="AB3" s="69" t="s">
        <v>229</v>
      </c>
      <c r="AC3" s="66" t="s">
        <v>217</v>
      </c>
      <c r="AD3" s="74" t="s">
        <v>230</v>
      </c>
      <c r="AE3" s="68" t="s">
        <v>231</v>
      </c>
      <c r="AF3" s="76" t="s">
        <v>232</v>
      </c>
      <c r="AG3" s="77" t="s">
        <v>233</v>
      </c>
      <c r="AH3" s="78" t="s">
        <v>234</v>
      </c>
      <c r="AI3" s="79" t="s">
        <v>235</v>
      </c>
      <c r="AJ3" s="80" t="s">
        <v>236</v>
      </c>
      <c r="AK3" s="66" t="s">
        <v>217</v>
      </c>
      <c r="AL3" s="67" t="s">
        <v>237</v>
      </c>
      <c r="AM3" s="68" t="s">
        <v>238</v>
      </c>
      <c r="AN3" s="69" t="s">
        <v>226</v>
      </c>
      <c r="AO3" s="69"/>
    </row>
    <row r="4">
      <c r="A4" s="81"/>
      <c r="B4" s="82"/>
      <c r="C4" s="82"/>
      <c r="D4" s="82"/>
      <c r="E4" s="81"/>
      <c r="F4" s="82"/>
      <c r="G4" s="82"/>
      <c r="H4" s="82"/>
      <c r="I4" s="81"/>
      <c r="J4" s="82"/>
      <c r="K4" s="82"/>
      <c r="L4" s="82"/>
      <c r="M4" s="20"/>
      <c r="N4" s="55"/>
      <c r="O4" s="55"/>
      <c r="P4" s="82"/>
      <c r="Q4" s="55"/>
      <c r="R4" s="82"/>
      <c r="S4" s="55"/>
      <c r="T4" s="55"/>
      <c r="U4" s="55"/>
      <c r="V4" s="82"/>
      <c r="W4" s="82"/>
      <c r="X4" s="82"/>
      <c r="Y4" s="82"/>
      <c r="Z4" s="82"/>
      <c r="AA4" s="82"/>
      <c r="AB4" s="82"/>
      <c r="AC4" s="82"/>
      <c r="AD4" s="82"/>
      <c r="AE4" s="82"/>
      <c r="AF4" s="82"/>
      <c r="AG4" s="83"/>
      <c r="AH4" s="83"/>
      <c r="AI4" s="83"/>
      <c r="AJ4" s="83"/>
      <c r="AK4" s="84"/>
      <c r="AL4" s="84"/>
      <c r="AM4" s="84"/>
      <c r="AN4" s="84"/>
      <c r="AO4" s="82"/>
    </row>
    <row r="5">
      <c r="A5" s="85" t="s">
        <v>239</v>
      </c>
      <c r="B5" s="86" t="s">
        <v>240</v>
      </c>
      <c r="E5" s="85" t="s">
        <v>239</v>
      </c>
      <c r="F5" s="85" t="s">
        <v>241</v>
      </c>
      <c r="I5" s="85" t="s">
        <v>239</v>
      </c>
      <c r="J5" s="85" t="s">
        <v>242</v>
      </c>
      <c r="M5" s="85" t="s">
        <v>239</v>
      </c>
      <c r="N5" s="86" t="str">
        <f>IFERROR(__xludf.DUMMYFUNCTION("GOOGLETRANSLATE(B5,""zh-tw"",""zh"")"),"平时相关")</f>
        <v>平时相关</v>
      </c>
      <c r="Q5" s="85" t="s">
        <v>239</v>
      </c>
      <c r="R5" s="85" t="s">
        <v>243</v>
      </c>
      <c r="U5" s="85" t="s">
        <v>239</v>
      </c>
      <c r="V5" s="85" t="s">
        <v>244</v>
      </c>
      <c r="Y5" s="85" t="s">
        <v>239</v>
      </c>
      <c r="Z5" s="85" t="s">
        <v>245</v>
      </c>
      <c r="AC5" s="85" t="s">
        <v>239</v>
      </c>
      <c r="AD5" s="85" t="s">
        <v>246</v>
      </c>
      <c r="AG5" s="87" t="s">
        <v>239</v>
      </c>
      <c r="AH5" s="86" t="s">
        <v>247</v>
      </c>
      <c r="AK5" s="86" t="s">
        <v>239</v>
      </c>
      <c r="AL5" s="86" t="s">
        <v>248</v>
      </c>
      <c r="AO5" s="86"/>
    </row>
    <row r="6">
      <c r="A6" s="88">
        <v>1.0</v>
      </c>
      <c r="B6" s="89" t="s">
        <v>249</v>
      </c>
      <c r="C6" s="90" t="s">
        <v>250</v>
      </c>
      <c r="D6" s="91" t="s">
        <v>251</v>
      </c>
      <c r="E6" s="88">
        <v>1.0</v>
      </c>
      <c r="F6" s="89" t="s">
        <v>252</v>
      </c>
      <c r="G6" s="90" t="str">
        <f>IFERROR(__xludf.DUMMYFUNCTION("GOOGLETRANSLATE(C6,""zh-tw"",""ja"")"),"妹を抱きしめて")</f>
        <v>妹を抱きしめて</v>
      </c>
      <c r="H6" s="91" t="s">
        <v>253</v>
      </c>
      <c r="I6" s="88">
        <v>1.0</v>
      </c>
      <c r="J6" s="89" t="s">
        <v>254</v>
      </c>
      <c r="K6" s="90" t="s">
        <v>255</v>
      </c>
      <c r="L6" s="91" t="s">
        <v>256</v>
      </c>
      <c r="M6" s="88">
        <v>1.0</v>
      </c>
      <c r="N6" s="92" t="str">
        <f>IFERROR(__xludf.DUMMYFUNCTION("GOOGLETRANSLATE(B6,""zh-tw"",""zh"")"),"开局选项")</f>
        <v>开局选项</v>
      </c>
      <c r="O6" s="93" t="str">
        <f>IFERROR(__xludf.DUMMYFUNCTION("GOOGLETRANSLATE(C6,""zh-tw"",""zh"")"),"抱住妹妹")</f>
        <v>抱住妹妹</v>
      </c>
      <c r="P6" s="61" t="s">
        <v>257</v>
      </c>
      <c r="Q6" s="88">
        <v>1.0</v>
      </c>
      <c r="R6" s="89" t="s">
        <v>258</v>
      </c>
      <c r="S6" s="93" t="str">
        <f>IFERROR(__xludf.DUMMYFUNCTION("GOOGLETRANSLATE(C6,""zh-tw"",""es-MX"")"),"Abraza a mi hermana")</f>
        <v>Abraza a mi hermana</v>
      </c>
      <c r="T6" s="59" t="s">
        <v>259</v>
      </c>
      <c r="U6" s="88">
        <v>1.0</v>
      </c>
      <c r="V6" s="89" t="s">
        <v>260</v>
      </c>
      <c r="W6" s="90" t="s">
        <v>261</v>
      </c>
      <c r="X6" s="91" t="s">
        <v>262</v>
      </c>
      <c r="Y6" s="88">
        <v>1.0</v>
      </c>
      <c r="Z6" s="94" t="s">
        <v>263</v>
      </c>
      <c r="AA6" s="95" t="s">
        <v>264</v>
      </c>
      <c r="AB6" s="53" t="s">
        <v>265</v>
      </c>
      <c r="AC6" s="88">
        <v>1.0</v>
      </c>
      <c r="AD6" s="89" t="s">
        <v>266</v>
      </c>
      <c r="AE6" s="90" t="s">
        <v>267</v>
      </c>
      <c r="AF6" s="91" t="s">
        <v>268</v>
      </c>
      <c r="AG6" s="88">
        <v>1.0</v>
      </c>
      <c r="AH6" s="89" t="s">
        <v>269</v>
      </c>
      <c r="AI6" s="90" t="s">
        <v>270</v>
      </c>
      <c r="AJ6" s="91" t="s">
        <v>271</v>
      </c>
      <c r="AK6" s="88">
        <v>1.0</v>
      </c>
      <c r="AL6" s="96" t="s">
        <v>272</v>
      </c>
      <c r="AM6" s="97" t="s">
        <v>273</v>
      </c>
      <c r="AN6" s="57" t="s">
        <v>274</v>
      </c>
      <c r="AO6" s="91"/>
    </row>
    <row r="7">
      <c r="C7" s="90" t="s">
        <v>275</v>
      </c>
      <c r="D7" s="91" t="s">
        <v>276</v>
      </c>
      <c r="G7" s="90" t="s">
        <v>277</v>
      </c>
      <c r="H7" s="91" t="s">
        <v>278</v>
      </c>
      <c r="K7" s="90" t="s">
        <v>279</v>
      </c>
      <c r="L7" s="91" t="s">
        <v>280</v>
      </c>
      <c r="O7" s="93" t="str">
        <f>IFERROR(__xludf.DUMMYFUNCTION("GOOGLETRANSLATE(C7,""zh-tw"",""zh"")"),"没事-&gt;小时候")</f>
        <v>没事-&gt;小时候</v>
      </c>
      <c r="P7" s="61" t="str">
        <f>IFERROR(__xludf.DUMMYFUNCTION("GOOGLETRANSLATE(D7,""zh-tw"",""zh"")"),"获得随机部分武器")</f>
        <v>获得随机部分武器</v>
      </c>
      <c r="S7" s="93" t="str">
        <f>IFERROR(__xludf.DUMMYFUNCTION("GOOGLETRANSLATE(C7,""zh-tw"",""es-MX"")"),"Está bien -&gt; cuando era niño")</f>
        <v>Está bien -&gt; cuando era niño</v>
      </c>
      <c r="T7" s="59" t="s">
        <v>281</v>
      </c>
      <c r="W7" s="98" t="s">
        <v>282</v>
      </c>
      <c r="X7" s="59" t="s">
        <v>283</v>
      </c>
      <c r="AA7" s="95" t="s">
        <v>284</v>
      </c>
      <c r="AB7" s="53" t="s">
        <v>285</v>
      </c>
      <c r="AE7" s="90" t="s">
        <v>286</v>
      </c>
      <c r="AF7" s="91" t="s">
        <v>287</v>
      </c>
      <c r="AI7" s="90" t="s">
        <v>288</v>
      </c>
      <c r="AJ7" s="91" t="s">
        <v>289</v>
      </c>
      <c r="AM7" s="97" t="s">
        <v>290</v>
      </c>
      <c r="AN7" s="57" t="s">
        <v>291</v>
      </c>
      <c r="AO7" s="91"/>
    </row>
    <row r="8">
      <c r="C8" s="90" t="s">
        <v>292</v>
      </c>
      <c r="D8" s="91" t="s">
        <v>293</v>
      </c>
      <c r="G8" s="90" t="s">
        <v>294</v>
      </c>
      <c r="H8" s="91" t="s">
        <v>295</v>
      </c>
      <c r="K8" s="90" t="s">
        <v>296</v>
      </c>
      <c r="L8" s="91" t="s">
        <v>297</v>
      </c>
      <c r="O8" s="93" t="str">
        <f>IFERROR(__xludf.DUMMYFUNCTION("GOOGLETRANSLATE(C8,""zh-tw"",""zh"")"),"没事-&gt;牛排餐")</f>
        <v>没事-&gt;牛排餐</v>
      </c>
      <c r="P8" s="61" t="str">
        <f>IFERROR(__xludf.DUMMYFUNCTION("GOOGLETRANSLATE(D8,""zh-tw"",""zh"")"),"约定:肉料理")</f>
        <v>约定:肉料理</v>
      </c>
      <c r="S8" s="93" t="str">
        <f>IFERROR(__xludf.DUMMYFUNCTION("GOOGLETRANSLATE(C8,""zh-tw"",""es-MX"")"),"Nada -&gt; Comida de bistec")</f>
        <v>Nada -&gt; Comida de bistec</v>
      </c>
      <c r="T8" s="59" t="s">
        <v>298</v>
      </c>
      <c r="W8" s="98" t="s">
        <v>299</v>
      </c>
      <c r="X8" s="59" t="s">
        <v>300</v>
      </c>
      <c r="AA8" s="95" t="s">
        <v>301</v>
      </c>
      <c r="AB8" s="53" t="s">
        <v>302</v>
      </c>
      <c r="AE8" s="90" t="s">
        <v>303</v>
      </c>
      <c r="AF8" s="91" t="s">
        <v>304</v>
      </c>
      <c r="AI8" s="90" t="s">
        <v>305</v>
      </c>
      <c r="AJ8" s="91" t="s">
        <v>306</v>
      </c>
      <c r="AM8" s="97" t="s">
        <v>307</v>
      </c>
      <c r="AN8" s="57" t="s">
        <v>308</v>
      </c>
      <c r="AO8" s="91"/>
    </row>
    <row r="9">
      <c r="C9" s="90" t="s">
        <v>309</v>
      </c>
      <c r="D9" s="91" t="s">
        <v>310</v>
      </c>
      <c r="G9" s="90" t="s">
        <v>311</v>
      </c>
      <c r="H9" s="91" t="s">
        <v>312</v>
      </c>
      <c r="K9" s="90" t="s">
        <v>313</v>
      </c>
      <c r="L9" s="91" t="s">
        <v>314</v>
      </c>
      <c r="O9" s="93" t="str">
        <f>IFERROR(__xludf.DUMMYFUNCTION("GOOGLETRANSLATE(C9,""zh-tw"",""zh"")"),"没事-&gt;忘光光")</f>
        <v>没事-&gt;忘光光</v>
      </c>
      <c r="P9" s="91" t="str">
        <f>IFERROR(__xludf.DUMMYFUNCTION("GOOGLETRANSLATE(D9,""zh-tw"",""zh"")"),"获得状态:总有一天会想起")</f>
        <v>获得状态:总有一天会想起</v>
      </c>
      <c r="S9" s="93" t="str">
        <f>IFERROR(__xludf.DUMMYFUNCTION("GOOGLETRANSLATE(C9,""zh-tw"",""es-MX"")"),"Está bien -&gt; Olvidé todo")</f>
        <v>Está bien -&gt; Olvidé todo</v>
      </c>
      <c r="T9" s="99" t="s">
        <v>315</v>
      </c>
      <c r="W9" s="98" t="s">
        <v>316</v>
      </c>
      <c r="X9" s="59" t="s">
        <v>317</v>
      </c>
      <c r="AA9" s="95" t="s">
        <v>318</v>
      </c>
      <c r="AB9" s="100" t="s">
        <v>319</v>
      </c>
      <c r="AE9" s="90" t="s">
        <v>320</v>
      </c>
      <c r="AF9" s="91" t="s">
        <v>321</v>
      </c>
      <c r="AI9" s="90" t="s">
        <v>322</v>
      </c>
      <c r="AJ9" s="91" t="s">
        <v>323</v>
      </c>
      <c r="AM9" s="97" t="s">
        <v>324</v>
      </c>
      <c r="AN9" s="57" t="s">
        <v>325</v>
      </c>
      <c r="AO9" s="91"/>
    </row>
    <row r="10">
      <c r="A10" s="88">
        <v>2.0</v>
      </c>
      <c r="B10" s="89" t="s">
        <v>326</v>
      </c>
      <c r="C10" s="90" t="s">
        <v>327</v>
      </c>
      <c r="D10" s="91" t="s">
        <v>328</v>
      </c>
      <c r="E10" s="88">
        <v>2.0</v>
      </c>
      <c r="F10" s="89" t="s">
        <v>329</v>
      </c>
      <c r="G10" s="90" t="s">
        <v>330</v>
      </c>
      <c r="H10" s="91" t="s">
        <v>331</v>
      </c>
      <c r="I10" s="88">
        <v>2.0</v>
      </c>
      <c r="J10" s="89" t="s">
        <v>332</v>
      </c>
      <c r="K10" s="90" t="s">
        <v>333</v>
      </c>
      <c r="L10" s="91" t="s">
        <v>334</v>
      </c>
      <c r="M10" s="88">
        <v>2.0</v>
      </c>
      <c r="N10" s="89" t="str">
        <f>IFERROR(__xludf.DUMMYFUNCTION("GOOGLETRANSLATE(B10,""zh-tw"",""zh"")"),"第一次的探险")</f>
        <v>第一次的探险</v>
      </c>
      <c r="O10" s="93" t="str">
        <f>IFERROR(__xludf.DUMMYFUNCTION("GOOGLETRANSLATE(C10,""zh-tw"",""zh"")"),"第一次开始探险时，妹妹会有特殊的对话")</f>
        <v>第一次开始探险时，妹妹会有特殊的对话</v>
      </c>
      <c r="P10" s="61" t="str">
        <f>IFERROR(__xludf.DUMMYFUNCTION("GOOGLETRANSLATE(D10,""zh-tw"",""zh"")"),"特殊对话")</f>
        <v>特殊对话</v>
      </c>
      <c r="Q10" s="88">
        <v>2.0</v>
      </c>
      <c r="R10" s="92" t="str">
        <f>IFERROR(__xludf.DUMMYFUNCTION("GOOGLETRANSLATE(B10,""zh-tw"",""es-MX"")"),"Primera expedición")</f>
        <v>Primera expedición</v>
      </c>
      <c r="S10" s="90" t="str">
        <f>IFERROR(__xludf.DUMMYFUNCTION("GOOGLETRANSLATE(C10,""zh-tw"",""es-MX"")"),"La hermana menor tendrá un diálogo especial cuando la aventura comience por primera vez.")</f>
        <v>La hermana menor tendrá un diálogo especial cuando la aventura comience por primera vez.</v>
      </c>
      <c r="T10" s="59" t="s">
        <v>335</v>
      </c>
      <c r="U10" s="88">
        <v>2.0</v>
      </c>
      <c r="V10" s="92" t="s">
        <v>336</v>
      </c>
      <c r="W10" s="98" t="s">
        <v>337</v>
      </c>
      <c r="X10" s="59" t="s">
        <v>338</v>
      </c>
      <c r="Y10" s="88">
        <v>2.0</v>
      </c>
      <c r="Z10" s="94" t="s">
        <v>339</v>
      </c>
      <c r="AA10" s="95" t="s">
        <v>340</v>
      </c>
      <c r="AB10" s="100" t="s">
        <v>341</v>
      </c>
      <c r="AC10" s="88">
        <v>2.0</v>
      </c>
      <c r="AD10" s="89" t="s">
        <v>342</v>
      </c>
      <c r="AE10" s="90" t="s">
        <v>343</v>
      </c>
      <c r="AF10" s="91" t="s">
        <v>344</v>
      </c>
      <c r="AG10" s="88">
        <v>2.0</v>
      </c>
      <c r="AH10" s="89" t="s">
        <v>345</v>
      </c>
      <c r="AI10" s="90" t="s">
        <v>346</v>
      </c>
      <c r="AJ10" s="91" t="s">
        <v>347</v>
      </c>
      <c r="AK10" s="88">
        <v>2.0</v>
      </c>
      <c r="AL10" s="96" t="s">
        <v>348</v>
      </c>
      <c r="AM10" s="97" t="s">
        <v>349</v>
      </c>
      <c r="AN10" s="57" t="s">
        <v>350</v>
      </c>
      <c r="AO10" s="91"/>
    </row>
    <row r="11">
      <c r="A11" s="88">
        <v>3.0</v>
      </c>
      <c r="B11" s="89" t="s">
        <v>293</v>
      </c>
      <c r="C11" s="90" t="s">
        <v>351</v>
      </c>
      <c r="D11" s="91" t="s">
        <v>352</v>
      </c>
      <c r="E11" s="88">
        <v>3.0</v>
      </c>
      <c r="F11" s="89" t="s">
        <v>353</v>
      </c>
      <c r="G11" s="90" t="s">
        <v>354</v>
      </c>
      <c r="H11" s="91" t="s">
        <v>355</v>
      </c>
      <c r="I11" s="88">
        <v>3.0</v>
      </c>
      <c r="J11" s="89" t="s">
        <v>356</v>
      </c>
      <c r="K11" s="90" t="s">
        <v>357</v>
      </c>
      <c r="L11" s="91" t="s">
        <v>358</v>
      </c>
      <c r="M11" s="88">
        <v>3.0</v>
      </c>
      <c r="N11" s="89" t="str">
        <f>IFERROR(__xludf.DUMMYFUNCTION("GOOGLETRANSLATE(B11,""zh-tw"",""zh"")"),"约定:肉料理")</f>
        <v>约定:肉料理</v>
      </c>
      <c r="O11" s="90" t="str">
        <f>IFERROR(__xludf.DUMMYFUNCTION("GOOGLETRANSLATE(C11,""zh-tw"",""zh"")"),"制作肉料理")</f>
        <v>制作肉料理</v>
      </c>
      <c r="P11" s="61" t="str">
        <f>IFERROR(__xludf.DUMMYFUNCTION("GOOGLETRANSLATE(D11,""zh-tw"",""zh"")"),"获得""少女的笑容""装备")</f>
        <v>获得"少女的笑容"装备</v>
      </c>
      <c r="Q11" s="88">
        <v>3.0</v>
      </c>
      <c r="R11" s="92" t="str">
        <f>IFERROR(__xludf.DUMMYFUNCTION("GOOGLETRANSLATE(B11,""zh-tw"",""es-MX"")"),"Acuerdo: Platos de carne")</f>
        <v>Acuerdo: Platos de carne</v>
      </c>
      <c r="S11" s="93" t="str">
        <f>IFERROR(__xludf.DUMMYFUNCTION("GOOGLETRANSLATE(C11,""zh-tw"",""es-MX"")"),"Preparar platos de carne")</f>
        <v>Preparar platos de carne</v>
      </c>
      <c r="T11" s="59" t="s">
        <v>359</v>
      </c>
      <c r="U11" s="88">
        <v>3.0</v>
      </c>
      <c r="V11" s="101" t="s">
        <v>360</v>
      </c>
      <c r="W11" s="98" t="s">
        <v>361</v>
      </c>
      <c r="X11" s="91" t="s">
        <v>362</v>
      </c>
      <c r="Y11" s="88">
        <v>3.0</v>
      </c>
      <c r="Z11" s="102" t="s">
        <v>363</v>
      </c>
      <c r="AA11" s="95" t="s">
        <v>364</v>
      </c>
      <c r="AB11" s="53" t="s">
        <v>365</v>
      </c>
      <c r="AC11" s="88">
        <v>3.0</v>
      </c>
      <c r="AD11" s="89" t="s">
        <v>366</v>
      </c>
      <c r="AE11" s="90" t="s">
        <v>367</v>
      </c>
      <c r="AF11" s="91" t="s">
        <v>368</v>
      </c>
      <c r="AG11" s="88">
        <v>3.0</v>
      </c>
      <c r="AH11" s="89" t="s">
        <v>369</v>
      </c>
      <c r="AI11" s="90" t="s">
        <v>370</v>
      </c>
      <c r="AJ11" s="91" t="s">
        <v>371</v>
      </c>
      <c r="AK11" s="88">
        <v>3.0</v>
      </c>
      <c r="AL11" s="96" t="s">
        <v>372</v>
      </c>
      <c r="AM11" s="97" t="s">
        <v>373</v>
      </c>
      <c r="AN11" s="57" t="s">
        <v>374</v>
      </c>
      <c r="AO11" s="91"/>
    </row>
    <row r="12">
      <c r="A12" s="88">
        <v>4.0</v>
      </c>
      <c r="B12" s="89" t="s">
        <v>375</v>
      </c>
      <c r="C12" s="90" t="s">
        <v>376</v>
      </c>
      <c r="D12" s="91" t="s">
        <v>377</v>
      </c>
      <c r="E12" s="88">
        <v>4.0</v>
      </c>
      <c r="F12" s="89" t="s">
        <v>378</v>
      </c>
      <c r="G12" s="9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1" t="s">
        <v>379</v>
      </c>
      <c r="I12" s="88">
        <v>4.0</v>
      </c>
      <c r="J12" s="89" t="s">
        <v>380</v>
      </c>
      <c r="K12" s="90" t="s">
        <v>381</v>
      </c>
      <c r="L12" s="91" t="s">
        <v>382</v>
      </c>
      <c r="M12" s="88">
        <v>4.0</v>
      </c>
      <c r="N12" s="89" t="str">
        <f>IFERROR(__xludf.DUMMYFUNCTION("GOOGLETRANSLATE(B12,""zh-tw"",""zh"")"),"约定:别受伤")</f>
        <v>约定:别受伤</v>
      </c>
      <c r="O12" s="9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1" t="str">
        <f>IFERROR(__xludf.DUMMYFUNCTION("GOOGLETRANSLATE(D12,""zh-tw"",""zh"")"),"获得""什么都行券""道具
后续未实装")</f>
        <v>获得"什么都行券"道具
后续未实装</v>
      </c>
      <c r="Q12" s="88">
        <v>4.0</v>
      </c>
      <c r="R12" s="89" t="str">
        <f>IFERROR(__xludf.DUMMYFUNCTION("GOOGLETRANSLATE(B12,""zh-tw"",""es-MX"")"),"Acuerdo: No te lastimes")</f>
        <v>Acuerdo: No te lastimes</v>
      </c>
      <c r="S12" s="93" t="s">
        <v>383</v>
      </c>
      <c r="T12" s="59" t="s">
        <v>384</v>
      </c>
      <c r="U12" s="88">
        <v>4.0</v>
      </c>
      <c r="V12" s="89" t="str">
        <f>IFERROR(__xludf.DUMMYFUNCTION("GOOGLETRANSLATE(B12,""zh-tw"",""KO"")"),"동의: 다치지 마세요")</f>
        <v>동의: 다치지 마세요</v>
      </c>
      <c r="W12" s="90" t="s">
        <v>385</v>
      </c>
      <c r="X12" s="91" t="s">
        <v>386</v>
      </c>
      <c r="Y12" s="88">
        <v>4.0</v>
      </c>
      <c r="Z12" s="94" t="s">
        <v>387</v>
      </c>
      <c r="AA12" s="95" t="s">
        <v>388</v>
      </c>
      <c r="AB12" s="53" t="s">
        <v>389</v>
      </c>
      <c r="AC12" s="88">
        <v>4.0</v>
      </c>
      <c r="AD12" s="89" t="s">
        <v>390</v>
      </c>
      <c r="AE12" s="90" t="s">
        <v>391</v>
      </c>
      <c r="AF12" s="91" t="s">
        <v>392</v>
      </c>
      <c r="AG12" s="88">
        <v>4.0</v>
      </c>
      <c r="AH12" s="89" t="s">
        <v>393</v>
      </c>
      <c r="AI12" s="90" t="s">
        <v>394</v>
      </c>
      <c r="AJ12" s="91" t="s">
        <v>395</v>
      </c>
      <c r="AK12" s="88">
        <v>4.0</v>
      </c>
      <c r="AL12" s="96" t="s">
        <v>396</v>
      </c>
      <c r="AM12" s="97" t="s">
        <v>397</v>
      </c>
      <c r="AN12" s="57" t="s">
        <v>398</v>
      </c>
      <c r="AO12" s="91"/>
    </row>
    <row r="13">
      <c r="A13" s="88">
        <v>5.0</v>
      </c>
      <c r="B13" s="89" t="s">
        <v>399</v>
      </c>
      <c r="C13" s="90" t="s">
        <v>400</v>
      </c>
      <c r="D13" s="91" t="s">
        <v>401</v>
      </c>
      <c r="E13" s="88">
        <v>5.0</v>
      </c>
      <c r="F13" s="89" t="s">
        <v>402</v>
      </c>
      <c r="G13" s="90" t="s">
        <v>403</v>
      </c>
      <c r="H13" s="91" t="s">
        <v>404</v>
      </c>
      <c r="I13" s="88">
        <v>5.0</v>
      </c>
      <c r="J13" s="89" t="s">
        <v>405</v>
      </c>
      <c r="K13" s="98" t="s">
        <v>406</v>
      </c>
      <c r="L13" s="59" t="s">
        <v>407</v>
      </c>
      <c r="M13" s="88">
        <v>5.0</v>
      </c>
      <c r="N13" s="89" t="str">
        <f>IFERROR(__xludf.DUMMYFUNCTION("GOOGLETRANSLATE(B13,""zh-tw"",""zh"")"),"约定:草莓牛奶")</f>
        <v>约定:草莓牛奶</v>
      </c>
      <c r="O13" s="9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1" t="str">
        <f>IFERROR(__xludf.DUMMYFUNCTION("GOOGLETRANSLATE(D13,""zh-tw"",""zh"")"),"需要在一日之内达成约定的承诺，否则妹妹的❤️ 会转为🖤
(未实装)")</f>
        <v>需要在一日之内达成约定的承诺，否则妹妹的❤️ 会转为🖤
(未实装)</v>
      </c>
      <c r="Q13" s="88">
        <v>5.0</v>
      </c>
      <c r="R13" s="89" t="s">
        <v>408</v>
      </c>
      <c r="S13" s="98" t="s">
        <v>409</v>
      </c>
      <c r="T13" s="59" t="s">
        <v>410</v>
      </c>
      <c r="U13" s="88">
        <v>5.0</v>
      </c>
      <c r="V13" s="92" t="str">
        <f>IFERROR(__xludf.DUMMYFUNCTION("GOOGLETRANSLATE(B13,""zh-tw"",""KO"")"),"계약: 딸기우유")</f>
        <v>계약: 딸기우유</v>
      </c>
      <c r="W13" s="93"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8">
        <v>5.0</v>
      </c>
      <c r="Z13" s="102" t="s">
        <v>411</v>
      </c>
      <c r="AA13" s="95" t="s">
        <v>412</v>
      </c>
      <c r="AB13" s="53" t="s">
        <v>413</v>
      </c>
      <c r="AC13" s="88">
        <v>5.0</v>
      </c>
      <c r="AD13" s="89" t="s">
        <v>414</v>
      </c>
      <c r="AE13" s="90" t="s">
        <v>415</v>
      </c>
      <c r="AF13" s="91" t="s">
        <v>416</v>
      </c>
      <c r="AG13" s="88">
        <v>5.0</v>
      </c>
      <c r="AH13" s="89" t="s">
        <v>417</v>
      </c>
      <c r="AI13" s="98" t="s">
        <v>418</v>
      </c>
      <c r="AJ13" s="91" t="s">
        <v>419</v>
      </c>
      <c r="AK13" s="88">
        <v>5.0</v>
      </c>
      <c r="AL13" s="96" t="s">
        <v>420</v>
      </c>
      <c r="AM13" s="97" t="s">
        <v>421</v>
      </c>
      <c r="AN13" s="57" t="s">
        <v>422</v>
      </c>
      <c r="AO13" s="91"/>
    </row>
    <row r="14" ht="69.0" customHeight="1">
      <c r="A14" s="88">
        <v>6.0</v>
      </c>
      <c r="B14" s="89" t="s">
        <v>423</v>
      </c>
      <c r="C14" s="90" t="s">
        <v>424</v>
      </c>
      <c r="D14" s="91" t="s">
        <v>425</v>
      </c>
      <c r="E14" s="88">
        <v>6.0</v>
      </c>
      <c r="F14" s="89" t="s">
        <v>426</v>
      </c>
      <c r="G14" s="90" t="s">
        <v>427</v>
      </c>
      <c r="H14" s="91" t="s">
        <v>428</v>
      </c>
      <c r="I14" s="88">
        <v>6.0</v>
      </c>
      <c r="J14" s="89" t="s">
        <v>429</v>
      </c>
      <c r="K14" s="90" t="s">
        <v>430</v>
      </c>
      <c r="L14" s="91" t="s">
        <v>431</v>
      </c>
      <c r="M14" s="88">
        <v>6.0</v>
      </c>
      <c r="N14" s="89" t="str">
        <f>IFERROR(__xludf.DUMMYFUNCTION("GOOGLETRANSLATE(B14,""zh-tw"",""zh"")"),"第一次带饮料")</f>
        <v>第一次带饮料</v>
      </c>
      <c r="O14" s="93" t="s">
        <v>432</v>
      </c>
      <c r="P14" s="61" t="str">
        <f>IFERROR(__xludf.DUMMYFUNCTION("GOOGLETRANSLATE(D14,""zh-tw"",""zh"")"),"解锁""喝点什么""选项")</f>
        <v>解锁"喝点什么"选项</v>
      </c>
      <c r="Q14" s="88">
        <v>6.0</v>
      </c>
      <c r="R14" s="92" t="str">
        <f>IFERROR(__xludf.DUMMYFUNCTION("GOOGLETRANSLATE(B14,""zh-tw"",""es-MX"")"),"Primera vez trayendo bebidas")</f>
        <v>Primera vez trayendo bebidas</v>
      </c>
      <c r="S14" s="9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8">
        <v>6.0</v>
      </c>
      <c r="V14" s="89" t="s">
        <v>434</v>
      </c>
      <c r="W14" s="98" t="s">
        <v>435</v>
      </c>
      <c r="X14" s="91" t="s">
        <v>436</v>
      </c>
      <c r="Y14" s="88">
        <v>6.0</v>
      </c>
      <c r="Z14" s="102" t="s">
        <v>437</v>
      </c>
      <c r="AA14" s="103" t="s">
        <v>438</v>
      </c>
      <c r="AB14" s="54" t="s">
        <v>439</v>
      </c>
      <c r="AC14" s="88">
        <v>6.0</v>
      </c>
      <c r="AD14" s="89" t="s">
        <v>440</v>
      </c>
      <c r="AE14" s="90" t="s">
        <v>441</v>
      </c>
      <c r="AF14" s="91" t="s">
        <v>442</v>
      </c>
      <c r="AG14" s="88">
        <v>6.0</v>
      </c>
      <c r="AH14" s="89" t="s">
        <v>443</v>
      </c>
      <c r="AI14" s="90" t="s">
        <v>444</v>
      </c>
      <c r="AJ14" s="91" t="s">
        <v>445</v>
      </c>
      <c r="AK14" s="88">
        <v>6.0</v>
      </c>
      <c r="AL14" s="96" t="s">
        <v>446</v>
      </c>
      <c r="AM14" s="97" t="s">
        <v>447</v>
      </c>
      <c r="AN14" s="57" t="s">
        <v>448</v>
      </c>
      <c r="AO14" s="91"/>
    </row>
    <row r="15">
      <c r="A15" s="88">
        <v>7.0</v>
      </c>
      <c r="B15" s="89" t="s">
        <v>449</v>
      </c>
      <c r="C15" s="90" t="s">
        <v>450</v>
      </c>
      <c r="D15" s="91" t="s">
        <v>451</v>
      </c>
      <c r="E15" s="88">
        <v>7.0</v>
      </c>
      <c r="F15" s="89" t="s">
        <v>452</v>
      </c>
      <c r="G15" s="90" t="s">
        <v>453</v>
      </c>
      <c r="H15" s="91" t="s">
        <v>454</v>
      </c>
      <c r="I15" s="88">
        <v>7.0</v>
      </c>
      <c r="J15" s="89" t="s">
        <v>455</v>
      </c>
      <c r="K15" s="90" t="s">
        <v>456</v>
      </c>
      <c r="L15" s="91" t="s">
        <v>457</v>
      </c>
      <c r="M15" s="88">
        <v>7.0</v>
      </c>
      <c r="N15" s="89" t="str">
        <f>IFERROR(__xludf.DUMMYFUNCTION("GOOGLETRANSLATE(B15,""zh-tw"",""zh"")"),"第一次死亡")</f>
        <v>第一次死亡</v>
      </c>
      <c r="O15" s="90" t="str">
        <f>IFERROR(__xludf.DUMMYFUNCTION("GOOGLETRANSLATE(C15,""zh-tw"",""zh"")"),"第一次死亡后，吃到妹妹料理")</f>
        <v>第一次死亡后，吃到妹妹料理</v>
      </c>
      <c r="P15" s="61" t="s">
        <v>458</v>
      </c>
      <c r="Q15" s="88">
        <v>7.0</v>
      </c>
      <c r="R15" s="92" t="s">
        <v>459</v>
      </c>
      <c r="S15" s="93"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8">
        <v>7.0</v>
      </c>
      <c r="V15" s="92" t="s">
        <v>460</v>
      </c>
      <c r="W15" s="98" t="s">
        <v>461</v>
      </c>
      <c r="X15" s="59" t="s">
        <v>462</v>
      </c>
      <c r="Y15" s="88">
        <v>7.0</v>
      </c>
      <c r="Z15" s="94" t="s">
        <v>463</v>
      </c>
      <c r="AA15" s="103" t="s">
        <v>464</v>
      </c>
      <c r="AB15" s="100" t="s">
        <v>465</v>
      </c>
      <c r="AC15" s="88">
        <v>7.0</v>
      </c>
      <c r="AD15" s="89" t="s">
        <v>466</v>
      </c>
      <c r="AE15" s="90" t="s">
        <v>467</v>
      </c>
      <c r="AF15" s="91" t="s">
        <v>468</v>
      </c>
      <c r="AG15" s="88">
        <v>7.0</v>
      </c>
      <c r="AH15" s="89" t="s">
        <v>469</v>
      </c>
      <c r="AI15" s="98" t="s">
        <v>470</v>
      </c>
      <c r="AJ15" s="91" t="s">
        <v>471</v>
      </c>
      <c r="AK15" s="88">
        <v>7.0</v>
      </c>
      <c r="AL15" s="96" t="s">
        <v>472</v>
      </c>
      <c r="AM15" s="97" t="s">
        <v>473</v>
      </c>
      <c r="AN15" s="57" t="s">
        <v>474</v>
      </c>
      <c r="AO15" s="91"/>
    </row>
    <row r="16">
      <c r="A16" s="88">
        <v>8.0</v>
      </c>
      <c r="B16" s="89" t="s">
        <v>475</v>
      </c>
      <c r="C16" s="90" t="s">
        <v>476</v>
      </c>
      <c r="D16" s="91" t="s">
        <v>477</v>
      </c>
      <c r="E16" s="88">
        <v>8.0</v>
      </c>
      <c r="F16" s="89" t="s">
        <v>478</v>
      </c>
      <c r="G16" s="90" t="s">
        <v>479</v>
      </c>
      <c r="H16" s="91" t="s">
        <v>480</v>
      </c>
      <c r="I16" s="88">
        <v>8.0</v>
      </c>
      <c r="J16" s="89" t="s">
        <v>481</v>
      </c>
      <c r="K16" s="90" t="s">
        <v>482</v>
      </c>
      <c r="L16" s="59" t="s">
        <v>483</v>
      </c>
      <c r="M16" s="88">
        <v>8.0</v>
      </c>
      <c r="N16" s="89" t="str">
        <f>IFERROR(__xludf.DUMMYFUNCTION("GOOGLETRANSLATE(B16,""zh-tw"",""zh"")"),"妹妹的料理")</f>
        <v>妹妹的料理</v>
      </c>
      <c r="O16" s="9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1" t="str">
        <f>IFERROR(__xludf.DUMMYFUNCTION("GOOGLETRANSLATE(D16,""zh-tw"",""zh"")"),"产生料理
P.S.想要吃掉你的选项，未实装")</f>
        <v>产生料理
P.S.想要吃掉你的选项，未实装</v>
      </c>
      <c r="Q16" s="88">
        <v>8.0</v>
      </c>
      <c r="R16" s="92" t="str">
        <f>IFERROR(__xludf.DUMMYFUNCTION("GOOGLETRANSLATE(B16,""zh-tw"",""es-MX"")"),"La cocina de mi hermana")</f>
        <v>La cocina de mi hermana</v>
      </c>
      <c r="S16" s="93"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8">
        <v>8.0</v>
      </c>
      <c r="V16" s="92" t="str">
        <f>IFERROR(__xludf.DUMMYFUNCTION("GOOGLETRANSLATE(B16,""zh-tw"",""KO"")"),"언니가 요리해요")</f>
        <v>언니가 요리해요</v>
      </c>
      <c r="W16" s="93"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8">
        <v>8.0</v>
      </c>
      <c r="Z16" s="104" t="str">
        <f>IFERROR(__xludf.DUMMYFUNCTION("IF(J16="""", """", GOOGLETRANSLATE(
J16,""en"",""ru""))"),"Кулинария Имото")</f>
        <v>Кулинария Имото</v>
      </c>
      <c r="AA16" s="105"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8">
        <v>8.0</v>
      </c>
      <c r="AD16" s="89" t="s">
        <v>484</v>
      </c>
      <c r="AE16" s="90" t="s">
        <v>485</v>
      </c>
      <c r="AF16" s="91" t="s">
        <v>486</v>
      </c>
      <c r="AG16" s="88">
        <v>8.0</v>
      </c>
      <c r="AH16" s="101" t="s">
        <v>487</v>
      </c>
      <c r="AI16" s="90" t="s">
        <v>488</v>
      </c>
      <c r="AJ16" s="59" t="s">
        <v>489</v>
      </c>
      <c r="AK16" s="88">
        <v>8.0</v>
      </c>
      <c r="AL16" s="96" t="s">
        <v>490</v>
      </c>
      <c r="AM16" s="97" t="s">
        <v>491</v>
      </c>
      <c r="AN16" s="56" t="s">
        <v>492</v>
      </c>
      <c r="AO16" s="91"/>
    </row>
    <row r="17">
      <c r="A17" s="88">
        <v>9.0</v>
      </c>
      <c r="B17" s="89" t="s">
        <v>493</v>
      </c>
      <c r="C17" s="90" t="s">
        <v>494</v>
      </c>
      <c r="D17" s="91" t="s">
        <v>495</v>
      </c>
      <c r="E17" s="88">
        <v>9.0</v>
      </c>
      <c r="F17" s="89" t="s">
        <v>496</v>
      </c>
      <c r="G17" s="90" t="s">
        <v>497</v>
      </c>
      <c r="H17" s="91" t="s">
        <v>498</v>
      </c>
      <c r="I17" s="88">
        <v>9.0</v>
      </c>
      <c r="J17" s="89" t="s">
        <v>499</v>
      </c>
      <c r="K17" s="90" t="s">
        <v>500</v>
      </c>
      <c r="L17" s="91" t="s">
        <v>501</v>
      </c>
      <c r="M17" s="88">
        <v>9.0</v>
      </c>
      <c r="N17" s="89" t="str">
        <f>IFERROR(__xludf.DUMMYFUNCTION("GOOGLETRANSLATE(B17,""zh-tw"",""zh"")"),"制作辣料理")</f>
        <v>制作辣料理</v>
      </c>
      <c r="O17" s="93" t="str">
        <f>IFERROR(__xludf.DUMMYFUNCTION("GOOGLETRANSLATE(C17,""zh-tw"",""zh"")"),"妹妹被辣哭")</f>
        <v>妹妹被辣哭</v>
      </c>
      <c r="P17" s="91" t="str">
        <f>IFERROR(__xludf.DUMMYFUNCTION("GOOGLETRANSLATE(D17,""zh-tw"",""zh"")"),"触发被辣哭的剧情")</f>
        <v>触发被辣哭的剧情</v>
      </c>
      <c r="Q17" s="88">
        <v>9.0</v>
      </c>
      <c r="R17" s="89" t="s">
        <v>502</v>
      </c>
      <c r="S17" s="90" t="s">
        <v>503</v>
      </c>
      <c r="T17" s="61" t="s">
        <v>504</v>
      </c>
      <c r="U17" s="88">
        <v>9.0</v>
      </c>
      <c r="V17" s="92" t="str">
        <f>IFERROR(__xludf.DUMMYFUNCTION("GOOGLETRANSLATE(B17,""zh-tw"",""KO"")"),"매운 요리 만들기")</f>
        <v>매운 요리 만들기</v>
      </c>
      <c r="W17" s="93"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8">
        <v>9.0</v>
      </c>
      <c r="Z17" s="102" t="s">
        <v>505</v>
      </c>
      <c r="AA17" s="95" t="s">
        <v>506</v>
      </c>
      <c r="AB17" s="53" t="s">
        <v>507</v>
      </c>
      <c r="AC17" s="88">
        <v>9.0</v>
      </c>
      <c r="AD17" s="89" t="s">
        <v>508</v>
      </c>
      <c r="AE17" s="90" t="s">
        <v>509</v>
      </c>
      <c r="AF17" s="91" t="s">
        <v>510</v>
      </c>
      <c r="AG17" s="88">
        <v>9.0</v>
      </c>
      <c r="AH17" s="89" t="s">
        <v>511</v>
      </c>
      <c r="AI17" s="90" t="s">
        <v>512</v>
      </c>
      <c r="AJ17" s="91" t="s">
        <v>513</v>
      </c>
      <c r="AK17" s="88">
        <v>9.0</v>
      </c>
      <c r="AL17" s="96" t="s">
        <v>514</v>
      </c>
      <c r="AM17" s="97" t="s">
        <v>515</v>
      </c>
      <c r="AN17" s="57" t="s">
        <v>516</v>
      </c>
      <c r="AO17" s="91"/>
    </row>
    <row r="18">
      <c r="A18" s="88">
        <v>10.0</v>
      </c>
      <c r="B18" s="89" t="s">
        <v>517</v>
      </c>
      <c r="C18" s="98" t="s">
        <v>518</v>
      </c>
      <c r="D18" s="91" t="s">
        <v>519</v>
      </c>
      <c r="E18" s="88">
        <v>10.0</v>
      </c>
      <c r="F18" s="89" t="s">
        <v>520</v>
      </c>
      <c r="G18" s="90" t="s">
        <v>521</v>
      </c>
      <c r="H18" s="91" t="s">
        <v>522</v>
      </c>
      <c r="I18" s="88">
        <v>10.0</v>
      </c>
      <c r="J18" s="89" t="s">
        <v>523</v>
      </c>
      <c r="K18" s="90" t="s">
        <v>524</v>
      </c>
      <c r="L18" s="91" t="s">
        <v>525</v>
      </c>
      <c r="M18" s="88">
        <v>10.0</v>
      </c>
      <c r="N18" s="89" t="str">
        <f>IFERROR(__xludf.DUMMYFUNCTION("GOOGLETRANSLATE(B18,""zh-tw"",""zh"")"),"解除辣味危机")</f>
        <v>解除辣味危机</v>
      </c>
      <c r="O18" s="93" t="str">
        <f>IFERROR(__xludf.DUMMYFUNCTION("GOOGLETRANSLATE(C18,""zh-tw"",""zh"")"),"妹妹会被辣到趴在床上，需要解除辣味")</f>
        <v>妹妹会被辣到趴在床上，需要解除辣味</v>
      </c>
      <c r="P18" s="91" t="str">
        <f>IFERROR(__xludf.DUMMYFUNCTION("GOOGLETRANSLATE(D18,""zh-tw"",""zh"")"),"触发解除辣味的选项")</f>
        <v>触发解除辣味的选项</v>
      </c>
      <c r="Q18" s="88">
        <v>10.0</v>
      </c>
      <c r="R18" s="89" t="s">
        <v>526</v>
      </c>
      <c r="S18" s="90" t="s">
        <v>527</v>
      </c>
      <c r="T18" s="61" t="s">
        <v>528</v>
      </c>
      <c r="U18" s="88">
        <v>10.0</v>
      </c>
      <c r="V18" s="92" t="str">
        <f>IFERROR(__xludf.DUMMYFUNCTION("GOOGLETRANSLATE(B18,""zh-tw"",""KO"")"),"매운맛 위기를 없애다")</f>
        <v>매운맛 위기를 없애다</v>
      </c>
      <c r="W18" s="93"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8">
        <v>10.0</v>
      </c>
      <c r="Z18" s="102" t="s">
        <v>529</v>
      </c>
      <c r="AA18" s="95" t="s">
        <v>530</v>
      </c>
      <c r="AB18" s="53" t="s">
        <v>531</v>
      </c>
      <c r="AC18" s="88">
        <v>10.0</v>
      </c>
      <c r="AD18" s="89" t="s">
        <v>532</v>
      </c>
      <c r="AE18" s="90" t="s">
        <v>533</v>
      </c>
      <c r="AF18" s="91" t="s">
        <v>534</v>
      </c>
      <c r="AG18" s="88">
        <v>10.0</v>
      </c>
      <c r="AH18" s="89" t="s">
        <v>535</v>
      </c>
      <c r="AI18" s="90" t="s">
        <v>536</v>
      </c>
      <c r="AJ18" s="91" t="s">
        <v>537</v>
      </c>
      <c r="AK18" s="88">
        <v>10.0</v>
      </c>
      <c r="AL18" s="96" t="s">
        <v>538</v>
      </c>
      <c r="AM18" s="97" t="s">
        <v>539</v>
      </c>
      <c r="AN18" s="57" t="s">
        <v>540</v>
      </c>
      <c r="AO18" s="91"/>
    </row>
    <row r="19">
      <c r="A19" s="88">
        <v>11.0</v>
      </c>
      <c r="B19" s="89" t="s">
        <v>541</v>
      </c>
      <c r="C19" s="90" t="s">
        <v>542</v>
      </c>
      <c r="D19" s="91" t="s">
        <v>543</v>
      </c>
      <c r="E19" s="88">
        <v>11.0</v>
      </c>
      <c r="F19" s="89" t="s">
        <v>544</v>
      </c>
      <c r="G19" s="90" t="s">
        <v>545</v>
      </c>
      <c r="H19" s="91" t="s">
        <v>546</v>
      </c>
      <c r="I19" s="88">
        <v>11.0</v>
      </c>
      <c r="J19" s="89" t="s">
        <v>547</v>
      </c>
      <c r="K19" s="90" t="s">
        <v>548</v>
      </c>
      <c r="L19" s="91" t="s">
        <v>549</v>
      </c>
      <c r="M19" s="88">
        <v>11.0</v>
      </c>
      <c r="N19" s="89" t="str">
        <f>IFERROR(__xludf.DUMMYFUNCTION("GOOGLETRANSLATE(B19,""zh-tw"",""zh"")"),"红肿的小嘴-1")</f>
        <v>红肿的小嘴-1</v>
      </c>
      <c r="O19" s="9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1" t="str">
        <f>IFERROR(__xludf.DUMMYFUNCTION("GOOGLETRANSLATE(D19,""zh-tw"",""zh"")"),"触发被拒绝检查口腔的剧情")</f>
        <v>触发被拒绝检查口腔的剧情</v>
      </c>
      <c r="Q19" s="88">
        <v>11.0</v>
      </c>
      <c r="R19" s="89" t="s">
        <v>550</v>
      </c>
      <c r="S19" s="90" t="s">
        <v>551</v>
      </c>
      <c r="T19" s="61" t="s">
        <v>552</v>
      </c>
      <c r="U19" s="88">
        <v>11.0</v>
      </c>
      <c r="V19" s="92" t="str">
        <f>IFERROR(__xludf.DUMMYFUNCTION("GOOGLETRANSLATE(B19,""zh-tw"",""KO"")"),"부어오른 작은 입 - 1")</f>
        <v>부어오른 작은 입 - 1</v>
      </c>
      <c r="W19" s="9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8">
        <v>11.0</v>
      </c>
      <c r="Z19" s="102" t="s">
        <v>553</v>
      </c>
      <c r="AA19" s="95" t="s">
        <v>554</v>
      </c>
      <c r="AB19" s="53" t="s">
        <v>555</v>
      </c>
      <c r="AC19" s="88">
        <v>11.0</v>
      </c>
      <c r="AD19" s="89" t="s">
        <v>556</v>
      </c>
      <c r="AE19" s="90" t="s">
        <v>557</v>
      </c>
      <c r="AF19" s="91" t="s">
        <v>558</v>
      </c>
      <c r="AG19" s="88">
        <v>11.0</v>
      </c>
      <c r="AH19" s="89" t="s">
        <v>559</v>
      </c>
      <c r="AI19" s="90" t="s">
        <v>560</v>
      </c>
      <c r="AJ19" s="91" t="s">
        <v>561</v>
      </c>
      <c r="AK19" s="88">
        <v>11.0</v>
      </c>
      <c r="AL19" s="96" t="s">
        <v>562</v>
      </c>
      <c r="AM19" s="97" t="s">
        <v>563</v>
      </c>
      <c r="AN19" s="57" t="s">
        <v>564</v>
      </c>
      <c r="AO19" s="91"/>
    </row>
    <row r="20">
      <c r="A20" s="88">
        <v>12.0</v>
      </c>
      <c r="B20" s="89" t="s">
        <v>565</v>
      </c>
      <c r="C20" s="90" t="s">
        <v>566</v>
      </c>
      <c r="D20" s="91" t="s">
        <v>567</v>
      </c>
      <c r="E20" s="88">
        <v>12.0</v>
      </c>
      <c r="F20" s="89" t="s">
        <v>568</v>
      </c>
      <c r="G20" s="90" t="s">
        <v>569</v>
      </c>
      <c r="H20" s="91" t="s">
        <v>570</v>
      </c>
      <c r="I20" s="88">
        <v>12.0</v>
      </c>
      <c r="J20" s="89" t="s">
        <v>571</v>
      </c>
      <c r="K20" s="90" t="s">
        <v>572</v>
      </c>
      <c r="L20" s="59" t="s">
        <v>573</v>
      </c>
      <c r="M20" s="88">
        <v>12.0</v>
      </c>
      <c r="N20" s="89" t="str">
        <f>IFERROR(__xludf.DUMMYFUNCTION("GOOGLETRANSLATE(B20,""zh-tw"",""zh"")"),"红肿的小嘴-2")</f>
        <v>红肿的小嘴-2</v>
      </c>
      <c r="O20" s="93" t="str">
        <f>IFERROR(__xludf.DUMMYFUNCTION("GOOGLETRANSLATE(C20,""zh-tw"",""zh"")"),"同上，妹妹紫心高于3时，可以触发口腔检查的后续剧情")</f>
        <v>同上，妹妹紫心高于3时，可以触发口腔检查的后续剧情</v>
      </c>
      <c r="P20" s="91" t="str">
        <f>IFERROR(__xludf.DUMMYFUNCTION("GOOGLETRANSLATE(D20,""zh-tw"",""zh"")"),"触发检查口腔的剧情")</f>
        <v>触发检查口腔的剧情</v>
      </c>
      <c r="Q20" s="88">
        <v>12.0</v>
      </c>
      <c r="R20" s="89" t="s">
        <v>574</v>
      </c>
      <c r="S20" s="90" t="s">
        <v>575</v>
      </c>
      <c r="T20" s="61" t="s">
        <v>576</v>
      </c>
      <c r="U20" s="88">
        <v>12.0</v>
      </c>
      <c r="V20" s="92" t="str">
        <f>IFERROR(__xludf.DUMMYFUNCTION("GOOGLETRANSLATE(B20,""zh-tw"",""KO"")"),"부어오른 작은 입 - 2")</f>
        <v>부어오른 작은 입 - 2</v>
      </c>
      <c r="W20" s="9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8">
        <v>12.0</v>
      </c>
      <c r="Z20" s="102" t="s">
        <v>577</v>
      </c>
      <c r="AA20" s="95" t="s">
        <v>578</v>
      </c>
      <c r="AB20" s="53" t="s">
        <v>579</v>
      </c>
      <c r="AC20" s="88">
        <v>12.0</v>
      </c>
      <c r="AD20" s="89" t="s">
        <v>580</v>
      </c>
      <c r="AE20" s="90" t="s">
        <v>581</v>
      </c>
      <c r="AF20" s="91" t="s">
        <v>582</v>
      </c>
      <c r="AG20" s="88">
        <v>12.0</v>
      </c>
      <c r="AH20" s="89" t="s">
        <v>583</v>
      </c>
      <c r="AI20" s="90" t="s">
        <v>584</v>
      </c>
      <c r="AJ20" s="91" t="s">
        <v>585</v>
      </c>
      <c r="AK20" s="88">
        <v>12.0</v>
      </c>
      <c r="AL20" s="96" t="s">
        <v>586</v>
      </c>
      <c r="AM20" s="97" t="s">
        <v>587</v>
      </c>
      <c r="AN20" s="57" t="s">
        <v>588</v>
      </c>
      <c r="AO20" s="91"/>
    </row>
    <row r="21">
      <c r="A21" s="88">
        <v>13.0</v>
      </c>
      <c r="B21" s="89" t="s">
        <v>589</v>
      </c>
      <c r="C21" s="98" t="s">
        <v>590</v>
      </c>
      <c r="D21" s="91" t="s">
        <v>591</v>
      </c>
      <c r="E21" s="88">
        <v>13.0</v>
      </c>
      <c r="F21" s="89" t="s">
        <v>592</v>
      </c>
      <c r="G21" s="90" t="s">
        <v>593</v>
      </c>
      <c r="H21" s="91" t="s">
        <v>594</v>
      </c>
      <c r="I21" s="88">
        <v>13.0</v>
      </c>
      <c r="J21" s="89" t="s">
        <v>595</v>
      </c>
      <c r="K21" s="98" t="s">
        <v>596</v>
      </c>
      <c r="L21" s="91" t="s">
        <v>597</v>
      </c>
      <c r="M21" s="88">
        <v>13.0</v>
      </c>
      <c r="N21" s="89" t="str">
        <f>IFERROR(__xludf.DUMMYFUNCTION("GOOGLETRANSLATE(B21,""zh-tw"",""zh"")"),"呆毛")</f>
        <v>呆毛</v>
      </c>
      <c r="O21" s="9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8">
        <v>13.0</v>
      </c>
      <c r="R21" s="92" t="s">
        <v>595</v>
      </c>
      <c r="S21" s="93" t="s">
        <v>599</v>
      </c>
      <c r="T21" s="59" t="s">
        <v>600</v>
      </c>
      <c r="U21" s="88">
        <v>13.0</v>
      </c>
      <c r="V21" s="89" t="s">
        <v>601</v>
      </c>
      <c r="W21" s="98" t="s">
        <v>602</v>
      </c>
      <c r="X21" s="59" t="s">
        <v>603</v>
      </c>
      <c r="Y21" s="88">
        <v>13.0</v>
      </c>
      <c r="Z21" s="94" t="s">
        <v>604</v>
      </c>
      <c r="AA21" s="95" t="s">
        <v>605</v>
      </c>
      <c r="AB21" s="53" t="s">
        <v>606</v>
      </c>
      <c r="AC21" s="88">
        <v>13.0</v>
      </c>
      <c r="AD21" s="89" t="s">
        <v>607</v>
      </c>
      <c r="AE21" s="90" t="s">
        <v>608</v>
      </c>
      <c r="AF21" s="91" t="s">
        <v>609</v>
      </c>
      <c r="AG21" s="88">
        <v>13.0</v>
      </c>
      <c r="AH21" s="89" t="s">
        <v>595</v>
      </c>
      <c r="AI21" s="90" t="s">
        <v>610</v>
      </c>
      <c r="AJ21" s="91" t="s">
        <v>611</v>
      </c>
      <c r="AK21" s="88">
        <v>13.0</v>
      </c>
      <c r="AL21" s="96" t="s">
        <v>595</v>
      </c>
      <c r="AM21" s="97" t="s">
        <v>612</v>
      </c>
      <c r="AN21" s="57" t="s">
        <v>613</v>
      </c>
      <c r="AO21" s="91"/>
    </row>
    <row r="22">
      <c r="A22" s="88">
        <v>14.0</v>
      </c>
      <c r="B22" s="89" t="s">
        <v>614</v>
      </c>
      <c r="C22" s="90" t="s">
        <v>615</v>
      </c>
      <c r="D22" s="91" t="s">
        <v>616</v>
      </c>
      <c r="E22" s="88">
        <v>14.0</v>
      </c>
      <c r="F22" s="89" t="s">
        <v>617</v>
      </c>
      <c r="G22" s="90" t="s">
        <v>618</v>
      </c>
      <c r="H22" s="91" t="s">
        <v>619</v>
      </c>
      <c r="I22" s="88">
        <v>14.0</v>
      </c>
      <c r="J22" s="89" t="s">
        <v>620</v>
      </c>
      <c r="K22" s="90" t="s">
        <v>621</v>
      </c>
      <c r="L22" s="91" t="s">
        <v>622</v>
      </c>
      <c r="M22" s="88">
        <v>14.0</v>
      </c>
      <c r="N22" s="89" t="str">
        <f>IFERROR(__xludf.DUMMYFUNCTION("GOOGLETRANSLATE(B22,""zh-tw"",""zh"")"),"浑身恶臭-1")</f>
        <v>浑身恶臭-1</v>
      </c>
      <c r="O22" s="93" t="str">
        <f>IFERROR(__xludf.DUMMYFUNCTION("GOOGLETRANSLATE(C22,""zh-tw"",""zh"")"),"装备""臭鱼骨""回家时可触发")</f>
        <v>装备"臭鱼骨"回家时可触发</v>
      </c>
      <c r="P22" s="91" t="str">
        <f>IFERROR(__xludf.DUMMYFUNCTION("GOOGLETRANSLATE(D22,""zh-tw"",""zh"")"),"触发""哥哥好臭""事件")</f>
        <v>触发"哥哥好臭"事件</v>
      </c>
      <c r="Q22" s="88">
        <v>14.0</v>
      </c>
      <c r="R22" s="92" t="s">
        <v>623</v>
      </c>
      <c r="S22" s="93"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8">
        <v>14.0</v>
      </c>
      <c r="V22" s="101" t="s">
        <v>624</v>
      </c>
      <c r="W22" s="98" t="s">
        <v>625</v>
      </c>
      <c r="X22" s="59" t="s">
        <v>626</v>
      </c>
      <c r="Y22" s="88">
        <v>14.0</v>
      </c>
      <c r="Z22" s="94" t="s">
        <v>627</v>
      </c>
      <c r="AA22" s="95" t="s">
        <v>628</v>
      </c>
      <c r="AB22" s="53" t="s">
        <v>629</v>
      </c>
      <c r="AC22" s="88">
        <v>14.0</v>
      </c>
      <c r="AD22" s="89" t="s">
        <v>630</v>
      </c>
      <c r="AE22" s="90" t="s">
        <v>631</v>
      </c>
      <c r="AF22" s="91" t="s">
        <v>632</v>
      </c>
      <c r="AG22" s="88">
        <v>14.0</v>
      </c>
      <c r="AH22" s="89" t="s">
        <v>633</v>
      </c>
      <c r="AI22" s="90" t="s">
        <v>634</v>
      </c>
      <c r="AJ22" s="91" t="s">
        <v>635</v>
      </c>
      <c r="AK22" s="88">
        <v>14.0</v>
      </c>
      <c r="AL22" s="96" t="s">
        <v>636</v>
      </c>
      <c r="AM22" s="97" t="s">
        <v>637</v>
      </c>
      <c r="AN22" s="57" t="s">
        <v>638</v>
      </c>
      <c r="AO22" s="91"/>
    </row>
    <row r="23">
      <c r="A23" s="88">
        <v>15.0</v>
      </c>
      <c r="B23" s="89" t="s">
        <v>639</v>
      </c>
      <c r="C23" s="90" t="s">
        <v>640</v>
      </c>
      <c r="D23" s="91" t="s">
        <v>641</v>
      </c>
      <c r="E23" s="88">
        <v>15.0</v>
      </c>
      <c r="F23" s="89" t="s">
        <v>642</v>
      </c>
      <c r="G23" s="90" t="s">
        <v>643</v>
      </c>
      <c r="H23" s="91" t="s">
        <v>644</v>
      </c>
      <c r="I23" s="88">
        <v>15.0</v>
      </c>
      <c r="J23" s="89" t="s">
        <v>645</v>
      </c>
      <c r="K23" s="90" t="s">
        <v>646</v>
      </c>
      <c r="L23" s="91" t="s">
        <v>647</v>
      </c>
      <c r="M23" s="88">
        <v>15.0</v>
      </c>
      <c r="N23" s="89" t="str">
        <f>IFERROR(__xludf.DUMMYFUNCTION("GOOGLETRANSLATE(B23,""zh-tw"",""zh"")"),"浑身恶臭-2")</f>
        <v>浑身恶臭-2</v>
      </c>
      <c r="O23" s="93" t="str">
        <f>IFERROR(__xludf.DUMMYFUNCTION("GOOGLETRANSLATE(C23,""zh-tw"",""zh"")"),"哥哥不洗澡一段时间")</f>
        <v>哥哥不洗澡一段时间</v>
      </c>
      <c r="P23" s="61" t="str">
        <f>IFERROR(__xludf.DUMMYFUNCTION("GOOGLETRANSLATE(D23,""zh-tw"",""zh"")"),"未实装")</f>
        <v>未实装</v>
      </c>
      <c r="Q23" s="88">
        <v>15.0</v>
      </c>
      <c r="R23" s="89" t="s">
        <v>648</v>
      </c>
      <c r="S23" s="98" t="s">
        <v>649</v>
      </c>
      <c r="T23" s="59" t="s">
        <v>650</v>
      </c>
      <c r="U23" s="88">
        <v>15.0</v>
      </c>
      <c r="V23" s="101" t="s">
        <v>651</v>
      </c>
      <c r="W23" s="98" t="s">
        <v>652</v>
      </c>
      <c r="X23" s="106" t="s">
        <v>653</v>
      </c>
      <c r="Y23" s="88">
        <v>15.0</v>
      </c>
      <c r="Z23" s="94" t="s">
        <v>654</v>
      </c>
      <c r="AA23" s="103" t="s">
        <v>655</v>
      </c>
      <c r="AB23" s="53" t="s">
        <v>656</v>
      </c>
      <c r="AC23" s="88">
        <v>15.0</v>
      </c>
      <c r="AD23" s="89" t="s">
        <v>657</v>
      </c>
      <c r="AE23" s="90" t="s">
        <v>658</v>
      </c>
      <c r="AF23" s="91" t="s">
        <v>659</v>
      </c>
      <c r="AG23" s="88">
        <v>15.0</v>
      </c>
      <c r="AH23" s="89" t="s">
        <v>660</v>
      </c>
      <c r="AI23" s="90" t="s">
        <v>661</v>
      </c>
      <c r="AJ23" s="91" t="s">
        <v>662</v>
      </c>
      <c r="AK23" s="88">
        <v>15.0</v>
      </c>
      <c r="AL23" s="96" t="s">
        <v>663</v>
      </c>
      <c r="AM23" s="97" t="s">
        <v>664</v>
      </c>
      <c r="AN23" s="57" t="s">
        <v>665</v>
      </c>
      <c r="AO23" s="91"/>
    </row>
    <row r="24">
      <c r="A24" s="88">
        <v>16.0</v>
      </c>
      <c r="B24" s="89" t="s">
        <v>666</v>
      </c>
      <c r="C24" s="90" t="s">
        <v>667</v>
      </c>
      <c r="D24" s="91" t="s">
        <v>668</v>
      </c>
      <c r="E24" s="88">
        <v>16.0</v>
      </c>
      <c r="F24" s="89" t="s">
        <v>669</v>
      </c>
      <c r="G24" s="90" t="s">
        <v>670</v>
      </c>
      <c r="H24" s="91" t="s">
        <v>671</v>
      </c>
      <c r="I24" s="88">
        <v>16.0</v>
      </c>
      <c r="J24" s="89" t="s">
        <v>672</v>
      </c>
      <c r="K24" s="90" t="s">
        <v>673</v>
      </c>
      <c r="L24" s="91" t="s">
        <v>674</v>
      </c>
      <c r="M24" s="88">
        <v>16.0</v>
      </c>
      <c r="N24" s="89" t="str">
        <f>IFERROR(__xludf.DUMMYFUNCTION("GOOGLETRANSLATE(B24,""zh-tw"",""zh"")"),"洗完澡来喝点")</f>
        <v>洗完澡来喝点</v>
      </c>
      <c r="O24" s="93" t="str">
        <f>IFERROR(__xludf.DUMMYFUNCTION("GOOGLETRANSLATE(C24,""zh-tw"",""zh"")"),"当身上有牛奶时，洗澡后机率触发喝牛奶")</f>
        <v>当身上有牛奶时，洗澡后机率触发喝牛奶</v>
      </c>
      <c r="P24" s="61" t="str">
        <f>IFERROR(__xludf.DUMMYFUNCTION("GOOGLETRANSLATE(D24,""zh-tw"",""zh"")"),"特殊动画")</f>
        <v>特殊动画</v>
      </c>
      <c r="Q24" s="88">
        <v>16.0</v>
      </c>
      <c r="R24" s="101" t="s">
        <v>675</v>
      </c>
      <c r="S24" s="93" t="s">
        <v>676</v>
      </c>
      <c r="T24" s="59" t="s">
        <v>677</v>
      </c>
      <c r="U24" s="88">
        <v>16.0</v>
      </c>
      <c r="V24" s="101" t="s">
        <v>678</v>
      </c>
      <c r="W24" s="98" t="s">
        <v>679</v>
      </c>
      <c r="X24" s="59" t="s">
        <v>680</v>
      </c>
      <c r="Y24" s="88">
        <v>16.0</v>
      </c>
      <c r="Z24" s="94" t="s">
        <v>681</v>
      </c>
      <c r="AA24" s="95" t="s">
        <v>682</v>
      </c>
      <c r="AB24" s="53" t="s">
        <v>683</v>
      </c>
      <c r="AC24" s="88">
        <v>16.0</v>
      </c>
      <c r="AD24" s="89" t="s">
        <v>684</v>
      </c>
      <c r="AE24" s="90" t="s">
        <v>685</v>
      </c>
      <c r="AF24" s="91" t="s">
        <v>686</v>
      </c>
      <c r="AG24" s="88">
        <v>16.0</v>
      </c>
      <c r="AH24" s="89" t="s">
        <v>687</v>
      </c>
      <c r="AI24" s="90" t="s">
        <v>688</v>
      </c>
      <c r="AJ24" s="91" t="s">
        <v>689</v>
      </c>
      <c r="AK24" s="88">
        <v>16.0</v>
      </c>
      <c r="AL24" s="96" t="s">
        <v>690</v>
      </c>
      <c r="AM24" s="97" t="s">
        <v>691</v>
      </c>
      <c r="AN24" s="57" t="s">
        <v>692</v>
      </c>
      <c r="AO24" s="91"/>
    </row>
    <row r="25">
      <c r="A25" s="88">
        <v>17.0</v>
      </c>
      <c r="B25" s="89" t="s">
        <v>693</v>
      </c>
      <c r="C25" s="90" t="s">
        <v>694</v>
      </c>
      <c r="D25" s="91" t="s">
        <v>695</v>
      </c>
      <c r="E25" s="88">
        <v>17.0</v>
      </c>
      <c r="F25" s="89" t="s">
        <v>696</v>
      </c>
      <c r="G25" s="90" t="s">
        <v>697</v>
      </c>
      <c r="H25" s="91" t="s">
        <v>698</v>
      </c>
      <c r="I25" s="88">
        <v>17.0</v>
      </c>
      <c r="J25" s="89" t="s">
        <v>699</v>
      </c>
      <c r="K25" s="90" t="s">
        <v>700</v>
      </c>
      <c r="L25" s="91" t="s">
        <v>701</v>
      </c>
      <c r="M25" s="88">
        <v>17.0</v>
      </c>
      <c r="N25" s="89" t="str">
        <f>IFERROR(__xludf.DUMMYFUNCTION("GOOGLETRANSLATE(B25,""zh-tw"",""zh"")"),"喧嚣的风儿")</f>
        <v>喧嚣的风儿</v>
      </c>
      <c r="O25" s="93" t="str">
        <f>IFERROR(__xludf.DUMMYFUNCTION("GOOGLETRANSLATE(C25,""zh-tw"",""zh"")"),"第一次与妹妹共浴之后，可以帮妹妹吹头发")</f>
        <v>第一次与妹妹共浴之后，可以帮妹妹吹头发</v>
      </c>
      <c r="P25" s="91" t="str">
        <f>IFERROR(__xludf.DUMMYFUNCTION("GOOGLETRANSLATE(D25,""zh-tw"",""zh"")"),"解锁""吹头发""选项")</f>
        <v>解锁"吹头发"选项</v>
      </c>
      <c r="Q25" s="88">
        <v>17.0</v>
      </c>
      <c r="R25" s="89" t="s">
        <v>702</v>
      </c>
      <c r="S25" s="98" t="s">
        <v>703</v>
      </c>
      <c r="T25" s="59" t="s">
        <v>704</v>
      </c>
      <c r="U25" s="88">
        <v>17.0</v>
      </c>
      <c r="V25" s="107" t="s">
        <v>705</v>
      </c>
      <c r="W25" s="98" t="s">
        <v>706</v>
      </c>
      <c r="X25" s="59" t="s">
        <v>707</v>
      </c>
      <c r="Y25" s="88">
        <v>17.0</v>
      </c>
      <c r="Z25" s="94" t="s">
        <v>708</v>
      </c>
      <c r="AA25" s="103" t="s">
        <v>709</v>
      </c>
      <c r="AB25" s="53" t="s">
        <v>710</v>
      </c>
      <c r="AC25" s="88">
        <v>17.0</v>
      </c>
      <c r="AD25" s="89" t="s">
        <v>711</v>
      </c>
      <c r="AE25" s="90" t="s">
        <v>712</v>
      </c>
      <c r="AF25" s="91" t="s">
        <v>713</v>
      </c>
      <c r="AG25" s="88">
        <v>17.0</v>
      </c>
      <c r="AH25" s="89" t="s">
        <v>714</v>
      </c>
      <c r="AI25" s="90" t="s">
        <v>715</v>
      </c>
      <c r="AJ25" s="91" t="s">
        <v>716</v>
      </c>
      <c r="AK25" s="88">
        <v>17.0</v>
      </c>
      <c r="AL25" s="96" t="s">
        <v>717</v>
      </c>
      <c r="AM25" s="97" t="s">
        <v>718</v>
      </c>
      <c r="AN25" s="57" t="s">
        <v>719</v>
      </c>
      <c r="AO25" s="91"/>
    </row>
    <row r="26">
      <c r="A26" s="88">
        <v>18.0</v>
      </c>
      <c r="B26" s="89" t="s">
        <v>720</v>
      </c>
      <c r="C26" s="90" t="s">
        <v>721</v>
      </c>
      <c r="D26" s="91" t="s">
        <v>722</v>
      </c>
      <c r="E26" s="88">
        <v>18.0</v>
      </c>
      <c r="F26" s="89" t="s">
        <v>723</v>
      </c>
      <c r="G26" s="90" t="s">
        <v>724</v>
      </c>
      <c r="H26" s="91" t="s">
        <v>725</v>
      </c>
      <c r="I26" s="88">
        <v>18.0</v>
      </c>
      <c r="J26" s="89" t="s">
        <v>726</v>
      </c>
      <c r="K26" s="90" t="s">
        <v>727</v>
      </c>
      <c r="L26" s="59" t="s">
        <v>728</v>
      </c>
      <c r="M26" s="88">
        <v>18.0</v>
      </c>
      <c r="N26" s="89" t="str">
        <f>IFERROR(__xludf.DUMMYFUNCTION("GOOGLETRANSLATE(B26,""zh-tw"",""zh"")"),"哥困了")</f>
        <v>哥困了</v>
      </c>
      <c r="O26" s="93" t="str">
        <f>IFERROR(__xludf.DUMMYFUNCTION("GOOGLETRANSLATE(C26,""zh-tw"",""zh"")"),"提前睡觉")</f>
        <v>提前睡觉</v>
      </c>
      <c r="P26" s="61" t="s">
        <v>729</v>
      </c>
      <c r="Q26" s="88">
        <v>18.0</v>
      </c>
      <c r="R26" s="101" t="s">
        <v>730</v>
      </c>
      <c r="S26" s="98" t="s">
        <v>731</v>
      </c>
      <c r="T26" s="59" t="s">
        <v>732</v>
      </c>
      <c r="U26" s="88">
        <v>18.0</v>
      </c>
      <c r="V26" s="107" t="s">
        <v>733</v>
      </c>
      <c r="W26" s="98" t="s">
        <v>734</v>
      </c>
      <c r="X26" s="59" t="s">
        <v>735</v>
      </c>
      <c r="Y26" s="88">
        <v>18.0</v>
      </c>
      <c r="Z26" s="102" t="s">
        <v>736</v>
      </c>
      <c r="AA26" s="103" t="s">
        <v>737</v>
      </c>
      <c r="AB26" s="53" t="s">
        <v>738</v>
      </c>
      <c r="AC26" s="88">
        <v>18.0</v>
      </c>
      <c r="AD26" s="89" t="s">
        <v>739</v>
      </c>
      <c r="AE26" s="90" t="s">
        <v>740</v>
      </c>
      <c r="AF26" s="91" t="s">
        <v>741</v>
      </c>
      <c r="AG26" s="88">
        <v>18.0</v>
      </c>
      <c r="AH26" s="89" t="s">
        <v>742</v>
      </c>
      <c r="AI26" s="90" t="s">
        <v>743</v>
      </c>
      <c r="AJ26" s="91" t="s">
        <v>744</v>
      </c>
      <c r="AK26" s="88">
        <v>18.0</v>
      </c>
      <c r="AL26" s="96" t="s">
        <v>745</v>
      </c>
      <c r="AM26" s="97" t="s">
        <v>746</v>
      </c>
      <c r="AN26" s="57" t="s">
        <v>747</v>
      </c>
      <c r="AO26" s="91"/>
    </row>
    <row r="27">
      <c r="A27" s="88">
        <v>19.0</v>
      </c>
      <c r="B27" s="89" t="s">
        <v>748</v>
      </c>
      <c r="C27" s="90" t="s">
        <v>749</v>
      </c>
      <c r="D27" s="91" t="s">
        <v>750</v>
      </c>
      <c r="E27" s="88">
        <v>19.0</v>
      </c>
      <c r="F27" s="89" t="s">
        <v>751</v>
      </c>
      <c r="G27" s="90" t="s">
        <v>752</v>
      </c>
      <c r="H27" s="91" t="s">
        <v>753</v>
      </c>
      <c r="I27" s="88">
        <v>19.0</v>
      </c>
      <c r="J27" s="89" t="s">
        <v>754</v>
      </c>
      <c r="K27" s="90" t="s">
        <v>755</v>
      </c>
      <c r="L27" s="91" t="s">
        <v>756</v>
      </c>
      <c r="M27" s="88">
        <v>19.0</v>
      </c>
      <c r="N27" s="89" t="str">
        <f>IFERROR(__xludf.DUMMYFUNCTION("GOOGLETRANSLATE(B27,""zh-tw"",""zh"")"),"起床啰")</f>
        <v>起床啰</v>
      </c>
      <c r="O27" s="9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8">
        <v>19.0</v>
      </c>
      <c r="R27" s="101" t="s">
        <v>757</v>
      </c>
      <c r="S27" s="93" t="s">
        <v>758</v>
      </c>
      <c r="T27" s="99" t="s">
        <v>759</v>
      </c>
      <c r="U27" s="88">
        <v>19.0</v>
      </c>
      <c r="V27" s="92" t="str">
        <f>IFERROR(__xludf.DUMMYFUNCTION("GOOGLETRANSLATE(B27,""zh-tw"",""KO"")"),"일어날 시간이에요!")</f>
        <v>일어날 시간이에요!</v>
      </c>
      <c r="W27" s="9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8">
        <v>19.0</v>
      </c>
      <c r="Z27" s="94" t="s">
        <v>760</v>
      </c>
      <c r="AA27" s="95" t="s">
        <v>761</v>
      </c>
      <c r="AB27" s="53" t="s">
        <v>762</v>
      </c>
      <c r="AC27" s="88">
        <v>19.0</v>
      </c>
      <c r="AD27" s="89" t="s">
        <v>763</v>
      </c>
      <c r="AE27" s="90" t="s">
        <v>764</v>
      </c>
      <c r="AF27" s="91" t="s">
        <v>765</v>
      </c>
      <c r="AG27" s="88">
        <v>19.0</v>
      </c>
      <c r="AH27" s="89" t="s">
        <v>766</v>
      </c>
      <c r="AI27" s="90" t="s">
        <v>767</v>
      </c>
      <c r="AJ27" s="91" t="s">
        <v>768</v>
      </c>
      <c r="AK27" s="88">
        <v>19.0</v>
      </c>
      <c r="AL27" s="96" t="s">
        <v>769</v>
      </c>
      <c r="AM27" s="97" t="s">
        <v>770</v>
      </c>
      <c r="AN27" s="57" t="s">
        <v>771</v>
      </c>
      <c r="AO27" s="91"/>
    </row>
    <row r="28">
      <c r="A28" s="88">
        <v>20.0</v>
      </c>
      <c r="B28" s="89" t="s">
        <v>772</v>
      </c>
      <c r="C28" s="98" t="s">
        <v>773</v>
      </c>
      <c r="D28" s="91" t="s">
        <v>774</v>
      </c>
      <c r="E28" s="88">
        <v>20.0</v>
      </c>
      <c r="F28" s="89" t="str">
        <f>IFERROR(__xludf.DUMMYFUNCTION("GOOGLETRANSLATE(B28,""zh-tw"",""ja"")"),"最初の癒し")</f>
        <v>最初の癒し</v>
      </c>
      <c r="G28" s="98" t="s">
        <v>775</v>
      </c>
      <c r="H28" s="91" t="s">
        <v>776</v>
      </c>
      <c r="I28" s="88">
        <v>20.0</v>
      </c>
      <c r="J28" s="89" t="s">
        <v>777</v>
      </c>
      <c r="K28" s="98" t="s">
        <v>778</v>
      </c>
      <c r="L28" s="91" t="s">
        <v>779</v>
      </c>
      <c r="M28" s="88">
        <v>20.0</v>
      </c>
      <c r="N28" s="89" t="str">
        <f>IFERROR(__xludf.DUMMYFUNCTION("GOOGLETRANSLATE(B28,""zh-tw"",""zh"")"),"第一次治愈")</f>
        <v>第一次治愈</v>
      </c>
      <c r="O28" s="93"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8">
        <v>20.0</v>
      </c>
      <c r="R28" s="89" t="s">
        <v>780</v>
      </c>
      <c r="S28" s="9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88">
        <v>20.0</v>
      </c>
      <c r="V28" s="92" t="str">
        <f>IFERROR(__xludf.DUMMYFUNCTION("GOOGLETRANSLATE(B28,""zh-tw"",""KO"")"),"첫 번째 치유")</f>
        <v>첫 번째 치유</v>
      </c>
      <c r="W28" s="93"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88">
        <v>20.0</v>
      </c>
      <c r="Z28" s="94" t="str">
        <f>IFERROR(__xludf.DUMMYFUNCTION("IF(J28="""", """", GOOGLETRANSLATE(
J28,""en"",""ru""))"),"Первое лекарство")</f>
        <v>Первое лекарство</v>
      </c>
      <c r="AA28" s="95" t="s">
        <v>781</v>
      </c>
      <c r="AB28" s="53" t="s">
        <v>782</v>
      </c>
      <c r="AC28" s="88">
        <v>20.0</v>
      </c>
      <c r="AD28" s="89" t="s">
        <v>783</v>
      </c>
      <c r="AE28" s="98" t="s">
        <v>784</v>
      </c>
      <c r="AF28" s="91" t="s">
        <v>785</v>
      </c>
      <c r="AG28" s="88">
        <v>20.0</v>
      </c>
      <c r="AH28" s="89" t="s">
        <v>786</v>
      </c>
      <c r="AI28" s="98" t="s">
        <v>787</v>
      </c>
      <c r="AJ28" s="91" t="s">
        <v>788</v>
      </c>
      <c r="AK28" s="88">
        <v>20.0</v>
      </c>
      <c r="AL28" s="96" t="s">
        <v>789</v>
      </c>
      <c r="AM28" s="97" t="s">
        <v>790</v>
      </c>
      <c r="AN28" s="57" t="s">
        <v>791</v>
      </c>
      <c r="AO28" s="91"/>
    </row>
    <row r="29">
      <c r="A29" s="88">
        <v>21.0</v>
      </c>
      <c r="B29" s="101" t="s">
        <v>792</v>
      </c>
      <c r="C29" s="90" t="s">
        <v>793</v>
      </c>
      <c r="D29" s="91" t="s">
        <v>641</v>
      </c>
      <c r="E29" s="88">
        <v>21.0</v>
      </c>
      <c r="F29" s="101" t="s">
        <v>792</v>
      </c>
      <c r="G29" s="90" t="s">
        <v>794</v>
      </c>
      <c r="H29" s="91" t="s">
        <v>644</v>
      </c>
      <c r="I29" s="88">
        <v>21.0</v>
      </c>
      <c r="J29" s="101" t="s">
        <v>792</v>
      </c>
      <c r="K29" s="90" t="s">
        <v>795</v>
      </c>
      <c r="L29" s="59" t="s">
        <v>796</v>
      </c>
      <c r="M29" s="88">
        <v>21.0</v>
      </c>
      <c r="N29" s="89" t="str">
        <f>IFERROR(__xludf.DUMMYFUNCTION("GOOGLETRANSLATE(B29,""zh-tw"",""zh"")"),"-")</f>
        <v>-</v>
      </c>
      <c r="O29" s="93"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8">
        <v>21.0</v>
      </c>
      <c r="R29" s="101" t="s">
        <v>792</v>
      </c>
      <c r="S29" s="9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8">
        <v>21.0</v>
      </c>
      <c r="V29" s="92" t="str">
        <f>IFERROR(__xludf.DUMMYFUNCTION("GOOGLETRANSLATE(B29,""zh-tw"",""KO"")"),"-")</f>
        <v>-</v>
      </c>
      <c r="W29" s="9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8">
        <v>21.0</v>
      </c>
      <c r="Z29" s="102" t="s">
        <v>792</v>
      </c>
      <c r="AA29" s="103" t="s">
        <v>797</v>
      </c>
      <c r="AB29" s="53" t="s">
        <v>798</v>
      </c>
      <c r="AC29" s="88">
        <v>21.0</v>
      </c>
      <c r="AD29" s="101" t="s">
        <v>792</v>
      </c>
      <c r="AE29" s="90" t="s">
        <v>799</v>
      </c>
      <c r="AF29" s="91" t="s">
        <v>659</v>
      </c>
      <c r="AG29" s="88">
        <v>21.0</v>
      </c>
      <c r="AH29" s="89" t="s">
        <v>792</v>
      </c>
      <c r="AI29" s="90" t="s">
        <v>800</v>
      </c>
      <c r="AJ29" s="91" t="s">
        <v>801</v>
      </c>
      <c r="AK29" s="88">
        <v>21.0</v>
      </c>
      <c r="AL29" s="96" t="s">
        <v>792</v>
      </c>
      <c r="AM29" s="97" t="s">
        <v>802</v>
      </c>
      <c r="AN29" s="57" t="s">
        <v>665</v>
      </c>
      <c r="AO29" s="91"/>
    </row>
    <row r="30">
      <c r="A30" s="88">
        <v>22.0</v>
      </c>
      <c r="B30" s="89" t="s">
        <v>803</v>
      </c>
      <c r="C30" s="90" t="s">
        <v>804</v>
      </c>
      <c r="D30" s="91" t="s">
        <v>805</v>
      </c>
      <c r="E30" s="88">
        <v>22.0</v>
      </c>
      <c r="F30" s="89" t="s">
        <v>806</v>
      </c>
      <c r="G30" s="98" t="s">
        <v>807</v>
      </c>
      <c r="H30" s="91" t="s">
        <v>808</v>
      </c>
      <c r="I30" s="88">
        <v>22.0</v>
      </c>
      <c r="J30" s="89" t="s">
        <v>809</v>
      </c>
      <c r="K30" s="98" t="s">
        <v>810</v>
      </c>
      <c r="L30" s="91" t="s">
        <v>811</v>
      </c>
      <c r="M30" s="88">
        <v>22.0</v>
      </c>
      <c r="N30" s="89" t="str">
        <f>IFERROR(__xludf.DUMMYFUNCTION("GOOGLETRANSLATE(B30,""zh-tw"",""zh"")"),"恶梦")</f>
        <v>恶梦</v>
      </c>
      <c r="O30" s="9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8">
        <v>22.0</v>
      </c>
      <c r="R30" s="92" t="s">
        <v>812</v>
      </c>
      <c r="S30" s="98" t="s">
        <v>813</v>
      </c>
      <c r="T30" s="61" t="s">
        <v>814</v>
      </c>
      <c r="U30" s="88">
        <v>22.0</v>
      </c>
      <c r="V30" s="101" t="s">
        <v>815</v>
      </c>
      <c r="W30" s="98" t="s">
        <v>816</v>
      </c>
      <c r="X30" s="59" t="s">
        <v>817</v>
      </c>
      <c r="Y30" s="88">
        <v>22.0</v>
      </c>
      <c r="Z30" s="102" t="s">
        <v>818</v>
      </c>
      <c r="AA30" s="95" t="s">
        <v>819</v>
      </c>
      <c r="AB30" s="53" t="s">
        <v>820</v>
      </c>
      <c r="AC30" s="88">
        <v>22.0</v>
      </c>
      <c r="AD30" s="89" t="s">
        <v>821</v>
      </c>
      <c r="AE30" s="98" t="s">
        <v>822</v>
      </c>
      <c r="AF30" s="59" t="s">
        <v>823</v>
      </c>
      <c r="AG30" s="88">
        <v>22.0</v>
      </c>
      <c r="AH30" s="89" t="s">
        <v>824</v>
      </c>
      <c r="AI30" s="90" t="s">
        <v>825</v>
      </c>
      <c r="AJ30" s="91" t="s">
        <v>826</v>
      </c>
      <c r="AK30" s="88">
        <v>22.0</v>
      </c>
      <c r="AL30" s="96" t="s">
        <v>827</v>
      </c>
      <c r="AM30" s="97" t="s">
        <v>828</v>
      </c>
      <c r="AN30" s="57" t="s">
        <v>829</v>
      </c>
      <c r="AO30" s="91"/>
    </row>
    <row r="31">
      <c r="A31" s="108">
        <v>23.0</v>
      </c>
      <c r="B31" s="89" t="s">
        <v>830</v>
      </c>
      <c r="C31" s="90" t="s">
        <v>831</v>
      </c>
      <c r="D31" s="91" t="s">
        <v>832</v>
      </c>
      <c r="E31" s="108">
        <v>23.0</v>
      </c>
      <c r="F31" s="89" t="s">
        <v>833</v>
      </c>
      <c r="G31" s="90" t="s">
        <v>834</v>
      </c>
      <c r="H31" s="91" t="s">
        <v>835</v>
      </c>
      <c r="I31" s="108">
        <v>23.0</v>
      </c>
      <c r="J31" s="89" t="s">
        <v>836</v>
      </c>
      <c r="K31" s="90" t="s">
        <v>837</v>
      </c>
      <c r="L31" s="91" t="s">
        <v>838</v>
      </c>
      <c r="M31" s="108">
        <v>23.0</v>
      </c>
      <c r="N31" s="89" t="str">
        <f>IFERROR(__xludf.DUMMYFUNCTION("GOOGLETRANSLATE(B31,""zh-tw"",""zh"")"),"和妹妹撒娇")</f>
        <v>和妹妹撒娇</v>
      </c>
      <c r="O31" s="93"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8">
        <v>23.0</v>
      </c>
      <c r="R31" s="92" t="str">
        <f>IFERROR(__xludf.DUMMYFUNCTION("GOOGLETRANSLATE(B31,""zh-tw"",""es-MX"")"),"Actuando linda con mi hermana menor")</f>
        <v>Actuando linda con mi hermana menor</v>
      </c>
      <c r="S31" s="93"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8">
        <v>23.0</v>
      </c>
      <c r="V31" s="92" t="str">
        <f>IFERROR(__xludf.DUMMYFUNCTION("GOOGLETRANSLATE(B31,""zh-tw"",""KO"")"),"여동생에게 귀엽게 행동하다")</f>
        <v>여동생에게 귀엽게 행동하다</v>
      </c>
      <c r="W31" s="93"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8">
        <v>23.0</v>
      </c>
      <c r="Z31" s="104" t="str">
        <f>IFERROR(__xludf.DUMMYFUNCTION("IF(J31="""", """", GOOGLETRANSLATE(
J31,""en"",""ru""))"),"Побалуйте меня!")</f>
        <v>Побалуйте меня!</v>
      </c>
      <c r="AA31" s="105"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8">
        <v>23.0</v>
      </c>
      <c r="AD31" s="89" t="s">
        <v>839</v>
      </c>
      <c r="AE31" s="90" t="s">
        <v>840</v>
      </c>
      <c r="AF31" s="91" t="s">
        <v>841</v>
      </c>
      <c r="AG31" s="108">
        <v>23.0</v>
      </c>
      <c r="AH31" s="89" t="s">
        <v>842</v>
      </c>
      <c r="AI31" s="93" t="s">
        <v>843</v>
      </c>
      <c r="AJ31" s="91" t="s">
        <v>844</v>
      </c>
      <c r="AK31" s="88">
        <v>24.0</v>
      </c>
      <c r="AL31" s="96" t="s">
        <v>845</v>
      </c>
      <c r="AM31" s="97" t="s">
        <v>846</v>
      </c>
      <c r="AN31" s="57" t="s">
        <v>847</v>
      </c>
      <c r="AO31" s="91"/>
    </row>
    <row r="32">
      <c r="A32" s="81"/>
      <c r="B32" s="82"/>
      <c r="C32" s="82"/>
      <c r="D32" s="82"/>
      <c r="E32" s="81"/>
      <c r="F32" s="82"/>
      <c r="G32" s="82"/>
      <c r="H32" s="82"/>
      <c r="I32" s="81"/>
      <c r="J32" s="82"/>
      <c r="K32" s="82"/>
      <c r="L32" s="82"/>
      <c r="M32" s="81"/>
      <c r="N32" s="82"/>
      <c r="O32" s="55"/>
      <c r="P32" s="55"/>
      <c r="Q32" s="81"/>
      <c r="R32" s="55"/>
      <c r="S32" s="82"/>
      <c r="T32" s="55"/>
      <c r="U32" s="81"/>
      <c r="V32" s="55"/>
      <c r="W32" s="55"/>
      <c r="X32" s="55"/>
      <c r="Y32" s="81"/>
      <c r="Z32" s="82"/>
      <c r="AA32" s="82"/>
      <c r="AB32" s="82"/>
      <c r="AC32" s="81"/>
      <c r="AD32" s="82"/>
      <c r="AE32" s="82"/>
      <c r="AF32" s="82"/>
      <c r="AG32" s="81"/>
      <c r="AH32" s="83"/>
      <c r="AI32" s="83"/>
      <c r="AJ32" s="83"/>
      <c r="AK32" s="84"/>
      <c r="AL32" s="84"/>
      <c r="AM32" s="84"/>
      <c r="AN32" s="84"/>
      <c r="AO32" s="82"/>
    </row>
    <row r="33">
      <c r="A33" s="85" t="s">
        <v>848</v>
      </c>
      <c r="B33" s="86" t="s">
        <v>849</v>
      </c>
      <c r="E33" s="85" t="s">
        <v>848</v>
      </c>
      <c r="F33" s="85" t="s">
        <v>850</v>
      </c>
      <c r="I33" s="85" t="s">
        <v>848</v>
      </c>
      <c r="J33" s="85" t="s">
        <v>851</v>
      </c>
      <c r="M33" s="85" t="s">
        <v>848</v>
      </c>
      <c r="N33" s="86" t="str">
        <f>IFERROR(__xludf.DUMMYFUNCTION("GOOGLETRANSLATE(B33,""zh-tw"",""zh"")"),"厕所相关")</f>
        <v>厕所相关</v>
      </c>
      <c r="Q33" s="85" t="s">
        <v>848</v>
      </c>
      <c r="R33" s="85" t="s">
        <v>852</v>
      </c>
      <c r="U33" s="85" t="s">
        <v>848</v>
      </c>
      <c r="V33" s="85" t="s">
        <v>853</v>
      </c>
      <c r="Y33" s="85" t="s">
        <v>848</v>
      </c>
      <c r="Z33" s="85" t="s">
        <v>854</v>
      </c>
      <c r="AC33" s="85" t="s">
        <v>848</v>
      </c>
      <c r="AD33" s="85" t="s">
        <v>855</v>
      </c>
      <c r="AG33" s="85" t="s">
        <v>848</v>
      </c>
      <c r="AH33" s="86" t="s">
        <v>856</v>
      </c>
      <c r="AK33" s="86" t="s">
        <v>848</v>
      </c>
      <c r="AL33" s="86" t="s">
        <v>857</v>
      </c>
      <c r="AO33" s="86"/>
    </row>
    <row r="34">
      <c r="A34" s="88">
        <v>1.0</v>
      </c>
      <c r="B34" s="89" t="s">
        <v>858</v>
      </c>
      <c r="C34" s="90" t="s">
        <v>859</v>
      </c>
      <c r="D34" s="91" t="s">
        <v>860</v>
      </c>
      <c r="E34" s="88">
        <v>1.0</v>
      </c>
      <c r="F34" s="89" t="s">
        <v>861</v>
      </c>
      <c r="G34" s="90" t="s">
        <v>862</v>
      </c>
      <c r="H34" s="91" t="s">
        <v>863</v>
      </c>
      <c r="I34" s="88">
        <v>1.0</v>
      </c>
      <c r="J34" s="89" t="s">
        <v>864</v>
      </c>
      <c r="K34" s="90" t="s">
        <v>865</v>
      </c>
      <c r="L34" s="91" t="s">
        <v>866</v>
      </c>
      <c r="M34" s="88">
        <v>1.0</v>
      </c>
      <c r="N34" s="89" t="str">
        <f>IFERROR(__xludf.DUMMYFUNCTION("GOOGLETRANSLATE(B34,""zh-tw"",""zh"")"),"哥要加油")</f>
        <v>哥要加油</v>
      </c>
      <c r="O34" s="93" t="str">
        <f>IFERROR(__xludf.DUMMYFUNCTION("GOOGLETRANSLATE(C34,""zh-tw"",""zh"")"),"于厕所待的时间过长，并持续N天")</f>
        <v>于厕所待的时间过长，并持续N天</v>
      </c>
      <c r="P34" s="61" t="s">
        <v>867</v>
      </c>
      <c r="Q34" s="88">
        <v>1.0</v>
      </c>
      <c r="R34" s="89" t="s">
        <v>868</v>
      </c>
      <c r="S34" s="98"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8">
        <v>1.0</v>
      </c>
      <c r="V34" s="92" t="s">
        <v>870</v>
      </c>
      <c r="W34" s="93" t="s">
        <v>871</v>
      </c>
      <c r="X34" s="61" t="s">
        <v>872</v>
      </c>
      <c r="Y34" s="88">
        <v>1.0</v>
      </c>
      <c r="Z34" s="102" t="s">
        <v>873</v>
      </c>
      <c r="AA34" s="103" t="s">
        <v>874</v>
      </c>
      <c r="AB34" s="53" t="s">
        <v>875</v>
      </c>
      <c r="AC34" s="88">
        <v>1.0</v>
      </c>
      <c r="AD34" s="89" t="s">
        <v>876</v>
      </c>
      <c r="AE34" s="90" t="s">
        <v>877</v>
      </c>
      <c r="AF34" s="91" t="s">
        <v>878</v>
      </c>
      <c r="AG34" s="88">
        <v>1.0</v>
      </c>
      <c r="AH34" s="89" t="s">
        <v>879</v>
      </c>
      <c r="AI34" s="90" t="s">
        <v>880</v>
      </c>
      <c r="AJ34" s="91" t="s">
        <v>881</v>
      </c>
      <c r="AK34" s="88">
        <v>1.0</v>
      </c>
      <c r="AL34" s="96" t="s">
        <v>882</v>
      </c>
      <c r="AM34" s="97" t="s">
        <v>883</v>
      </c>
      <c r="AN34" s="57" t="s">
        <v>884</v>
      </c>
      <c r="AO34" s="91"/>
    </row>
    <row r="35">
      <c r="A35" s="108">
        <v>2.0</v>
      </c>
      <c r="B35" s="89" t="s">
        <v>885</v>
      </c>
      <c r="C35" s="90" t="s">
        <v>886</v>
      </c>
      <c r="D35" s="91" t="s">
        <v>887</v>
      </c>
      <c r="E35" s="108">
        <v>2.0</v>
      </c>
      <c r="F35" s="89" t="s">
        <v>888</v>
      </c>
      <c r="G35" s="90" t="s">
        <v>889</v>
      </c>
      <c r="H35" s="91" t="s">
        <v>890</v>
      </c>
      <c r="I35" s="108">
        <v>2.0</v>
      </c>
      <c r="J35" s="89" t="s">
        <v>891</v>
      </c>
      <c r="K35" s="90" t="s">
        <v>892</v>
      </c>
      <c r="L35" s="91" t="s">
        <v>893</v>
      </c>
      <c r="M35" s="108">
        <v>2.0</v>
      </c>
      <c r="N35" s="89" t="str">
        <f>IFERROR(__xludf.DUMMYFUNCTION("GOOGLETRANSLATE(B35,""zh-tw"",""zh"")"),"发情的妹妹-1")</f>
        <v>发情的妹妹-1</v>
      </c>
      <c r="O35" s="93"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8">
        <v>2.0</v>
      </c>
      <c r="R35" s="89" t="s">
        <v>894</v>
      </c>
      <c r="S35" s="93" t="s">
        <v>895</v>
      </c>
      <c r="T35" s="61" t="s">
        <v>896</v>
      </c>
      <c r="U35" s="108">
        <v>2.0</v>
      </c>
      <c r="V35" s="101" t="s">
        <v>897</v>
      </c>
      <c r="W35" s="98" t="s">
        <v>898</v>
      </c>
      <c r="X35" s="59" t="s">
        <v>899</v>
      </c>
      <c r="Y35" s="108">
        <v>2.0</v>
      </c>
      <c r="Z35" s="102" t="s">
        <v>900</v>
      </c>
      <c r="AA35" s="95" t="s">
        <v>901</v>
      </c>
      <c r="AB35" s="53" t="s">
        <v>902</v>
      </c>
      <c r="AC35" s="108">
        <v>2.0</v>
      </c>
      <c r="AD35" s="101" t="s">
        <v>903</v>
      </c>
      <c r="AE35" s="90" t="s">
        <v>904</v>
      </c>
      <c r="AF35" s="91" t="s">
        <v>905</v>
      </c>
      <c r="AG35" s="108">
        <v>2.0</v>
      </c>
      <c r="AH35" s="89" t="s">
        <v>906</v>
      </c>
      <c r="AI35" s="90" t="s">
        <v>907</v>
      </c>
      <c r="AJ35" s="91" t="s">
        <v>908</v>
      </c>
      <c r="AK35" s="88">
        <v>2.0</v>
      </c>
      <c r="AL35" s="96" t="s">
        <v>909</v>
      </c>
      <c r="AM35" s="97" t="s">
        <v>910</v>
      </c>
      <c r="AN35" s="57" t="s">
        <v>911</v>
      </c>
      <c r="AO35" s="91"/>
    </row>
    <row r="36">
      <c r="A36" s="88">
        <v>3.0</v>
      </c>
      <c r="B36" s="89" t="s">
        <v>912</v>
      </c>
      <c r="C36" s="90" t="s">
        <v>913</v>
      </c>
      <c r="D36" s="91" t="s">
        <v>914</v>
      </c>
      <c r="E36" s="88">
        <v>3.0</v>
      </c>
      <c r="F36" s="89" t="s">
        <v>915</v>
      </c>
      <c r="G36" s="90" t="s">
        <v>916</v>
      </c>
      <c r="H36" s="91" t="s">
        <v>917</v>
      </c>
      <c r="I36" s="88">
        <v>3.0</v>
      </c>
      <c r="J36" s="89" t="s">
        <v>918</v>
      </c>
      <c r="K36" s="98" t="s">
        <v>919</v>
      </c>
      <c r="L36" s="91" t="s">
        <v>920</v>
      </c>
      <c r="M36" s="88">
        <v>3.0</v>
      </c>
      <c r="N36" s="89" t="str">
        <f>IFERROR(__xludf.DUMMYFUNCTION("GOOGLETRANSLATE(B36,""zh-tw"",""zh"")"),"发情的妹妹-2")</f>
        <v>发情的妹妹-2</v>
      </c>
      <c r="O36" s="93"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8">
        <v>3.0</v>
      </c>
      <c r="R36" s="92" t="s">
        <v>921</v>
      </c>
      <c r="S36" s="90" t="s">
        <v>922</v>
      </c>
      <c r="T36" s="61" t="s">
        <v>923</v>
      </c>
      <c r="U36" s="88">
        <v>3.0</v>
      </c>
      <c r="V36" s="101" t="s">
        <v>924</v>
      </c>
      <c r="W36" s="98" t="s">
        <v>925</v>
      </c>
      <c r="X36" s="59" t="s">
        <v>926</v>
      </c>
      <c r="Y36" s="88">
        <v>3.0</v>
      </c>
      <c r="Z36" s="102" t="s">
        <v>927</v>
      </c>
      <c r="AA36" s="103"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0"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8">
        <v>3.0</v>
      </c>
      <c r="AD36" s="101" t="s">
        <v>928</v>
      </c>
      <c r="AE36" s="90" t="s">
        <v>929</v>
      </c>
      <c r="AF36" s="91" t="s">
        <v>930</v>
      </c>
      <c r="AG36" s="88">
        <v>3.0</v>
      </c>
      <c r="AH36" s="89" t="s">
        <v>931</v>
      </c>
      <c r="AI36" s="90" t="s">
        <v>932</v>
      </c>
      <c r="AJ36" s="91" t="s">
        <v>933</v>
      </c>
      <c r="AK36" s="88">
        <v>3.0</v>
      </c>
      <c r="AL36" s="96" t="s">
        <v>934</v>
      </c>
      <c r="AM36" s="97" t="s">
        <v>935</v>
      </c>
      <c r="AN36" s="57" t="s">
        <v>936</v>
      </c>
      <c r="AO36" s="91"/>
    </row>
    <row r="37">
      <c r="A37" s="108">
        <v>4.0</v>
      </c>
      <c r="B37" s="89" t="s">
        <v>937</v>
      </c>
      <c r="C37" s="90" t="s">
        <v>938</v>
      </c>
      <c r="D37" s="59" t="s">
        <v>939</v>
      </c>
      <c r="E37" s="108">
        <v>4.0</v>
      </c>
      <c r="F37" s="89" t="s">
        <v>940</v>
      </c>
      <c r="G37" s="90" t="s">
        <v>941</v>
      </c>
      <c r="H37" s="91" t="s">
        <v>942</v>
      </c>
      <c r="I37" s="108">
        <v>4.0</v>
      </c>
      <c r="J37" s="89" t="s">
        <v>943</v>
      </c>
      <c r="K37" s="90" t="s">
        <v>944</v>
      </c>
      <c r="L37" s="59" t="s">
        <v>945</v>
      </c>
      <c r="M37" s="108">
        <v>4.0</v>
      </c>
      <c r="N37" s="89" t="str">
        <f>IFERROR(__xludf.DUMMYFUNCTION("GOOGLETRANSLATE(B37,""zh-tw"",""zh"")"),"发情的妹妹-3")</f>
        <v>发情的妹妹-3</v>
      </c>
      <c r="O37" s="93"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8">
        <v>4.0</v>
      </c>
      <c r="R37" s="92" t="s">
        <v>946</v>
      </c>
      <c r="S37" s="90" t="s">
        <v>947</v>
      </c>
      <c r="T37" s="61" t="s">
        <v>948</v>
      </c>
      <c r="U37" s="108">
        <v>4.0</v>
      </c>
      <c r="V37" s="101" t="s">
        <v>949</v>
      </c>
      <c r="W37" s="98" t="s">
        <v>950</v>
      </c>
      <c r="X37" s="59" t="s">
        <v>951</v>
      </c>
      <c r="Y37" s="108">
        <v>4.0</v>
      </c>
      <c r="Z37" s="102" t="s">
        <v>952</v>
      </c>
      <c r="AA37" s="103"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0"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8">
        <v>4.0</v>
      </c>
      <c r="AD37" s="101" t="s">
        <v>953</v>
      </c>
      <c r="AE37" s="90" t="s">
        <v>954</v>
      </c>
      <c r="AF37" s="91" t="s">
        <v>955</v>
      </c>
      <c r="AG37" s="108">
        <v>4.0</v>
      </c>
      <c r="AH37" s="89" t="s">
        <v>956</v>
      </c>
      <c r="AI37" s="90" t="s">
        <v>957</v>
      </c>
      <c r="AJ37" s="91" t="s">
        <v>958</v>
      </c>
      <c r="AK37" s="88">
        <v>4.0</v>
      </c>
      <c r="AL37" s="96" t="s">
        <v>959</v>
      </c>
      <c r="AM37" s="97" t="s">
        <v>960</v>
      </c>
      <c r="AN37" s="57" t="s">
        <v>961</v>
      </c>
      <c r="AO37" s="59"/>
    </row>
    <row r="38">
      <c r="A38" s="88">
        <v>5.0</v>
      </c>
      <c r="B38" s="89" t="s">
        <v>962</v>
      </c>
      <c r="C38" s="90" t="s">
        <v>963</v>
      </c>
      <c r="D38" s="91" t="s">
        <v>964</v>
      </c>
      <c r="E38" s="88">
        <v>5.0</v>
      </c>
      <c r="F38" s="89" t="s">
        <v>965</v>
      </c>
      <c r="G38" s="90" t="s">
        <v>966</v>
      </c>
      <c r="H38" s="91" t="s">
        <v>967</v>
      </c>
      <c r="I38" s="88">
        <v>5.0</v>
      </c>
      <c r="J38" s="89" t="s">
        <v>968</v>
      </c>
      <c r="K38" s="90" t="s">
        <v>969</v>
      </c>
      <c r="L38" s="91" t="s">
        <v>970</v>
      </c>
      <c r="M38" s="88">
        <v>5.0</v>
      </c>
      <c r="N38" s="89" t="str">
        <f>IFERROR(__xludf.DUMMYFUNCTION("GOOGLETRANSLATE(B38,""zh-tw"",""zh"")"),"憋不住了-1")</f>
        <v>憋不住了-1</v>
      </c>
      <c r="O38" s="93"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8">
        <v>5.0</v>
      </c>
      <c r="R38" s="89" t="s">
        <v>971</v>
      </c>
      <c r="S38" s="93" t="str">
        <f>IFERROR(__xludf.DUMMYFUNCTION("GOOGLETRANSLATE(C38,""zh-tw"",""es-MX"")"),"Algunos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8">
        <v>5.0</v>
      </c>
      <c r="V38" s="92" t="str">
        <f>IFERROR(__xludf.DUMMYFUNCTION("GOOGLETRANSLATE(B38,""zh-tw"",""KO"")"),"더 이상 참을 수 없어 -1")</f>
        <v>더 이상 참을 수 없어 -1</v>
      </c>
      <c r="W38" s="98" t="s">
        <v>972</v>
      </c>
      <c r="X38" s="59" t="s">
        <v>973</v>
      </c>
      <c r="Y38" s="88">
        <v>5.0</v>
      </c>
      <c r="Z38" s="94" t="str">
        <f>IFERROR(__xludf.DUMMYFUNCTION("IF(J38="""", """", GOOGLETRANSLATE(
J38,""en"",""ru""))"),"Я больше не могу... - 1")</f>
        <v>Я больше не могу... - 1</v>
      </c>
      <c r="AA38" s="103"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0"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8">
        <v>5.0</v>
      </c>
      <c r="AD38" s="89" t="s">
        <v>974</v>
      </c>
      <c r="AE38" s="90" t="s">
        <v>975</v>
      </c>
      <c r="AF38" s="91" t="s">
        <v>976</v>
      </c>
      <c r="AG38" s="88">
        <v>5.0</v>
      </c>
      <c r="AH38" s="89" t="s">
        <v>977</v>
      </c>
      <c r="AI38" s="90" t="s">
        <v>978</v>
      </c>
      <c r="AJ38" s="91" t="s">
        <v>979</v>
      </c>
      <c r="AK38" s="88">
        <v>5.0</v>
      </c>
      <c r="AL38" s="96" t="s">
        <v>980</v>
      </c>
      <c r="AM38" s="97" t="s">
        <v>981</v>
      </c>
      <c r="AN38" s="57" t="s">
        <v>982</v>
      </c>
      <c r="AO38" s="91"/>
    </row>
    <row r="39">
      <c r="A39" s="108">
        <v>6.0</v>
      </c>
      <c r="B39" s="89" t="s">
        <v>983</v>
      </c>
      <c r="C39" s="90" t="s">
        <v>984</v>
      </c>
      <c r="D39" s="91" t="s">
        <v>985</v>
      </c>
      <c r="E39" s="108">
        <v>6.0</v>
      </c>
      <c r="F39" s="89" t="s">
        <v>986</v>
      </c>
      <c r="G39" s="90" t="s">
        <v>987</v>
      </c>
      <c r="H39" s="91" t="s">
        <v>988</v>
      </c>
      <c r="I39" s="108">
        <v>6.0</v>
      </c>
      <c r="J39" s="89" t="s">
        <v>989</v>
      </c>
      <c r="K39" s="90" t="s">
        <v>990</v>
      </c>
      <c r="L39" s="91" t="s">
        <v>991</v>
      </c>
      <c r="M39" s="108">
        <v>6.0</v>
      </c>
      <c r="N39" s="89" t="str">
        <f>IFERROR(__xludf.DUMMYFUNCTION("GOOGLETRANSLATE(B39,""zh-tw"",""zh"")"),"憋不住了-2")</f>
        <v>憋不住了-2</v>
      </c>
      <c r="O39" s="93"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8">
        <v>6.0</v>
      </c>
      <c r="R39" s="89" t="s">
        <v>992</v>
      </c>
      <c r="S39" s="93"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8">
        <v>6.0</v>
      </c>
      <c r="V39" s="92" t="str">
        <f>IFERROR(__xludf.DUMMYFUNCTION("GOOGLETRANSLATE(B39,""zh-tw"",""KO"")"),"더 이상 참을 수 없어 -2")</f>
        <v>더 이상 참을 수 없어 -2</v>
      </c>
      <c r="W39" s="98" t="s">
        <v>993</v>
      </c>
      <c r="X39" s="59" t="s">
        <v>994</v>
      </c>
      <c r="Y39" s="108">
        <v>6.0</v>
      </c>
      <c r="Z39" s="94" t="str">
        <f>IFERROR(__xludf.DUMMYFUNCTION("IF(J39="""", """", GOOGLETRANSLATE(
J39,""en"",""ru""))"),"Я больше не могу... - 2")</f>
        <v>Я больше не могу... - 2</v>
      </c>
      <c r="AA39" s="103"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0"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8">
        <v>6.0</v>
      </c>
      <c r="AD39" s="89" t="s">
        <v>995</v>
      </c>
      <c r="AE39" s="90" t="s">
        <v>996</v>
      </c>
      <c r="AF39" s="91" t="s">
        <v>997</v>
      </c>
      <c r="AG39" s="108">
        <v>6.0</v>
      </c>
      <c r="AH39" s="89" t="s">
        <v>998</v>
      </c>
      <c r="AI39" s="90" t="s">
        <v>999</v>
      </c>
      <c r="AJ39" s="91" t="s">
        <v>1000</v>
      </c>
      <c r="AK39" s="88">
        <v>6.0</v>
      </c>
      <c r="AL39" s="96" t="s">
        <v>1001</v>
      </c>
      <c r="AM39" s="97" t="s">
        <v>1002</v>
      </c>
      <c r="AN39" s="57" t="s">
        <v>1003</v>
      </c>
      <c r="AO39" s="91"/>
    </row>
    <row r="40">
      <c r="A40" s="88">
        <v>7.0</v>
      </c>
      <c r="B40" s="89" t="s">
        <v>1004</v>
      </c>
      <c r="C40" s="90" t="s">
        <v>1005</v>
      </c>
      <c r="D40" s="91" t="s">
        <v>641</v>
      </c>
      <c r="E40" s="88">
        <v>7.0</v>
      </c>
      <c r="F40" s="89" t="s">
        <v>1006</v>
      </c>
      <c r="G40" s="90" t="s">
        <v>1007</v>
      </c>
      <c r="H40" s="91" t="s">
        <v>644</v>
      </c>
      <c r="I40" s="88">
        <v>7.0</v>
      </c>
      <c r="J40" s="89" t="s">
        <v>1008</v>
      </c>
      <c r="K40" s="90" t="s">
        <v>1009</v>
      </c>
      <c r="L40" s="91" t="s">
        <v>1010</v>
      </c>
      <c r="M40" s="88">
        <v>7.0</v>
      </c>
      <c r="N40" s="89" t="str">
        <f>IFERROR(__xludf.DUMMYFUNCTION("GOOGLETRANSLATE(B40,""zh-tw"",""zh"")"),"气息消除-4")</f>
        <v>气息消除-4</v>
      </c>
      <c r="O40" s="93" t="str">
        <f>IFERROR(__xludf.DUMMYFUNCTION("GOOGLETRANSLATE(C40,""zh-tw"",""zh"")"),"厕所门改造")</f>
        <v>厕所门改造</v>
      </c>
      <c r="P40" s="61" t="str">
        <f>IFERROR(__xludf.DUMMYFUNCTION("GOOGLETRANSLATE(D40,""zh-tw"",""zh"")"),"未实装")</f>
        <v>未实装</v>
      </c>
      <c r="Q40" s="88">
        <v>7.0</v>
      </c>
      <c r="R40" s="89" t="str">
        <f>IFERROR(__xludf.DUMMYFUNCTION("GOOGLETRANSLATE(B40,""zh-tw"",""es-MX"")"),"Eliminación de olores -4")</f>
        <v>Eliminación de olores -4</v>
      </c>
      <c r="S40" s="93" t="str">
        <f>IFERROR(__xludf.DUMMYFUNCTION("GOOGLETRANSLATE(C40,""zh-tw"",""es-MX"")"),"Renovación de la puerta del baño")</f>
        <v>Renovación de la puerta del baño</v>
      </c>
      <c r="T40" s="61" t="str">
        <f>IFERROR(__xludf.DUMMYFUNCTION("GOOGLETRANSLATE(D40,""zh-tw"",""es-MX"")"),"No implementado")</f>
        <v>No implementado</v>
      </c>
      <c r="U40" s="88">
        <v>7.0</v>
      </c>
      <c r="V40" s="101" t="s">
        <v>1011</v>
      </c>
      <c r="W40" s="98" t="s">
        <v>1012</v>
      </c>
      <c r="X40" s="59" t="s">
        <v>653</v>
      </c>
      <c r="Y40" s="88">
        <v>7.0</v>
      </c>
      <c r="Z40" s="94" t="str">
        <f>IFERROR(__xludf.DUMMYFUNCTION("IF(J40="""", """", GOOGLETRANSLATE(J40,""en"",""RU""))"),"Сокрытие дыхания - 4")</f>
        <v>Сокрытие дыхания - 4</v>
      </c>
      <c r="AA40" s="103"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0" t="str">
        <f>IFERROR(__xludf.DUMMYFUNCTION("IF(L40="""", """", GOOGLETRANSLATE(L40, ""en"", ""ru""))
"),"*Еще не реализовано.")</f>
        <v>*Еще не реализовано.</v>
      </c>
      <c r="AC40" s="88">
        <v>7.0</v>
      </c>
      <c r="AD40" s="89" t="s">
        <v>1013</v>
      </c>
      <c r="AE40" s="90" t="s">
        <v>1014</v>
      </c>
      <c r="AF40" s="91" t="s">
        <v>1015</v>
      </c>
      <c r="AG40" s="88">
        <v>7.0</v>
      </c>
      <c r="AH40" s="89" t="s">
        <v>1016</v>
      </c>
      <c r="AI40" s="90" t="s">
        <v>1017</v>
      </c>
      <c r="AJ40" s="91" t="s">
        <v>1018</v>
      </c>
      <c r="AK40" s="88">
        <v>7.0</v>
      </c>
      <c r="AL40" s="96" t="s">
        <v>1019</v>
      </c>
      <c r="AM40" s="97" t="s">
        <v>1020</v>
      </c>
      <c r="AN40" s="57" t="s">
        <v>1021</v>
      </c>
      <c r="AO40" s="91"/>
    </row>
    <row r="41">
      <c r="A41" s="108">
        <v>8.0</v>
      </c>
      <c r="B41" s="89" t="s">
        <v>1022</v>
      </c>
      <c r="C41" s="90" t="s">
        <v>1023</v>
      </c>
      <c r="D41" s="59" t="s">
        <v>1024</v>
      </c>
      <c r="E41" s="108">
        <v>8.0</v>
      </c>
      <c r="F41" s="89" t="s">
        <v>1025</v>
      </c>
      <c r="G41" s="90" t="s">
        <v>1026</v>
      </c>
      <c r="H41" s="59" t="s">
        <v>1027</v>
      </c>
      <c r="I41" s="108">
        <v>8.0</v>
      </c>
      <c r="J41" s="89" t="s">
        <v>1028</v>
      </c>
      <c r="K41" s="90" t="s">
        <v>1029</v>
      </c>
      <c r="L41" s="59" t="s">
        <v>1030</v>
      </c>
      <c r="M41" s="108">
        <v>8.0</v>
      </c>
      <c r="N41" s="89" t="str">
        <f>IFERROR(__xludf.DUMMYFUNCTION("GOOGLETRANSLATE(B41,""zh-tw"",""zh"")"),"想上厕所...1")</f>
        <v>想上厕所...1</v>
      </c>
      <c r="O41" s="93"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8">
        <v>8.0</v>
      </c>
      <c r="R41" s="92" t="s">
        <v>1031</v>
      </c>
      <c r="S41" s="93" t="s">
        <v>1032</v>
      </c>
      <c r="T41" s="61" t="s">
        <v>1033</v>
      </c>
      <c r="U41" s="108">
        <v>8.0</v>
      </c>
      <c r="V41" s="101" t="s">
        <v>1034</v>
      </c>
      <c r="W41" s="98" t="s">
        <v>1035</v>
      </c>
      <c r="X41" s="59" t="s">
        <v>1036</v>
      </c>
      <c r="Y41" s="108">
        <v>8.0</v>
      </c>
      <c r="Z41" s="94" t="str">
        <f>IFERROR(__xludf.DUMMYFUNCTION("IF(J41="""", """", GOOGLETRANSLATE(J41,""en"",""RU""))"),"Мне нужно в туалет... - 1")</f>
        <v>Мне нужно в туалет... - 1</v>
      </c>
      <c r="AA41" s="103"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0"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8">
        <v>8.0</v>
      </c>
      <c r="AD41" s="89" t="s">
        <v>1037</v>
      </c>
      <c r="AE41" s="90" t="s">
        <v>1038</v>
      </c>
      <c r="AF41" s="59" t="s">
        <v>1039</v>
      </c>
      <c r="AG41" s="108">
        <v>8.0</v>
      </c>
      <c r="AH41" s="89" t="s">
        <v>1040</v>
      </c>
      <c r="AI41" s="90" t="s">
        <v>1041</v>
      </c>
      <c r="AJ41" s="91" t="s">
        <v>1042</v>
      </c>
      <c r="AK41" s="88">
        <v>8.0</v>
      </c>
      <c r="AL41" s="96" t="s">
        <v>1043</v>
      </c>
      <c r="AM41" s="97" t="s">
        <v>1044</v>
      </c>
      <c r="AN41" s="57" t="s">
        <v>1045</v>
      </c>
      <c r="AO41" s="59"/>
    </row>
    <row r="42">
      <c r="A42" s="88">
        <v>9.0</v>
      </c>
      <c r="B42" s="89" t="s">
        <v>1046</v>
      </c>
      <c r="C42" s="90" t="s">
        <v>1047</v>
      </c>
      <c r="D42" s="59" t="s">
        <v>1048</v>
      </c>
      <c r="E42" s="88">
        <v>9.0</v>
      </c>
      <c r="F42" s="89" t="s">
        <v>1049</v>
      </c>
      <c r="G42" s="90" t="s">
        <v>1050</v>
      </c>
      <c r="H42" s="59" t="s">
        <v>1051</v>
      </c>
      <c r="I42" s="88">
        <v>9.0</v>
      </c>
      <c r="J42" s="89" t="s">
        <v>1052</v>
      </c>
      <c r="K42" s="90" t="s">
        <v>1053</v>
      </c>
      <c r="L42" s="59" t="s">
        <v>1054</v>
      </c>
      <c r="M42" s="88">
        <v>9.0</v>
      </c>
      <c r="N42" s="89" t="str">
        <f>IFERROR(__xludf.DUMMYFUNCTION("GOOGLETRANSLATE(B42,""zh-tw"",""zh"")"),"想上厕所...2")</f>
        <v>想上厕所...2</v>
      </c>
      <c r="O42" s="93"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8">
        <v>9.0</v>
      </c>
      <c r="R42" s="92" t="s">
        <v>1055</v>
      </c>
      <c r="S42" s="93" t="s">
        <v>1056</v>
      </c>
      <c r="T42" s="59" t="s">
        <v>1057</v>
      </c>
      <c r="U42" s="88">
        <v>9.0</v>
      </c>
      <c r="V42" s="101" t="s">
        <v>1058</v>
      </c>
      <c r="W42" s="98" t="s">
        <v>1059</v>
      </c>
      <c r="X42" s="59" t="s">
        <v>1060</v>
      </c>
      <c r="Y42" s="88">
        <v>9.0</v>
      </c>
      <c r="Z42" s="94" t="str">
        <f>IFERROR(__xludf.DUMMYFUNCTION("IF(J42="""", """", GOOGLETRANSLATE(J42,""en"",""RU""))"),"Мне нужно в туалет... - 2")</f>
        <v>Мне нужно в туалет... - 2</v>
      </c>
      <c r="AA42" s="103"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0"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8">
        <v>9.0</v>
      </c>
      <c r="AD42" s="89" t="s">
        <v>1061</v>
      </c>
      <c r="AE42" s="90" t="s">
        <v>1062</v>
      </c>
      <c r="AF42" s="91" t="s">
        <v>1063</v>
      </c>
      <c r="AG42" s="88">
        <v>9.0</v>
      </c>
      <c r="AH42" s="89" t="s">
        <v>1064</v>
      </c>
      <c r="AI42" s="90" t="s">
        <v>1065</v>
      </c>
      <c r="AJ42" s="91" t="s">
        <v>1066</v>
      </c>
      <c r="AK42" s="88">
        <v>9.0</v>
      </c>
      <c r="AL42" s="96" t="s">
        <v>1067</v>
      </c>
      <c r="AM42" s="97" t="s">
        <v>1068</v>
      </c>
      <c r="AN42" s="57" t="s">
        <v>1069</v>
      </c>
      <c r="AO42" s="59"/>
    </row>
    <row r="43">
      <c r="A43" s="108">
        <v>10.0</v>
      </c>
      <c r="B43" s="89" t="s">
        <v>1070</v>
      </c>
      <c r="C43" s="98" t="s">
        <v>1071</v>
      </c>
      <c r="D43" s="59" t="s">
        <v>1072</v>
      </c>
      <c r="E43" s="108">
        <v>10.0</v>
      </c>
      <c r="F43" s="89" t="s">
        <v>1073</v>
      </c>
      <c r="G43" s="90" t="s">
        <v>1074</v>
      </c>
      <c r="H43" s="59" t="s">
        <v>1075</v>
      </c>
      <c r="I43" s="108">
        <v>10.0</v>
      </c>
      <c r="J43" s="89" t="s">
        <v>1076</v>
      </c>
      <c r="K43" s="98" t="s">
        <v>1077</v>
      </c>
      <c r="L43" s="59" t="s">
        <v>1078</v>
      </c>
      <c r="M43" s="108">
        <v>10.0</v>
      </c>
      <c r="N43" s="89" t="str">
        <f>IFERROR(__xludf.DUMMYFUNCTION("GOOGLETRANSLATE(B43,""zh-tw"",""zh"")"),"厕所Plpy-1")</f>
        <v>厕所Plpy-1</v>
      </c>
      <c r="O43" s="98" t="s">
        <v>1079</v>
      </c>
      <c r="P43" s="61" t="str">
        <f>IFERROR(__xludf.DUMMYFUNCTION("GOOGLETRANSLATE(D43,""zh-tw"",""zh"")"),"触发剧情
※目前尚未实装被发现的相关剧情")</f>
        <v>触发剧情
※目前尚未实装被发现的相关剧情</v>
      </c>
      <c r="Q43" s="108">
        <v>10.0</v>
      </c>
      <c r="R43" s="92" t="s">
        <v>1080</v>
      </c>
      <c r="S43" s="93" t="s">
        <v>1081</v>
      </c>
      <c r="T43" s="61" t="s">
        <v>1082</v>
      </c>
      <c r="U43" s="108">
        <v>10.0</v>
      </c>
      <c r="V43" s="101" t="s">
        <v>1083</v>
      </c>
      <c r="W43" s="98" t="s">
        <v>1084</v>
      </c>
      <c r="X43" s="59" t="s">
        <v>1085</v>
      </c>
      <c r="Y43" s="108">
        <v>10.0</v>
      </c>
      <c r="Z43" s="94" t="str">
        <f>IFERROR(__xludf.DUMMYFUNCTION("IF(J43="""", """", GOOGLETRANSLATE(J43,""en"",""RU""))"),"Сестра-дрочила - 1")</f>
        <v>Сестра-дрочила - 1</v>
      </c>
      <c r="AA43" s="103"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0" t="str">
        <f>IFERROR(__xludf.DUMMYFUNCTION("IF(L43="""", """", GOOGLETRANSLATE(L43, ""en"", ""ru""))
"),"Запускает событие «заглядывание в туалет».")</f>
        <v>Запускает событие «заглядывание в туалет».</v>
      </c>
      <c r="AC43" s="108">
        <v>10.0</v>
      </c>
      <c r="AD43" s="101" t="s">
        <v>1086</v>
      </c>
      <c r="AE43" s="90" t="s">
        <v>1087</v>
      </c>
      <c r="AF43" s="91" t="s">
        <v>1088</v>
      </c>
      <c r="AG43" s="108">
        <v>10.0</v>
      </c>
      <c r="AH43" s="89" t="s">
        <v>1089</v>
      </c>
      <c r="AI43" s="90" t="s">
        <v>1090</v>
      </c>
      <c r="AJ43" s="91" t="s">
        <v>1091</v>
      </c>
      <c r="AK43" s="88">
        <v>10.0</v>
      </c>
      <c r="AL43" s="96" t="s">
        <v>1092</v>
      </c>
      <c r="AM43" s="97" t="s">
        <v>1093</v>
      </c>
      <c r="AN43" s="57" t="s">
        <v>1094</v>
      </c>
      <c r="AO43" s="59"/>
    </row>
    <row r="44">
      <c r="A44" s="88">
        <v>11.0</v>
      </c>
      <c r="B44" s="101" t="s">
        <v>1095</v>
      </c>
      <c r="C44" s="98" t="s">
        <v>1096</v>
      </c>
      <c r="D44" s="59" t="s">
        <v>1097</v>
      </c>
      <c r="E44" s="88">
        <v>11.0</v>
      </c>
      <c r="F44" s="101" t="s">
        <v>1098</v>
      </c>
      <c r="G44" s="98" t="s">
        <v>1099</v>
      </c>
      <c r="H44" s="59" t="s">
        <v>1100</v>
      </c>
      <c r="I44" s="88">
        <v>11.0</v>
      </c>
      <c r="J44" s="101" t="s">
        <v>1101</v>
      </c>
      <c r="K44" s="98" t="s">
        <v>1102</v>
      </c>
      <c r="L44" s="59" t="s">
        <v>1103</v>
      </c>
      <c r="M44" s="88">
        <v>11.0</v>
      </c>
      <c r="N44" s="89" t="str">
        <f>IFERROR(__xludf.DUMMYFUNCTION("GOOGLETRANSLATE(B44,""zh-tw"",""zh"")"),"厕所Plpy-2")</f>
        <v>厕所Plpy-2</v>
      </c>
      <c r="O44" s="93"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8">
        <v>11.0</v>
      </c>
      <c r="R44" s="101" t="s">
        <v>1104</v>
      </c>
      <c r="S44" s="93" t="s">
        <v>1105</v>
      </c>
      <c r="T44" s="61" t="s">
        <v>1106</v>
      </c>
      <c r="U44" s="88">
        <v>11.0</v>
      </c>
      <c r="V44" s="101" t="s">
        <v>1107</v>
      </c>
      <c r="W44" s="98" t="s">
        <v>1108</v>
      </c>
      <c r="X44" s="59" t="s">
        <v>1109</v>
      </c>
      <c r="Y44" s="88">
        <v>11.0</v>
      </c>
      <c r="Z44" s="94" t="str">
        <f>IFERROR(__xludf.DUMMYFUNCTION("IF(J44="""", """", GOOGLETRANSLATE(J44,""en"",""RU""))"),"Сестра-дрочила - 2")</f>
        <v>Сестра-дрочила - 2</v>
      </c>
      <c r="AA44" s="103"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0"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8">
        <v>11.0</v>
      </c>
      <c r="AD44" s="101" t="s">
        <v>1110</v>
      </c>
      <c r="AE44" s="90" t="s">
        <v>1111</v>
      </c>
      <c r="AF44" s="91" t="s">
        <v>1112</v>
      </c>
      <c r="AG44" s="88">
        <v>11.0</v>
      </c>
      <c r="AH44" s="89" t="s">
        <v>1113</v>
      </c>
      <c r="AI44" s="90" t="s">
        <v>1114</v>
      </c>
      <c r="AJ44" s="91" t="s">
        <v>1115</v>
      </c>
      <c r="AK44" s="88">
        <v>11.0</v>
      </c>
      <c r="AL44" s="96" t="s">
        <v>1116</v>
      </c>
      <c r="AM44" s="97" t="s">
        <v>1117</v>
      </c>
      <c r="AN44" s="57" t="s">
        <v>1118</v>
      </c>
      <c r="AO44" s="59"/>
    </row>
    <row r="45">
      <c r="A45" s="108">
        <v>12.0</v>
      </c>
      <c r="B45" s="101" t="s">
        <v>1119</v>
      </c>
      <c r="C45" s="98" t="s">
        <v>1120</v>
      </c>
      <c r="D45" s="59" t="s">
        <v>1121</v>
      </c>
      <c r="E45" s="108">
        <v>12.0</v>
      </c>
      <c r="F45" s="101" t="s">
        <v>1122</v>
      </c>
      <c r="G45" s="90" t="s">
        <v>1123</v>
      </c>
      <c r="H45" s="59" t="s">
        <v>1124</v>
      </c>
      <c r="I45" s="108">
        <v>12.0</v>
      </c>
      <c r="J45" s="101" t="s">
        <v>1125</v>
      </c>
      <c r="K45" s="98" t="s">
        <v>1126</v>
      </c>
      <c r="L45" s="59" t="s">
        <v>1127</v>
      </c>
      <c r="M45" s="108">
        <v>12.0</v>
      </c>
      <c r="N45" s="89" t="str">
        <f>IFERROR(__xludf.DUMMYFUNCTION("GOOGLETRANSLATE(B45,""zh-tw"",""zh"")"),"厕所Plpy-3")</f>
        <v>厕所Plpy-3</v>
      </c>
      <c r="O45" s="93"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8">
        <v>12.0</v>
      </c>
      <c r="R45" s="101" t="s">
        <v>1128</v>
      </c>
      <c r="S45" s="93" t="s">
        <v>1129</v>
      </c>
      <c r="T45" s="61" t="s">
        <v>948</v>
      </c>
      <c r="U45" s="108">
        <v>12.0</v>
      </c>
      <c r="V45" s="101" t="s">
        <v>1130</v>
      </c>
      <c r="W45" s="98" t="s">
        <v>1131</v>
      </c>
      <c r="X45" s="59" t="s">
        <v>1132</v>
      </c>
      <c r="Y45" s="108">
        <v>12.0</v>
      </c>
      <c r="Z45" s="94" t="str">
        <f>IFERROR(__xludf.DUMMYFUNCTION("IF(J45="""", """", GOOGLETRANSLATE(J45,""en"",""RU""))"),"Сестра-дрочила - 3")</f>
        <v>Сестра-дрочила - 3</v>
      </c>
      <c r="AA45" s="103"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0"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8">
        <v>12.0</v>
      </c>
      <c r="AD45" s="101" t="s">
        <v>1133</v>
      </c>
      <c r="AE45" s="90" t="s">
        <v>1134</v>
      </c>
      <c r="AF45" s="91" t="s">
        <v>930</v>
      </c>
      <c r="AG45" s="108">
        <v>12.0</v>
      </c>
      <c r="AH45" s="89" t="s">
        <v>1135</v>
      </c>
      <c r="AI45" s="90" t="s">
        <v>1136</v>
      </c>
      <c r="AJ45" s="91" t="s">
        <v>1137</v>
      </c>
      <c r="AK45" s="88">
        <v>12.0</v>
      </c>
      <c r="AL45" s="96" t="s">
        <v>1138</v>
      </c>
      <c r="AM45" s="97" t="s">
        <v>1139</v>
      </c>
      <c r="AN45" s="57" t="s">
        <v>1140</v>
      </c>
      <c r="AO45" s="59"/>
    </row>
    <row r="46">
      <c r="A46" s="88">
        <v>13.0</v>
      </c>
      <c r="B46" s="89" t="s">
        <v>1141</v>
      </c>
      <c r="C46" s="98" t="s">
        <v>1142</v>
      </c>
      <c r="D46" s="59" t="s">
        <v>1143</v>
      </c>
      <c r="E46" s="88">
        <v>13.0</v>
      </c>
      <c r="F46" s="89" t="s">
        <v>1144</v>
      </c>
      <c r="G46" s="98" t="s">
        <v>1145</v>
      </c>
      <c r="H46" s="91" t="s">
        <v>1146</v>
      </c>
      <c r="I46" s="88">
        <v>13.0</v>
      </c>
      <c r="J46" s="89" t="s">
        <v>1147</v>
      </c>
      <c r="K46" s="98" t="s">
        <v>1148</v>
      </c>
      <c r="L46" s="91" t="s">
        <v>1149</v>
      </c>
      <c r="M46" s="88">
        <v>13.0</v>
      </c>
      <c r="N46" s="89" t="str">
        <f>IFERROR(__xludf.DUMMYFUNCTION("GOOGLETRANSLATE(B46,""zh-tw"",""zh"")"),"厕所Plpy-4")</f>
        <v>厕所Plpy-4</v>
      </c>
      <c r="O46" s="93"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8">
        <v>13.0</v>
      </c>
      <c r="R46" s="92" t="s">
        <v>1150</v>
      </c>
      <c r="S46" s="93" t="s">
        <v>1151</v>
      </c>
      <c r="T46" s="61" t="s">
        <v>1152</v>
      </c>
      <c r="U46" s="88">
        <v>13.0</v>
      </c>
      <c r="V46" s="101" t="s">
        <v>1153</v>
      </c>
      <c r="W46" s="98" t="s">
        <v>1154</v>
      </c>
      <c r="X46" s="59" t="s">
        <v>1155</v>
      </c>
      <c r="Y46" s="88">
        <v>13.0</v>
      </c>
      <c r="Z46" s="94" t="str">
        <f>IFERROR(__xludf.DUMMYFUNCTION("IF(J46="""", """", GOOGLETRANSLATE(J46,""en"",""RU""))"),"Сестра-дрочила - 4")</f>
        <v>Сестра-дрочила - 4</v>
      </c>
      <c r="AA46" s="103"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0"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8">
        <v>13.0</v>
      </c>
      <c r="AD46" s="101" t="s">
        <v>1156</v>
      </c>
      <c r="AE46" s="90" t="s">
        <v>1157</v>
      </c>
      <c r="AF46" s="91" t="s">
        <v>1158</v>
      </c>
      <c r="AG46" s="88">
        <v>13.0</v>
      </c>
      <c r="AH46" s="89" t="s">
        <v>1159</v>
      </c>
      <c r="AI46" s="90" t="s">
        <v>1160</v>
      </c>
      <c r="AJ46" s="91" t="s">
        <v>1161</v>
      </c>
      <c r="AK46" s="88">
        <v>13.0</v>
      </c>
      <c r="AL46" s="96" t="s">
        <v>1162</v>
      </c>
      <c r="AM46" s="97" t="s">
        <v>1163</v>
      </c>
      <c r="AN46" s="57" t="s">
        <v>1164</v>
      </c>
      <c r="AO46" s="59"/>
    </row>
    <row r="47">
      <c r="A47" s="81"/>
      <c r="B47" s="82"/>
      <c r="C47" s="82"/>
      <c r="D47" s="82"/>
      <c r="E47" s="81"/>
      <c r="F47" s="82"/>
      <c r="G47" s="82"/>
      <c r="H47" s="82"/>
      <c r="I47" s="81"/>
      <c r="J47" s="82"/>
      <c r="K47" s="82"/>
      <c r="L47" s="82"/>
      <c r="M47" s="81"/>
      <c r="N47" s="82"/>
      <c r="O47" s="55"/>
      <c r="P47" s="82"/>
      <c r="Q47" s="81"/>
      <c r="R47" s="55"/>
      <c r="S47" s="55"/>
      <c r="T47" s="55"/>
      <c r="U47" s="81"/>
      <c r="V47" s="55"/>
      <c r="W47" s="55"/>
      <c r="X47" s="55"/>
      <c r="Y47" s="81"/>
      <c r="Z47" s="82"/>
      <c r="AA47" s="82"/>
      <c r="AB47" s="82"/>
      <c r="AC47" s="81"/>
      <c r="AD47" s="82"/>
      <c r="AE47" s="82"/>
      <c r="AF47" s="82"/>
      <c r="AG47" s="81"/>
      <c r="AH47" s="83"/>
      <c r="AI47" s="83"/>
      <c r="AJ47" s="83"/>
      <c r="AK47" s="82"/>
      <c r="AL47" s="81"/>
      <c r="AM47" s="83"/>
      <c r="AN47" s="83"/>
      <c r="AO47" s="83"/>
    </row>
    <row r="48" ht="23.25" customHeight="1">
      <c r="A48" s="85" t="s">
        <v>1165</v>
      </c>
      <c r="B48" s="85" t="s">
        <v>1166</v>
      </c>
      <c r="E48" s="85" t="s">
        <v>1165</v>
      </c>
      <c r="F48" s="85" t="s">
        <v>1167</v>
      </c>
      <c r="I48" s="85" t="s">
        <v>1165</v>
      </c>
      <c r="J48" s="85" t="s">
        <v>1168</v>
      </c>
      <c r="M48" s="85" t="s">
        <v>1165</v>
      </c>
      <c r="N48" s="86" t="str">
        <f>IFERROR(__xludf.DUMMYFUNCTION("GOOGLETRANSLATE(B48,""zh-tw"",""zh"")"),"浴室相关")</f>
        <v>浴室相关</v>
      </c>
      <c r="Q48" s="85" t="s">
        <v>1165</v>
      </c>
      <c r="R48" s="85" t="s">
        <v>1169</v>
      </c>
      <c r="U48" s="85" t="s">
        <v>1165</v>
      </c>
      <c r="V48" s="85" t="s">
        <v>1170</v>
      </c>
      <c r="Y48" s="85" t="s">
        <v>1165</v>
      </c>
      <c r="Z48" s="85" t="s">
        <v>1171</v>
      </c>
      <c r="AC48" s="85" t="s">
        <v>1165</v>
      </c>
      <c r="AD48" s="85" t="s">
        <v>1172</v>
      </c>
      <c r="AG48" s="85" t="s">
        <v>1165</v>
      </c>
      <c r="AH48" s="85" t="s">
        <v>1173</v>
      </c>
      <c r="AK48" s="86" t="s">
        <v>1165</v>
      </c>
      <c r="AL48" s="86" t="s">
        <v>1174</v>
      </c>
      <c r="AO48" s="85"/>
    </row>
    <row r="49">
      <c r="A49" s="88">
        <v>1.0</v>
      </c>
      <c r="B49" s="89" t="s">
        <v>1175</v>
      </c>
      <c r="C49" s="90" t="s">
        <v>1176</v>
      </c>
      <c r="D49" s="91" t="s">
        <v>1177</v>
      </c>
      <c r="E49" s="88">
        <v>1.0</v>
      </c>
      <c r="F49" s="89" t="str">
        <f>IFERROR(__xludf.DUMMYFUNCTION("GOOGLETRANSLATE(B49,""zh-tw"",""ja"")"),"シャンプー")</f>
        <v>シャンプー</v>
      </c>
      <c r="G49" s="90" t="s">
        <v>1178</v>
      </c>
      <c r="H49" s="91" t="s">
        <v>1179</v>
      </c>
      <c r="I49" s="88">
        <v>1.0</v>
      </c>
      <c r="J49" s="89" t="str">
        <f>IFERROR(__xludf.DUMMYFUNCTION("GOOGLETRANSLATE(B49,""zh-tw"",""en"")"),"Shampoo")</f>
        <v>Shampoo</v>
      </c>
      <c r="K49" s="90" t="s">
        <v>1180</v>
      </c>
      <c r="L49" s="91" t="s">
        <v>1181</v>
      </c>
      <c r="M49" s="88">
        <v>1.0</v>
      </c>
      <c r="N49" s="89" t="str">
        <f>IFERROR(__xludf.DUMMYFUNCTION("GOOGLETRANSLATE(B49,""zh-tw"",""zh"")"),"洗发乳")</f>
        <v>洗发乳</v>
      </c>
      <c r="O49" s="93"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8">
        <v>1.0</v>
      </c>
      <c r="R49" s="89" t="str">
        <f>IFERROR(__xludf.DUMMYFUNCTION("GOOGLETRANSLATE(B49,""zh-tw"",""es-MX"")"),"Champú")</f>
        <v>Champú</v>
      </c>
      <c r="S49" s="93"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8">
        <v>1.0</v>
      </c>
      <c r="V49" s="92" t="str">
        <f>IFERROR(__xludf.DUMMYFUNCTION("GOOGLETRANSLATE(B49,""zh-tw"",""KO"")"),"샴푸")</f>
        <v>샴푸</v>
      </c>
      <c r="W49" s="93"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8">
        <v>1.0</v>
      </c>
      <c r="Z49" s="94" t="str">
        <f>IFERROR(__xludf.DUMMYFUNCTION("GOOGLETRANSLATE(B49,""zh-tw"",""ru"")"),"Шампунь")</f>
        <v>Шампунь</v>
      </c>
      <c r="AA49" s="103" t="s">
        <v>1182</v>
      </c>
      <c r="AB49" s="100" t="s">
        <v>1183</v>
      </c>
      <c r="AC49" s="88">
        <v>1.0</v>
      </c>
      <c r="AD49" s="89" t="s">
        <v>1184</v>
      </c>
      <c r="AE49" s="90" t="s">
        <v>1185</v>
      </c>
      <c r="AF49" s="91" t="s">
        <v>1186</v>
      </c>
      <c r="AG49" s="88">
        <v>1.0</v>
      </c>
      <c r="AH49" s="89" t="s">
        <v>1187</v>
      </c>
      <c r="AI49" s="90" t="s">
        <v>1188</v>
      </c>
      <c r="AJ49" s="91" t="s">
        <v>1189</v>
      </c>
      <c r="AK49" s="88">
        <v>1.0</v>
      </c>
      <c r="AL49" s="96" t="s">
        <v>1184</v>
      </c>
      <c r="AM49" s="97" t="s">
        <v>1190</v>
      </c>
      <c r="AN49" s="57" t="s">
        <v>1191</v>
      </c>
      <c r="AO49" s="91"/>
    </row>
    <row r="50">
      <c r="A50" s="108">
        <v>2.0</v>
      </c>
      <c r="B50" s="89" t="s">
        <v>1192</v>
      </c>
      <c r="C50" s="90" t="s">
        <v>1193</v>
      </c>
      <c r="D50" s="91" t="s">
        <v>1194</v>
      </c>
      <c r="E50" s="108">
        <v>2.0</v>
      </c>
      <c r="F50" s="89" t="s">
        <v>1195</v>
      </c>
      <c r="G50" s="90" t="s">
        <v>1196</v>
      </c>
      <c r="H50" s="91" t="s">
        <v>1197</v>
      </c>
      <c r="I50" s="108">
        <v>2.0</v>
      </c>
      <c r="J50" s="89" t="s">
        <v>1198</v>
      </c>
      <c r="K50" s="90" t="s">
        <v>1199</v>
      </c>
      <c r="L50" s="91" t="s">
        <v>1200</v>
      </c>
      <c r="M50" s="108">
        <v>2.0</v>
      </c>
      <c r="N50" s="89" t="str">
        <f>IFERROR(__xludf.DUMMYFUNCTION("GOOGLETRANSLATE(B50,""zh-tw"",""zh"")"),"要等妹妹洗澡吗")</f>
        <v>要等妹妹洗澡吗</v>
      </c>
      <c r="O50" s="93"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8">
        <v>2.0</v>
      </c>
      <c r="R50" s="89" t="s">
        <v>1201</v>
      </c>
      <c r="S50" s="93" t="s">
        <v>1202</v>
      </c>
      <c r="T50" s="61" t="s">
        <v>1203</v>
      </c>
      <c r="U50" s="108">
        <v>2.0</v>
      </c>
      <c r="V50" s="92" t="str">
        <f>IFERROR(__xludf.DUMMYFUNCTION("GOOGLETRANSLATE(B50,""zh-tw"",""KO"")"),"언니가 목욕할 때까지 기다려야 하나요?")</f>
        <v>언니가 목욕할 때까지 기다려야 하나요?</v>
      </c>
      <c r="W50" s="93"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8">
        <v>2.0</v>
      </c>
      <c r="Z50" s="104" t="str">
        <f>IFERROR(__xludf.DUMMYFUNCTION("IF(J50="""", """", GOOGLETRANSLATE(
J50,""en"",""ru""))"),"Подождать, пока Имото закончит купаться?")</f>
        <v>Подождать, пока Имото закончит купаться?</v>
      </c>
      <c r="AA50" s="105"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8">
        <v>2.0</v>
      </c>
      <c r="AD50" s="89" t="s">
        <v>1204</v>
      </c>
      <c r="AE50" s="90" t="s">
        <v>1205</v>
      </c>
      <c r="AF50" s="91" t="s">
        <v>1206</v>
      </c>
      <c r="AG50" s="108">
        <v>2.0</v>
      </c>
      <c r="AH50" s="89" t="s">
        <v>1207</v>
      </c>
      <c r="AI50" s="90" t="s">
        <v>1208</v>
      </c>
      <c r="AJ50" s="91" t="s">
        <v>1209</v>
      </c>
      <c r="AK50" s="88">
        <v>2.0</v>
      </c>
      <c r="AL50" s="96" t="s">
        <v>1210</v>
      </c>
      <c r="AM50" s="97" t="s">
        <v>1211</v>
      </c>
      <c r="AN50" s="57" t="s">
        <v>1212</v>
      </c>
      <c r="AO50" s="91"/>
    </row>
    <row r="51">
      <c r="A51" s="88">
        <v>3.0</v>
      </c>
      <c r="B51" s="89" t="s">
        <v>1213</v>
      </c>
      <c r="C51" s="90" t="s">
        <v>1214</v>
      </c>
      <c r="D51" s="91" t="s">
        <v>1215</v>
      </c>
      <c r="E51" s="88">
        <v>3.0</v>
      </c>
      <c r="F51" s="89" t="s">
        <v>1216</v>
      </c>
      <c r="G51" s="90" t="s">
        <v>1217</v>
      </c>
      <c r="H51" s="91" t="s">
        <v>1218</v>
      </c>
      <c r="I51" s="88">
        <v>3.0</v>
      </c>
      <c r="J51" s="89" t="s">
        <v>1219</v>
      </c>
      <c r="K51" s="90" t="s">
        <v>1220</v>
      </c>
      <c r="L51" s="91" t="s">
        <v>1221</v>
      </c>
      <c r="M51" s="88">
        <v>3.0</v>
      </c>
      <c r="N51" s="89" t="str">
        <f>IFERROR(__xludf.DUMMYFUNCTION("GOOGLETRANSLATE(B51,""zh-tw"",""zh"")"),"现在就去-1")</f>
        <v>现在就去-1</v>
      </c>
      <c r="O51" s="93"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8">
        <v>3.0</v>
      </c>
      <c r="R51" s="89" t="s">
        <v>1222</v>
      </c>
      <c r="S51" s="93" t="s">
        <v>1223</v>
      </c>
      <c r="T51" s="61" t="s">
        <v>1224</v>
      </c>
      <c r="U51" s="88">
        <v>3.0</v>
      </c>
      <c r="V51" s="92" t="str">
        <f>IFERROR(__xludf.DUMMYFUNCTION("GOOGLETRANSLATE(B51,""zh-tw"",""KO"")"),"지금 -1로 이동")</f>
        <v>지금 -1로 이동</v>
      </c>
      <c r="W51" s="93"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8">
        <v>3.0</v>
      </c>
      <c r="Z51" s="104" t="str">
        <f>IFERROR(__xludf.DUMMYFUNCTION("IF(J51="""", """", GOOGLETRANSLATE(
J51,""en"",""ru""))"),"Иди сейчас! - 1")</f>
        <v>Иди сейчас! - 1</v>
      </c>
      <c r="AA51" s="105"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Благополучно пробрались в туалет.
2. Пойманы Имото.")</f>
        <v>Будет два исхода:
1. Благополучно пробрались в туалет.
2. Пойманы Имото.</v>
      </c>
      <c r="AC51" s="88">
        <v>3.0</v>
      </c>
      <c r="AD51" s="89" t="s">
        <v>1225</v>
      </c>
      <c r="AE51" s="90" t="s">
        <v>1226</v>
      </c>
      <c r="AF51" s="91" t="s">
        <v>1227</v>
      </c>
      <c r="AG51" s="88">
        <v>3.0</v>
      </c>
      <c r="AH51" s="89" t="s">
        <v>1228</v>
      </c>
      <c r="AI51" s="90" t="s">
        <v>1229</v>
      </c>
      <c r="AJ51" s="91" t="s">
        <v>1230</v>
      </c>
      <c r="AK51" s="88">
        <v>3.0</v>
      </c>
      <c r="AL51" s="96" t="s">
        <v>1231</v>
      </c>
      <c r="AM51" s="97" t="s">
        <v>1232</v>
      </c>
      <c r="AN51" s="57" t="s">
        <v>1233</v>
      </c>
      <c r="AO51" s="91"/>
    </row>
    <row r="52">
      <c r="A52" s="88">
        <v>4.0</v>
      </c>
      <c r="B52" s="89" t="s">
        <v>1234</v>
      </c>
      <c r="C52" s="90" t="s">
        <v>1235</v>
      </c>
      <c r="D52" s="91" t="s">
        <v>1236</v>
      </c>
      <c r="E52" s="88">
        <v>4.0</v>
      </c>
      <c r="F52" s="89" t="s">
        <v>1237</v>
      </c>
      <c r="G52" s="90" t="s">
        <v>1238</v>
      </c>
      <c r="H52" s="91" t="s">
        <v>1239</v>
      </c>
      <c r="I52" s="88">
        <v>4.0</v>
      </c>
      <c r="J52" s="89" t="s">
        <v>1240</v>
      </c>
      <c r="K52" s="90" t="s">
        <v>1241</v>
      </c>
      <c r="L52" s="91" t="s">
        <v>1242</v>
      </c>
      <c r="M52" s="88">
        <v>4.0</v>
      </c>
      <c r="N52" s="89" t="str">
        <f>IFERROR(__xludf.DUMMYFUNCTION("GOOGLETRANSLATE(B52,""zh-tw"",""zh"")"),"现在就去-2")</f>
        <v>现在就去-2</v>
      </c>
      <c r="O52" s="93"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8">
        <v>4.0</v>
      </c>
      <c r="R52" s="89" t="s">
        <v>1243</v>
      </c>
      <c r="S52" s="93" t="s">
        <v>1244</v>
      </c>
      <c r="T52" s="61" t="s">
        <v>1245</v>
      </c>
      <c r="U52" s="88">
        <v>4.0</v>
      </c>
      <c r="V52" s="92" t="str">
        <f>IFERROR(__xludf.DUMMYFUNCTION("GOOGLETRANSLATE(B52,""zh-tw"",""KO"")"),"지금 -2로 가세요")</f>
        <v>지금 -2로 가세요</v>
      </c>
      <c r="W52" s="93"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8">
        <v>4.0</v>
      </c>
      <c r="Z52" s="104" t="str">
        <f>IFERROR(__xludf.DUMMYFUNCTION("IF(J52="""", """", GOOGLETRANSLATE(
J52,""en"",""ru""))"),"Иди сейчас! - 2")</f>
        <v>Иди сейчас! - 2</v>
      </c>
      <c r="AA52" s="105"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8">
        <v>4.0</v>
      </c>
      <c r="AD52" s="89" t="s">
        <v>1246</v>
      </c>
      <c r="AE52" s="90" t="s">
        <v>1247</v>
      </c>
      <c r="AF52" s="91" t="s">
        <v>1248</v>
      </c>
      <c r="AG52" s="88">
        <v>4.0</v>
      </c>
      <c r="AH52" s="89" t="s">
        <v>1249</v>
      </c>
      <c r="AI52" s="90" t="s">
        <v>1250</v>
      </c>
      <c r="AJ52" s="91" t="s">
        <v>1251</v>
      </c>
      <c r="AK52" s="88">
        <v>4.0</v>
      </c>
      <c r="AL52" s="96" t="s">
        <v>1252</v>
      </c>
      <c r="AM52" s="97" t="s">
        <v>1253</v>
      </c>
      <c r="AN52" s="57" t="s">
        <v>1254</v>
      </c>
      <c r="AO52" s="91"/>
    </row>
    <row r="53">
      <c r="A53" s="108">
        <v>5.0</v>
      </c>
      <c r="B53" s="89" t="s">
        <v>1255</v>
      </c>
      <c r="C53" s="90" t="s">
        <v>1256</v>
      </c>
      <c r="D53" s="91" t="s">
        <v>1257</v>
      </c>
      <c r="E53" s="108">
        <v>5.0</v>
      </c>
      <c r="F53" s="89" t="s">
        <v>1258</v>
      </c>
      <c r="G53" s="90" t="s">
        <v>1259</v>
      </c>
      <c r="H53" s="91" t="s">
        <v>1260</v>
      </c>
      <c r="I53" s="108">
        <v>5.0</v>
      </c>
      <c r="J53" s="89" t="s">
        <v>1261</v>
      </c>
      <c r="K53" s="90" t="s">
        <v>1262</v>
      </c>
      <c r="L53" s="91" t="s">
        <v>1263</v>
      </c>
      <c r="M53" s="108">
        <v>5.0</v>
      </c>
      <c r="N53" s="89" t="str">
        <f>IFERROR(__xludf.DUMMYFUNCTION("GOOGLETRANSLATE(B53,""zh-tw"",""zh"")"),"现在就去-3")</f>
        <v>现在就去-3</v>
      </c>
      <c r="O53" s="93"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8">
        <v>5.0</v>
      </c>
      <c r="R53" s="89" t="s">
        <v>1264</v>
      </c>
      <c r="S53" s="93" t="s">
        <v>1265</v>
      </c>
      <c r="T53" s="61" t="s">
        <v>1266</v>
      </c>
      <c r="U53" s="108">
        <v>5.0</v>
      </c>
      <c r="V53" s="92" t="str">
        <f>IFERROR(__xludf.DUMMYFUNCTION("GOOGLETRANSLATE(B53,""zh-tw"",""KO"")"),"지금 -3으로 가세요")</f>
        <v>지금 -3으로 가세요</v>
      </c>
      <c r="W53" s="93"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8">
        <v>5.0</v>
      </c>
      <c r="Z53" s="104" t="str">
        <f>IFERROR(__xludf.DUMMYFUNCTION("IF(J53="""", """", GOOGLETRANSLATE(
J53,""en"",""ru""))"),"Иди сейчас! - 3")</f>
        <v>Иди сейчас! - 3</v>
      </c>
      <c r="AA53" s="105"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8">
        <v>5.0</v>
      </c>
      <c r="AD53" s="89" t="s">
        <v>1267</v>
      </c>
      <c r="AE53" s="90" t="s">
        <v>1268</v>
      </c>
      <c r="AF53" s="91" t="s">
        <v>1269</v>
      </c>
      <c r="AG53" s="108">
        <v>5.0</v>
      </c>
      <c r="AH53" s="89" t="s">
        <v>1270</v>
      </c>
      <c r="AI53" s="90" t="s">
        <v>1271</v>
      </c>
      <c r="AJ53" s="91" t="s">
        <v>1272</v>
      </c>
      <c r="AK53" s="88">
        <v>5.0</v>
      </c>
      <c r="AL53" s="96" t="s">
        <v>1273</v>
      </c>
      <c r="AM53" s="97" t="s">
        <v>1274</v>
      </c>
      <c r="AN53" s="57" t="s">
        <v>1275</v>
      </c>
      <c r="AO53" s="91"/>
    </row>
    <row r="54">
      <c r="A54" s="88">
        <v>6.0</v>
      </c>
      <c r="B54" s="89" t="s">
        <v>1276</v>
      </c>
      <c r="C54" s="90" t="s">
        <v>1277</v>
      </c>
      <c r="D54" s="91" t="s">
        <v>1278</v>
      </c>
      <c r="E54" s="88">
        <v>6.0</v>
      </c>
      <c r="F54" s="89" t="s">
        <v>1279</v>
      </c>
      <c r="G54" s="90" t="s">
        <v>1280</v>
      </c>
      <c r="H54" s="91" t="s">
        <v>1281</v>
      </c>
      <c r="I54" s="88">
        <v>6.0</v>
      </c>
      <c r="J54" s="89" t="s">
        <v>1282</v>
      </c>
      <c r="K54" s="90" t="s">
        <v>1283</v>
      </c>
      <c r="L54" s="91" t="s">
        <v>1284</v>
      </c>
      <c r="M54" s="88">
        <v>6.0</v>
      </c>
      <c r="N54" s="89" t="str">
        <f>IFERROR(__xludf.DUMMYFUNCTION("GOOGLETRANSLATE(B54,""zh-tw"",""zh"")"),"现在就去-4")</f>
        <v>现在就去-4</v>
      </c>
      <c r="O54" s="93"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8">
        <v>6.0</v>
      </c>
      <c r="R54" s="89" t="s">
        <v>1285</v>
      </c>
      <c r="S54" s="93" t="s">
        <v>1286</v>
      </c>
      <c r="T54" s="61" t="s">
        <v>1287</v>
      </c>
      <c r="U54" s="88">
        <v>6.0</v>
      </c>
      <c r="V54" s="92" t="str">
        <f>IFERROR(__xludf.DUMMYFUNCTION("GOOGLETRANSLATE(B54,""zh-tw"",""KO"")"),"지금 -4로 가세요")</f>
        <v>지금 -4로 가세요</v>
      </c>
      <c r="W54" s="93"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8">
        <v>6.0</v>
      </c>
      <c r="Z54" s="104" t="str">
        <f>IFERROR(__xludf.DUMMYFUNCTION("IF(J54="""", """", GOOGLETRANSLATE(
J54,""en"",""ru""))"),"Иди сейчас! - 4")</f>
        <v>Иди сейчас! - 4</v>
      </c>
      <c r="AA54" s="105"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8">
        <v>6.0</v>
      </c>
      <c r="AD54" s="89" t="s">
        <v>1288</v>
      </c>
      <c r="AE54" s="90" t="s">
        <v>1289</v>
      </c>
      <c r="AF54" s="91" t="s">
        <v>1290</v>
      </c>
      <c r="AG54" s="88">
        <v>6.0</v>
      </c>
      <c r="AH54" s="89" t="s">
        <v>1291</v>
      </c>
      <c r="AI54" s="90" t="s">
        <v>1292</v>
      </c>
      <c r="AJ54" s="91" t="s">
        <v>1293</v>
      </c>
      <c r="AK54" s="88">
        <v>6.0</v>
      </c>
      <c r="AL54" s="96" t="s">
        <v>1294</v>
      </c>
      <c r="AM54" s="97" t="s">
        <v>1295</v>
      </c>
      <c r="AN54" s="57" t="s">
        <v>1296</v>
      </c>
      <c r="AO54" s="91"/>
    </row>
    <row r="55">
      <c r="A55" s="88">
        <v>7.0</v>
      </c>
      <c r="B55" s="89" t="s">
        <v>1297</v>
      </c>
      <c r="C55" s="98" t="s">
        <v>1298</v>
      </c>
      <c r="D55" s="59" t="s">
        <v>1299</v>
      </c>
      <c r="E55" s="88">
        <v>7.0</v>
      </c>
      <c r="F55" s="101" t="s">
        <v>1300</v>
      </c>
      <c r="G55" s="98" t="s">
        <v>1301</v>
      </c>
      <c r="H55" s="59" t="s">
        <v>1302</v>
      </c>
      <c r="I55" s="88">
        <v>7.0</v>
      </c>
      <c r="J55" s="101" t="s">
        <v>1303</v>
      </c>
      <c r="K55" s="98" t="s">
        <v>1304</v>
      </c>
      <c r="L55" s="59" t="s">
        <v>1305</v>
      </c>
      <c r="M55" s="88">
        <v>7.0</v>
      </c>
      <c r="N55" s="89" t="str">
        <f>IFERROR(__xludf.DUMMYFUNCTION("GOOGLETRANSLATE(B55,""zh-tw"",""zh"")"),"现在就去-5")</f>
        <v>现在就去-5</v>
      </c>
      <c r="O55" s="93"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8">
        <v>7.0</v>
      </c>
      <c r="R55" s="89"/>
      <c r="S55" s="93"/>
      <c r="T55" s="61"/>
      <c r="U55" s="88">
        <v>7.0</v>
      </c>
      <c r="V55" s="92" t="str">
        <f>IFERROR(__xludf.DUMMYFUNCTION("GOOGLETRANSLATE(B55,""zh-tw"",""KO"")"),"지금 -5로 가세요")</f>
        <v>지금 -5로 가세요</v>
      </c>
      <c r="W55" s="93"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살펴보겠습니다"")이 제시됩니다.")</f>
        <v>이렇게 하면 다양한 대화가 시작되고 세 가지 옵션("한번 살펴보겠습니다")이 제시됩니다.</v>
      </c>
      <c r="Y55" s="88">
        <v>7.0</v>
      </c>
      <c r="Z55" s="104" t="str">
        <f>IFERROR(__xludf.DUMMYFUNCTION("IF(J55="""", """", GOOGLETRANSLATE(
J55,""en"",""ru""))"),"Иди сейчас! - 5")</f>
        <v>Иди сейчас! - 5</v>
      </c>
      <c r="AA55" s="105"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8">
        <v>7.0</v>
      </c>
      <c r="AD55" s="101" t="s">
        <v>1306</v>
      </c>
      <c r="AE55" s="98" t="s">
        <v>1307</v>
      </c>
      <c r="AF55" s="59" t="s">
        <v>1308</v>
      </c>
      <c r="AG55" s="88">
        <v>7.0</v>
      </c>
      <c r="AH55" s="89" t="s">
        <v>1309</v>
      </c>
      <c r="AI55" s="90" t="s">
        <v>1310</v>
      </c>
      <c r="AJ55" s="91" t="s">
        <v>1311</v>
      </c>
      <c r="AK55" s="88">
        <v>7.0</v>
      </c>
      <c r="AL55" s="96" t="s">
        <v>1312</v>
      </c>
      <c r="AM55" s="97" t="s">
        <v>1313</v>
      </c>
      <c r="AN55" s="57" t="s">
        <v>1314</v>
      </c>
      <c r="AO55" s="59"/>
    </row>
    <row r="56">
      <c r="A56" s="108">
        <v>8.0</v>
      </c>
      <c r="B56" s="89" t="s">
        <v>1315</v>
      </c>
      <c r="C56" s="98" t="s">
        <v>1316</v>
      </c>
      <c r="D56" s="91" t="s">
        <v>1317</v>
      </c>
      <c r="E56" s="108">
        <v>8.0</v>
      </c>
      <c r="F56" s="89" t="s">
        <v>1318</v>
      </c>
      <c r="G56" s="90" t="s">
        <v>1319</v>
      </c>
      <c r="H56" s="91" t="s">
        <v>1320</v>
      </c>
      <c r="I56" s="108">
        <v>8.0</v>
      </c>
      <c r="J56" s="89" t="s">
        <v>1321</v>
      </c>
      <c r="K56" s="90" t="s">
        <v>1322</v>
      </c>
      <c r="L56" s="91" t="s">
        <v>1323</v>
      </c>
      <c r="M56" s="108">
        <v>8.0</v>
      </c>
      <c r="N56" s="89" t="str">
        <f>IFERROR(__xludf.DUMMYFUNCTION("GOOGLETRANSLATE(B56,""zh-tw"",""zh"")"),"让我看看...-1")</f>
        <v>让我看看...-1</v>
      </c>
      <c r="O56" s="93" t="str">
        <f>IFERROR(__xludf.DUMMYFUNCTION("GOOGLETRANSLATE(C56,""zh-tw"",""zh"")"),"被妹妹拒绝")</f>
        <v>被妹妹拒绝</v>
      </c>
      <c r="P56" s="61" t="str">
        <f>IFERROR(__xludf.DUMMYFUNCTION("GOOGLETRANSLATE(D56,""zh-tw"",""zh"")"),"哥哥是笨蛋！")</f>
        <v>哥哥是笨蛋！</v>
      </c>
      <c r="Q56" s="108">
        <v>8.0</v>
      </c>
      <c r="R56" s="89" t="s">
        <v>1324</v>
      </c>
      <c r="S56" s="93" t="s">
        <v>1325</v>
      </c>
      <c r="T56" s="61" t="s">
        <v>1326</v>
      </c>
      <c r="U56" s="108">
        <v>8.0</v>
      </c>
      <c r="V56" s="92" t="str">
        <f>IFERROR(__xludf.DUMMYFUNCTION("GOOGLETRANSLATE(B56,""zh-tw"",""KO"")"),"한번 보자...-1")</f>
        <v>한번 보자...-1</v>
      </c>
      <c r="W56" s="93" t="str">
        <f>IFERROR(__xludf.DUMMYFUNCTION("GOOGLETRANSLATE(C56,""zh-tw"",""KO"")"),"언니에게 거절당함")</f>
        <v>언니에게 거절당함</v>
      </c>
      <c r="X56" s="61" t="str">
        <f>IFERROR(__xludf.DUMMYFUNCTION("GOOGLETRANSLATE(D56,""zh-tw"",""KO"")"),"내 동생은 바보야!")</f>
        <v>내 동생은 바보야!</v>
      </c>
      <c r="Y56" s="108">
        <v>8.0</v>
      </c>
      <c r="Z56" s="104" t="str">
        <f>IFERROR(__xludf.DUMMYFUNCTION("IF(J56="""", """", GOOGLETRANSLATE(
J56,""en"",""ru""))"),"Дай-ка подумать... - 1")</f>
        <v>Дай-ка подумать... - 1</v>
      </c>
      <c r="AA56" s="105"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8">
        <v>8.0</v>
      </c>
      <c r="AD56" s="89" t="s">
        <v>1327</v>
      </c>
      <c r="AE56" s="90" t="s">
        <v>1328</v>
      </c>
      <c r="AF56" s="91" t="s">
        <v>1329</v>
      </c>
      <c r="AG56" s="108">
        <v>8.0</v>
      </c>
      <c r="AH56" s="89" t="s">
        <v>1330</v>
      </c>
      <c r="AI56" s="90" t="s">
        <v>1331</v>
      </c>
      <c r="AJ56" s="91" t="s">
        <v>1332</v>
      </c>
      <c r="AK56" s="88">
        <v>8.0</v>
      </c>
      <c r="AL56" s="96" t="s">
        <v>1333</v>
      </c>
      <c r="AM56" s="97" t="s">
        <v>1334</v>
      </c>
      <c r="AN56" s="57" t="s">
        <v>1335</v>
      </c>
      <c r="AO56" s="91"/>
    </row>
    <row r="57">
      <c r="A57" s="88">
        <v>9.0</v>
      </c>
      <c r="B57" s="101" t="s">
        <v>1336</v>
      </c>
      <c r="C57" s="98" t="s">
        <v>1337</v>
      </c>
      <c r="D57" s="59" t="s">
        <v>1338</v>
      </c>
      <c r="E57" s="88">
        <v>9.0</v>
      </c>
      <c r="F57" s="89" t="s">
        <v>1339</v>
      </c>
      <c r="G57" s="90" t="s">
        <v>1340</v>
      </c>
      <c r="H57" s="91" t="s">
        <v>1341</v>
      </c>
      <c r="I57" s="88">
        <v>9.0</v>
      </c>
      <c r="J57" s="89" t="s">
        <v>1342</v>
      </c>
      <c r="K57" s="90" t="s">
        <v>1343</v>
      </c>
      <c r="L57" s="59" t="s">
        <v>1344</v>
      </c>
      <c r="M57" s="88">
        <v>9.0</v>
      </c>
      <c r="N57" s="89" t="str">
        <f>IFERROR(__xludf.DUMMYFUNCTION("GOOGLETRANSLATE(B57,""zh-tw"",""zh"")"),"让我看看...-2
""想要色色""")</f>
        <v>让我看看...-2
"想要色色"</v>
      </c>
      <c r="O57" s="93"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8">
        <v>9.0</v>
      </c>
      <c r="R57" s="92" t="s">
        <v>1345</v>
      </c>
      <c r="S57" s="98" t="s">
        <v>1346</v>
      </c>
      <c r="T57" s="59" t="s">
        <v>1347</v>
      </c>
      <c r="U57" s="88">
        <v>9.0</v>
      </c>
      <c r="V57" s="92" t="str">
        <f>IFERROR(__xludf.DUMMYFUNCTION("GOOGLETRANSLATE(B57,""zh-tw"",""KO"")"),"어디 보자... -2
""섹스하고 싶어""")</f>
        <v>어디 보자... -2
"섹스하고 싶어"</v>
      </c>
      <c r="W57" s="93"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8">
        <v>9.0</v>
      </c>
      <c r="Z57" s="104" t="str">
        <f>IFERROR(__xludf.DUMMYFUNCTION("IF(J57="""", """", GOOGLETRANSLATE(
J57,""en"",""ru""))"),"Дай-ка подумать... - 2")</f>
        <v>Дай-ка подумать... - 2</v>
      </c>
      <c r="AA57" s="105"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8">
        <v>9.0</v>
      </c>
      <c r="AD57" s="89" t="s">
        <v>1348</v>
      </c>
      <c r="AE57" s="90" t="s">
        <v>1349</v>
      </c>
      <c r="AF57" s="91" t="s">
        <v>1350</v>
      </c>
      <c r="AG57" s="88">
        <v>9.0</v>
      </c>
      <c r="AH57" s="89" t="s">
        <v>1351</v>
      </c>
      <c r="AI57" s="90" t="s">
        <v>1352</v>
      </c>
      <c r="AJ57" s="91" t="s">
        <v>1353</v>
      </c>
      <c r="AK57" s="88">
        <v>9.0</v>
      </c>
      <c r="AL57" s="96" t="s">
        <v>1354</v>
      </c>
      <c r="AM57" s="97" t="s">
        <v>1355</v>
      </c>
      <c r="AN57" s="57" t="s">
        <v>1356</v>
      </c>
      <c r="AO57" s="59"/>
    </row>
    <row r="58">
      <c r="A58" s="88">
        <v>10.0</v>
      </c>
      <c r="B58" s="101" t="s">
        <v>1357</v>
      </c>
      <c r="C58" s="90" t="s">
        <v>1358</v>
      </c>
      <c r="D58" s="59" t="s">
        <v>1359</v>
      </c>
      <c r="E58" s="88">
        <v>10.0</v>
      </c>
      <c r="F58" s="89" t="s">
        <v>1360</v>
      </c>
      <c r="G58" s="90" t="s">
        <v>1361</v>
      </c>
      <c r="H58" s="91" t="s">
        <v>1362</v>
      </c>
      <c r="I58" s="88">
        <v>10.0</v>
      </c>
      <c r="J58" s="89" t="s">
        <v>1363</v>
      </c>
      <c r="K58" s="90" t="s">
        <v>1364</v>
      </c>
      <c r="L58" s="91" t="s">
        <v>1365</v>
      </c>
      <c r="M58" s="88">
        <v>10.0</v>
      </c>
      <c r="N58" s="89" t="str">
        <f>IFERROR(__xludf.DUMMYFUNCTION("GOOGLETRANSLATE(B58,""zh-tw"",""zh"")"),"让我看看...-3
""想要色色""")</f>
        <v>让我看看...-3
"想要色色"</v>
      </c>
      <c r="O58" s="93"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8">
        <v>10.0</v>
      </c>
      <c r="R58" s="92" t="s">
        <v>1366</v>
      </c>
      <c r="S58" s="98" t="s">
        <v>1367</v>
      </c>
      <c r="T58" s="59" t="s">
        <v>1368</v>
      </c>
      <c r="U58" s="88">
        <v>10.0</v>
      </c>
      <c r="V58" s="92" t="str">
        <f>IFERROR(__xludf.DUMMYFUNCTION("GOOGLETRANSLATE(B58,""zh-tw"",""KO"")"),"어디 보자... -3
""섹시해지고 싶어""")</f>
        <v>어디 보자... -3
"섹시해지고 싶어"</v>
      </c>
      <c r="W58" s="93"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8">
        <v>10.0</v>
      </c>
      <c r="Z58" s="104" t="str">
        <f>IFERROR(__xludf.DUMMYFUNCTION("IF(J58="""", """", GOOGLETRANSLATE(
J58,""en"",""ru""))"),"Дай-ка подумать... - 3")</f>
        <v>Дай-ка подумать... - 3</v>
      </c>
      <c r="AA58" s="105"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8">
        <v>10.0</v>
      </c>
      <c r="AD58" s="89" t="s">
        <v>1369</v>
      </c>
      <c r="AE58" s="90" t="s">
        <v>1370</v>
      </c>
      <c r="AF58" s="91" t="s">
        <v>1371</v>
      </c>
      <c r="AG58" s="88">
        <v>10.0</v>
      </c>
      <c r="AH58" s="89" t="s">
        <v>1372</v>
      </c>
      <c r="AI58" s="90" t="s">
        <v>1373</v>
      </c>
      <c r="AJ58" s="91" t="s">
        <v>1374</v>
      </c>
      <c r="AK58" s="88">
        <v>10.0</v>
      </c>
      <c r="AL58" s="96" t="s">
        <v>1375</v>
      </c>
      <c r="AM58" s="97" t="s">
        <v>1376</v>
      </c>
      <c r="AN58" s="57" t="s">
        <v>1377</v>
      </c>
      <c r="AO58" s="59"/>
    </row>
    <row r="59">
      <c r="A59" s="108">
        <v>11.0</v>
      </c>
      <c r="B59" s="101" t="s">
        <v>1378</v>
      </c>
      <c r="C59" s="98" t="s">
        <v>1379</v>
      </c>
      <c r="D59" s="59" t="s">
        <v>1380</v>
      </c>
      <c r="E59" s="108">
        <v>11.0</v>
      </c>
      <c r="F59" s="89" t="s">
        <v>1381</v>
      </c>
      <c r="G59" s="90" t="s">
        <v>1382</v>
      </c>
      <c r="H59" s="59" t="s">
        <v>1383</v>
      </c>
      <c r="I59" s="108">
        <v>11.0</v>
      </c>
      <c r="J59" s="101" t="s">
        <v>1384</v>
      </c>
      <c r="K59" s="98" t="s">
        <v>1385</v>
      </c>
      <c r="L59" s="59" t="s">
        <v>1386</v>
      </c>
      <c r="M59" s="108">
        <v>11.0</v>
      </c>
      <c r="N59" s="89" t="str">
        <f>IFERROR(__xludf.DUMMYFUNCTION("GOOGLETRANSLATE(B59,""zh-tw"",""zh"")"),"让我看看...-4
""想要色色""")</f>
        <v>让我看看...-4
"想要色色"</v>
      </c>
      <c r="O59" s="93"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8">
        <v>11.0</v>
      </c>
      <c r="R59" s="92" t="s">
        <v>1387</v>
      </c>
      <c r="S59" s="98" t="s">
        <v>1388</v>
      </c>
      <c r="T59" s="59" t="s">
        <v>1389</v>
      </c>
      <c r="U59" s="108">
        <v>11.0</v>
      </c>
      <c r="V59" s="92" t="str">
        <f>IFERROR(__xludf.DUMMYFUNCTION("GOOGLETRANSLATE(B59,""zh-tw"",""KO"")"),"어디 보자... -4
""섹스하고 싶어""")</f>
        <v>어디 보자... -4
"섹스하고 싶어"</v>
      </c>
      <c r="W59" s="93"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8">
        <v>11.0</v>
      </c>
      <c r="Z59" s="104" t="str">
        <f>IFERROR(__xludf.DUMMYFUNCTION("IF(J59="""", """", GOOGLETRANSLATE(
J59,""en"",""ru""))"),"Хочу похотливого")</f>
        <v>Хочу похотливого</v>
      </c>
      <c r="AA59" s="105"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8">
        <v>11.0</v>
      </c>
      <c r="AD59" s="89" t="s">
        <v>1390</v>
      </c>
      <c r="AE59" s="90" t="s">
        <v>1391</v>
      </c>
      <c r="AF59" s="91" t="s">
        <v>1392</v>
      </c>
      <c r="AG59" s="108">
        <v>11.0</v>
      </c>
      <c r="AH59" s="89" t="s">
        <v>1393</v>
      </c>
      <c r="AI59" s="98" t="s">
        <v>1394</v>
      </c>
      <c r="AJ59" s="91" t="s">
        <v>1395</v>
      </c>
      <c r="AK59" s="88">
        <v>11.0</v>
      </c>
      <c r="AL59" s="96" t="s">
        <v>1396</v>
      </c>
      <c r="AM59" s="97" t="s">
        <v>1397</v>
      </c>
      <c r="AN59" s="57" t="s">
        <v>1398</v>
      </c>
      <c r="AO59" s="59"/>
    </row>
    <row r="60">
      <c r="A60" s="88">
        <v>12.0</v>
      </c>
      <c r="B60" s="89" t="s">
        <v>1399</v>
      </c>
      <c r="C60" s="90" t="s">
        <v>1400</v>
      </c>
      <c r="D60" s="91" t="s">
        <v>1401</v>
      </c>
      <c r="E60" s="88">
        <v>12.0</v>
      </c>
      <c r="F60" s="89" t="s">
        <v>1402</v>
      </c>
      <c r="G60" s="90" t="s">
        <v>1403</v>
      </c>
      <c r="H60" s="91" t="s">
        <v>1404</v>
      </c>
      <c r="I60" s="88">
        <v>12.0</v>
      </c>
      <c r="J60" s="101" t="s">
        <v>1405</v>
      </c>
      <c r="K60" s="98" t="s">
        <v>1406</v>
      </c>
      <c r="L60" s="59" t="s">
        <v>1407</v>
      </c>
      <c r="M60" s="88">
        <v>12.0</v>
      </c>
      <c r="N60" s="89" t="str">
        <f>IFERROR(__xludf.DUMMYFUNCTION("GOOGLETRANSLATE(B60,""zh-tw"",""zh"")"),"再等会")</f>
        <v>再等会</v>
      </c>
      <c r="O60" s="93"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8">
        <v>12.0</v>
      </c>
      <c r="R60" s="101" t="s">
        <v>1408</v>
      </c>
      <c r="S60" s="98" t="s">
        <v>1409</v>
      </c>
      <c r="T60" s="59" t="s">
        <v>1410</v>
      </c>
      <c r="U60" s="88">
        <v>12.0</v>
      </c>
      <c r="V60" s="92" t="str">
        <f>IFERROR(__xludf.DUMMYFUNCTION("GOOGLETRANSLATE(B60,""zh-tw"",""KO"")"),"잠깐만 기다려요")</f>
        <v>잠깐만 기다려요</v>
      </c>
      <c r="W60" s="93"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8">
        <v>12.0</v>
      </c>
      <c r="Z60" s="104" t="str">
        <f>IFERROR(__xludf.DUMMYFUNCTION("IF(J60="""", """", GOOGLETRANSLATE(
J60,""en"",""ru""))"),"Подожди немного")</f>
        <v>Подожди немного</v>
      </c>
      <c r="AA60" s="105"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8">
        <v>12.0</v>
      </c>
      <c r="AD60" s="89" t="s">
        <v>1411</v>
      </c>
      <c r="AE60" s="90" t="s">
        <v>1412</v>
      </c>
      <c r="AF60" s="91" t="s">
        <v>1413</v>
      </c>
      <c r="AG60" s="88">
        <v>12.0</v>
      </c>
      <c r="AH60" s="89" t="s">
        <v>1414</v>
      </c>
      <c r="AI60" s="90" t="s">
        <v>1415</v>
      </c>
      <c r="AJ60" s="91" t="s">
        <v>1416</v>
      </c>
      <c r="AK60" s="88">
        <v>12.0</v>
      </c>
      <c r="AL60" s="96" t="s">
        <v>1417</v>
      </c>
      <c r="AM60" s="97" t="s">
        <v>1418</v>
      </c>
      <c r="AN60" s="57" t="s">
        <v>1419</v>
      </c>
      <c r="AO60" s="91"/>
    </row>
    <row r="61">
      <c r="A61" s="88">
        <v>13.0</v>
      </c>
      <c r="B61" s="89" t="s">
        <v>1420</v>
      </c>
      <c r="C61" s="90" t="s">
        <v>1421</v>
      </c>
      <c r="D61" s="91" t="s">
        <v>1422</v>
      </c>
      <c r="E61" s="88">
        <v>13.0</v>
      </c>
      <c r="F61" s="89" t="str">
        <f>IFERROR(__xludf.DUMMYFUNCTION("GOOGLETRANSLATE(B61,""zh-tw"",""ja"")"),"最初の侵入")</f>
        <v>最初の侵入</v>
      </c>
      <c r="G61" s="90" t="s">
        <v>1423</v>
      </c>
      <c r="H61" s="91" t="s">
        <v>1424</v>
      </c>
      <c r="I61" s="88">
        <v>13.0</v>
      </c>
      <c r="J61" s="89" t="s">
        <v>1425</v>
      </c>
      <c r="K61" s="90" t="s">
        <v>1426</v>
      </c>
      <c r="L61" s="91" t="s">
        <v>1427</v>
      </c>
      <c r="M61" s="88">
        <v>13.0</v>
      </c>
      <c r="N61" s="89" t="str">
        <f>IFERROR(__xludf.DUMMYFUNCTION("GOOGLETRANSLATE(B61,""zh-tw"",""zh"")"),"第一次潜入")</f>
        <v>第一次潜入</v>
      </c>
      <c r="O61" s="93"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8">
        <v>13.0</v>
      </c>
      <c r="R61" s="92" t="s">
        <v>1428</v>
      </c>
      <c r="S61" s="93" t="str">
        <f>IFERROR(__xludf.DUMMYFUNCTION("GOOGLETRANSLATE(C61,""zh-tw"",""es-MX"")"),"La primera infiltración en el baño es parte de una historia especial.")</f>
        <v>La primera infiltración en el baño es parte de una historia especial.</v>
      </c>
      <c r="T61" s="61" t="s">
        <v>1429</v>
      </c>
      <c r="U61" s="88">
        <v>13.0</v>
      </c>
      <c r="V61" s="92" t="str">
        <f>IFERROR(__xludf.DUMMYFUNCTION("GOOGLETRANSLATE(B61,""zh-tw"",""KO"")"),"첫 번째 침투")</f>
        <v>첫 번째 침투</v>
      </c>
      <c r="W61" s="93" t="s">
        <v>1430</v>
      </c>
      <c r="X61" s="61" t="s">
        <v>1431</v>
      </c>
      <c r="Y61" s="88">
        <v>13.0</v>
      </c>
      <c r="Z61" s="104" t="s">
        <v>1432</v>
      </c>
      <c r="AA61" s="105" t="s">
        <v>1433</v>
      </c>
      <c r="AB61" s="54" t="s">
        <v>1434</v>
      </c>
      <c r="AC61" s="88">
        <v>13.0</v>
      </c>
      <c r="AD61" s="89" t="s">
        <v>1435</v>
      </c>
      <c r="AE61" s="90" t="s">
        <v>1436</v>
      </c>
      <c r="AF61" s="91" t="s">
        <v>1437</v>
      </c>
      <c r="AG61" s="88">
        <v>13.0</v>
      </c>
      <c r="AH61" s="89" t="s">
        <v>1438</v>
      </c>
      <c r="AI61" s="90" t="s">
        <v>1439</v>
      </c>
      <c r="AJ61" s="91" t="s">
        <v>1440</v>
      </c>
      <c r="AK61" s="88">
        <v>13.0</v>
      </c>
      <c r="AL61" s="96" t="s">
        <v>1441</v>
      </c>
      <c r="AM61" s="97" t="s">
        <v>1442</v>
      </c>
      <c r="AN61" s="57" t="s">
        <v>1443</v>
      </c>
      <c r="AO61" s="91"/>
    </row>
    <row r="62">
      <c r="A62" s="108">
        <v>14.0</v>
      </c>
      <c r="B62" s="89" t="s">
        <v>1444</v>
      </c>
      <c r="C62" s="90" t="s">
        <v>1445</v>
      </c>
      <c r="D62" s="91" t="s">
        <v>1446</v>
      </c>
      <c r="E62" s="108">
        <v>14.0</v>
      </c>
      <c r="F62" s="89" t="s">
        <v>1447</v>
      </c>
      <c r="G62" s="90" t="s">
        <v>1448</v>
      </c>
      <c r="H62" s="91" t="s">
        <v>1449</v>
      </c>
      <c r="I62" s="108">
        <v>14.0</v>
      </c>
      <c r="J62" s="89" t="s">
        <v>1450</v>
      </c>
      <c r="K62" s="90" t="s">
        <v>1451</v>
      </c>
      <c r="L62" s="91" t="s">
        <v>1452</v>
      </c>
      <c r="M62" s="108">
        <v>14.0</v>
      </c>
      <c r="N62" s="89" t="str">
        <f>IFERROR(__xludf.DUMMYFUNCTION("GOOGLETRANSLATE(B62,""zh-tw"",""zh"")"),"胖次！")</f>
        <v>胖次！</v>
      </c>
      <c r="O62" s="93"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8">
        <v>14.0</v>
      </c>
      <c r="R62" s="92" t="s">
        <v>1453</v>
      </c>
      <c r="S62" s="93" t="s">
        <v>1454</v>
      </c>
      <c r="T62" s="61" t="s">
        <v>1455</v>
      </c>
      <c r="U62" s="108">
        <v>14.0</v>
      </c>
      <c r="V62" s="92" t="str">
        <f>IFERROR(__xludf.DUMMYFUNCTION("GOOGLETRANSLATE(B62,""zh-tw"",""KO"")"),"팬티!")</f>
        <v>팬티!</v>
      </c>
      <c r="W62" s="93"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8">
        <v>14.0</v>
      </c>
      <c r="Z62" s="104" t="str">
        <f>IFERROR(__xludf.DUMMYFUNCTION("IF(J62="""", """", GOOGLETRANSLATE(
J62,""en"",""ru""))"),"Трусики!")</f>
        <v>Трусики!</v>
      </c>
      <c r="AA62" s="105"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8">
        <v>14.0</v>
      </c>
      <c r="AD62" s="89" t="s">
        <v>1456</v>
      </c>
      <c r="AE62" s="90" t="s">
        <v>1457</v>
      </c>
      <c r="AF62" s="91" t="s">
        <v>1458</v>
      </c>
      <c r="AG62" s="108">
        <v>14.0</v>
      </c>
      <c r="AH62" s="89" t="s">
        <v>1459</v>
      </c>
      <c r="AI62" s="90" t="s">
        <v>1460</v>
      </c>
      <c r="AJ62" s="91" t="s">
        <v>1461</v>
      </c>
      <c r="AK62" s="88">
        <v>14.0</v>
      </c>
      <c r="AL62" s="96" t="s">
        <v>1462</v>
      </c>
      <c r="AM62" s="97" t="s">
        <v>1463</v>
      </c>
      <c r="AN62" s="57" t="s">
        <v>1464</v>
      </c>
      <c r="AO62" s="91"/>
    </row>
    <row r="63">
      <c r="A63" s="88">
        <v>15.0</v>
      </c>
      <c r="B63" s="89" t="s">
        <v>1465</v>
      </c>
      <c r="C63" s="90" t="s">
        <v>1466</v>
      </c>
      <c r="D63" s="91" t="s">
        <v>1467</v>
      </c>
      <c r="E63" s="88">
        <v>15.0</v>
      </c>
      <c r="F63" s="89" t="s">
        <v>1468</v>
      </c>
      <c r="G63" s="90" t="s">
        <v>1469</v>
      </c>
      <c r="H63" s="91" t="s">
        <v>1470</v>
      </c>
      <c r="I63" s="88">
        <v>15.0</v>
      </c>
      <c r="J63" s="89" t="s">
        <v>1471</v>
      </c>
      <c r="K63" s="98" t="s">
        <v>1472</v>
      </c>
      <c r="L63" s="91" t="s">
        <v>1473</v>
      </c>
      <c r="M63" s="88">
        <v>15.0</v>
      </c>
      <c r="N63" s="89" t="str">
        <f>IFERROR(__xludf.DUMMYFUNCTION("GOOGLETRANSLATE(B63,""zh-tw"",""zh"")"),"手的温度-1")</f>
        <v>手的温度-1</v>
      </c>
      <c r="O63" s="93"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8">
        <v>15.0</v>
      </c>
      <c r="R63" s="92" t="s">
        <v>1474</v>
      </c>
      <c r="S63" s="93"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8">
        <v>15.0</v>
      </c>
      <c r="V63" s="92" t="str">
        <f>IFERROR(__xludf.DUMMYFUNCTION("GOOGLETRANSLATE(B63,""zh-tw"",""KO"")"),"손 온도 -1")</f>
        <v>손 온도 -1</v>
      </c>
      <c r="W63" s="93"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
*현재 3가지 종류의 속옷이 구현되어 있습니다.")</f>
        <v>여동생이 손을 사용하는 특별한 스토리
*현재 3가지 종류의 속옷이 구현되어 있습니다.</v>
      </c>
      <c r="Y63" s="88">
        <v>15.0</v>
      </c>
      <c r="Z63" s="104" t="s">
        <v>1476</v>
      </c>
      <c r="AA63" s="105" t="s">
        <v>1477</v>
      </c>
      <c r="AB63" s="54" t="s">
        <v>1478</v>
      </c>
      <c r="AC63" s="88">
        <v>15.0</v>
      </c>
      <c r="AD63" s="89" t="s">
        <v>1479</v>
      </c>
      <c r="AE63" s="90" t="s">
        <v>1480</v>
      </c>
      <c r="AF63" s="91" t="s">
        <v>1481</v>
      </c>
      <c r="AG63" s="88">
        <v>15.0</v>
      </c>
      <c r="AH63" s="89" t="s">
        <v>1482</v>
      </c>
      <c r="AI63" s="90" t="s">
        <v>1483</v>
      </c>
      <c r="AJ63" s="91" t="s">
        <v>1484</v>
      </c>
      <c r="AK63" s="88">
        <v>15.0</v>
      </c>
      <c r="AL63" s="96" t="s">
        <v>1485</v>
      </c>
      <c r="AM63" s="97" t="s">
        <v>1486</v>
      </c>
      <c r="AN63" s="57" t="s">
        <v>1487</v>
      </c>
      <c r="AO63" s="91"/>
    </row>
    <row r="64">
      <c r="A64" s="88">
        <v>16.0</v>
      </c>
      <c r="B64" s="89" t="s">
        <v>1488</v>
      </c>
      <c r="C64" s="90" t="s">
        <v>1489</v>
      </c>
      <c r="D64" s="91" t="s">
        <v>1490</v>
      </c>
      <c r="E64" s="88">
        <v>16.0</v>
      </c>
      <c r="F64" s="89" t="s">
        <v>1491</v>
      </c>
      <c r="G64" s="90" t="s">
        <v>1492</v>
      </c>
      <c r="H64" s="91" t="s">
        <v>1493</v>
      </c>
      <c r="I64" s="88">
        <v>16.0</v>
      </c>
      <c r="J64" s="89" t="s">
        <v>1494</v>
      </c>
      <c r="K64" s="90" t="s">
        <v>1495</v>
      </c>
      <c r="L64" s="91" t="s">
        <v>1496</v>
      </c>
      <c r="M64" s="88">
        <v>16.0</v>
      </c>
      <c r="N64" s="89" t="str">
        <f>IFERROR(__xludf.DUMMYFUNCTION("GOOGLETRANSLATE(B64,""zh-tw"",""zh"")"),"手的温度-2")</f>
        <v>手的温度-2</v>
      </c>
      <c r="O64" s="93"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8">
        <v>16.0</v>
      </c>
      <c r="R64" s="92" t="s">
        <v>1497</v>
      </c>
      <c r="S64" s="93"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8">
        <v>16.0</v>
      </c>
      <c r="V64" s="92" t="str">
        <f>IFERROR(__xludf.DUMMYFUNCTION("GOOGLETRANSLATE(B64,""zh-tw"",""KO"")"),"손 온도 -2")</f>
        <v>손 온도 -2</v>
      </c>
      <c r="W64" s="93"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8">
        <v>16.0</v>
      </c>
      <c r="Z64" s="104" t="s">
        <v>1498</v>
      </c>
      <c r="AA64" s="105" t="s">
        <v>1499</v>
      </c>
      <c r="AB64" s="54" t="s">
        <v>1500</v>
      </c>
      <c r="AC64" s="88">
        <v>16.0</v>
      </c>
      <c r="AD64" s="89" t="s">
        <v>1501</v>
      </c>
      <c r="AE64" s="90" t="s">
        <v>1502</v>
      </c>
      <c r="AF64" s="91" t="s">
        <v>1503</v>
      </c>
      <c r="AG64" s="88">
        <v>16.0</v>
      </c>
      <c r="AH64" s="89" t="s">
        <v>1504</v>
      </c>
      <c r="AI64" s="90" t="s">
        <v>1505</v>
      </c>
      <c r="AJ64" s="91" t="s">
        <v>1506</v>
      </c>
      <c r="AK64" s="88">
        <v>16.0</v>
      </c>
      <c r="AL64" s="96" t="s">
        <v>1507</v>
      </c>
      <c r="AM64" s="97" t="s">
        <v>1508</v>
      </c>
      <c r="AN64" s="57" t="s">
        <v>1509</v>
      </c>
      <c r="AO64" s="91"/>
    </row>
    <row r="65">
      <c r="A65" s="108">
        <v>17.0</v>
      </c>
      <c r="B65" s="89" t="s">
        <v>1510</v>
      </c>
      <c r="C65" s="90" t="s">
        <v>1511</v>
      </c>
      <c r="D65" s="91" t="s">
        <v>1512</v>
      </c>
      <c r="E65" s="108">
        <v>17.0</v>
      </c>
      <c r="F65" s="89" t="s">
        <v>1513</v>
      </c>
      <c r="G65" s="90" t="s">
        <v>1514</v>
      </c>
      <c r="H65" s="91" t="s">
        <v>1515</v>
      </c>
      <c r="I65" s="108">
        <v>17.0</v>
      </c>
      <c r="J65" s="89" t="s">
        <v>1516</v>
      </c>
      <c r="K65" s="90" t="s">
        <v>1517</v>
      </c>
      <c r="L65" s="91" t="s">
        <v>1518</v>
      </c>
      <c r="M65" s="108">
        <v>17.0</v>
      </c>
      <c r="N65" s="89" t="str">
        <f>IFERROR(__xludf.DUMMYFUNCTION("GOOGLETRANSLATE(B65,""zh-tw"",""zh"")"),"气息消除-1")</f>
        <v>气息消除-1</v>
      </c>
      <c r="O65" s="93"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8">
        <v>17.0</v>
      </c>
      <c r="R65" s="92" t="str">
        <f>IFERROR(__xludf.DUMMYFUNCTION("GOOGLETRANSLATE(B65,""zh-tw"",""es-MX"")"),"Eliminación de aura -1")</f>
        <v>Eliminación de aura -1</v>
      </c>
      <c r="S65" s="93"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8">
        <v>17.0</v>
      </c>
      <c r="V65" s="92" t="str">
        <f>IFERROR(__xludf.DUMMYFUNCTION("GOOGLETRANSLATE(B65,""zh-tw"",""KO"")"),"오라 제거 -1")</f>
        <v>오라 제거 -1</v>
      </c>
      <c r="W65" s="93"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8">
        <v>17.0</v>
      </c>
      <c r="Z65" s="104" t="str">
        <f>IFERROR(__xludf.DUMMYFUNCTION("IF(J65="""", """", GOOGLETRANSLATE(
J65,""en"",""ru""))"),"Сокрытие дыхания-1")</f>
        <v>Сокрытие дыхания-1</v>
      </c>
      <c r="AA65" s="105"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8">
        <v>17.0</v>
      </c>
      <c r="AD65" s="89" t="s">
        <v>1519</v>
      </c>
      <c r="AE65" s="90" t="s">
        <v>1520</v>
      </c>
      <c r="AF65" s="91" t="s">
        <v>1521</v>
      </c>
      <c r="AG65" s="108">
        <v>17.0</v>
      </c>
      <c r="AH65" s="89" t="s">
        <v>1522</v>
      </c>
      <c r="AI65" s="90" t="s">
        <v>1523</v>
      </c>
      <c r="AJ65" s="91" t="s">
        <v>1524</v>
      </c>
      <c r="AK65" s="88">
        <v>17.0</v>
      </c>
      <c r="AL65" s="96" t="s">
        <v>1525</v>
      </c>
      <c r="AM65" s="97" t="s">
        <v>1526</v>
      </c>
      <c r="AN65" s="57" t="s">
        <v>1527</v>
      </c>
      <c r="AO65" s="91"/>
    </row>
    <row r="66">
      <c r="A66" s="88">
        <v>18.0</v>
      </c>
      <c r="B66" s="89" t="s">
        <v>1528</v>
      </c>
      <c r="C66" s="90" t="s">
        <v>1529</v>
      </c>
      <c r="D66" s="91" t="s">
        <v>1530</v>
      </c>
      <c r="E66" s="88">
        <v>18.0</v>
      </c>
      <c r="F66" s="89" t="s">
        <v>1531</v>
      </c>
      <c r="G66" s="90" t="s">
        <v>1532</v>
      </c>
      <c r="H66" s="91" t="s">
        <v>1533</v>
      </c>
      <c r="I66" s="88">
        <v>18.0</v>
      </c>
      <c r="J66" s="89" t="s">
        <v>1534</v>
      </c>
      <c r="K66" s="90" t="s">
        <v>1535</v>
      </c>
      <c r="L66" s="91" t="s">
        <v>1536</v>
      </c>
      <c r="M66" s="88">
        <v>18.0</v>
      </c>
      <c r="N66" s="89" t="str">
        <f>IFERROR(__xludf.DUMMYFUNCTION("GOOGLETRANSLATE(B66,""zh-tw"",""zh"")"),"透明的门-1")</f>
        <v>透明的门-1</v>
      </c>
      <c r="O66" s="93"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8">
        <v>18.0</v>
      </c>
      <c r="R66" s="92" t="s">
        <v>1537</v>
      </c>
      <c r="S66" s="93"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8">
        <v>18.0</v>
      </c>
      <c r="V66" s="92" t="str">
        <f>IFERROR(__xludf.DUMMYFUNCTION("GOOGLETRANSLATE(B66,""zh-tw"",""KO"")"),"투명문-1")</f>
        <v>투명문-1</v>
      </c>
      <c r="W66" s="93"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8">
        <v>18.0</v>
      </c>
      <c r="Z66" s="104" t="str">
        <f>IFERROR(__xludf.DUMMYFUNCTION("IF(J66="""", """", GOOGLETRANSLATE(
J66,""en"",""ru""))"),"Прозрачная дверь - 1")</f>
        <v>Прозрачная дверь - 1</v>
      </c>
      <c r="AA66" s="105" t="s">
        <v>1538</v>
      </c>
      <c r="AB66" s="54" t="s">
        <v>1539</v>
      </c>
      <c r="AC66" s="88">
        <v>18.0</v>
      </c>
      <c r="AD66" s="89" t="s">
        <v>1540</v>
      </c>
      <c r="AE66" s="90" t="s">
        <v>1541</v>
      </c>
      <c r="AF66" s="91" t="s">
        <v>1542</v>
      </c>
      <c r="AG66" s="88">
        <v>18.0</v>
      </c>
      <c r="AH66" s="89" t="s">
        <v>1543</v>
      </c>
      <c r="AI66" s="90" t="s">
        <v>1544</v>
      </c>
      <c r="AJ66" s="91" t="s">
        <v>1545</v>
      </c>
      <c r="AK66" s="88">
        <v>18.0</v>
      </c>
      <c r="AL66" s="96" t="s">
        <v>1546</v>
      </c>
      <c r="AM66" s="97" t="s">
        <v>1547</v>
      </c>
      <c r="AN66" s="57" t="s">
        <v>1548</v>
      </c>
      <c r="AO66" s="91"/>
    </row>
    <row r="67">
      <c r="A67" s="88">
        <v>19.0</v>
      </c>
      <c r="B67" s="89" t="s">
        <v>1549</v>
      </c>
      <c r="C67" s="90" t="s">
        <v>1550</v>
      </c>
      <c r="D67" s="91" t="s">
        <v>1551</v>
      </c>
      <c r="E67" s="88">
        <v>19.0</v>
      </c>
      <c r="F67" s="89" t="s">
        <v>1552</v>
      </c>
      <c r="G67" s="90" t="s">
        <v>1553</v>
      </c>
      <c r="H67" s="91" t="s">
        <v>1554</v>
      </c>
      <c r="I67" s="88">
        <v>19.0</v>
      </c>
      <c r="J67" s="89" t="s">
        <v>1555</v>
      </c>
      <c r="K67" s="90" t="s">
        <v>1556</v>
      </c>
      <c r="L67" s="91" t="s">
        <v>1557</v>
      </c>
      <c r="M67" s="88">
        <v>19.0</v>
      </c>
      <c r="N67" s="89" t="str">
        <f>IFERROR(__xludf.DUMMYFUNCTION("GOOGLETRANSLATE(B67,""zh-tw"",""zh"")"),"透明的门-2")</f>
        <v>透明的门-2</v>
      </c>
      <c r="O67" s="93"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8">
        <v>19.0</v>
      </c>
      <c r="R67" s="92" t="s">
        <v>1558</v>
      </c>
      <c r="S67" s="93"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8">
        <v>19.0</v>
      </c>
      <c r="V67" s="92" t="str">
        <f>IFERROR(__xludf.DUMMYFUNCTION("GOOGLETRANSLATE(B67,""zh-tw"",""KO"")"),"투명문-2")</f>
        <v>투명문-2</v>
      </c>
      <c r="W67" s="93"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7" s="88">
        <v>19.0</v>
      </c>
      <c r="Z67" s="104" t="str">
        <f>IFERROR(__xludf.DUMMYFUNCTION("IF(J67="""", """", GOOGLETRANSLATE(
J67,""en"",""ru""))"),"Прозрачная дверь - 2")</f>
        <v>Прозрачная дверь - 2</v>
      </c>
      <c r="AA67" s="105" t="s">
        <v>1560</v>
      </c>
      <c r="AB67" s="54" t="s">
        <v>1561</v>
      </c>
      <c r="AC67" s="88">
        <v>19.0</v>
      </c>
      <c r="AD67" s="89" t="s">
        <v>1562</v>
      </c>
      <c r="AE67" s="90" t="s">
        <v>1563</v>
      </c>
      <c r="AF67" s="91" t="s">
        <v>1564</v>
      </c>
      <c r="AG67" s="88">
        <v>19.0</v>
      </c>
      <c r="AH67" s="89" t="s">
        <v>1565</v>
      </c>
      <c r="AI67" s="90" t="s">
        <v>1566</v>
      </c>
      <c r="AJ67" s="91" t="s">
        <v>1567</v>
      </c>
      <c r="AK67" s="88">
        <v>19.0</v>
      </c>
      <c r="AL67" s="96" t="s">
        <v>1568</v>
      </c>
      <c r="AM67" s="97" t="s">
        <v>1569</v>
      </c>
      <c r="AN67" s="57" t="s">
        <v>1570</v>
      </c>
      <c r="AO67" s="91"/>
    </row>
    <row r="68">
      <c r="A68" s="108">
        <v>20.0</v>
      </c>
      <c r="B68" s="89" t="s">
        <v>1571</v>
      </c>
      <c r="C68" s="90" t="s">
        <v>1572</v>
      </c>
      <c r="D68" s="91" t="s">
        <v>1573</v>
      </c>
      <c r="E68" s="108">
        <v>20.0</v>
      </c>
      <c r="F68" s="89" t="s">
        <v>1574</v>
      </c>
      <c r="G68" s="90" t="s">
        <v>1575</v>
      </c>
      <c r="H68" s="91" t="s">
        <v>1576</v>
      </c>
      <c r="I68" s="108">
        <v>20.0</v>
      </c>
      <c r="J68" s="89" t="s">
        <v>1577</v>
      </c>
      <c r="K68" s="90" t="s">
        <v>1578</v>
      </c>
      <c r="L68" s="91" t="s">
        <v>1579</v>
      </c>
      <c r="M68" s="108">
        <v>20.0</v>
      </c>
      <c r="N68" s="89" t="str">
        <f>IFERROR(__xludf.DUMMYFUNCTION("GOOGLETRANSLATE(B68,""zh-tw"",""zh"")"),"透明的门-3")</f>
        <v>透明的门-3</v>
      </c>
      <c r="O68" s="93"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8">
        <v>20.0</v>
      </c>
      <c r="R68" s="92" t="s">
        <v>1580</v>
      </c>
      <c r="S68" s="93" t="s">
        <v>1581</v>
      </c>
      <c r="T68" s="61" t="s">
        <v>1582</v>
      </c>
      <c r="U68" s="108">
        <v>20.0</v>
      </c>
      <c r="V68" s="92" t="str">
        <f>IFERROR(__xludf.DUMMYFUNCTION("GOOGLETRANSLATE(B68,""zh-tw"",""KO"")"),"투명문-3")</f>
        <v>투명문-3</v>
      </c>
      <c r="W68" s="93"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8">
        <v>20.0</v>
      </c>
      <c r="Z68" s="104" t="str">
        <f>IFERROR(__xludf.DUMMYFUNCTION("IF(J68="""", """", GOOGLETRANSLATE(
J68,""en"",""ru""))"),"Прозрачная дверь - 3")</f>
        <v>Прозрачная дверь - 3</v>
      </c>
      <c r="AA68" s="105"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8">
        <v>20.0</v>
      </c>
      <c r="AD68" s="89" t="s">
        <v>1583</v>
      </c>
      <c r="AE68" s="90" t="s">
        <v>1584</v>
      </c>
      <c r="AF68" s="91" t="s">
        <v>1585</v>
      </c>
      <c r="AG68" s="108">
        <v>20.0</v>
      </c>
      <c r="AH68" s="89" t="s">
        <v>1586</v>
      </c>
      <c r="AI68" s="90" t="s">
        <v>1587</v>
      </c>
      <c r="AJ68" s="91" t="s">
        <v>1588</v>
      </c>
      <c r="AK68" s="88">
        <v>20.0</v>
      </c>
      <c r="AL68" s="96" t="s">
        <v>1589</v>
      </c>
      <c r="AM68" s="97" t="s">
        <v>1590</v>
      </c>
      <c r="AN68" s="57" t="s">
        <v>1591</v>
      </c>
      <c r="AO68" s="91"/>
    </row>
    <row r="69" ht="41.25" customHeight="1">
      <c r="A69" s="88">
        <v>21.0</v>
      </c>
      <c r="B69" s="89" t="s">
        <v>1592</v>
      </c>
      <c r="C69" s="90" t="s">
        <v>1593</v>
      </c>
      <c r="D69" s="91" t="s">
        <v>1594</v>
      </c>
      <c r="E69" s="88">
        <v>21.0</v>
      </c>
      <c r="F69" s="89" t="s">
        <v>1595</v>
      </c>
      <c r="G69" s="90" t="s">
        <v>1596</v>
      </c>
      <c r="H69" s="91" t="s">
        <v>1597</v>
      </c>
      <c r="I69" s="88">
        <v>21.0</v>
      </c>
      <c r="J69" s="89" t="s">
        <v>1598</v>
      </c>
      <c r="K69" s="90" t="s">
        <v>1599</v>
      </c>
      <c r="L69" s="91" t="s">
        <v>1600</v>
      </c>
      <c r="M69" s="88">
        <v>21.0</v>
      </c>
      <c r="N69" s="89" t="str">
        <f>IFERROR(__xludf.DUMMYFUNCTION("GOOGLETRANSLATE(B69,""zh-tw"",""zh"")"),"一起洗澡")</f>
        <v>一起洗澡</v>
      </c>
      <c r="O69" s="93" t="str">
        <f>IFERROR(__xludf.DUMMYFUNCTION("GOOGLETRANSLATE(C69,""zh-tw"",""zh"")"),"当好感度大于2时")</f>
        <v>当好感度大于2时</v>
      </c>
      <c r="P69" s="61" t="str">
        <f>IFERROR(__xludf.DUMMYFUNCTION("GOOGLETRANSLATE(D69,""zh-tw"",""zh"")"),"可以和妹妹一起洗澡")</f>
        <v>可以和妹妹一起洗澡</v>
      </c>
      <c r="Q69" s="88">
        <v>21.0</v>
      </c>
      <c r="R69" s="89" t="s">
        <v>1601</v>
      </c>
      <c r="S69" s="93" t="s">
        <v>1602</v>
      </c>
      <c r="T69" s="61" t="s">
        <v>1603</v>
      </c>
      <c r="U69" s="88">
        <v>21.0</v>
      </c>
      <c r="V69" s="92" t="str">
        <f>IFERROR(__xludf.DUMMYFUNCTION("GOOGLETRANSLATE(B69,""zh-tw"",""KO"")"),"같이 목욕해요")</f>
        <v>같이 목욕해요</v>
      </c>
      <c r="W69" s="93"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8">
        <v>21.0</v>
      </c>
      <c r="Z69" s="104" t="str">
        <f>IFERROR(__xludf.DUMMYFUNCTION("IF(J69="""", """", GOOGLETRANSLATE(
J69,""en"",""ru""))"),"Давайте купаться вместе")</f>
        <v>Давайте купаться вместе</v>
      </c>
      <c r="AA69" s="105"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8">
        <v>21.0</v>
      </c>
      <c r="AD69" s="89" t="s">
        <v>1604</v>
      </c>
      <c r="AE69" s="90" t="s">
        <v>1605</v>
      </c>
      <c r="AF69" s="91" t="s">
        <v>1606</v>
      </c>
      <c r="AG69" s="88">
        <v>21.0</v>
      </c>
      <c r="AH69" s="89" t="s">
        <v>1607</v>
      </c>
      <c r="AI69" s="90" t="s">
        <v>1608</v>
      </c>
      <c r="AJ69" s="91" t="s">
        <v>1609</v>
      </c>
      <c r="AK69" s="88">
        <v>21.0</v>
      </c>
      <c r="AL69" s="96" t="s">
        <v>1610</v>
      </c>
      <c r="AM69" s="97" t="s">
        <v>1611</v>
      </c>
      <c r="AN69" s="57" t="s">
        <v>1612</v>
      </c>
      <c r="AO69" s="91"/>
    </row>
    <row r="70">
      <c r="A70" s="88">
        <v>22.0</v>
      </c>
      <c r="B70" s="89" t="s">
        <v>1613</v>
      </c>
      <c r="C70" s="90" t="s">
        <v>1614</v>
      </c>
      <c r="D70" s="91" t="s">
        <v>1615</v>
      </c>
      <c r="E70" s="88">
        <v>22.0</v>
      </c>
      <c r="F70" s="89" t="s">
        <v>1616</v>
      </c>
      <c r="G70" s="90" t="s">
        <v>1617</v>
      </c>
      <c r="H70" s="91" t="s">
        <v>1618</v>
      </c>
      <c r="I70" s="88">
        <v>22.0</v>
      </c>
      <c r="J70" s="89" t="s">
        <v>1619</v>
      </c>
      <c r="K70" s="90" t="s">
        <v>1620</v>
      </c>
      <c r="L70" s="91" t="s">
        <v>1621</v>
      </c>
      <c r="M70" s="88">
        <v>22.0</v>
      </c>
      <c r="N70" s="89" t="str">
        <f>IFERROR(__xludf.DUMMYFUNCTION("GOOGLETRANSLATE(B70,""zh-tw"",""zh"")"),"拜托一起洗")</f>
        <v>拜托一起洗</v>
      </c>
      <c r="O70" s="93"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8">
        <v>22.0</v>
      </c>
      <c r="R70" s="89" t="s">
        <v>1622</v>
      </c>
      <c r="S70" s="93"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8">
        <v>22.0</v>
      </c>
      <c r="V70" s="92" t="str">
        <f>IFERROR(__xludf.DUMMYFUNCTION("GOOGLETRANSLATE(B70,""zh-tw"",""KO"")"),"함께 세탁해주세요")</f>
        <v>함께 세탁해주세요</v>
      </c>
      <c r="W70" s="93"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8">
        <v>22.0</v>
      </c>
      <c r="Z70" s="94" t="s">
        <v>1623</v>
      </c>
      <c r="AA70" s="103" t="s">
        <v>1624</v>
      </c>
      <c r="AB70" s="100" t="s">
        <v>1625</v>
      </c>
      <c r="AC70" s="88">
        <v>22.0</v>
      </c>
      <c r="AD70" s="89" t="s">
        <v>1626</v>
      </c>
      <c r="AE70" s="90" t="s">
        <v>1627</v>
      </c>
      <c r="AF70" s="91" t="s">
        <v>1628</v>
      </c>
      <c r="AG70" s="88">
        <v>22.0</v>
      </c>
      <c r="AH70" s="89" t="s">
        <v>1629</v>
      </c>
      <c r="AI70" s="90" t="s">
        <v>1630</v>
      </c>
      <c r="AJ70" s="91" t="s">
        <v>1631</v>
      </c>
      <c r="AK70" s="88">
        <v>22.0</v>
      </c>
      <c r="AL70" s="96" t="s">
        <v>1632</v>
      </c>
      <c r="AM70" s="97" t="s">
        <v>1633</v>
      </c>
      <c r="AN70" s="57" t="s">
        <v>1634</v>
      </c>
      <c r="AO70" s="91"/>
    </row>
    <row r="71">
      <c r="A71" s="108">
        <v>23.0</v>
      </c>
      <c r="B71" s="89" t="s">
        <v>1635</v>
      </c>
      <c r="C71" s="90" t="s">
        <v>1636</v>
      </c>
      <c r="D71" s="91" t="s">
        <v>1637</v>
      </c>
      <c r="E71" s="108">
        <v>23.0</v>
      </c>
      <c r="F71" s="89" t="s">
        <v>1638</v>
      </c>
      <c r="G71" s="90" t="s">
        <v>1639</v>
      </c>
      <c r="H71" s="91" t="s">
        <v>1640</v>
      </c>
      <c r="I71" s="108">
        <v>23.0</v>
      </c>
      <c r="J71" s="89" t="s">
        <v>1641</v>
      </c>
      <c r="K71" s="90" t="s">
        <v>1642</v>
      </c>
      <c r="L71" s="91" t="s">
        <v>1643</v>
      </c>
      <c r="M71" s="108">
        <v>23.0</v>
      </c>
      <c r="N71" s="109" t="str">
        <f>IFERROR(__xludf.DUMMYFUNCTION("GOOGLETRANSLATE(B71,""zh-tw"",""zh"")"),"快要热晕了-1")</f>
        <v>快要热晕了-1</v>
      </c>
      <c r="O71" s="110"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8">
        <v>23.0</v>
      </c>
      <c r="R71" s="109" t="str">
        <f>IFERROR(__xludf.DUMMYFUNCTION("GOOGLETRANSLATE(B71,""zh-tw"",""es-MX"")"),"Estoy a punto de desmayarme por el calor -1")</f>
        <v>Estoy a punto de desmayarme por el calor -1</v>
      </c>
      <c r="S71" s="111"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8">
        <v>23.0</v>
      </c>
      <c r="V71" s="92" t="str">
        <f>IFERROR(__xludf.DUMMYFUNCTION("GOOGLETRANSLATE(B71,""zh-tw"",""KO"")"),"더위에 기절할 것 같아요 -1")</f>
        <v>더위에 기절할 것 같아요 -1</v>
      </c>
      <c r="W71" s="93"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8">
        <v>23.0</v>
      </c>
      <c r="Z71" s="104" t="str">
        <f>IFERROR(__xludf.DUMMYFUNCTION("IF(J71="""", """", GOOGLETRANSLATE(
J71,""en"",""ru""))"),"Почти потерял сознание - 1")</f>
        <v>Почти потерял сознание - 1</v>
      </c>
      <c r="AA71" s="105"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8">
        <v>23.0</v>
      </c>
      <c r="AD71" s="89" t="s">
        <v>1644</v>
      </c>
      <c r="AE71" s="90" t="s">
        <v>1645</v>
      </c>
      <c r="AF71" s="91" t="s">
        <v>1646</v>
      </c>
      <c r="AG71" s="108">
        <v>23.0</v>
      </c>
      <c r="AH71" s="89" t="s">
        <v>1647</v>
      </c>
      <c r="AI71" s="90" t="s">
        <v>1648</v>
      </c>
      <c r="AJ71" s="91" t="s">
        <v>1649</v>
      </c>
      <c r="AK71" s="88">
        <v>23.0</v>
      </c>
      <c r="AL71" s="96" t="s">
        <v>1650</v>
      </c>
      <c r="AM71" s="97" t="s">
        <v>1651</v>
      </c>
      <c r="AN71" s="57" t="s">
        <v>1652</v>
      </c>
      <c r="AO71" s="91"/>
    </row>
    <row r="72">
      <c r="A72" s="88">
        <v>24.0</v>
      </c>
      <c r="B72" s="89" t="s">
        <v>1653</v>
      </c>
      <c r="C72" s="90" t="s">
        <v>1654</v>
      </c>
      <c r="D72" s="91" t="s">
        <v>1655</v>
      </c>
      <c r="E72" s="88">
        <v>24.0</v>
      </c>
      <c r="F72" s="89" t="s">
        <v>1656</v>
      </c>
      <c r="G72" s="90" t="s">
        <v>1657</v>
      </c>
      <c r="H72" s="91" t="s">
        <v>1658</v>
      </c>
      <c r="I72" s="88">
        <v>24.0</v>
      </c>
      <c r="J72" s="89" t="s">
        <v>1641</v>
      </c>
      <c r="K72" s="90" t="s">
        <v>1659</v>
      </c>
      <c r="L72" s="91" t="s">
        <v>1660</v>
      </c>
      <c r="M72" s="88">
        <v>24.0</v>
      </c>
      <c r="N72" s="109" t="str">
        <f>IFERROR(__xludf.DUMMYFUNCTION("GOOGLETRANSLATE(B72,""zh-tw"",""zh"")"),"快要热晕了-2")</f>
        <v>快要热晕了-2</v>
      </c>
      <c r="O72" s="110"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8">
        <v>24.0</v>
      </c>
      <c r="R72" s="109" t="str">
        <f>IFERROR(__xludf.DUMMYFUNCTION("GOOGLETRANSLATE(B72,""zh-tw"",""es-MX"")"),"Estoy a punto de desmayarme por el calor -2")</f>
        <v>Estoy a punto de desmayarme por el calor -2</v>
      </c>
      <c r="S72" s="111"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8">
        <v>24.0</v>
      </c>
      <c r="V72" s="92" t="str">
        <f>IFERROR(__xludf.DUMMYFUNCTION("GOOGLETRANSLATE(B72,""zh-tw"",""KO"")"),"더위로 기절할 것 같아요 -2")</f>
        <v>더위로 기절할 것 같아요 -2</v>
      </c>
      <c r="W72" s="93"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8">
        <v>24.0</v>
      </c>
      <c r="Z72" s="104" t="str">
        <f>IFERROR(__xludf.DUMMYFUNCTION("IF(J72="""", """", GOOGLETRANSLATE(
J72,""en"",""ru""))"),"Почти потерял сознание - 1")</f>
        <v>Почти потерял сознание - 1</v>
      </c>
      <c r="AA72" s="105"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8">
        <v>24.0</v>
      </c>
      <c r="AD72" s="89" t="s">
        <v>1661</v>
      </c>
      <c r="AE72" s="90" t="s">
        <v>1662</v>
      </c>
      <c r="AF72" s="91" t="s">
        <v>1663</v>
      </c>
      <c r="AG72" s="88">
        <v>24.0</v>
      </c>
      <c r="AH72" s="89" t="s">
        <v>1664</v>
      </c>
      <c r="AI72" s="90" t="s">
        <v>1665</v>
      </c>
      <c r="AJ72" s="91" t="s">
        <v>1666</v>
      </c>
      <c r="AK72" s="88">
        <v>24.0</v>
      </c>
      <c r="AL72" s="96" t="s">
        <v>1667</v>
      </c>
      <c r="AM72" s="97" t="s">
        <v>1668</v>
      </c>
      <c r="AN72" s="57" t="s">
        <v>1669</v>
      </c>
      <c r="AO72" s="91"/>
    </row>
    <row r="73">
      <c r="A73" s="88">
        <v>25.0</v>
      </c>
      <c r="B73" s="89" t="s">
        <v>1670</v>
      </c>
      <c r="C73" s="90" t="s">
        <v>1671</v>
      </c>
      <c r="D73" s="91" t="s">
        <v>1672</v>
      </c>
      <c r="E73" s="88">
        <v>25.0</v>
      </c>
      <c r="F73" s="89" t="s">
        <v>1673</v>
      </c>
      <c r="G73" s="90" t="s">
        <v>1674</v>
      </c>
      <c r="H73" s="91" t="s">
        <v>1672</v>
      </c>
      <c r="I73" s="88">
        <v>25.0</v>
      </c>
      <c r="J73" s="89" t="s">
        <v>1641</v>
      </c>
      <c r="K73" s="90" t="s">
        <v>1675</v>
      </c>
      <c r="L73" s="91" t="s">
        <v>1676</v>
      </c>
      <c r="M73" s="88">
        <v>25.0</v>
      </c>
      <c r="N73" s="109" t="str">
        <f>IFERROR(__xludf.DUMMYFUNCTION("GOOGLETRANSLATE(B73,""zh-tw"",""zh"")"),"快要热晕了-3")</f>
        <v>快要热晕了-3</v>
      </c>
      <c r="O73" s="110" t="str">
        <f>IFERROR(__xludf.DUMMYFUNCTION("GOOGLETRANSLATE(C73,""zh-tw"",""zh"")"),"同上，第二次进入热晕环节前，会进入特殊画面")</f>
        <v>同上，第二次进入热晕环节前，会进入特殊画面</v>
      </c>
      <c r="P73" s="61" t="str">
        <f>IFERROR(__xludf.DUMMYFUNCTION("GOOGLETRANSLATE(D73,""zh-tw"",""zh"")"),"CG演出")</f>
        <v>CG演出</v>
      </c>
      <c r="Q73" s="88">
        <v>25.0</v>
      </c>
      <c r="R73" s="109" t="str">
        <f>IFERROR(__xludf.DUMMYFUNCTION("GOOGLETRANSLATE(B73,""zh-tw"",""es-MX"")"),"Estoy a punto de desmayarme por el calor -3")</f>
        <v>Estoy a punto de desmayarme por el calor -3</v>
      </c>
      <c r="S73" s="111"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8">
        <v>25.0</v>
      </c>
      <c r="V73" s="92" t="str">
        <f>IFERROR(__xludf.DUMMYFUNCTION("GOOGLETRANSLATE(B73,""zh-tw"",""KO"")"),"더위로 기절할 것 같아요 -3")</f>
        <v>더위로 기절할 것 같아요 -3</v>
      </c>
      <c r="W73" s="93"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8">
        <v>25.0</v>
      </c>
      <c r="Z73" s="104" t="str">
        <f>IFERROR(__xludf.DUMMYFUNCTION("IF(J73="""", """", GOOGLETRANSLATE(
J73,""en"",""ru""))"),"Почти потерял сознание - 1")</f>
        <v>Почти потерял сознание - 1</v>
      </c>
      <c r="AA73" s="105"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8">
        <v>25.0</v>
      </c>
      <c r="AD73" s="89" t="s">
        <v>1677</v>
      </c>
      <c r="AE73" s="90" t="s">
        <v>1678</v>
      </c>
      <c r="AF73" s="91" t="s">
        <v>1679</v>
      </c>
      <c r="AG73" s="88">
        <v>25.0</v>
      </c>
      <c r="AH73" s="89" t="s">
        <v>1680</v>
      </c>
      <c r="AI73" s="90" t="s">
        <v>1681</v>
      </c>
      <c r="AJ73" s="91" t="s">
        <v>1682</v>
      </c>
      <c r="AK73" s="88">
        <v>25.0</v>
      </c>
      <c r="AL73" s="96" t="s">
        <v>1683</v>
      </c>
      <c r="AM73" s="97" t="s">
        <v>1684</v>
      </c>
      <c r="AN73" s="57" t="s">
        <v>1685</v>
      </c>
      <c r="AO73" s="91"/>
    </row>
    <row r="74">
      <c r="A74" s="108">
        <v>26.0</v>
      </c>
      <c r="B74" s="89" t="s">
        <v>1686</v>
      </c>
      <c r="C74" s="90" t="s">
        <v>1687</v>
      </c>
      <c r="D74" s="91" t="s">
        <v>1688</v>
      </c>
      <c r="E74" s="108">
        <v>26.0</v>
      </c>
      <c r="F74" s="89" t="s">
        <v>1689</v>
      </c>
      <c r="G74" s="90" t="s">
        <v>1690</v>
      </c>
      <c r="H74" s="91" t="s">
        <v>1691</v>
      </c>
      <c r="I74" s="108">
        <v>26.0</v>
      </c>
      <c r="J74" s="89" t="s">
        <v>1692</v>
      </c>
      <c r="K74" s="90" t="s">
        <v>1693</v>
      </c>
      <c r="L74" s="91" t="s">
        <v>1694</v>
      </c>
      <c r="M74" s="108">
        <v>26.0</v>
      </c>
      <c r="N74" s="109" t="str">
        <f>IFERROR(__xludf.DUMMYFUNCTION("GOOGLETRANSLATE(B74,""zh-tw"",""zh"")"),"请妹妹帮忙洗-1")</f>
        <v>请妹妹帮忙洗-1</v>
      </c>
      <c r="O74" s="110"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8">
        <v>26.0</v>
      </c>
      <c r="R74" s="109" t="str">
        <f>IFERROR(__xludf.DUMMYFUNCTION("GOOGLETRANSLATE(B74,""zh-tw"",""es-MX"")"),"Por favor pídele a mi hermana que me ayude a lavar -1")</f>
        <v>Por favor pídele a mi hermana que me ayude a lavar -1</v>
      </c>
      <c r="S74" s="111"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8">
        <v>26.0</v>
      </c>
      <c r="V74" s="92" t="str">
        <f>IFERROR(__xludf.DUMMYFUNCTION("GOOGLETRANSLATE(B74,""zh-tw"",""KO"")"),"언니한테 씻는거 도와달라고 부탁해 -1")</f>
        <v>언니한테 씻는거 도와달라고 부탁해 -1</v>
      </c>
      <c r="W74" s="93"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8">
        <v>26.0</v>
      </c>
      <c r="Z74" s="104" t="str">
        <f>IFERROR(__xludf.DUMMYFUNCTION("IF(J74="""", """", GOOGLETRANSLATE(
J74,""en"",""ru""))"),"Стирка Имото - 1")</f>
        <v>Стирка Имото - 1</v>
      </c>
      <c r="AA74" s="105"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8">
        <v>26.0</v>
      </c>
      <c r="AD74" s="89" t="s">
        <v>1695</v>
      </c>
      <c r="AE74" s="90" t="s">
        <v>1696</v>
      </c>
      <c r="AF74" s="91" t="s">
        <v>1697</v>
      </c>
      <c r="AG74" s="108">
        <v>26.0</v>
      </c>
      <c r="AH74" s="89" t="s">
        <v>1698</v>
      </c>
      <c r="AI74" s="90" t="s">
        <v>1699</v>
      </c>
      <c r="AJ74" s="91" t="s">
        <v>1700</v>
      </c>
      <c r="AK74" s="88">
        <v>26.0</v>
      </c>
      <c r="AL74" s="96" t="s">
        <v>1701</v>
      </c>
      <c r="AM74" s="97" t="s">
        <v>1702</v>
      </c>
      <c r="AN74" s="57" t="s">
        <v>1703</v>
      </c>
      <c r="AO74" s="91"/>
    </row>
    <row r="75">
      <c r="A75" s="88">
        <v>27.0</v>
      </c>
      <c r="B75" s="89" t="s">
        <v>1704</v>
      </c>
      <c r="C75" s="90" t="s">
        <v>1705</v>
      </c>
      <c r="D75" s="91" t="s">
        <v>1706</v>
      </c>
      <c r="E75" s="88">
        <v>27.0</v>
      </c>
      <c r="F75" s="89" t="s">
        <v>1707</v>
      </c>
      <c r="G75" s="90" t="s">
        <v>1708</v>
      </c>
      <c r="H75" s="91" t="s">
        <v>1709</v>
      </c>
      <c r="I75" s="88">
        <v>27.0</v>
      </c>
      <c r="J75" s="89" t="s">
        <v>1710</v>
      </c>
      <c r="K75" s="90" t="s">
        <v>1711</v>
      </c>
      <c r="L75" s="91" t="s">
        <v>1712</v>
      </c>
      <c r="M75" s="88">
        <v>27.0</v>
      </c>
      <c r="N75" s="109" t="str">
        <f>IFERROR(__xludf.DUMMYFUNCTION("GOOGLETRANSLATE(B75,""zh-tw"",""zh"")"),"请妹妹帮忙洗-2")</f>
        <v>请妹妹帮忙洗-2</v>
      </c>
      <c r="O75" s="110"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8">
        <v>27.0</v>
      </c>
      <c r="R75" s="109" t="str">
        <f>IFERROR(__xludf.DUMMYFUNCTION("GOOGLETRANSLATE(B75,""zh-tw"",""es-MX"")"),"Por favor pídele a mi hermana que me ayude a lavar -2")</f>
        <v>Por favor pídele a mi hermana que me ayude a lavar -2</v>
      </c>
      <c r="S75" s="111"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8">
        <v>27.0</v>
      </c>
      <c r="V75" s="92" t="str">
        <f>IFERROR(__xludf.DUMMYFUNCTION("GOOGLETRANSLATE(B75,""zh-tw"",""KO"")"),"언니한테 씻는거 도와달라고 부탁해 -2")</f>
        <v>언니한테 씻는거 도와달라고 부탁해 -2</v>
      </c>
      <c r="W75" s="93"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8">
        <v>27.0</v>
      </c>
      <c r="Z75" s="104" t="str">
        <f>IFERROR(__xludf.DUMMYFUNCTION("IF(J75="""", """", GOOGLETRANSLATE(
J75,""en"",""ru""))"),"Стирка Имото - 2")</f>
        <v>Стирка Имото - 2</v>
      </c>
      <c r="AA75" s="105"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8">
        <v>27.0</v>
      </c>
      <c r="AD75" s="89" t="s">
        <v>1713</v>
      </c>
      <c r="AE75" s="90" t="s">
        <v>1714</v>
      </c>
      <c r="AF75" s="91" t="s">
        <v>1715</v>
      </c>
      <c r="AG75" s="88">
        <v>27.0</v>
      </c>
      <c r="AH75" s="89" t="s">
        <v>1716</v>
      </c>
      <c r="AI75" s="90" t="s">
        <v>1717</v>
      </c>
      <c r="AJ75" s="91" t="s">
        <v>1718</v>
      </c>
      <c r="AK75" s="88">
        <v>27.0</v>
      </c>
      <c r="AL75" s="96" t="s">
        <v>1719</v>
      </c>
      <c r="AM75" s="97" t="s">
        <v>1720</v>
      </c>
      <c r="AN75" s="57" t="s">
        <v>1721</v>
      </c>
      <c r="AO75" s="91"/>
    </row>
    <row r="76">
      <c r="A76" s="88">
        <v>28.0</v>
      </c>
      <c r="B76" s="89" t="s">
        <v>1722</v>
      </c>
      <c r="C76" s="90" t="s">
        <v>1723</v>
      </c>
      <c r="D76" s="91" t="s">
        <v>1724</v>
      </c>
      <c r="E76" s="88">
        <v>28.0</v>
      </c>
      <c r="F76" s="89" t="s">
        <v>1725</v>
      </c>
      <c r="G76" s="90" t="s">
        <v>1726</v>
      </c>
      <c r="H76" s="91" t="s">
        <v>1727</v>
      </c>
      <c r="I76" s="88">
        <v>28.0</v>
      </c>
      <c r="J76" s="89" t="s">
        <v>1728</v>
      </c>
      <c r="K76" s="90" t="s">
        <v>1729</v>
      </c>
      <c r="L76" s="91" t="s">
        <v>1730</v>
      </c>
      <c r="M76" s="88">
        <v>28.0</v>
      </c>
      <c r="N76" s="109" t="str">
        <f>IFERROR(__xludf.DUMMYFUNCTION("GOOGLETRANSLATE(B76,""zh-tw"",""zh"")"),"请妹妹帮忙洗-3")</f>
        <v>请妹妹帮忙洗-3</v>
      </c>
      <c r="O76" s="110" t="str">
        <f>IFERROR(__xludf.DUMMYFUNCTION("GOOGLETRANSLATE(C76,""zh-tw"",""zh"")"),"同上，若达到4颗紫心时")</f>
        <v>同上，若达到4颗紫心时</v>
      </c>
      <c r="P76" s="61" t="str">
        <f>IFERROR(__xludf.DUMMYFUNCTION("GOOGLETRANSLATE(D76,""zh-tw"",""zh"")"),"第一段素股画面演出")</f>
        <v>第一段素股画面演出</v>
      </c>
      <c r="Q76" s="88">
        <v>28.0</v>
      </c>
      <c r="R76" s="109" t="str">
        <f>IFERROR(__xludf.DUMMYFUNCTION("GOOGLETRANSLATE(B76,""zh-tw"",""es-MX"")"),"Por favor pídele a mi hermana que me ayude a lavar - 3")</f>
        <v>Por favor pídele a mi hermana que me ayude a lavar - 3</v>
      </c>
      <c r="S76" s="111"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8">
        <v>28.0</v>
      </c>
      <c r="V76" s="92" t="str">
        <f>IFERROR(__xludf.DUMMYFUNCTION("GOOGLETRANSLATE(B76,""zh-tw"",""KO"")"),"언니한테 씻는 거 도와달라고 부탁해 - 3")</f>
        <v>언니한테 씻는 거 도와달라고 부탁해 - 3</v>
      </c>
      <c r="W76" s="93"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8">
        <v>28.0</v>
      </c>
      <c r="Z76" s="104" t="str">
        <f>IFERROR(__xludf.DUMMYFUNCTION("IF(J76="""", """", GOOGLETRANSLATE(
J76,""en"",""ru""))"),"Стирка Имото - 3")</f>
        <v>Стирка Имото - 3</v>
      </c>
      <c r="AA76" s="105"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8">
        <v>28.0</v>
      </c>
      <c r="AD76" s="89" t="s">
        <v>1731</v>
      </c>
      <c r="AE76" s="90" t="s">
        <v>1732</v>
      </c>
      <c r="AF76" s="91" t="s">
        <v>1733</v>
      </c>
      <c r="AG76" s="88">
        <v>28.0</v>
      </c>
      <c r="AH76" s="89" t="s">
        <v>1734</v>
      </c>
      <c r="AI76" s="90" t="s">
        <v>1735</v>
      </c>
      <c r="AJ76" s="91" t="s">
        <v>1736</v>
      </c>
      <c r="AK76" s="88">
        <v>28.0</v>
      </c>
      <c r="AL76" s="96" t="s">
        <v>1737</v>
      </c>
      <c r="AM76" s="97" t="s">
        <v>1738</v>
      </c>
      <c r="AN76" s="57" t="s">
        <v>1739</v>
      </c>
      <c r="AO76" s="91"/>
    </row>
    <row r="77">
      <c r="A77" s="108">
        <v>29.0</v>
      </c>
      <c r="B77" s="89" t="s">
        <v>1740</v>
      </c>
      <c r="C77" s="90" t="s">
        <v>1741</v>
      </c>
      <c r="D77" s="91" t="s">
        <v>1742</v>
      </c>
      <c r="E77" s="108">
        <v>29.0</v>
      </c>
      <c r="F77" s="89" t="s">
        <v>1743</v>
      </c>
      <c r="G77" s="90" t="s">
        <v>1744</v>
      </c>
      <c r="H77" s="91" t="s">
        <v>1745</v>
      </c>
      <c r="I77" s="108">
        <v>29.0</v>
      </c>
      <c r="J77" s="89" t="s">
        <v>1746</v>
      </c>
      <c r="K77" s="90" t="s">
        <v>1747</v>
      </c>
      <c r="L77" s="91" t="s">
        <v>1748</v>
      </c>
      <c r="M77" s="108">
        <v>29.0</v>
      </c>
      <c r="N77" s="109" t="str">
        <f>IFERROR(__xludf.DUMMYFUNCTION("GOOGLETRANSLATE(B77,""zh-tw"",""zh"")"),"请妹妹帮忙洗-4")</f>
        <v>请妹妹帮忙洗-4</v>
      </c>
      <c r="O77" s="110" t="str">
        <f>IFERROR(__xludf.DUMMYFUNCTION("GOOGLETRANSLATE(C77,""zh-tw"",""zh"")"),"同上，若达到5颗紫心时")</f>
        <v>同上，若达到5颗紫心时</v>
      </c>
      <c r="P77" s="61" t="str">
        <f>IFERROR(__xludf.DUMMYFUNCTION("GOOGLETRANSLATE(D77,""zh-tw"",""zh"")"),"第二段素股画面演出")</f>
        <v>第二段素股画面演出</v>
      </c>
      <c r="Q77" s="108">
        <v>29.0</v>
      </c>
      <c r="R77" s="109" t="str">
        <f>IFERROR(__xludf.DUMMYFUNCTION("GOOGLETRANSLATE(B77,""zh-tw"",""es-MX"")"),"Por favor pídele a mi hermana que me ayude a lavar -4")</f>
        <v>Por favor pídele a mi hermana que me ayude a lavar -4</v>
      </c>
      <c r="S77" s="111"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8">
        <v>29.0</v>
      </c>
      <c r="V77" s="92" t="str">
        <f>IFERROR(__xludf.DUMMYFUNCTION("GOOGLETRANSLATE(B77,""zh-tw"",""KO"")"),"언니한테 씻는거 도와달라고 부탁해 -4")</f>
        <v>언니한테 씻는거 도와달라고 부탁해 -4</v>
      </c>
      <c r="W77" s="93"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8">
        <v>29.0</v>
      </c>
      <c r="Z77" s="104" t="str">
        <f>IFERROR(__xludf.DUMMYFUNCTION("IF(J77="""", """", GOOGLETRANSLATE(
J77,""en"",""ru""))"),"Стирка Имото - 4")</f>
        <v>Стирка Имото - 4</v>
      </c>
      <c r="AA77" s="105"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8">
        <v>29.0</v>
      </c>
      <c r="AD77" s="89" t="s">
        <v>1749</v>
      </c>
      <c r="AE77" s="90" t="s">
        <v>1750</v>
      </c>
      <c r="AF77" s="91" t="s">
        <v>1751</v>
      </c>
      <c r="AG77" s="108">
        <v>29.0</v>
      </c>
      <c r="AH77" s="89" t="s">
        <v>1752</v>
      </c>
      <c r="AI77" s="90" t="s">
        <v>1753</v>
      </c>
      <c r="AJ77" s="91" t="s">
        <v>1754</v>
      </c>
      <c r="AK77" s="88">
        <v>29.0</v>
      </c>
      <c r="AL77" s="96" t="s">
        <v>1755</v>
      </c>
      <c r="AM77" s="97" t="s">
        <v>1756</v>
      </c>
      <c r="AN77" s="57" t="s">
        <v>1757</v>
      </c>
      <c r="AO77" s="91"/>
    </row>
    <row r="78">
      <c r="A78" s="81"/>
      <c r="B78" s="82"/>
      <c r="C78" s="82"/>
      <c r="D78" s="82"/>
      <c r="E78" s="81"/>
      <c r="F78" s="82"/>
      <c r="G78" s="82"/>
      <c r="H78" s="82"/>
      <c r="I78" s="81"/>
      <c r="J78" s="82"/>
      <c r="K78" s="82"/>
      <c r="L78" s="82"/>
      <c r="M78" s="20"/>
      <c r="N78" s="82"/>
      <c r="O78" s="55"/>
      <c r="P78" s="55"/>
      <c r="Q78" s="55"/>
      <c r="R78" s="55"/>
      <c r="S78" s="55"/>
      <c r="T78" s="55"/>
      <c r="U78" s="55"/>
      <c r="V78" s="55"/>
      <c r="W78" s="55"/>
      <c r="X78" s="55"/>
      <c r="Y78" s="82"/>
      <c r="Z78" s="55"/>
      <c r="AA78" s="55"/>
      <c r="AB78" s="55"/>
      <c r="AC78" s="82"/>
      <c r="AD78" s="82"/>
      <c r="AE78" s="82"/>
      <c r="AF78" s="82"/>
      <c r="AG78" s="83"/>
      <c r="AH78" s="83"/>
      <c r="AI78" s="83"/>
      <c r="AJ78" s="83"/>
      <c r="AK78" s="84"/>
      <c r="AL78" s="84"/>
      <c r="AM78" s="84"/>
      <c r="AN78" s="84"/>
      <c r="AO78" s="82"/>
    </row>
    <row r="79">
      <c r="A79" s="85" t="s">
        <v>1758</v>
      </c>
      <c r="B79" s="86" t="s">
        <v>1759</v>
      </c>
      <c r="E79" s="85" t="s">
        <v>1758</v>
      </c>
      <c r="F79" s="85" t="s">
        <v>1760</v>
      </c>
      <c r="I79" s="85" t="s">
        <v>1758</v>
      </c>
      <c r="J79" s="85" t="s">
        <v>1761</v>
      </c>
      <c r="M79" s="85" t="s">
        <v>1758</v>
      </c>
      <c r="N79" s="86" t="str">
        <f>IFERROR(__xludf.DUMMYFUNCTION("GOOGLETRANSLATE(B79,""zh-tw"",""zh"")"),"游戏机相关剧情")</f>
        <v>游戏机相关剧情</v>
      </c>
      <c r="Q79" s="85" t="s">
        <v>1758</v>
      </c>
      <c r="R79" s="85" t="s">
        <v>1762</v>
      </c>
      <c r="U79" s="85" t="s">
        <v>1758</v>
      </c>
      <c r="V79" s="85" t="s">
        <v>1763</v>
      </c>
      <c r="Y79" s="85" t="s">
        <v>1758</v>
      </c>
      <c r="Z79" s="85" t="s">
        <v>1764</v>
      </c>
      <c r="AC79" s="85" t="s">
        <v>1758</v>
      </c>
      <c r="AD79" s="85" t="s">
        <v>1765</v>
      </c>
      <c r="AG79" s="87" t="s">
        <v>1758</v>
      </c>
      <c r="AH79" s="86" t="s">
        <v>1766</v>
      </c>
      <c r="AK79" s="86" t="s">
        <v>1758</v>
      </c>
      <c r="AL79" s="86" t="s">
        <v>1767</v>
      </c>
      <c r="AO79" s="86"/>
    </row>
    <row r="80">
      <c r="A80" s="88">
        <v>1.0</v>
      </c>
      <c r="B80" s="89" t="s">
        <v>1768</v>
      </c>
      <c r="C80" s="90" t="s">
        <v>1769</v>
      </c>
      <c r="D80" s="91" t="s">
        <v>1770</v>
      </c>
      <c r="E80" s="88">
        <v>1.0</v>
      </c>
      <c r="F80" s="89" t="s">
        <v>1771</v>
      </c>
      <c r="G80" s="90" t="s">
        <v>1772</v>
      </c>
      <c r="H80" s="91" t="s">
        <v>1773</v>
      </c>
      <c r="I80" s="88">
        <v>1.0</v>
      </c>
      <c r="J80" s="89" t="s">
        <v>1774</v>
      </c>
      <c r="K80" s="90" t="s">
        <v>1775</v>
      </c>
      <c r="L80" s="91" t="s">
        <v>1776</v>
      </c>
      <c r="M80" s="112">
        <v>1.0</v>
      </c>
      <c r="N80" s="89" t="str">
        <f>IFERROR(__xludf.DUMMYFUNCTION("GOOGLETRANSLATE(B80,""zh-tw"",""zh"")"),"第一次游戏中的恶作剧")</f>
        <v>第一次游戏中的恶作剧</v>
      </c>
      <c r="O80" s="93"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3">
        <v>1.0</v>
      </c>
      <c r="R80" s="101" t="s">
        <v>1777</v>
      </c>
      <c r="S80" s="98" t="s">
        <v>1778</v>
      </c>
      <c r="T80" s="59" t="s">
        <v>1779</v>
      </c>
      <c r="U80" s="113">
        <v>1.0</v>
      </c>
      <c r="V80" s="92" t="s">
        <v>1780</v>
      </c>
      <c r="W80" s="93" t="s">
        <v>1781</v>
      </c>
      <c r="X80" s="61" t="s">
        <v>1782</v>
      </c>
      <c r="Y80" s="114">
        <v>1.0</v>
      </c>
      <c r="Z80" s="104" t="s">
        <v>1783</v>
      </c>
      <c r="AA80" s="105" t="s">
        <v>1784</v>
      </c>
      <c r="AB80" s="54" t="s">
        <v>1785</v>
      </c>
      <c r="AC80" s="114">
        <v>1.0</v>
      </c>
      <c r="AD80" s="89" t="s">
        <v>1786</v>
      </c>
      <c r="AE80" s="90" t="s">
        <v>1787</v>
      </c>
      <c r="AF80" s="91" t="s">
        <v>1788</v>
      </c>
      <c r="AG80" s="88">
        <v>1.0</v>
      </c>
      <c r="AH80" s="89" t="s">
        <v>1789</v>
      </c>
      <c r="AI80" s="90" t="s">
        <v>1790</v>
      </c>
      <c r="AJ80" s="91" t="s">
        <v>1791</v>
      </c>
      <c r="AK80" s="88">
        <v>1.0</v>
      </c>
      <c r="AL80" s="96" t="s">
        <v>1792</v>
      </c>
      <c r="AM80" s="97" t="s">
        <v>1793</v>
      </c>
      <c r="AN80" s="57" t="s">
        <v>1794</v>
      </c>
      <c r="AO80" s="91"/>
    </row>
    <row r="81">
      <c r="A81" s="88">
        <v>2.0</v>
      </c>
      <c r="B81" s="89" t="s">
        <v>1795</v>
      </c>
      <c r="C81" s="90" t="s">
        <v>1796</v>
      </c>
      <c r="D81" s="91" t="s">
        <v>1797</v>
      </c>
      <c r="E81" s="88">
        <v>2.0</v>
      </c>
      <c r="F81" s="89" t="s">
        <v>1798</v>
      </c>
      <c r="G81" s="90" t="s">
        <v>1799</v>
      </c>
      <c r="H81" s="91" t="s">
        <v>1800</v>
      </c>
      <c r="I81" s="88">
        <v>2.0</v>
      </c>
      <c r="J81" s="89" t="s">
        <v>1801</v>
      </c>
      <c r="K81" s="90" t="s">
        <v>1802</v>
      </c>
      <c r="L81" s="91" t="s">
        <v>1803</v>
      </c>
      <c r="M81" s="112">
        <v>2.0</v>
      </c>
      <c r="N81" s="89" t="str">
        <f>IFERROR(__xludf.DUMMYFUNCTION("GOOGLETRANSLATE(B81,""zh-tw"",""zh"")"),"夜晚的发现")</f>
        <v>夜晚的发现</v>
      </c>
      <c r="O81" s="93" t="str">
        <f>IFERROR(__xludf.DUMMYFUNCTION("GOOGLETRANSLATE(C81,""zh-tw"",""zh"")"),"在拥有游戏机后，第一次夜袭时，妹妹会因偷玩游戏被哥哥抓到")</f>
        <v>在拥有游戏机后，第一次夜袭时，妹妹会因偷玩游戏被哥哥抓到</v>
      </c>
      <c r="P81" s="61" t="s">
        <v>1804</v>
      </c>
      <c r="Q81" s="113">
        <v>2.0</v>
      </c>
      <c r="R81" s="101" t="s">
        <v>1805</v>
      </c>
      <c r="S81" s="98" t="s">
        <v>1806</v>
      </c>
      <c r="T81" s="59" t="s">
        <v>1807</v>
      </c>
      <c r="U81" s="113">
        <v>2.0</v>
      </c>
      <c r="V81" s="92" t="s">
        <v>1808</v>
      </c>
      <c r="W81" s="93" t="s">
        <v>1809</v>
      </c>
      <c r="X81" s="61" t="s">
        <v>1810</v>
      </c>
      <c r="Y81" s="114">
        <v>2.0</v>
      </c>
      <c r="Z81" s="104" t="s">
        <v>1811</v>
      </c>
      <c r="AA81" s="105" t="s">
        <v>1812</v>
      </c>
      <c r="AB81" s="54" t="s">
        <v>1813</v>
      </c>
      <c r="AC81" s="114">
        <v>2.0</v>
      </c>
      <c r="AD81" s="89" t="s">
        <v>1814</v>
      </c>
      <c r="AE81" s="90" t="s">
        <v>1815</v>
      </c>
      <c r="AF81" s="91" t="s">
        <v>1816</v>
      </c>
      <c r="AG81" s="88">
        <v>2.0</v>
      </c>
      <c r="AH81" s="89" t="s">
        <v>1817</v>
      </c>
      <c r="AI81" s="90" t="s">
        <v>1818</v>
      </c>
      <c r="AJ81" s="91" t="s">
        <v>1819</v>
      </c>
      <c r="AK81" s="112">
        <v>2.0</v>
      </c>
      <c r="AL81" s="115" t="s">
        <v>1820</v>
      </c>
      <c r="AM81" s="116" t="s">
        <v>1821</v>
      </c>
      <c r="AN81" s="117" t="s">
        <v>1822</v>
      </c>
      <c r="AO81" s="91"/>
    </row>
    <row r="82">
      <c r="A82" s="112">
        <v>3.0</v>
      </c>
      <c r="B82" s="92" t="s">
        <v>1823</v>
      </c>
      <c r="C82" s="93" t="s">
        <v>1824</v>
      </c>
      <c r="D82" s="61" t="s">
        <v>1825</v>
      </c>
      <c r="E82" s="112">
        <v>3.0</v>
      </c>
      <c r="F82" s="92" t="s">
        <v>1826</v>
      </c>
      <c r="G82" s="93" t="s">
        <v>1827</v>
      </c>
      <c r="H82" s="61" t="s">
        <v>1828</v>
      </c>
      <c r="I82" s="112">
        <v>3.0</v>
      </c>
      <c r="J82" s="92" t="s">
        <v>1829</v>
      </c>
      <c r="K82" s="93" t="s">
        <v>1830</v>
      </c>
      <c r="L82" s="61" t="s">
        <v>1831</v>
      </c>
      <c r="M82" s="112">
        <v>3.0</v>
      </c>
      <c r="N82" s="92" t="str">
        <f>IFERROR(__xludf.DUMMYFUNCTION("GOOGLETRANSLATE(B82,""zh-tw"",""zh"")"),"游戏中的干扰")</f>
        <v>游戏中的干扰</v>
      </c>
      <c r="O82" s="93"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3">
        <v>3.0</v>
      </c>
      <c r="R82" s="92" t="s">
        <v>1832</v>
      </c>
      <c r="S82" s="98" t="s">
        <v>1833</v>
      </c>
      <c r="T82" s="59" t="s">
        <v>1834</v>
      </c>
      <c r="U82" s="113">
        <v>3.0</v>
      </c>
      <c r="V82" s="92" t="s">
        <v>1835</v>
      </c>
      <c r="W82" s="93" t="s">
        <v>1836</v>
      </c>
      <c r="X82" s="61" t="s">
        <v>1837</v>
      </c>
      <c r="Y82" s="113">
        <v>3.0</v>
      </c>
      <c r="Z82" s="104" t="s">
        <v>1838</v>
      </c>
      <c r="AA82" s="105" t="s">
        <v>1839</v>
      </c>
      <c r="AB82" s="54" t="s">
        <v>1840</v>
      </c>
      <c r="AC82" s="113">
        <v>3.0</v>
      </c>
      <c r="AD82" s="92" t="s">
        <v>1841</v>
      </c>
      <c r="AE82" s="93" t="s">
        <v>1842</v>
      </c>
      <c r="AF82" s="61" t="s">
        <v>1843</v>
      </c>
      <c r="AG82" s="112">
        <v>3.0</v>
      </c>
      <c r="AH82" s="92" t="s">
        <v>1844</v>
      </c>
      <c r="AI82" s="93" t="s">
        <v>1845</v>
      </c>
      <c r="AJ82" s="61" t="s">
        <v>1846</v>
      </c>
      <c r="AK82" s="112">
        <v>3.0</v>
      </c>
      <c r="AL82" s="115" t="s">
        <v>1847</v>
      </c>
      <c r="AM82" s="116" t="s">
        <v>1848</v>
      </c>
      <c r="AN82" s="117" t="s">
        <v>1849</v>
      </c>
      <c r="AO82" s="61"/>
    </row>
    <row r="83">
      <c r="A83" s="112">
        <v>4.0</v>
      </c>
      <c r="B83" s="92" t="s">
        <v>1850</v>
      </c>
      <c r="C83" s="93" t="s">
        <v>1851</v>
      </c>
      <c r="D83" s="61" t="s">
        <v>1852</v>
      </c>
      <c r="E83" s="112">
        <v>4.0</v>
      </c>
      <c r="F83" s="92" t="s">
        <v>1853</v>
      </c>
      <c r="G83" s="93" t="s">
        <v>1854</v>
      </c>
      <c r="H83" s="61" t="s">
        <v>1855</v>
      </c>
      <c r="I83" s="112">
        <v>4.0</v>
      </c>
      <c r="J83" s="92" t="s">
        <v>1856</v>
      </c>
      <c r="K83" s="93" t="s">
        <v>1857</v>
      </c>
      <c r="L83" s="61" t="s">
        <v>1858</v>
      </c>
      <c r="M83" s="112">
        <v>4.0</v>
      </c>
      <c r="N83" s="92" t="str">
        <f>IFERROR(__xludf.DUMMYFUNCTION("GOOGLETRANSLATE(B83,""zh-tw"",""zh"")"),"游戏中的干扰-1")</f>
        <v>游戏中的干扰-1</v>
      </c>
      <c r="O83" s="93"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3">
        <v>4.0</v>
      </c>
      <c r="R83" s="101" t="s">
        <v>1859</v>
      </c>
      <c r="S83" s="98" t="s">
        <v>1860</v>
      </c>
      <c r="T83" s="61" t="str">
        <f>IFERROR(__xludf.DUMMYFUNCTION("GOOGLETRANSLATE(D83,""zh-tw"",""es-MX"")"),"Añadir otras opciones")</f>
        <v>Añadir otras opciones</v>
      </c>
      <c r="U83" s="113">
        <v>4.0</v>
      </c>
      <c r="V83" s="92" t="s">
        <v>1861</v>
      </c>
      <c r="W83" s="93" t="s">
        <v>1862</v>
      </c>
      <c r="X83" s="61" t="str">
        <f>IFERROR(__xludf.DUMMYFUNCTION("GOOGLETRANSLATE(D83,""zh-tw"",""KO"")"),"다른 옵션 추가")</f>
        <v>다른 옵션 추가</v>
      </c>
      <c r="Y83" s="113">
        <v>4.0</v>
      </c>
      <c r="Z83" s="104" t="s">
        <v>1863</v>
      </c>
      <c r="AA83" s="105" t="s">
        <v>1864</v>
      </c>
      <c r="AB83" s="54" t="s">
        <v>1865</v>
      </c>
      <c r="AC83" s="113">
        <v>4.0</v>
      </c>
      <c r="AD83" s="92" t="s">
        <v>1866</v>
      </c>
      <c r="AE83" s="93" t="s">
        <v>1867</v>
      </c>
      <c r="AF83" s="61" t="s">
        <v>1868</v>
      </c>
      <c r="AG83" s="112">
        <v>4.0</v>
      </c>
      <c r="AH83" s="92" t="s">
        <v>1869</v>
      </c>
      <c r="AI83" s="93" t="s">
        <v>1870</v>
      </c>
      <c r="AJ83" s="61" t="s">
        <v>1871</v>
      </c>
      <c r="AK83" s="112">
        <v>4.0</v>
      </c>
      <c r="AL83" s="115" t="s">
        <v>1872</v>
      </c>
      <c r="AM83" s="116" t="s">
        <v>1873</v>
      </c>
      <c r="AN83" s="117" t="s">
        <v>1874</v>
      </c>
      <c r="AO83" s="61"/>
    </row>
    <row r="84">
      <c r="A84" s="112">
        <v>5.0</v>
      </c>
      <c r="B84" s="92" t="s">
        <v>1875</v>
      </c>
      <c r="C84" s="93" t="s">
        <v>1876</v>
      </c>
      <c r="D84" s="61" t="s">
        <v>1877</v>
      </c>
      <c r="E84" s="112">
        <v>5.0</v>
      </c>
      <c r="F84" s="92" t="s">
        <v>1878</v>
      </c>
      <c r="G84" s="93" t="s">
        <v>1879</v>
      </c>
      <c r="H84" s="61" t="s">
        <v>1880</v>
      </c>
      <c r="I84" s="112">
        <v>5.0</v>
      </c>
      <c r="J84" s="92" t="s">
        <v>1881</v>
      </c>
      <c r="K84" s="93" t="s">
        <v>1882</v>
      </c>
      <c r="L84" s="61" t="s">
        <v>1883</v>
      </c>
      <c r="M84" s="112">
        <v>5.0</v>
      </c>
      <c r="N84" s="92" t="str">
        <f>IFERROR(__xludf.DUMMYFUNCTION("GOOGLETRANSLATE(B84,""zh-tw"",""zh"")"),"Zzz -1")</f>
        <v>Zzz -1</v>
      </c>
      <c r="O84" s="93"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3">
        <v>5.0</v>
      </c>
      <c r="R84" s="92" t="s">
        <v>1884</v>
      </c>
      <c r="S84" s="98" t="s">
        <v>1885</v>
      </c>
      <c r="T84" s="59" t="s">
        <v>1886</v>
      </c>
      <c r="U84" s="113">
        <v>5.0</v>
      </c>
      <c r="V84" s="92" t="str">
        <f>IFERROR(__xludf.DUMMYFUNCTION("GOOGLETRANSLATE(B84,""zh-tw"",""KO"")"),"zz -1")</f>
        <v>zz -1</v>
      </c>
      <c r="W84" s="93"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3">
        <v>5.0</v>
      </c>
      <c r="Z84" s="104" t="s">
        <v>1887</v>
      </c>
      <c r="AA84" s="105" t="s">
        <v>1888</v>
      </c>
      <c r="AB84" s="54" t="s">
        <v>1889</v>
      </c>
      <c r="AC84" s="113">
        <v>5.0</v>
      </c>
      <c r="AD84" s="92" t="s">
        <v>1890</v>
      </c>
      <c r="AE84" s="93" t="s">
        <v>1891</v>
      </c>
      <c r="AF84" s="61" t="s">
        <v>1892</v>
      </c>
      <c r="AG84" s="112">
        <v>5.0</v>
      </c>
      <c r="AH84" s="92" t="s">
        <v>1893</v>
      </c>
      <c r="AI84" s="93" t="s">
        <v>1894</v>
      </c>
      <c r="AJ84" s="61" t="s">
        <v>1895</v>
      </c>
      <c r="AK84" s="112">
        <v>5.0</v>
      </c>
      <c r="AL84" s="115" t="s">
        <v>1896</v>
      </c>
      <c r="AM84" s="116" t="s">
        <v>1897</v>
      </c>
      <c r="AN84" s="117"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8"/>
      <c r="AH85" s="118"/>
      <c r="AI85" s="118"/>
      <c r="AJ85" s="118"/>
      <c r="AK85" s="55"/>
      <c r="AL85" s="118"/>
      <c r="AM85" s="118"/>
      <c r="AN85" s="118"/>
      <c r="AO85" s="118"/>
    </row>
    <row r="86">
      <c r="A86" s="85" t="s">
        <v>1899</v>
      </c>
      <c r="B86" s="119" t="s">
        <v>1900</v>
      </c>
      <c r="E86" s="85" t="s">
        <v>1899</v>
      </c>
      <c r="F86" s="85" t="s">
        <v>1901</v>
      </c>
      <c r="I86" s="85" t="s">
        <v>1899</v>
      </c>
      <c r="J86" s="85" t="s">
        <v>1902</v>
      </c>
      <c r="M86" s="85" t="s">
        <v>1899</v>
      </c>
      <c r="N86" s="86" t="str">
        <f>IFERROR(__xludf.DUMMYFUNCTION("GOOGLETRANSLATE(B86,""zh-tw"",""zh"")"),"特殊天气相关")</f>
        <v>特殊天气相关</v>
      </c>
      <c r="Q86" s="85" t="s">
        <v>1899</v>
      </c>
      <c r="R86" s="85" t="s">
        <v>1903</v>
      </c>
      <c r="U86" s="85" t="s">
        <v>1899</v>
      </c>
      <c r="V86" s="85" t="s">
        <v>1904</v>
      </c>
      <c r="Y86" s="85" t="s">
        <v>1899</v>
      </c>
      <c r="Z86" s="85" t="s">
        <v>1905</v>
      </c>
      <c r="AC86" s="85" t="s">
        <v>1899</v>
      </c>
      <c r="AD86" s="85" t="s">
        <v>1906</v>
      </c>
      <c r="AG86" s="87" t="s">
        <v>1899</v>
      </c>
      <c r="AH86" s="119" t="s">
        <v>1907</v>
      </c>
      <c r="AK86" s="119" t="s">
        <v>1899</v>
      </c>
      <c r="AL86" s="119" t="s">
        <v>1908</v>
      </c>
      <c r="AO86" s="119"/>
    </row>
    <row r="87">
      <c r="A87" s="112">
        <v>1.0</v>
      </c>
      <c r="B87" s="92" t="s">
        <v>1909</v>
      </c>
      <c r="C87" s="93" t="s">
        <v>1910</v>
      </c>
      <c r="D87" s="61" t="s">
        <v>1911</v>
      </c>
      <c r="E87" s="112">
        <v>1.0</v>
      </c>
      <c r="F87" s="92" t="s">
        <v>1912</v>
      </c>
      <c r="G87" s="93" t="s">
        <v>1913</v>
      </c>
      <c r="H87" s="61" t="s">
        <v>1914</v>
      </c>
      <c r="I87" s="112">
        <v>1.0</v>
      </c>
      <c r="J87" s="92" t="s">
        <v>1915</v>
      </c>
      <c r="K87" s="93" t="s">
        <v>1916</v>
      </c>
      <c r="L87" s="61" t="s">
        <v>1917</v>
      </c>
      <c r="M87" s="112">
        <v>1.0</v>
      </c>
      <c r="N87" s="92" t="str">
        <f>IFERROR(__xludf.DUMMYFUNCTION("GOOGLETRANSLATE(B87,""zh-tw"",""zh"")"),"炎热的消暑-1")</f>
        <v>炎热的消暑-1</v>
      </c>
      <c r="O87" s="93"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3">
        <v>1.0</v>
      </c>
      <c r="R87" s="92" t="s">
        <v>1918</v>
      </c>
      <c r="S87" s="98" t="s">
        <v>1919</v>
      </c>
      <c r="T87" s="61" t="str">
        <f>IFERROR(__xludf.DUMMYFUNCTION("GOOGLETRANSLATE(D87,""zh-tw"",""es-MX"")"),"Animación especial, estado de ánimo de la hermana +10, afecto +20")</f>
        <v>Animación especial, estado de ánimo de la hermana +10, afecto +20</v>
      </c>
      <c r="U87" s="113">
        <v>1.0</v>
      </c>
      <c r="V87" s="92" t="str">
        <f>IFERROR(__xludf.DUMMYFUNCTION("GOOGLETRANSLATE(B87,""zh-tw"",""KO"")"),"더운 날씨에 시원하게 식히기 - 1부")</f>
        <v>더운 날씨에 시원하게 식히기 - 1부</v>
      </c>
      <c r="W87" s="93" t="str">
        <f>IFERROR(__xludf.DUMMYFUNCTION("GOOGLETRANSLATE(C87,""zh-tw"",""KO"")"),"더운 날, 나는 여동생에게 역류하는 콜라를 건넸다.")</f>
        <v>더운 날, 나는 여동생에게 역류하는 콜라를 건넸다.</v>
      </c>
      <c r="X87" s="61" t="str">
        <f>IFERROR(__xludf.DUMMYFUNCTION("GOOGLETRANSLATE(D87,""zh-tw"",""KO"")"),"특수 애니메이션, 자매 기분 +10, 애정도 +20")</f>
        <v>특수 애니메이션, 자매 기분 +10, 애정도 +20</v>
      </c>
      <c r="Y87" s="113">
        <v>1.0</v>
      </c>
      <c r="Z87" s="104" t="s">
        <v>1920</v>
      </c>
      <c r="AA87" s="105" t="s">
        <v>1921</v>
      </c>
      <c r="AB87" s="54" t="s">
        <v>1922</v>
      </c>
      <c r="AC87" s="113">
        <v>1.0</v>
      </c>
      <c r="AD87" s="92" t="s">
        <v>1923</v>
      </c>
      <c r="AE87" s="93" t="s">
        <v>1924</v>
      </c>
      <c r="AF87" s="61" t="s">
        <v>1925</v>
      </c>
      <c r="AG87" s="112">
        <v>1.0</v>
      </c>
      <c r="AH87" s="92" t="s">
        <v>1926</v>
      </c>
      <c r="AI87" s="93" t="s">
        <v>1927</v>
      </c>
      <c r="AJ87" s="61" t="s">
        <v>1928</v>
      </c>
      <c r="AK87" s="112">
        <v>1.0</v>
      </c>
      <c r="AL87" s="115" t="s">
        <v>1929</v>
      </c>
      <c r="AM87" s="116" t="s">
        <v>1930</v>
      </c>
      <c r="AN87" s="117" t="s">
        <v>1931</v>
      </c>
      <c r="AO87" s="61"/>
    </row>
    <row r="88">
      <c r="A88" s="112">
        <v>2.0</v>
      </c>
      <c r="B88" s="92" t="s">
        <v>1932</v>
      </c>
      <c r="C88" s="93" t="s">
        <v>1933</v>
      </c>
      <c r="D88" s="61" t="s">
        <v>1934</v>
      </c>
      <c r="E88" s="112">
        <v>2.0</v>
      </c>
      <c r="F88" s="92" t="s">
        <v>1935</v>
      </c>
      <c r="G88" s="93" t="s">
        <v>1936</v>
      </c>
      <c r="H88" s="61" t="s">
        <v>1937</v>
      </c>
      <c r="I88" s="112">
        <v>2.0</v>
      </c>
      <c r="J88" s="92" t="s">
        <v>1938</v>
      </c>
      <c r="K88" s="93" t="s">
        <v>1939</v>
      </c>
      <c r="L88" s="61" t="s">
        <v>1940</v>
      </c>
      <c r="M88" s="112">
        <v>2.0</v>
      </c>
      <c r="N88" s="92" t="str">
        <f>IFERROR(__xludf.DUMMYFUNCTION("GOOGLETRANSLATE(B88,""zh-tw"",""zh"")"),"炎热的消暑-2")</f>
        <v>炎热的消暑-2</v>
      </c>
      <c r="O88" s="93"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3">
        <v>2.0</v>
      </c>
      <c r="R88" s="92" t="s">
        <v>1941</v>
      </c>
      <c r="S88" s="98"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3">
        <v>2.0</v>
      </c>
      <c r="V88" s="92" t="str">
        <f>IFERROR(__xludf.DUMMYFUNCTION("GOOGLETRANSLATE(B88,""zh-tw"",""KO"")"),"더운 날씨에 시원하게 식히기 - 2부")</f>
        <v>더운 날씨에 시원하게 식히기 - 2부</v>
      </c>
      <c r="W88" s="93"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3">
        <v>2.0</v>
      </c>
      <c r="Z88" s="104" t="s">
        <v>1943</v>
      </c>
      <c r="AA88" s="105" t="s">
        <v>1944</v>
      </c>
      <c r="AB88" s="54" t="s">
        <v>1945</v>
      </c>
      <c r="AC88" s="113">
        <v>2.0</v>
      </c>
      <c r="AD88" s="92" t="s">
        <v>1946</v>
      </c>
      <c r="AE88" s="93" t="s">
        <v>1947</v>
      </c>
      <c r="AF88" s="61" t="s">
        <v>1948</v>
      </c>
      <c r="AG88" s="112">
        <v>2.0</v>
      </c>
      <c r="AH88" s="92" t="s">
        <v>1949</v>
      </c>
      <c r="AI88" s="93" t="s">
        <v>1950</v>
      </c>
      <c r="AJ88" s="61" t="s">
        <v>1951</v>
      </c>
      <c r="AK88" s="112">
        <v>2.0</v>
      </c>
      <c r="AL88" s="115" t="s">
        <v>1952</v>
      </c>
      <c r="AM88" s="116" t="s">
        <v>1953</v>
      </c>
      <c r="AN88" s="117" t="s">
        <v>1954</v>
      </c>
      <c r="AO88" s="61"/>
    </row>
    <row r="89">
      <c r="A89" s="112">
        <v>3.0</v>
      </c>
      <c r="B89" s="92" t="s">
        <v>1955</v>
      </c>
      <c r="C89" s="93" t="s">
        <v>1956</v>
      </c>
      <c r="D89" s="61" t="s">
        <v>1934</v>
      </c>
      <c r="E89" s="112">
        <v>3.0</v>
      </c>
      <c r="F89" s="92" t="s">
        <v>1957</v>
      </c>
      <c r="G89" s="93" t="s">
        <v>1958</v>
      </c>
      <c r="H89" s="61" t="s">
        <v>1937</v>
      </c>
      <c r="I89" s="112">
        <v>3.0</v>
      </c>
      <c r="J89" s="92" t="s">
        <v>1959</v>
      </c>
      <c r="K89" s="93" t="s">
        <v>1960</v>
      </c>
      <c r="L89" s="61" t="s">
        <v>1940</v>
      </c>
      <c r="M89" s="112">
        <v>3.0</v>
      </c>
      <c r="N89" s="92" t="str">
        <f>IFERROR(__xludf.DUMMYFUNCTION("GOOGLETRANSLATE(B89,""zh-tw"",""zh"")"),"炎热的消暑-3")</f>
        <v>炎热的消暑-3</v>
      </c>
      <c r="O89" s="93"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3">
        <v>3.0</v>
      </c>
      <c r="R89" s="92" t="s">
        <v>1961</v>
      </c>
      <c r="S89" s="98"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3">
        <v>3.0</v>
      </c>
      <c r="V89" s="92" t="str">
        <f>IFERROR(__xludf.DUMMYFUNCTION("GOOGLETRANSLATE(B89,""zh-tw"",""KO"")"),"더운 날씨에 시원하게 식히기 - 3")</f>
        <v>더운 날씨에 시원하게 식히기 - 3</v>
      </c>
      <c r="W89" s="93"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3">
        <v>3.0</v>
      </c>
      <c r="Z89" s="104" t="s">
        <v>1963</v>
      </c>
      <c r="AA89" s="105" t="s">
        <v>1964</v>
      </c>
      <c r="AB89" s="54" t="s">
        <v>1945</v>
      </c>
      <c r="AC89" s="113">
        <v>3.0</v>
      </c>
      <c r="AD89" s="92" t="s">
        <v>1965</v>
      </c>
      <c r="AE89" s="93" t="s">
        <v>1966</v>
      </c>
      <c r="AF89" s="61" t="s">
        <v>1948</v>
      </c>
      <c r="AG89" s="112">
        <v>3.0</v>
      </c>
      <c r="AH89" s="92" t="s">
        <v>1967</v>
      </c>
      <c r="AI89" s="93" t="s">
        <v>1968</v>
      </c>
      <c r="AJ89" s="61" t="s">
        <v>1951</v>
      </c>
      <c r="AK89" s="112">
        <v>3.0</v>
      </c>
      <c r="AL89" s="115" t="s">
        <v>1969</v>
      </c>
      <c r="AM89" s="116" t="s">
        <v>1970</v>
      </c>
      <c r="AN89" s="117" t="s">
        <v>1971</v>
      </c>
      <c r="AO89" s="61"/>
    </row>
    <row r="90">
      <c r="A90" s="112">
        <v>4.0</v>
      </c>
      <c r="B90" s="92" t="s">
        <v>1972</v>
      </c>
      <c r="C90" s="93" t="s">
        <v>1973</v>
      </c>
      <c r="D90" s="61" t="s">
        <v>1974</v>
      </c>
      <c r="E90" s="112">
        <v>4.0</v>
      </c>
      <c r="F90" s="92" t="s">
        <v>1975</v>
      </c>
      <c r="G90" s="93" t="s">
        <v>1976</v>
      </c>
      <c r="H90" s="61" t="s">
        <v>1977</v>
      </c>
      <c r="I90" s="112">
        <v>4.0</v>
      </c>
      <c r="J90" s="92" t="s">
        <v>1978</v>
      </c>
      <c r="K90" s="93" t="s">
        <v>1979</v>
      </c>
      <c r="L90" s="61" t="s">
        <v>1980</v>
      </c>
      <c r="M90" s="112">
        <v>4.0</v>
      </c>
      <c r="N90" s="92" t="str">
        <f>IFERROR(__xludf.DUMMYFUNCTION("GOOGLETRANSLATE(B90,""zh-tw"",""zh"")"),"掀起来看看")</f>
        <v>掀起来看看</v>
      </c>
      <c r="O90" s="93"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3">
        <v>4.0</v>
      </c>
      <c r="R90" s="92" t="s">
        <v>1981</v>
      </c>
      <c r="S90" s="98" t="s">
        <v>1982</v>
      </c>
      <c r="T90" s="59" t="s">
        <v>1983</v>
      </c>
      <c r="U90" s="113">
        <v>4.0</v>
      </c>
      <c r="V90" s="92" t="str">
        <f>IFERROR(__xludf.DUMMYFUNCTION("GOOGLETRANSLATE(B90,""zh-tw"",""KO"")"),"들어 올려서 살펴보세요.")</f>
        <v>들어 올려서 살펴보세요.</v>
      </c>
      <c r="W90" s="93"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3">
        <v>4.0</v>
      </c>
      <c r="Z90" s="104" t="str">
        <f>IFERROR(__xludf.DUMMYFUNCTION("IF(J90="""", """", GOOGLETRANSLATE(
J90,""en"",""ru""))"),"Поднимаюсь и смотрю")</f>
        <v>Поднимаюсь и смотрю</v>
      </c>
      <c r="AA90" s="105"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0" s="113">
        <v>4.0</v>
      </c>
      <c r="AD90" s="92" t="s">
        <v>1984</v>
      </c>
      <c r="AE90" s="93" t="s">
        <v>1985</v>
      </c>
      <c r="AF90" s="61" t="s">
        <v>1986</v>
      </c>
      <c r="AG90" s="112">
        <v>4.0</v>
      </c>
      <c r="AH90" s="92" t="s">
        <v>1987</v>
      </c>
      <c r="AI90" s="93" t="s">
        <v>1988</v>
      </c>
      <c r="AJ90" s="61" t="s">
        <v>1989</v>
      </c>
      <c r="AK90" s="112">
        <v>4.0</v>
      </c>
      <c r="AL90" s="96" t="s">
        <v>1990</v>
      </c>
      <c r="AM90" s="97" t="s">
        <v>1991</v>
      </c>
      <c r="AN90" s="57" t="s">
        <v>1992</v>
      </c>
      <c r="AO90" s="61"/>
    </row>
    <row r="91">
      <c r="A91" s="112">
        <v>5.0</v>
      </c>
      <c r="B91" s="101" t="s">
        <v>1993</v>
      </c>
      <c r="C91" s="98" t="s">
        <v>1994</v>
      </c>
      <c r="D91" s="59" t="s">
        <v>1995</v>
      </c>
      <c r="E91" s="112">
        <v>5.0</v>
      </c>
      <c r="F91" s="101" t="s">
        <v>1996</v>
      </c>
      <c r="G91" s="98" t="s">
        <v>1997</v>
      </c>
      <c r="H91" s="59" t="s">
        <v>1998</v>
      </c>
      <c r="I91" s="112">
        <v>5.0</v>
      </c>
      <c r="J91" s="101" t="s">
        <v>1999</v>
      </c>
      <c r="K91" s="98" t="s">
        <v>2000</v>
      </c>
      <c r="L91" s="59" t="s">
        <v>2001</v>
      </c>
      <c r="M91" s="112">
        <v>5.0</v>
      </c>
      <c r="N91" s="92" t="str">
        <f>IFERROR(__xludf.DUMMYFUNCTION("GOOGLETRANSLATE(B91,""zh-tw"",""zh"")"),"提前回家也是件好事-1")</f>
        <v>提前回家也是件好事-1</v>
      </c>
      <c r="O91" s="93"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3">
        <v>5.0</v>
      </c>
      <c r="R91" s="92" t="str">
        <f>IFERROR(__xludf.DUMMYFUNCTION("GOOGLETRANSLATE(B91,""zh-tw"",""es-mx"")"),"Volver a casa temprano también es bueno -1")</f>
        <v>Volver a casa temprano también es bueno -1</v>
      </c>
      <c r="S91" s="93"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3">
        <v>5.0</v>
      </c>
      <c r="V91" s="92" t="str">
        <f>IFERROR(__xludf.DUMMYFUNCTION("GOOGLETRANSLATE(B91,""zh-tw"",""KO"")"),"일찍 집에 가는 것도 좋은 일이에요 -1")</f>
        <v>일찍 집에 가는 것도 좋은 일이에요 -1</v>
      </c>
      <c r="W91" s="93"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3">
        <v>5.0</v>
      </c>
      <c r="Z91" s="104" t="str">
        <f>IFERROR(__xludf.DUMMYFUNCTION("IF(J91="""", """", GOOGLETRANSLATE(
J91,""en"",""ru""))"),"Возвращаюсь домой пораньше - 1")</f>
        <v>Возвращаюсь домой пораньше - 1</v>
      </c>
      <c r="AA91" s="105"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3">
        <v>5.0</v>
      </c>
      <c r="AD91" s="101" t="s">
        <v>2002</v>
      </c>
      <c r="AE91" s="98" t="s">
        <v>2003</v>
      </c>
      <c r="AF91" s="59" t="s">
        <v>2004</v>
      </c>
      <c r="AG91" s="112">
        <v>5.0</v>
      </c>
      <c r="AH91" s="101" t="s">
        <v>2005</v>
      </c>
      <c r="AI91" s="98" t="s">
        <v>2006</v>
      </c>
      <c r="AJ91" s="59" t="s">
        <v>2007</v>
      </c>
      <c r="AK91" s="112">
        <v>5.0</v>
      </c>
      <c r="AL91" s="96" t="s">
        <v>2008</v>
      </c>
      <c r="AM91" s="97" t="s">
        <v>2009</v>
      </c>
      <c r="AN91" s="57" t="s">
        <v>2010</v>
      </c>
      <c r="AO91" s="61"/>
    </row>
    <row r="92">
      <c r="A92" s="112">
        <v>6.0</v>
      </c>
      <c r="B92" s="101" t="s">
        <v>2011</v>
      </c>
      <c r="C92" s="98" t="s">
        <v>2012</v>
      </c>
      <c r="D92" s="59" t="s">
        <v>2013</v>
      </c>
      <c r="E92" s="112">
        <v>6.0</v>
      </c>
      <c r="F92" s="101" t="s">
        <v>2014</v>
      </c>
      <c r="G92" s="98" t="s">
        <v>2015</v>
      </c>
      <c r="H92" s="59" t="s">
        <v>2016</v>
      </c>
      <c r="I92" s="112">
        <v>6.0</v>
      </c>
      <c r="J92" s="101" t="s">
        <v>2017</v>
      </c>
      <c r="K92" s="98" t="s">
        <v>2018</v>
      </c>
      <c r="L92" s="59" t="s">
        <v>2019</v>
      </c>
      <c r="M92" s="112">
        <v>6.0</v>
      </c>
      <c r="N92" s="92" t="str">
        <f>IFERROR(__xludf.DUMMYFUNCTION("GOOGLETRANSLATE(B92,""zh-tw"",""zh"")"),"提前回家也是件好事-2")</f>
        <v>提前回家也是件好事-2</v>
      </c>
      <c r="O92" s="93"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3">
        <v>6.0</v>
      </c>
      <c r="R92" s="92" t="str">
        <f>IFERROR(__xludf.DUMMYFUNCTION("GOOGLETRANSLATE(B92,""zh-tw"",""es-mx"")"),"Volver a casa temprano también es bueno - 2")</f>
        <v>Volver a casa temprano también es bueno - 2</v>
      </c>
      <c r="S92" s="93"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3">
        <v>6.0</v>
      </c>
      <c r="V92" s="92" t="str">
        <f>IFERROR(__xludf.DUMMYFUNCTION("GOOGLETRANSLATE(B92,""zh-tw"",""KO"")"),"일찍 집에 가는 것도 좋은 일이에요 - 2")</f>
        <v>일찍 집에 가는 것도 좋은 일이에요 - 2</v>
      </c>
      <c r="W92" s="93"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IFERROR(__xludf.DUMMYFUNCTION("GOOGLETRANSLATE(D92,""zh-tw"",""KO"")"),"여동생은 전기선풍기를 틀면서 속옷도 입지 않았습니다.")</f>
        <v>여동생은 전기선풍기를 틀면서 속옷도 입지 않았습니다.</v>
      </c>
      <c r="Y92" s="113">
        <v>6.0</v>
      </c>
      <c r="Z92" s="104" t="str">
        <f>IFERROR(__xludf.DUMMYFUNCTION("IF(J92="""", """", GOOGLETRANSLATE(
J92,""en"",""ru""))"),"Возвращаюсь домой пораньше - 2")</f>
        <v>Возвращаюсь домой пораньше - 2</v>
      </c>
      <c r="AA92" s="105"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3">
        <v>6.0</v>
      </c>
      <c r="AD92" s="101" t="s">
        <v>2020</v>
      </c>
      <c r="AE92" s="98" t="s">
        <v>2021</v>
      </c>
      <c r="AF92" s="59" t="s">
        <v>2022</v>
      </c>
      <c r="AG92" s="112">
        <v>6.0</v>
      </c>
      <c r="AH92" s="101" t="s">
        <v>2023</v>
      </c>
      <c r="AI92" s="98" t="s">
        <v>2024</v>
      </c>
      <c r="AJ92" s="59" t="s">
        <v>2025</v>
      </c>
      <c r="AK92" s="112">
        <v>6.0</v>
      </c>
      <c r="AL92" s="96" t="s">
        <v>2026</v>
      </c>
      <c r="AM92" s="97" t="s">
        <v>2027</v>
      </c>
      <c r="AN92" s="57" t="s">
        <v>2028</v>
      </c>
      <c r="AO92" s="61"/>
    </row>
    <row r="93">
      <c r="A93" s="112">
        <v>7.0</v>
      </c>
      <c r="B93" s="101" t="s">
        <v>2029</v>
      </c>
      <c r="C93" s="98" t="s">
        <v>2030</v>
      </c>
      <c r="D93" s="59" t="s">
        <v>2031</v>
      </c>
      <c r="E93" s="112">
        <v>7.0</v>
      </c>
      <c r="F93" s="101" t="s">
        <v>2032</v>
      </c>
      <c r="G93" s="98" t="s">
        <v>2033</v>
      </c>
      <c r="H93" s="59" t="s">
        <v>2034</v>
      </c>
      <c r="I93" s="112">
        <v>7.0</v>
      </c>
      <c r="J93" s="101" t="s">
        <v>2035</v>
      </c>
      <c r="K93" s="98" t="s">
        <v>2036</v>
      </c>
      <c r="L93" s="59" t="s">
        <v>2037</v>
      </c>
      <c r="M93" s="112">
        <v>7.0</v>
      </c>
      <c r="N93" s="92" t="str">
        <f>IFERROR(__xludf.DUMMYFUNCTION("GOOGLETRANSLATE(B93,""zh-tw"",""zh"")"),"提前回家也是件好事-3")</f>
        <v>提前回家也是件好事-3</v>
      </c>
      <c r="O93" s="93"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3">
        <v>7.0</v>
      </c>
      <c r="R93" s="92" t="str">
        <f>IFERROR(__xludf.DUMMYFUNCTION("GOOGLETRANSLATE(B93,""zh-tw"",""es-mx"")"),"Volver a casa temprano también es bueno -3")</f>
        <v>Volver a casa temprano también es bueno -3</v>
      </c>
      <c r="S93" s="93"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3">
        <v>7.0</v>
      </c>
      <c r="V93" s="92" t="str">
        <f>IFERROR(__xludf.DUMMYFUNCTION("GOOGLETRANSLATE(B93,""zh-tw"",""KO"")"),"일찍 집에 가는 것도 좋은 일이에요 -3")</f>
        <v>일찍 집에 가는 것도 좋은 일이에요 -3</v>
      </c>
      <c r="W93" s="93"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3">
        <v>7.0</v>
      </c>
      <c r="Z93" s="104" t="str">
        <f>IFERROR(__xludf.DUMMYFUNCTION("IF(J93="""", """", GOOGLETRANSLATE(
J93,""en"",""ru""))"),"Возвращаюсь домой пораньше - 3")</f>
        <v>Возвращаюсь домой пораньше - 3</v>
      </c>
      <c r="AA93" s="105"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3">
        <v>7.0</v>
      </c>
      <c r="AD93" s="101" t="s">
        <v>2038</v>
      </c>
      <c r="AE93" s="98" t="s">
        <v>2039</v>
      </c>
      <c r="AF93" s="59" t="s">
        <v>2040</v>
      </c>
      <c r="AG93" s="112">
        <v>7.0</v>
      </c>
      <c r="AH93" s="101" t="s">
        <v>2041</v>
      </c>
      <c r="AI93" s="98" t="s">
        <v>2042</v>
      </c>
      <c r="AJ93" s="59" t="s">
        <v>2043</v>
      </c>
      <c r="AK93" s="112">
        <v>7.0</v>
      </c>
      <c r="AL93" s="96" t="s">
        <v>2044</v>
      </c>
      <c r="AM93" s="97" t="s">
        <v>2045</v>
      </c>
      <c r="AN93" s="57" t="s">
        <v>2046</v>
      </c>
      <c r="AO93" s="61"/>
    </row>
    <row r="94">
      <c r="A94" s="112">
        <v>8.0</v>
      </c>
      <c r="B94" s="101" t="s">
        <v>2047</v>
      </c>
      <c r="C94" s="98" t="s">
        <v>2048</v>
      </c>
      <c r="D94" s="59" t="s">
        <v>2049</v>
      </c>
      <c r="E94" s="112">
        <v>8.0</v>
      </c>
      <c r="F94" s="101" t="s">
        <v>2050</v>
      </c>
      <c r="G94" s="98" t="s">
        <v>2051</v>
      </c>
      <c r="H94" s="59" t="s">
        <v>2052</v>
      </c>
      <c r="I94" s="112">
        <v>8.0</v>
      </c>
      <c r="J94" s="101" t="s">
        <v>2053</v>
      </c>
      <c r="K94" s="98" t="s">
        <v>2054</v>
      </c>
      <c r="L94" s="59" t="s">
        <v>2055</v>
      </c>
      <c r="M94" s="112">
        <v>8.0</v>
      </c>
      <c r="N94" s="92" t="str">
        <f>IFERROR(__xludf.DUMMYFUNCTION("GOOGLETRANSLATE(B94,""zh-tw"",""zh"")"),"提前回家也是件好事-4")</f>
        <v>提前回家也是件好事-4</v>
      </c>
      <c r="O94" s="93"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3">
        <v>8.0</v>
      </c>
      <c r="R94" s="92" t="str">
        <f>IFERROR(__xludf.DUMMYFUNCTION("GOOGLETRANSLATE(B94,""zh-tw"",""es-mx"")"),"Volver a casa temprano también es bueno -4")</f>
        <v>Volver a casa temprano también es bueno -4</v>
      </c>
      <c r="S94" s="93"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3">
        <v>8.0</v>
      </c>
      <c r="V94" s="92" t="str">
        <f>IFERROR(__xludf.DUMMYFUNCTION("GOOGLETRANSLATE(B94,""zh-tw"",""KO"")"),"일찍 집에 가는 것도 좋은 일이에요 -4")</f>
        <v>일찍 집에 가는 것도 좋은 일이에요 -4</v>
      </c>
      <c r="W94" s="93"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3">
        <v>8.0</v>
      </c>
      <c r="Z94" s="104" t="str">
        <f>IFERROR(__xludf.DUMMYFUNCTION("IF(J94="""", """", GOOGLETRANSLATE(
J94,""en"",""ru""))"),"Возвращаюсь домой пораньше - 4")</f>
        <v>Возвращаюсь домой пораньше - 4</v>
      </c>
      <c r="AA94" s="105"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3">
        <v>8.0</v>
      </c>
      <c r="AD94" s="101" t="s">
        <v>2056</v>
      </c>
      <c r="AE94" s="98" t="s">
        <v>2057</v>
      </c>
      <c r="AF94" s="59" t="s">
        <v>2058</v>
      </c>
      <c r="AG94" s="112">
        <v>8.0</v>
      </c>
      <c r="AH94" s="101" t="s">
        <v>2059</v>
      </c>
      <c r="AI94" s="98" t="s">
        <v>2060</v>
      </c>
      <c r="AJ94" s="59" t="s">
        <v>2061</v>
      </c>
      <c r="AK94" s="112">
        <v>8.0</v>
      </c>
      <c r="AL94" s="115" t="s">
        <v>2062</v>
      </c>
      <c r="AM94" s="116" t="s">
        <v>2063</v>
      </c>
      <c r="AN94" s="117"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8"/>
      <c r="AH95" s="118"/>
      <c r="AI95" s="118"/>
      <c r="AJ95" s="118"/>
      <c r="AK95" s="118"/>
      <c r="AL95" s="118"/>
      <c r="AM95" s="118"/>
      <c r="AN95" s="118"/>
      <c r="AO95" s="55"/>
    </row>
    <row r="96">
      <c r="A96" s="85" t="s">
        <v>2065</v>
      </c>
      <c r="B96" s="120" t="s">
        <v>2066</v>
      </c>
      <c r="E96" s="85" t="s">
        <v>2065</v>
      </c>
      <c r="F96" s="120"/>
      <c r="I96" s="85" t="s">
        <v>2065</v>
      </c>
      <c r="J96" s="120"/>
      <c r="M96" s="85" t="s">
        <v>2065</v>
      </c>
      <c r="N96" s="120"/>
      <c r="Q96" s="120" t="s">
        <v>2065</v>
      </c>
      <c r="R96" s="120"/>
      <c r="U96" s="120" t="s">
        <v>2065</v>
      </c>
      <c r="V96" s="120"/>
      <c r="Y96" s="120" t="s">
        <v>2065</v>
      </c>
      <c r="Z96" s="120"/>
      <c r="AC96" s="120" t="s">
        <v>2065</v>
      </c>
      <c r="AD96" s="120"/>
      <c r="AG96" s="121" t="s">
        <v>2065</v>
      </c>
      <c r="AH96" s="122"/>
      <c r="AK96" s="86" t="s">
        <v>2065</v>
      </c>
      <c r="AL96" s="123"/>
      <c r="AO96" s="122"/>
    </row>
    <row r="97">
      <c r="A97" s="108">
        <v>23.0</v>
      </c>
      <c r="B97" s="101" t="s">
        <v>2067</v>
      </c>
      <c r="C97" s="98" t="s">
        <v>2068</v>
      </c>
      <c r="D97" s="59" t="s">
        <v>2069</v>
      </c>
      <c r="E97" s="108">
        <v>23.0</v>
      </c>
      <c r="F97" s="101" t="s">
        <v>2070</v>
      </c>
      <c r="G97" s="98" t="s">
        <v>2071</v>
      </c>
      <c r="H97" s="59" t="s">
        <v>2072</v>
      </c>
      <c r="I97" s="108">
        <v>23.0</v>
      </c>
      <c r="J97" s="101" t="s">
        <v>2073</v>
      </c>
      <c r="K97" s="98" t="s">
        <v>2074</v>
      </c>
      <c r="L97" s="59" t="s">
        <v>2075</v>
      </c>
      <c r="M97" s="108">
        <v>23.0</v>
      </c>
      <c r="N97" s="89" t="str">
        <f>IFERROR(__xludf.DUMMYFUNCTION("GOOGLETRANSLATE(B97,""zh-tw"",""zh"")"),"和妹妹看电视")</f>
        <v>和妹妹看电视</v>
      </c>
      <c r="O97" s="93"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8">
        <v>23.0</v>
      </c>
      <c r="R97" s="92" t="str">
        <f>IFERROR(__xludf.DUMMYFUNCTION("GOOGLETRANSLATE(B97,""zh-tw"",""es-MX"")"),"Mirando la televisión con mi hermana")</f>
        <v>Mirando la televisión con mi hermana</v>
      </c>
      <c r="S97" s="93"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8">
        <v>23.0</v>
      </c>
      <c r="V97" s="92" t="str">
        <f>IFERROR(__xludf.DUMMYFUNCTION("GOOGLETRANSLATE(B97,""zh-tw"",""KO"")"),"언니랑 같이 티비보며")</f>
        <v>언니랑 같이 티비보며</v>
      </c>
      <c r="W97" s="93"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8">
        <v>23.0</v>
      </c>
      <c r="Z97" s="104" t="str">
        <f>IFERROR(__xludf.DUMMYFUNCTION("IF(J97="""", """", GOOGLETRANSLATE(
J97,""en"",""ru""))"),"Смотря телевизор")</f>
        <v>Смотря телевизор</v>
      </c>
      <c r="AA97" s="105"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8">
        <v>23.0</v>
      </c>
      <c r="AD97" s="101" t="s">
        <v>2076</v>
      </c>
      <c r="AE97" s="124" t="s">
        <v>2077</v>
      </c>
      <c r="AF97" s="59" t="s">
        <v>2078</v>
      </c>
      <c r="AG97" s="108">
        <v>23.0</v>
      </c>
      <c r="AH97" s="101" t="s">
        <v>2079</v>
      </c>
      <c r="AI97" s="93" t="s">
        <v>2080</v>
      </c>
      <c r="AJ97" s="59" t="s">
        <v>2081</v>
      </c>
      <c r="AK97" s="88">
        <v>23.0</v>
      </c>
      <c r="AL97" s="96" t="s">
        <v>2082</v>
      </c>
      <c r="AM97" s="116" t="s">
        <v>2083</v>
      </c>
      <c r="AN97" s="57" t="s">
        <v>2084</v>
      </c>
      <c r="AO97" s="91"/>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8"/>
      <c r="AH98" s="118"/>
      <c r="AI98" s="118"/>
      <c r="AJ98" s="118"/>
      <c r="AK98" s="118"/>
      <c r="AL98" s="118"/>
      <c r="AM98" s="118"/>
      <c r="AN98" s="118"/>
      <c r="AO98" s="55"/>
    </row>
    <row r="99">
      <c r="A99" s="85" t="s">
        <v>2085</v>
      </c>
      <c r="B99" s="122" t="s">
        <v>2086</v>
      </c>
      <c r="E99" s="85" t="s">
        <v>2085</v>
      </c>
      <c r="F99" s="120" t="s">
        <v>2087</v>
      </c>
      <c r="I99" s="85" t="s">
        <v>2085</v>
      </c>
      <c r="J99" s="120" t="s">
        <v>2088</v>
      </c>
      <c r="M99" s="85" t="s">
        <v>2085</v>
      </c>
      <c r="N99" s="120" t="str">
        <f>IFERROR(__xludf.DUMMYFUNCTION("GOOGLETRANSLATE(B99,""zh-tw"",""zh"")"),"夜袭相关")</f>
        <v>夜袭相关</v>
      </c>
      <c r="Q99" s="85" t="s">
        <v>2085</v>
      </c>
      <c r="R99" s="120" t="s">
        <v>2089</v>
      </c>
      <c r="U99" s="85" t="s">
        <v>2085</v>
      </c>
      <c r="V99" s="120" t="s">
        <v>2090</v>
      </c>
      <c r="Y99" s="85" t="s">
        <v>2085</v>
      </c>
      <c r="Z99" s="120" t="s">
        <v>2091</v>
      </c>
      <c r="AC99" s="85" t="s">
        <v>2085</v>
      </c>
      <c r="AD99" s="120" t="s">
        <v>2092</v>
      </c>
      <c r="AG99" s="85" t="s">
        <v>2085</v>
      </c>
      <c r="AH99" s="122" t="s">
        <v>2093</v>
      </c>
      <c r="AK99" s="85" t="s">
        <v>2085</v>
      </c>
      <c r="AL99" s="123" t="s">
        <v>2094</v>
      </c>
      <c r="AO99" s="122"/>
    </row>
    <row r="100">
      <c r="A100" s="112">
        <v>1.0</v>
      </c>
      <c r="B100" s="92" t="s">
        <v>2095</v>
      </c>
      <c r="C100" s="93" t="s">
        <v>2096</v>
      </c>
      <c r="D100" s="61" t="s">
        <v>2097</v>
      </c>
      <c r="E100" s="112">
        <v>1.0</v>
      </c>
      <c r="F100" s="92" t="s">
        <v>2098</v>
      </c>
      <c r="G100" s="93" t="s">
        <v>2099</v>
      </c>
      <c r="H100" s="61" t="s">
        <v>2100</v>
      </c>
      <c r="I100" s="112">
        <v>1.0</v>
      </c>
      <c r="J100" s="92" t="s">
        <v>2101</v>
      </c>
      <c r="K100" s="93" t="s">
        <v>2102</v>
      </c>
      <c r="L100" s="61" t="s">
        <v>2103</v>
      </c>
      <c r="M100" s="112">
        <v>1.0</v>
      </c>
      <c r="N100" s="92" t="str">
        <f>IFERROR(__xludf.DUMMYFUNCTION("GOOGLETRANSLATE(B100,""zh-tw"",""zh"")"),"气息消除-3")</f>
        <v>气息消除-3</v>
      </c>
      <c r="O100" s="93" t="str">
        <f>IFERROR(__xludf.DUMMYFUNCTION("GOOGLETRANSLATE(C100,""zh-tw"",""zh"")"),"夜袭相关选项")</f>
        <v>夜袭相关选项</v>
      </c>
      <c r="P100" s="61" t="str">
        <f>IFERROR(__xludf.DUMMYFUNCTION("GOOGLETRANSLATE(D100,""zh-tw"",""zh"")"),"未实装
待夜袭场景重制")</f>
        <v>未实装
待夜袭场景重制</v>
      </c>
      <c r="Q100" s="113">
        <v>1.0</v>
      </c>
      <c r="R100" s="101" t="s">
        <v>2104</v>
      </c>
      <c r="S100" s="98" t="s">
        <v>2105</v>
      </c>
      <c r="T100" s="59" t="s">
        <v>2106</v>
      </c>
      <c r="U100" s="113">
        <v>1.0</v>
      </c>
      <c r="V100" s="92" t="str">
        <f>IFERROR(__xludf.DUMMYFUNCTION("GOOGLETRANSLATE(B100,""zh-tw"",""KO"")"),"냄새 제거 -3")</f>
        <v>냄새 제거 -3</v>
      </c>
      <c r="W100" s="93"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3">
        <v>1.0</v>
      </c>
      <c r="Z100" s="104" t="str">
        <f>IFERROR(__xludf.DUMMYFUNCTION("IF(J100="""", """", GOOGLETRANSLATE(
J100,""en"",""ru""))"),"Сокрытие дыхания-3")</f>
        <v>Сокрытие дыхания-3</v>
      </c>
      <c r="AA100" s="105"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3">
        <v>1.0</v>
      </c>
      <c r="AD100" s="92" t="s">
        <v>2107</v>
      </c>
      <c r="AE100" s="93" t="s">
        <v>2108</v>
      </c>
      <c r="AF100" s="61" t="s">
        <v>1015</v>
      </c>
      <c r="AG100" s="112">
        <v>1.0</v>
      </c>
      <c r="AH100" s="92" t="s">
        <v>2109</v>
      </c>
      <c r="AI100" s="93" t="s">
        <v>2110</v>
      </c>
      <c r="AJ100" s="59" t="s">
        <v>2111</v>
      </c>
      <c r="AK100" s="112">
        <v>1.0</v>
      </c>
      <c r="AL100" s="115" t="s">
        <v>2112</v>
      </c>
      <c r="AM100" s="116" t="s">
        <v>2113</v>
      </c>
      <c r="AN100" s="117"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8"/>
      <c r="AH101" s="118"/>
      <c r="AI101" s="118"/>
      <c r="AJ101" s="118"/>
      <c r="AK101" s="118"/>
      <c r="AL101" s="118"/>
      <c r="AM101" s="118"/>
      <c r="AN101" s="118"/>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8"/>
      <c r="AH102" s="118"/>
      <c r="AI102" s="118"/>
      <c r="AJ102" s="118"/>
      <c r="AK102" s="118"/>
      <c r="AL102" s="118"/>
      <c r="AM102" s="118"/>
      <c r="AN102" s="118"/>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8"/>
      <c r="AH103" s="118"/>
      <c r="AI103" s="118"/>
      <c r="AJ103" s="118"/>
      <c r="AK103" s="118"/>
      <c r="AL103" s="118"/>
      <c r="AM103" s="118"/>
      <c r="AN103" s="118"/>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8"/>
      <c r="AH104" s="118"/>
      <c r="AI104" s="118"/>
      <c r="AJ104" s="118"/>
      <c r="AK104" s="118"/>
      <c r="AL104" s="118"/>
      <c r="AM104" s="118"/>
      <c r="AN104" s="118"/>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8"/>
      <c r="AH105" s="118"/>
      <c r="AI105" s="118"/>
      <c r="AJ105" s="118"/>
      <c r="AK105" s="118"/>
      <c r="AL105" s="118"/>
      <c r="AM105" s="118"/>
      <c r="AN105" s="118"/>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8"/>
      <c r="AH106" s="118"/>
      <c r="AI106" s="118"/>
      <c r="AJ106" s="118"/>
      <c r="AK106" s="118"/>
      <c r="AL106" s="118"/>
      <c r="AM106" s="118"/>
      <c r="AN106" s="118"/>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8"/>
      <c r="AH107" s="118"/>
      <c r="AI107" s="118"/>
      <c r="AJ107" s="118"/>
      <c r="AK107" s="118"/>
      <c r="AL107" s="118"/>
      <c r="AM107" s="118"/>
      <c r="AN107" s="118"/>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8"/>
      <c r="AH108" s="118"/>
      <c r="AI108" s="118"/>
      <c r="AJ108" s="118"/>
      <c r="AK108" s="118"/>
      <c r="AL108" s="118"/>
      <c r="AM108" s="118"/>
      <c r="AN108" s="118"/>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8"/>
      <c r="AH109" s="118"/>
      <c r="AI109" s="118"/>
      <c r="AJ109" s="118"/>
      <c r="AK109" s="118"/>
      <c r="AL109" s="118"/>
      <c r="AM109" s="118"/>
      <c r="AN109" s="118"/>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8"/>
      <c r="AH110" s="118"/>
      <c r="AI110" s="118"/>
      <c r="AJ110" s="118"/>
      <c r="AK110" s="118"/>
      <c r="AL110" s="118"/>
      <c r="AM110" s="118"/>
      <c r="AN110" s="118"/>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8"/>
      <c r="AH111" s="118"/>
      <c r="AI111" s="118"/>
      <c r="AJ111" s="118"/>
      <c r="AK111" s="118"/>
      <c r="AL111" s="118"/>
      <c r="AM111" s="118"/>
      <c r="AN111" s="118"/>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8"/>
      <c r="AH112" s="118"/>
      <c r="AI112" s="118"/>
      <c r="AJ112" s="118"/>
      <c r="AK112" s="118"/>
      <c r="AL112" s="118"/>
      <c r="AM112" s="118"/>
      <c r="AN112" s="118"/>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8"/>
      <c r="AH113" s="118"/>
      <c r="AI113" s="118"/>
      <c r="AJ113" s="118"/>
      <c r="AK113" s="118"/>
      <c r="AL113" s="118"/>
      <c r="AM113" s="118"/>
      <c r="AN113" s="118"/>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8"/>
      <c r="AH114" s="118"/>
      <c r="AI114" s="118"/>
      <c r="AJ114" s="118"/>
      <c r="AK114" s="118"/>
      <c r="AL114" s="118"/>
      <c r="AM114" s="118"/>
      <c r="AN114" s="118"/>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8"/>
      <c r="AH115" s="118"/>
      <c r="AI115" s="118"/>
      <c r="AJ115" s="118"/>
      <c r="AK115" s="118"/>
      <c r="AL115" s="118"/>
      <c r="AM115" s="118"/>
      <c r="AN115" s="118"/>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8"/>
      <c r="AH116" s="118"/>
      <c r="AI116" s="118"/>
      <c r="AJ116" s="118"/>
      <c r="AK116" s="118"/>
      <c r="AL116" s="118"/>
      <c r="AM116" s="118"/>
      <c r="AN116" s="118"/>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8"/>
      <c r="AH117" s="118"/>
      <c r="AI117" s="118"/>
      <c r="AJ117" s="118"/>
      <c r="AK117" s="118"/>
      <c r="AL117" s="118"/>
      <c r="AM117" s="118"/>
      <c r="AN117" s="118"/>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8"/>
      <c r="AH118" s="118"/>
      <c r="AI118" s="118"/>
      <c r="AJ118" s="118"/>
      <c r="AK118" s="118"/>
      <c r="AL118" s="118"/>
      <c r="AM118" s="118"/>
      <c r="AN118" s="118"/>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8"/>
      <c r="AH119" s="118"/>
      <c r="AI119" s="118"/>
      <c r="AJ119" s="118"/>
      <c r="AK119" s="118"/>
      <c r="AL119" s="118"/>
      <c r="AM119" s="118"/>
      <c r="AN119" s="118"/>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8"/>
      <c r="AH120" s="118"/>
      <c r="AI120" s="118"/>
      <c r="AJ120" s="118"/>
      <c r="AK120" s="118"/>
      <c r="AL120" s="118"/>
      <c r="AM120" s="118"/>
      <c r="AN120" s="118"/>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8"/>
      <c r="AH121" s="118"/>
      <c r="AI121" s="118"/>
      <c r="AJ121" s="118"/>
      <c r="AK121" s="118"/>
      <c r="AL121" s="118"/>
      <c r="AM121" s="118"/>
      <c r="AN121" s="118"/>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8"/>
      <c r="AH122" s="118"/>
      <c r="AI122" s="118"/>
      <c r="AJ122" s="118"/>
      <c r="AK122" s="118"/>
      <c r="AL122" s="118"/>
      <c r="AM122" s="118"/>
      <c r="AN122" s="118"/>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8"/>
      <c r="AH123" s="118"/>
      <c r="AI123" s="118"/>
      <c r="AJ123" s="118"/>
      <c r="AK123" s="118"/>
      <c r="AL123" s="118"/>
      <c r="AM123" s="118"/>
      <c r="AN123" s="118"/>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8"/>
      <c r="AH124" s="118"/>
      <c r="AI124" s="118"/>
      <c r="AJ124" s="118"/>
      <c r="AK124" s="118"/>
      <c r="AL124" s="118"/>
      <c r="AM124" s="118"/>
      <c r="AN124" s="118"/>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8"/>
      <c r="AH125" s="118"/>
      <c r="AI125" s="118"/>
      <c r="AJ125" s="118"/>
      <c r="AK125" s="118"/>
      <c r="AL125" s="118"/>
      <c r="AM125" s="118"/>
      <c r="AN125" s="118"/>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8"/>
      <c r="AH126" s="118"/>
      <c r="AI126" s="118"/>
      <c r="AJ126" s="118"/>
      <c r="AK126" s="118"/>
      <c r="AL126" s="118"/>
      <c r="AM126" s="118"/>
      <c r="AN126" s="118"/>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8"/>
      <c r="AH127" s="118"/>
      <c r="AI127" s="118"/>
      <c r="AJ127" s="118"/>
      <c r="AK127" s="118"/>
      <c r="AL127" s="118"/>
      <c r="AM127" s="118"/>
      <c r="AN127" s="118"/>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8"/>
      <c r="AH128" s="118"/>
      <c r="AI128" s="118"/>
      <c r="AJ128" s="118"/>
      <c r="AK128" s="118"/>
      <c r="AL128" s="118"/>
      <c r="AM128" s="118"/>
      <c r="AN128" s="118"/>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8"/>
      <c r="AH129" s="118"/>
      <c r="AI129" s="118"/>
      <c r="AJ129" s="118"/>
      <c r="AK129" s="118"/>
      <c r="AL129" s="118"/>
      <c r="AM129" s="118"/>
      <c r="AN129" s="118"/>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8"/>
      <c r="AH130" s="118"/>
      <c r="AI130" s="118"/>
      <c r="AJ130" s="118"/>
      <c r="AK130" s="118"/>
      <c r="AL130" s="118"/>
      <c r="AM130" s="118"/>
      <c r="AN130" s="118"/>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8"/>
      <c r="AH131" s="118"/>
      <c r="AI131" s="118"/>
      <c r="AJ131" s="118"/>
      <c r="AK131" s="118"/>
      <c r="AL131" s="118"/>
      <c r="AM131" s="118"/>
      <c r="AN131" s="118"/>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8"/>
      <c r="AH132" s="118"/>
      <c r="AI132" s="118"/>
      <c r="AJ132" s="118"/>
      <c r="AK132" s="118"/>
      <c r="AL132" s="118"/>
      <c r="AM132" s="118"/>
      <c r="AN132" s="118"/>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8"/>
      <c r="AH133" s="118"/>
      <c r="AI133" s="118"/>
      <c r="AJ133" s="118"/>
      <c r="AK133" s="118"/>
      <c r="AL133" s="118"/>
      <c r="AM133" s="118"/>
      <c r="AN133" s="118"/>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8"/>
      <c r="AH134" s="118"/>
      <c r="AI134" s="118"/>
      <c r="AJ134" s="118"/>
      <c r="AK134" s="118"/>
      <c r="AL134" s="118"/>
      <c r="AM134" s="118"/>
      <c r="AN134" s="118"/>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8"/>
      <c r="AH135" s="118"/>
      <c r="AI135" s="118"/>
      <c r="AJ135" s="118"/>
      <c r="AK135" s="118"/>
      <c r="AL135" s="118"/>
      <c r="AM135" s="118"/>
      <c r="AN135" s="118"/>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8"/>
      <c r="AH136" s="118"/>
      <c r="AI136" s="118"/>
      <c r="AJ136" s="118"/>
      <c r="AK136" s="118"/>
      <c r="AL136" s="118"/>
      <c r="AM136" s="118"/>
      <c r="AN136" s="118"/>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8"/>
      <c r="AH137" s="118"/>
      <c r="AI137" s="118"/>
      <c r="AJ137" s="118"/>
      <c r="AK137" s="118"/>
      <c r="AL137" s="118"/>
      <c r="AM137" s="118"/>
      <c r="AN137" s="118"/>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8"/>
      <c r="AH138" s="118"/>
      <c r="AI138" s="118"/>
      <c r="AJ138" s="118"/>
      <c r="AK138" s="118"/>
      <c r="AL138" s="118"/>
      <c r="AM138" s="118"/>
      <c r="AN138" s="118"/>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8"/>
      <c r="AH139" s="118"/>
      <c r="AI139" s="118"/>
      <c r="AJ139" s="118"/>
      <c r="AK139" s="118"/>
      <c r="AL139" s="118"/>
      <c r="AM139" s="118"/>
      <c r="AN139" s="118"/>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8"/>
      <c r="AH140" s="118"/>
      <c r="AI140" s="118"/>
      <c r="AJ140" s="118"/>
      <c r="AK140" s="118"/>
      <c r="AL140" s="118"/>
      <c r="AM140" s="118"/>
      <c r="AN140" s="118"/>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8"/>
      <c r="AH141" s="118"/>
      <c r="AI141" s="118"/>
      <c r="AJ141" s="118"/>
      <c r="AK141" s="118"/>
      <c r="AL141" s="118"/>
      <c r="AM141" s="118"/>
      <c r="AN141" s="118"/>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8"/>
      <c r="AH142" s="118"/>
      <c r="AI142" s="118"/>
      <c r="AJ142" s="118"/>
      <c r="AK142" s="118"/>
      <c r="AL142" s="118"/>
      <c r="AM142" s="118"/>
      <c r="AN142" s="118"/>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8"/>
      <c r="AH143" s="118"/>
      <c r="AI143" s="118"/>
      <c r="AJ143" s="118"/>
      <c r="AK143" s="118"/>
      <c r="AL143" s="118"/>
      <c r="AM143" s="118"/>
      <c r="AN143" s="118"/>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8"/>
      <c r="AH144" s="118"/>
      <c r="AI144" s="118"/>
      <c r="AJ144" s="118"/>
      <c r="AK144" s="118"/>
      <c r="AL144" s="118"/>
      <c r="AM144" s="118"/>
      <c r="AN144" s="118"/>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8"/>
      <c r="AH145" s="118"/>
      <c r="AI145" s="118"/>
      <c r="AJ145" s="118"/>
      <c r="AK145" s="118"/>
      <c r="AL145" s="118"/>
      <c r="AM145" s="118"/>
      <c r="AN145" s="118"/>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8"/>
      <c r="AH146" s="118"/>
      <c r="AI146" s="118"/>
      <c r="AJ146" s="118"/>
      <c r="AK146" s="118"/>
      <c r="AL146" s="118"/>
      <c r="AM146" s="118"/>
      <c r="AN146" s="118"/>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8"/>
      <c r="AH147" s="118"/>
      <c r="AI147" s="118"/>
      <c r="AJ147" s="118"/>
      <c r="AK147" s="118"/>
      <c r="AL147" s="118"/>
      <c r="AM147" s="118"/>
      <c r="AN147" s="118"/>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8"/>
      <c r="AH148" s="118"/>
      <c r="AI148" s="118"/>
      <c r="AJ148" s="118"/>
      <c r="AK148" s="118"/>
      <c r="AL148" s="118"/>
      <c r="AM148" s="118"/>
      <c r="AN148" s="118"/>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8"/>
      <c r="AH149" s="118"/>
      <c r="AI149" s="118"/>
      <c r="AJ149" s="118"/>
      <c r="AK149" s="118"/>
      <c r="AL149" s="118"/>
      <c r="AM149" s="118"/>
      <c r="AN149" s="118"/>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8"/>
      <c r="AH150" s="118"/>
      <c r="AI150" s="118"/>
      <c r="AJ150" s="118"/>
      <c r="AK150" s="118"/>
      <c r="AL150" s="118"/>
      <c r="AM150" s="118"/>
      <c r="AN150" s="118"/>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8"/>
      <c r="AH151" s="118"/>
      <c r="AI151" s="118"/>
      <c r="AJ151" s="118"/>
      <c r="AK151" s="118"/>
      <c r="AL151" s="118"/>
      <c r="AM151" s="118"/>
      <c r="AN151" s="118"/>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8"/>
      <c r="AH152" s="118"/>
      <c r="AI152" s="118"/>
      <c r="AJ152" s="118"/>
      <c r="AK152" s="118"/>
      <c r="AL152" s="118"/>
      <c r="AM152" s="118"/>
      <c r="AN152" s="118"/>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8"/>
      <c r="AH153" s="118"/>
      <c r="AI153" s="118"/>
      <c r="AJ153" s="118"/>
      <c r="AK153" s="118"/>
      <c r="AL153" s="118"/>
      <c r="AM153" s="118"/>
      <c r="AN153" s="118"/>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8"/>
      <c r="AH154" s="118"/>
      <c r="AI154" s="118"/>
      <c r="AJ154" s="118"/>
      <c r="AK154" s="118"/>
      <c r="AL154" s="118"/>
      <c r="AM154" s="118"/>
      <c r="AN154" s="118"/>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8"/>
      <c r="AH155" s="118"/>
      <c r="AI155" s="118"/>
      <c r="AJ155" s="118"/>
      <c r="AK155" s="118"/>
      <c r="AL155" s="118"/>
      <c r="AM155" s="118"/>
      <c r="AN155" s="118"/>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8"/>
      <c r="AH156" s="118"/>
      <c r="AI156" s="118"/>
      <c r="AJ156" s="118"/>
      <c r="AK156" s="118"/>
      <c r="AL156" s="118"/>
      <c r="AM156" s="118"/>
      <c r="AN156" s="118"/>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8"/>
      <c r="AH157" s="118"/>
      <c r="AI157" s="118"/>
      <c r="AJ157" s="118"/>
      <c r="AK157" s="118"/>
      <c r="AL157" s="118"/>
      <c r="AM157" s="118"/>
      <c r="AN157" s="118"/>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8"/>
      <c r="AH158" s="118"/>
      <c r="AI158" s="118"/>
      <c r="AJ158" s="118"/>
      <c r="AK158" s="118"/>
      <c r="AL158" s="118"/>
      <c r="AM158" s="118"/>
      <c r="AN158" s="118"/>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8"/>
      <c r="AH159" s="118"/>
      <c r="AI159" s="118"/>
      <c r="AJ159" s="118"/>
      <c r="AK159" s="118"/>
      <c r="AL159" s="118"/>
      <c r="AM159" s="118"/>
      <c r="AN159" s="118"/>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8"/>
      <c r="AH160" s="118"/>
      <c r="AI160" s="118"/>
      <c r="AJ160" s="118"/>
      <c r="AK160" s="118"/>
      <c r="AL160" s="118"/>
      <c r="AM160" s="118"/>
      <c r="AN160" s="118"/>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8"/>
      <c r="AH161" s="118"/>
      <c r="AI161" s="118"/>
      <c r="AJ161" s="118"/>
      <c r="AK161" s="118"/>
      <c r="AL161" s="118"/>
      <c r="AM161" s="118"/>
      <c r="AN161" s="118"/>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8"/>
      <c r="AH162" s="118"/>
      <c r="AI162" s="118"/>
      <c r="AJ162" s="118"/>
      <c r="AK162" s="118"/>
      <c r="AL162" s="118"/>
      <c r="AM162" s="118"/>
      <c r="AN162" s="118"/>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8"/>
      <c r="AH163" s="118"/>
      <c r="AI163" s="118"/>
      <c r="AJ163" s="118"/>
      <c r="AK163" s="118"/>
      <c r="AL163" s="118"/>
      <c r="AM163" s="118"/>
      <c r="AN163" s="118"/>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8"/>
      <c r="AH164" s="118"/>
      <c r="AI164" s="118"/>
      <c r="AJ164" s="118"/>
      <c r="AK164" s="118"/>
      <c r="AL164" s="118"/>
      <c r="AM164" s="118"/>
      <c r="AN164" s="118"/>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8"/>
      <c r="AH165" s="118"/>
      <c r="AI165" s="118"/>
      <c r="AJ165" s="118"/>
      <c r="AK165" s="118"/>
      <c r="AL165" s="118"/>
      <c r="AM165" s="118"/>
      <c r="AN165" s="118"/>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8"/>
      <c r="AH166" s="118"/>
      <c r="AI166" s="118"/>
      <c r="AJ166" s="118"/>
      <c r="AK166" s="118"/>
      <c r="AL166" s="118"/>
      <c r="AM166" s="118"/>
      <c r="AN166" s="118"/>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8"/>
      <c r="AH167" s="118"/>
      <c r="AI167" s="118"/>
      <c r="AJ167" s="118"/>
      <c r="AK167" s="118"/>
      <c r="AL167" s="118"/>
      <c r="AM167" s="118"/>
      <c r="AN167" s="118"/>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8"/>
      <c r="AH168" s="118"/>
      <c r="AI168" s="118"/>
      <c r="AJ168" s="118"/>
      <c r="AK168" s="118"/>
      <c r="AL168" s="118"/>
      <c r="AM168" s="118"/>
      <c r="AN168" s="118"/>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8"/>
      <c r="AH169" s="118"/>
      <c r="AI169" s="118"/>
      <c r="AJ169" s="118"/>
      <c r="AK169" s="118"/>
      <c r="AL169" s="118"/>
      <c r="AM169" s="118"/>
      <c r="AN169" s="118"/>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8"/>
      <c r="AH170" s="118"/>
      <c r="AI170" s="118"/>
      <c r="AJ170" s="118"/>
      <c r="AK170" s="118"/>
      <c r="AL170" s="118"/>
      <c r="AM170" s="118"/>
      <c r="AN170" s="118"/>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8"/>
      <c r="AH171" s="118"/>
      <c r="AI171" s="118"/>
      <c r="AJ171" s="118"/>
      <c r="AK171" s="118"/>
      <c r="AL171" s="118"/>
      <c r="AM171" s="118"/>
      <c r="AN171" s="118"/>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8"/>
      <c r="AH172" s="118"/>
      <c r="AI172" s="118"/>
      <c r="AJ172" s="118"/>
      <c r="AK172" s="118"/>
      <c r="AL172" s="118"/>
      <c r="AM172" s="118"/>
      <c r="AN172" s="118"/>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8"/>
      <c r="AH173" s="118"/>
      <c r="AI173" s="118"/>
      <c r="AJ173" s="118"/>
      <c r="AK173" s="118"/>
      <c r="AL173" s="118"/>
      <c r="AM173" s="118"/>
      <c r="AN173" s="118"/>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8"/>
      <c r="AH174" s="118"/>
      <c r="AI174" s="118"/>
      <c r="AJ174" s="118"/>
      <c r="AK174" s="118"/>
      <c r="AL174" s="118"/>
      <c r="AM174" s="118"/>
      <c r="AN174" s="118"/>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8"/>
      <c r="AH175" s="118"/>
      <c r="AI175" s="118"/>
      <c r="AJ175" s="118"/>
      <c r="AK175" s="118"/>
      <c r="AL175" s="118"/>
      <c r="AM175" s="118"/>
      <c r="AN175" s="118"/>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8"/>
      <c r="AH176" s="118"/>
      <c r="AI176" s="118"/>
      <c r="AJ176" s="118"/>
      <c r="AK176" s="118"/>
      <c r="AL176" s="118"/>
      <c r="AM176" s="118"/>
      <c r="AN176" s="118"/>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8"/>
      <c r="AH177" s="118"/>
      <c r="AI177" s="118"/>
      <c r="AJ177" s="118"/>
      <c r="AK177" s="118"/>
      <c r="AL177" s="118"/>
      <c r="AM177" s="118"/>
      <c r="AN177" s="118"/>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8"/>
      <c r="AH178" s="118"/>
      <c r="AI178" s="118"/>
      <c r="AJ178" s="118"/>
      <c r="AK178" s="118"/>
      <c r="AL178" s="118"/>
      <c r="AM178" s="118"/>
      <c r="AN178" s="118"/>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8"/>
      <c r="AH179" s="118"/>
      <c r="AI179" s="118"/>
      <c r="AJ179" s="118"/>
      <c r="AK179" s="118"/>
      <c r="AL179" s="118"/>
      <c r="AM179" s="118"/>
      <c r="AN179" s="118"/>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8"/>
      <c r="AH180" s="118"/>
      <c r="AI180" s="118"/>
      <c r="AJ180" s="118"/>
      <c r="AK180" s="118"/>
      <c r="AL180" s="118"/>
      <c r="AM180" s="118"/>
      <c r="AN180" s="118"/>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8"/>
      <c r="AH181" s="118"/>
      <c r="AI181" s="118"/>
      <c r="AJ181" s="118"/>
      <c r="AK181" s="118"/>
      <c r="AL181" s="118"/>
      <c r="AM181" s="118"/>
      <c r="AN181" s="118"/>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8"/>
      <c r="AH182" s="118"/>
      <c r="AI182" s="118"/>
      <c r="AJ182" s="118"/>
      <c r="AK182" s="118"/>
      <c r="AL182" s="118"/>
      <c r="AM182" s="118"/>
      <c r="AN182" s="118"/>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8"/>
      <c r="AH183" s="118"/>
      <c r="AI183" s="118"/>
      <c r="AJ183" s="118"/>
      <c r="AK183" s="118"/>
      <c r="AL183" s="118"/>
      <c r="AM183" s="118"/>
      <c r="AN183" s="118"/>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8"/>
      <c r="AH184" s="118"/>
      <c r="AI184" s="118"/>
      <c r="AJ184" s="118"/>
      <c r="AK184" s="118"/>
      <c r="AL184" s="118"/>
      <c r="AM184" s="118"/>
      <c r="AN184" s="118"/>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8"/>
      <c r="AH185" s="118"/>
      <c r="AI185" s="118"/>
      <c r="AJ185" s="118"/>
      <c r="AK185" s="118"/>
      <c r="AL185" s="118"/>
      <c r="AM185" s="118"/>
      <c r="AN185" s="118"/>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8"/>
      <c r="AH186" s="118"/>
      <c r="AI186" s="118"/>
      <c r="AJ186" s="118"/>
      <c r="AK186" s="118"/>
      <c r="AL186" s="118"/>
      <c r="AM186" s="118"/>
      <c r="AN186" s="118"/>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8"/>
      <c r="AH187" s="118"/>
      <c r="AI187" s="118"/>
      <c r="AJ187" s="118"/>
      <c r="AK187" s="118"/>
      <c r="AL187" s="118"/>
      <c r="AM187" s="118"/>
      <c r="AN187" s="118"/>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8"/>
      <c r="AH188" s="118"/>
      <c r="AI188" s="118"/>
      <c r="AJ188" s="118"/>
      <c r="AK188" s="118"/>
      <c r="AL188" s="118"/>
      <c r="AM188" s="118"/>
      <c r="AN188" s="118"/>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8"/>
      <c r="AH189" s="118"/>
      <c r="AI189" s="118"/>
      <c r="AJ189" s="118"/>
      <c r="AK189" s="118"/>
      <c r="AL189" s="118"/>
      <c r="AM189" s="118"/>
      <c r="AN189" s="118"/>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8"/>
      <c r="AH190" s="118"/>
      <c r="AI190" s="118"/>
      <c r="AJ190" s="118"/>
      <c r="AK190" s="118"/>
      <c r="AL190" s="118"/>
      <c r="AM190" s="118"/>
      <c r="AN190" s="118"/>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8"/>
      <c r="AH191" s="118"/>
      <c r="AI191" s="118"/>
      <c r="AJ191" s="118"/>
      <c r="AK191" s="118"/>
      <c r="AL191" s="118"/>
      <c r="AM191" s="118"/>
      <c r="AN191" s="118"/>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8"/>
      <c r="AH192" s="118"/>
      <c r="AI192" s="118"/>
      <c r="AJ192" s="118"/>
      <c r="AK192" s="118"/>
      <c r="AL192" s="118"/>
      <c r="AM192" s="118"/>
      <c r="AN192" s="118"/>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8"/>
      <c r="AH193" s="118"/>
      <c r="AI193" s="118"/>
      <c r="AJ193" s="118"/>
      <c r="AK193" s="118"/>
      <c r="AL193" s="118"/>
      <c r="AM193" s="118"/>
      <c r="AN193" s="118"/>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8"/>
      <c r="AH194" s="118"/>
      <c r="AI194" s="118"/>
      <c r="AJ194" s="118"/>
      <c r="AK194" s="118"/>
      <c r="AL194" s="118"/>
      <c r="AM194" s="118"/>
      <c r="AN194" s="118"/>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8"/>
      <c r="AH195" s="118"/>
      <c r="AI195" s="118"/>
      <c r="AJ195" s="118"/>
      <c r="AK195" s="118"/>
      <c r="AL195" s="118"/>
      <c r="AM195" s="118"/>
      <c r="AN195" s="118"/>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8"/>
      <c r="AH196" s="118"/>
      <c r="AI196" s="118"/>
      <c r="AJ196" s="118"/>
      <c r="AK196" s="118"/>
      <c r="AL196" s="118"/>
      <c r="AM196" s="118"/>
      <c r="AN196" s="118"/>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8"/>
      <c r="AH197" s="118"/>
      <c r="AI197" s="118"/>
      <c r="AJ197" s="118"/>
      <c r="AK197" s="118"/>
      <c r="AL197" s="118"/>
      <c r="AM197" s="118"/>
      <c r="AN197" s="118"/>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8"/>
      <c r="AH198" s="118"/>
      <c r="AI198" s="118"/>
      <c r="AJ198" s="118"/>
      <c r="AK198" s="118"/>
      <c r="AL198" s="118"/>
      <c r="AM198" s="118"/>
      <c r="AN198" s="118"/>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8"/>
      <c r="AH199" s="118"/>
      <c r="AI199" s="118"/>
      <c r="AJ199" s="118"/>
      <c r="AK199" s="118"/>
      <c r="AL199" s="118"/>
      <c r="AM199" s="118"/>
      <c r="AN199" s="118"/>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8"/>
      <c r="AH200" s="118"/>
      <c r="AI200" s="118"/>
      <c r="AJ200" s="118"/>
      <c r="AK200" s="118"/>
      <c r="AL200" s="118"/>
      <c r="AM200" s="118"/>
      <c r="AN200" s="118"/>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8"/>
      <c r="AH201" s="118"/>
      <c r="AI201" s="118"/>
      <c r="AJ201" s="118"/>
      <c r="AK201" s="118"/>
      <c r="AL201" s="118"/>
      <c r="AM201" s="118"/>
      <c r="AN201" s="118"/>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8"/>
      <c r="AH202" s="118"/>
      <c r="AI202" s="118"/>
      <c r="AJ202" s="118"/>
      <c r="AK202" s="118"/>
      <c r="AL202" s="118"/>
      <c r="AM202" s="118"/>
      <c r="AN202" s="118"/>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8"/>
      <c r="AH203" s="118"/>
      <c r="AI203" s="118"/>
      <c r="AJ203" s="118"/>
      <c r="AK203" s="118"/>
      <c r="AL203" s="118"/>
      <c r="AM203" s="118"/>
      <c r="AN203" s="118"/>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8"/>
      <c r="AH204" s="118"/>
      <c r="AI204" s="118"/>
      <c r="AJ204" s="118"/>
      <c r="AK204" s="118"/>
      <c r="AL204" s="118"/>
      <c r="AM204" s="118"/>
      <c r="AN204" s="118"/>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8"/>
      <c r="AH205" s="118"/>
      <c r="AI205" s="118"/>
      <c r="AJ205" s="118"/>
      <c r="AK205" s="118"/>
      <c r="AL205" s="118"/>
      <c r="AM205" s="118"/>
      <c r="AN205" s="118"/>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8"/>
      <c r="AH206" s="118"/>
      <c r="AI206" s="118"/>
      <c r="AJ206" s="118"/>
      <c r="AK206" s="118"/>
      <c r="AL206" s="118"/>
      <c r="AM206" s="118"/>
      <c r="AN206" s="118"/>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8"/>
      <c r="AH207" s="118"/>
      <c r="AI207" s="118"/>
      <c r="AJ207" s="118"/>
      <c r="AK207" s="118"/>
      <c r="AL207" s="118"/>
      <c r="AM207" s="118"/>
      <c r="AN207" s="118"/>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8"/>
      <c r="AH208" s="118"/>
      <c r="AI208" s="118"/>
      <c r="AJ208" s="118"/>
      <c r="AK208" s="118"/>
      <c r="AL208" s="118"/>
      <c r="AM208" s="118"/>
      <c r="AN208" s="118"/>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8"/>
      <c r="AH209" s="118"/>
      <c r="AI209" s="118"/>
      <c r="AJ209" s="118"/>
      <c r="AK209" s="118"/>
      <c r="AL209" s="118"/>
      <c r="AM209" s="118"/>
      <c r="AN209" s="118"/>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8"/>
      <c r="AH210" s="118"/>
      <c r="AI210" s="118"/>
      <c r="AJ210" s="118"/>
      <c r="AK210" s="118"/>
      <c r="AL210" s="118"/>
      <c r="AM210" s="118"/>
      <c r="AN210" s="118"/>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8"/>
      <c r="AH211" s="118"/>
      <c r="AI211" s="118"/>
      <c r="AJ211" s="118"/>
      <c r="AK211" s="118"/>
      <c r="AL211" s="118"/>
      <c r="AM211" s="118"/>
      <c r="AN211" s="118"/>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8"/>
      <c r="AH212" s="118"/>
      <c r="AI212" s="118"/>
      <c r="AJ212" s="118"/>
      <c r="AK212" s="118"/>
      <c r="AL212" s="118"/>
      <c r="AM212" s="118"/>
      <c r="AN212" s="118"/>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8"/>
      <c r="AH213" s="118"/>
      <c r="AI213" s="118"/>
      <c r="AJ213" s="118"/>
      <c r="AK213" s="118"/>
      <c r="AL213" s="118"/>
      <c r="AM213" s="118"/>
      <c r="AN213" s="118"/>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8"/>
      <c r="AH214" s="118"/>
      <c r="AI214" s="118"/>
      <c r="AJ214" s="118"/>
      <c r="AK214" s="118"/>
      <c r="AL214" s="118"/>
      <c r="AM214" s="118"/>
      <c r="AN214" s="118"/>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8"/>
      <c r="AH215" s="118"/>
      <c r="AI215" s="118"/>
      <c r="AJ215" s="118"/>
      <c r="AK215" s="118"/>
      <c r="AL215" s="118"/>
      <c r="AM215" s="118"/>
      <c r="AN215" s="118"/>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8"/>
      <c r="AH216" s="118"/>
      <c r="AI216" s="118"/>
      <c r="AJ216" s="118"/>
      <c r="AK216" s="118"/>
      <c r="AL216" s="118"/>
      <c r="AM216" s="118"/>
      <c r="AN216" s="118"/>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8"/>
      <c r="AH217" s="118"/>
      <c r="AI217" s="118"/>
      <c r="AJ217" s="118"/>
      <c r="AK217" s="118"/>
      <c r="AL217" s="118"/>
      <c r="AM217" s="118"/>
      <c r="AN217" s="118"/>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8"/>
      <c r="AH218" s="118"/>
      <c r="AI218" s="118"/>
      <c r="AJ218" s="118"/>
      <c r="AK218" s="118"/>
      <c r="AL218" s="118"/>
      <c r="AM218" s="118"/>
      <c r="AN218" s="118"/>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8"/>
      <c r="AH219" s="118"/>
      <c r="AI219" s="118"/>
      <c r="AJ219" s="118"/>
      <c r="AK219" s="118"/>
      <c r="AL219" s="118"/>
      <c r="AM219" s="118"/>
      <c r="AN219" s="118"/>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8"/>
      <c r="AH220" s="118"/>
      <c r="AI220" s="118"/>
      <c r="AJ220" s="118"/>
      <c r="AK220" s="118"/>
      <c r="AL220" s="118"/>
      <c r="AM220" s="118"/>
      <c r="AN220" s="118"/>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8"/>
      <c r="AH221" s="118"/>
      <c r="AI221" s="118"/>
      <c r="AJ221" s="118"/>
      <c r="AK221" s="118"/>
      <c r="AL221" s="118"/>
      <c r="AM221" s="118"/>
      <c r="AN221" s="118"/>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8"/>
      <c r="AH222" s="118"/>
      <c r="AI222" s="118"/>
      <c r="AJ222" s="118"/>
      <c r="AK222" s="118"/>
      <c r="AL222" s="118"/>
      <c r="AM222" s="118"/>
      <c r="AN222" s="118"/>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8"/>
      <c r="AH223" s="118"/>
      <c r="AI223" s="118"/>
      <c r="AJ223" s="118"/>
      <c r="AK223" s="118"/>
      <c r="AL223" s="118"/>
      <c r="AM223" s="118"/>
      <c r="AN223" s="118"/>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8"/>
      <c r="AH224" s="118"/>
      <c r="AI224" s="118"/>
      <c r="AJ224" s="118"/>
      <c r="AK224" s="118"/>
      <c r="AL224" s="118"/>
      <c r="AM224" s="118"/>
      <c r="AN224" s="118"/>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8"/>
      <c r="AH225" s="118"/>
      <c r="AI225" s="118"/>
      <c r="AJ225" s="118"/>
      <c r="AK225" s="118"/>
      <c r="AL225" s="118"/>
      <c r="AM225" s="118"/>
      <c r="AN225" s="118"/>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8"/>
      <c r="AH226" s="118"/>
      <c r="AI226" s="118"/>
      <c r="AJ226" s="118"/>
      <c r="AK226" s="118"/>
      <c r="AL226" s="118"/>
      <c r="AM226" s="118"/>
      <c r="AN226" s="118"/>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8"/>
      <c r="AH227" s="118"/>
      <c r="AI227" s="118"/>
      <c r="AJ227" s="118"/>
      <c r="AK227" s="118"/>
      <c r="AL227" s="118"/>
      <c r="AM227" s="118"/>
      <c r="AN227" s="118"/>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8"/>
      <c r="AH228" s="118"/>
      <c r="AI228" s="118"/>
      <c r="AJ228" s="118"/>
      <c r="AK228" s="118"/>
      <c r="AL228" s="118"/>
      <c r="AM228" s="118"/>
      <c r="AN228" s="118"/>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8"/>
      <c r="AH229" s="118"/>
      <c r="AI229" s="118"/>
      <c r="AJ229" s="118"/>
      <c r="AK229" s="118"/>
      <c r="AL229" s="118"/>
      <c r="AM229" s="118"/>
      <c r="AN229" s="118"/>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8"/>
      <c r="AH230" s="118"/>
      <c r="AI230" s="118"/>
      <c r="AJ230" s="118"/>
      <c r="AK230" s="118"/>
      <c r="AL230" s="118"/>
      <c r="AM230" s="118"/>
      <c r="AN230" s="118"/>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8"/>
      <c r="AH231" s="118"/>
      <c r="AI231" s="118"/>
      <c r="AJ231" s="118"/>
      <c r="AK231" s="118"/>
      <c r="AL231" s="118"/>
      <c r="AM231" s="118"/>
      <c r="AN231" s="118"/>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8"/>
      <c r="AH232" s="118"/>
      <c r="AI232" s="118"/>
      <c r="AJ232" s="118"/>
      <c r="AK232" s="118"/>
      <c r="AL232" s="118"/>
      <c r="AM232" s="118"/>
      <c r="AN232" s="118"/>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8"/>
      <c r="AH233" s="118"/>
      <c r="AI233" s="118"/>
      <c r="AJ233" s="118"/>
      <c r="AK233" s="118"/>
      <c r="AL233" s="118"/>
      <c r="AM233" s="118"/>
      <c r="AN233" s="118"/>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8"/>
      <c r="AH234" s="118"/>
      <c r="AI234" s="118"/>
      <c r="AJ234" s="118"/>
      <c r="AK234" s="118"/>
      <c r="AL234" s="118"/>
      <c r="AM234" s="118"/>
      <c r="AN234" s="118"/>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8"/>
      <c r="AH235" s="118"/>
      <c r="AI235" s="118"/>
      <c r="AJ235" s="118"/>
      <c r="AK235" s="118"/>
      <c r="AL235" s="118"/>
      <c r="AM235" s="118"/>
      <c r="AN235" s="118"/>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8"/>
      <c r="AH236" s="118"/>
      <c r="AI236" s="118"/>
      <c r="AJ236" s="118"/>
      <c r="AK236" s="118"/>
      <c r="AL236" s="118"/>
      <c r="AM236" s="118"/>
      <c r="AN236" s="118"/>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8"/>
      <c r="AH237" s="118"/>
      <c r="AI237" s="118"/>
      <c r="AJ237" s="118"/>
      <c r="AK237" s="118"/>
      <c r="AL237" s="118"/>
      <c r="AM237" s="118"/>
      <c r="AN237" s="118"/>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8"/>
      <c r="AH238" s="118"/>
      <c r="AI238" s="118"/>
      <c r="AJ238" s="118"/>
      <c r="AK238" s="118"/>
      <c r="AL238" s="118"/>
      <c r="AM238" s="118"/>
      <c r="AN238" s="118"/>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8"/>
      <c r="AH239" s="118"/>
      <c r="AI239" s="118"/>
      <c r="AJ239" s="118"/>
      <c r="AK239" s="118"/>
      <c r="AL239" s="118"/>
      <c r="AM239" s="118"/>
      <c r="AN239" s="118"/>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8"/>
      <c r="AH240" s="118"/>
      <c r="AI240" s="118"/>
      <c r="AJ240" s="118"/>
      <c r="AK240" s="118"/>
      <c r="AL240" s="118"/>
      <c r="AM240" s="118"/>
      <c r="AN240" s="118"/>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8"/>
      <c r="AH241" s="118"/>
      <c r="AI241" s="118"/>
      <c r="AJ241" s="118"/>
      <c r="AK241" s="118"/>
      <c r="AL241" s="118"/>
      <c r="AM241" s="118"/>
      <c r="AN241" s="118"/>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8"/>
      <c r="AH242" s="118"/>
      <c r="AI242" s="118"/>
      <c r="AJ242" s="118"/>
      <c r="AK242" s="118"/>
      <c r="AL242" s="118"/>
      <c r="AM242" s="118"/>
      <c r="AN242" s="118"/>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8"/>
      <c r="AH243" s="118"/>
      <c r="AI243" s="118"/>
      <c r="AJ243" s="118"/>
      <c r="AK243" s="118"/>
      <c r="AL243" s="118"/>
      <c r="AM243" s="118"/>
      <c r="AN243" s="118"/>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8"/>
      <c r="AH244" s="118"/>
      <c r="AI244" s="118"/>
      <c r="AJ244" s="118"/>
      <c r="AK244" s="118"/>
      <c r="AL244" s="118"/>
      <c r="AM244" s="118"/>
      <c r="AN244" s="118"/>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8"/>
      <c r="AH245" s="118"/>
      <c r="AI245" s="118"/>
      <c r="AJ245" s="118"/>
      <c r="AK245" s="118"/>
      <c r="AL245" s="118"/>
      <c r="AM245" s="118"/>
      <c r="AN245" s="118"/>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8"/>
      <c r="AH246" s="118"/>
      <c r="AI246" s="118"/>
      <c r="AJ246" s="118"/>
      <c r="AK246" s="118"/>
      <c r="AL246" s="118"/>
      <c r="AM246" s="118"/>
      <c r="AN246" s="118"/>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8"/>
      <c r="AH247" s="118"/>
      <c r="AI247" s="118"/>
      <c r="AJ247" s="118"/>
      <c r="AK247" s="118"/>
      <c r="AL247" s="118"/>
      <c r="AM247" s="118"/>
      <c r="AN247" s="118"/>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8"/>
      <c r="AH248" s="118"/>
      <c r="AI248" s="118"/>
      <c r="AJ248" s="118"/>
      <c r="AK248" s="118"/>
      <c r="AL248" s="118"/>
      <c r="AM248" s="118"/>
      <c r="AN248" s="118"/>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8"/>
      <c r="AH249" s="118"/>
      <c r="AI249" s="118"/>
      <c r="AJ249" s="118"/>
      <c r="AK249" s="118"/>
      <c r="AL249" s="118"/>
      <c r="AM249" s="118"/>
      <c r="AN249" s="118"/>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8"/>
      <c r="AH250" s="118"/>
      <c r="AI250" s="118"/>
      <c r="AJ250" s="118"/>
      <c r="AK250" s="118"/>
      <c r="AL250" s="118"/>
      <c r="AM250" s="118"/>
      <c r="AN250" s="118"/>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8"/>
      <c r="AH251" s="118"/>
      <c r="AI251" s="118"/>
      <c r="AJ251" s="118"/>
      <c r="AK251" s="118"/>
      <c r="AL251" s="118"/>
      <c r="AM251" s="118"/>
      <c r="AN251" s="118"/>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8"/>
      <c r="AH252" s="118"/>
      <c r="AI252" s="118"/>
      <c r="AJ252" s="118"/>
      <c r="AK252" s="118"/>
      <c r="AL252" s="118"/>
      <c r="AM252" s="118"/>
      <c r="AN252" s="118"/>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8"/>
      <c r="AH253" s="118"/>
      <c r="AI253" s="118"/>
      <c r="AJ253" s="118"/>
      <c r="AK253" s="118"/>
      <c r="AL253" s="118"/>
      <c r="AM253" s="118"/>
      <c r="AN253" s="118"/>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8"/>
      <c r="AH254" s="118"/>
      <c r="AI254" s="118"/>
      <c r="AJ254" s="118"/>
      <c r="AK254" s="118"/>
      <c r="AL254" s="118"/>
      <c r="AM254" s="118"/>
      <c r="AN254" s="118"/>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8"/>
      <c r="AH255" s="118"/>
      <c r="AI255" s="118"/>
      <c r="AJ255" s="118"/>
      <c r="AK255" s="118"/>
      <c r="AL255" s="118"/>
      <c r="AM255" s="118"/>
      <c r="AN255" s="118"/>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8"/>
      <c r="AH256" s="118"/>
      <c r="AI256" s="118"/>
      <c r="AJ256" s="118"/>
      <c r="AK256" s="118"/>
      <c r="AL256" s="118"/>
      <c r="AM256" s="118"/>
      <c r="AN256" s="118"/>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8"/>
      <c r="AH257" s="118"/>
      <c r="AI257" s="118"/>
      <c r="AJ257" s="118"/>
      <c r="AK257" s="118"/>
      <c r="AL257" s="118"/>
      <c r="AM257" s="118"/>
      <c r="AN257" s="118"/>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8"/>
      <c r="AH258" s="118"/>
      <c r="AI258" s="118"/>
      <c r="AJ258" s="118"/>
      <c r="AK258" s="118"/>
      <c r="AL258" s="118"/>
      <c r="AM258" s="118"/>
      <c r="AN258" s="118"/>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8"/>
      <c r="AH259" s="118"/>
      <c r="AI259" s="118"/>
      <c r="AJ259" s="118"/>
      <c r="AK259" s="118"/>
      <c r="AL259" s="118"/>
      <c r="AM259" s="118"/>
      <c r="AN259" s="118"/>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8"/>
      <c r="AH260" s="118"/>
      <c r="AI260" s="118"/>
      <c r="AJ260" s="118"/>
      <c r="AK260" s="118"/>
      <c r="AL260" s="118"/>
      <c r="AM260" s="118"/>
      <c r="AN260" s="118"/>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8"/>
      <c r="AH261" s="118"/>
      <c r="AI261" s="118"/>
      <c r="AJ261" s="118"/>
      <c r="AK261" s="118"/>
      <c r="AL261" s="118"/>
      <c r="AM261" s="118"/>
      <c r="AN261" s="118"/>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8"/>
      <c r="AH262" s="118"/>
      <c r="AI262" s="118"/>
      <c r="AJ262" s="118"/>
      <c r="AK262" s="118"/>
      <c r="AL262" s="118"/>
      <c r="AM262" s="118"/>
      <c r="AN262" s="118"/>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8"/>
      <c r="AH263" s="118"/>
      <c r="AI263" s="118"/>
      <c r="AJ263" s="118"/>
      <c r="AK263" s="118"/>
      <c r="AL263" s="118"/>
      <c r="AM263" s="118"/>
      <c r="AN263" s="118"/>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8"/>
      <c r="AH264" s="118"/>
      <c r="AI264" s="118"/>
      <c r="AJ264" s="118"/>
      <c r="AK264" s="118"/>
      <c r="AL264" s="118"/>
      <c r="AM264" s="118"/>
      <c r="AN264" s="118"/>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8"/>
      <c r="AH265" s="118"/>
      <c r="AI265" s="118"/>
      <c r="AJ265" s="118"/>
      <c r="AK265" s="118"/>
      <c r="AL265" s="118"/>
      <c r="AM265" s="118"/>
      <c r="AN265" s="118"/>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8"/>
      <c r="AH266" s="118"/>
      <c r="AI266" s="118"/>
      <c r="AJ266" s="118"/>
      <c r="AK266" s="118"/>
      <c r="AL266" s="118"/>
      <c r="AM266" s="118"/>
      <c r="AN266" s="118"/>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8"/>
      <c r="AH267" s="118"/>
      <c r="AI267" s="118"/>
      <c r="AJ267" s="118"/>
      <c r="AK267" s="118"/>
      <c r="AL267" s="118"/>
      <c r="AM267" s="118"/>
      <c r="AN267" s="118"/>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8"/>
      <c r="AH268" s="118"/>
      <c r="AI268" s="118"/>
      <c r="AJ268" s="118"/>
      <c r="AK268" s="118"/>
      <c r="AL268" s="118"/>
      <c r="AM268" s="118"/>
      <c r="AN268" s="118"/>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8"/>
      <c r="AH269" s="118"/>
      <c r="AI269" s="118"/>
      <c r="AJ269" s="118"/>
      <c r="AK269" s="118"/>
      <c r="AL269" s="118"/>
      <c r="AM269" s="118"/>
      <c r="AN269" s="118"/>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8"/>
      <c r="AH270" s="118"/>
      <c r="AI270" s="118"/>
      <c r="AJ270" s="118"/>
      <c r="AK270" s="118"/>
      <c r="AL270" s="118"/>
      <c r="AM270" s="118"/>
      <c r="AN270" s="118"/>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8"/>
      <c r="AH271" s="118"/>
      <c r="AI271" s="118"/>
      <c r="AJ271" s="118"/>
      <c r="AK271" s="118"/>
      <c r="AL271" s="118"/>
      <c r="AM271" s="118"/>
      <c r="AN271" s="118"/>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8"/>
      <c r="AH272" s="118"/>
      <c r="AI272" s="118"/>
      <c r="AJ272" s="118"/>
      <c r="AK272" s="118"/>
      <c r="AL272" s="118"/>
      <c r="AM272" s="118"/>
      <c r="AN272" s="118"/>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8"/>
      <c r="AH273" s="118"/>
      <c r="AI273" s="118"/>
      <c r="AJ273" s="118"/>
      <c r="AK273" s="118"/>
      <c r="AL273" s="118"/>
      <c r="AM273" s="118"/>
      <c r="AN273" s="118"/>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8"/>
      <c r="AH274" s="118"/>
      <c r="AI274" s="118"/>
      <c r="AJ274" s="118"/>
      <c r="AK274" s="118"/>
      <c r="AL274" s="118"/>
      <c r="AM274" s="118"/>
      <c r="AN274" s="118"/>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8"/>
      <c r="AH275" s="118"/>
      <c r="AI275" s="118"/>
      <c r="AJ275" s="118"/>
      <c r="AK275" s="118"/>
      <c r="AL275" s="118"/>
      <c r="AM275" s="118"/>
      <c r="AN275" s="118"/>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8"/>
      <c r="AH276" s="118"/>
      <c r="AI276" s="118"/>
      <c r="AJ276" s="118"/>
      <c r="AK276" s="118"/>
      <c r="AL276" s="118"/>
      <c r="AM276" s="118"/>
      <c r="AN276" s="118"/>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8"/>
      <c r="AH277" s="118"/>
      <c r="AI277" s="118"/>
      <c r="AJ277" s="118"/>
      <c r="AK277" s="118"/>
      <c r="AL277" s="118"/>
      <c r="AM277" s="118"/>
      <c r="AN277" s="118"/>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8"/>
      <c r="AH278" s="118"/>
      <c r="AI278" s="118"/>
      <c r="AJ278" s="118"/>
      <c r="AK278" s="118"/>
      <c r="AL278" s="118"/>
      <c r="AM278" s="118"/>
      <c r="AN278" s="118"/>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8"/>
      <c r="AH279" s="118"/>
      <c r="AI279" s="118"/>
      <c r="AJ279" s="118"/>
      <c r="AK279" s="118"/>
      <c r="AL279" s="118"/>
      <c r="AM279" s="118"/>
      <c r="AN279" s="118"/>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8"/>
      <c r="AH280" s="118"/>
      <c r="AI280" s="118"/>
      <c r="AJ280" s="118"/>
      <c r="AK280" s="118"/>
      <c r="AL280" s="118"/>
      <c r="AM280" s="118"/>
      <c r="AN280" s="118"/>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8"/>
      <c r="AH281" s="118"/>
      <c r="AI281" s="118"/>
      <c r="AJ281" s="118"/>
      <c r="AK281" s="118"/>
      <c r="AL281" s="118"/>
      <c r="AM281" s="118"/>
      <c r="AN281" s="118"/>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8"/>
      <c r="AH282" s="118"/>
      <c r="AI282" s="118"/>
      <c r="AJ282" s="118"/>
      <c r="AK282" s="118"/>
      <c r="AL282" s="118"/>
      <c r="AM282" s="118"/>
      <c r="AN282" s="118"/>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8"/>
      <c r="AH283" s="118"/>
      <c r="AI283" s="118"/>
      <c r="AJ283" s="118"/>
      <c r="AK283" s="118"/>
      <c r="AL283" s="118"/>
      <c r="AM283" s="118"/>
      <c r="AN283" s="118"/>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8"/>
      <c r="AH284" s="118"/>
      <c r="AI284" s="118"/>
      <c r="AJ284" s="118"/>
      <c r="AK284" s="118"/>
      <c r="AL284" s="118"/>
      <c r="AM284" s="118"/>
      <c r="AN284" s="118"/>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8"/>
      <c r="AH285" s="118"/>
      <c r="AI285" s="118"/>
      <c r="AJ285" s="118"/>
      <c r="AK285" s="118"/>
      <c r="AL285" s="118"/>
      <c r="AM285" s="118"/>
      <c r="AN285" s="118"/>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8"/>
      <c r="AH286" s="118"/>
      <c r="AI286" s="118"/>
      <c r="AJ286" s="118"/>
      <c r="AK286" s="118"/>
      <c r="AL286" s="118"/>
      <c r="AM286" s="118"/>
      <c r="AN286" s="118"/>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8"/>
      <c r="AH287" s="118"/>
      <c r="AI287" s="118"/>
      <c r="AJ287" s="118"/>
      <c r="AK287" s="118"/>
      <c r="AL287" s="118"/>
      <c r="AM287" s="118"/>
      <c r="AN287" s="118"/>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8"/>
      <c r="AH288" s="118"/>
      <c r="AI288" s="118"/>
      <c r="AJ288" s="118"/>
      <c r="AK288" s="118"/>
      <c r="AL288" s="118"/>
      <c r="AM288" s="118"/>
      <c r="AN288" s="118"/>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8"/>
      <c r="AH289" s="118"/>
      <c r="AI289" s="118"/>
      <c r="AJ289" s="118"/>
      <c r="AK289" s="118"/>
      <c r="AL289" s="118"/>
      <c r="AM289" s="118"/>
      <c r="AN289" s="118"/>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8"/>
      <c r="AH290" s="118"/>
      <c r="AI290" s="118"/>
      <c r="AJ290" s="118"/>
      <c r="AK290" s="118"/>
      <c r="AL290" s="118"/>
      <c r="AM290" s="118"/>
      <c r="AN290" s="118"/>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8"/>
      <c r="AH291" s="118"/>
      <c r="AI291" s="118"/>
      <c r="AJ291" s="118"/>
      <c r="AK291" s="118"/>
      <c r="AL291" s="118"/>
      <c r="AM291" s="118"/>
      <c r="AN291" s="118"/>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8"/>
      <c r="AH292" s="118"/>
      <c r="AI292" s="118"/>
      <c r="AJ292" s="118"/>
      <c r="AK292" s="118"/>
      <c r="AL292" s="118"/>
      <c r="AM292" s="118"/>
      <c r="AN292" s="118"/>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8"/>
      <c r="AH293" s="118"/>
      <c r="AI293" s="118"/>
      <c r="AJ293" s="118"/>
      <c r="AK293" s="118"/>
      <c r="AL293" s="118"/>
      <c r="AM293" s="118"/>
      <c r="AN293" s="118"/>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8"/>
      <c r="AH294" s="118"/>
      <c r="AI294" s="118"/>
      <c r="AJ294" s="118"/>
      <c r="AK294" s="118"/>
      <c r="AL294" s="118"/>
      <c r="AM294" s="118"/>
      <c r="AN294" s="118"/>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8"/>
      <c r="AH295" s="118"/>
      <c r="AI295" s="118"/>
      <c r="AJ295" s="118"/>
      <c r="AK295" s="118"/>
      <c r="AL295" s="118"/>
      <c r="AM295" s="118"/>
      <c r="AN295" s="118"/>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8"/>
      <c r="AH296" s="118"/>
      <c r="AI296" s="118"/>
      <c r="AJ296" s="118"/>
      <c r="AK296" s="118"/>
      <c r="AL296" s="118"/>
      <c r="AM296" s="118"/>
      <c r="AN296" s="118"/>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8"/>
      <c r="AH297" s="118"/>
      <c r="AI297" s="118"/>
      <c r="AJ297" s="118"/>
      <c r="AK297" s="118"/>
      <c r="AL297" s="118"/>
      <c r="AM297" s="118"/>
      <c r="AN297" s="118"/>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8"/>
      <c r="AH298" s="118"/>
      <c r="AI298" s="118"/>
      <c r="AJ298" s="118"/>
      <c r="AK298" s="118"/>
      <c r="AL298" s="118"/>
      <c r="AM298" s="118"/>
      <c r="AN298" s="118"/>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8"/>
      <c r="AH299" s="118"/>
      <c r="AI299" s="118"/>
      <c r="AJ299" s="118"/>
      <c r="AK299" s="118"/>
      <c r="AL299" s="118"/>
      <c r="AM299" s="118"/>
      <c r="AN299" s="118"/>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8"/>
      <c r="AH300" s="118"/>
      <c r="AI300" s="118"/>
      <c r="AJ300" s="118"/>
      <c r="AK300" s="118"/>
      <c r="AL300" s="118"/>
      <c r="AM300" s="118"/>
      <c r="AN300" s="118"/>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8"/>
      <c r="AH301" s="118"/>
      <c r="AI301" s="118"/>
      <c r="AJ301" s="118"/>
      <c r="AK301" s="118"/>
      <c r="AL301" s="118"/>
      <c r="AM301" s="118"/>
      <c r="AN301" s="118"/>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8"/>
      <c r="AH302" s="118"/>
      <c r="AI302" s="118"/>
      <c r="AJ302" s="118"/>
      <c r="AK302" s="118"/>
      <c r="AL302" s="118"/>
      <c r="AM302" s="118"/>
      <c r="AN302" s="118"/>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8"/>
      <c r="AH303" s="118"/>
      <c r="AI303" s="118"/>
      <c r="AJ303" s="118"/>
      <c r="AK303" s="118"/>
      <c r="AL303" s="118"/>
      <c r="AM303" s="118"/>
      <c r="AN303" s="118"/>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8"/>
      <c r="AH304" s="118"/>
      <c r="AI304" s="118"/>
      <c r="AJ304" s="118"/>
      <c r="AK304" s="118"/>
      <c r="AL304" s="118"/>
      <c r="AM304" s="118"/>
      <c r="AN304" s="118"/>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8"/>
      <c r="AH305" s="118"/>
      <c r="AI305" s="118"/>
      <c r="AJ305" s="118"/>
      <c r="AK305" s="118"/>
      <c r="AL305" s="118"/>
      <c r="AM305" s="118"/>
      <c r="AN305" s="118"/>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8"/>
      <c r="AH306" s="118"/>
      <c r="AI306" s="118"/>
      <c r="AJ306" s="118"/>
      <c r="AK306" s="118"/>
      <c r="AL306" s="118"/>
      <c r="AM306" s="118"/>
      <c r="AN306" s="118"/>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8"/>
      <c r="AH307" s="118"/>
      <c r="AI307" s="118"/>
      <c r="AJ307" s="118"/>
      <c r="AK307" s="118"/>
      <c r="AL307" s="118"/>
      <c r="AM307" s="118"/>
      <c r="AN307" s="118"/>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8"/>
      <c r="AH308" s="118"/>
      <c r="AI308" s="118"/>
      <c r="AJ308" s="118"/>
      <c r="AK308" s="118"/>
      <c r="AL308" s="118"/>
      <c r="AM308" s="118"/>
      <c r="AN308" s="118"/>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8"/>
      <c r="AH309" s="118"/>
      <c r="AI309" s="118"/>
      <c r="AJ309" s="118"/>
      <c r="AK309" s="118"/>
      <c r="AL309" s="118"/>
      <c r="AM309" s="118"/>
      <c r="AN309" s="118"/>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8"/>
      <c r="AH310" s="118"/>
      <c r="AI310" s="118"/>
      <c r="AJ310" s="118"/>
      <c r="AK310" s="118"/>
      <c r="AL310" s="118"/>
      <c r="AM310" s="118"/>
      <c r="AN310" s="118"/>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8"/>
      <c r="AH311" s="118"/>
      <c r="AI311" s="118"/>
      <c r="AJ311" s="118"/>
      <c r="AK311" s="118"/>
      <c r="AL311" s="118"/>
      <c r="AM311" s="118"/>
      <c r="AN311" s="118"/>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8"/>
      <c r="AH312" s="118"/>
      <c r="AI312" s="118"/>
      <c r="AJ312" s="118"/>
      <c r="AK312" s="118"/>
      <c r="AL312" s="118"/>
      <c r="AM312" s="118"/>
      <c r="AN312" s="118"/>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8"/>
      <c r="AH313" s="118"/>
      <c r="AI313" s="118"/>
      <c r="AJ313" s="118"/>
      <c r="AK313" s="118"/>
      <c r="AL313" s="118"/>
      <c r="AM313" s="118"/>
      <c r="AN313" s="118"/>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8"/>
      <c r="AH314" s="118"/>
      <c r="AI314" s="118"/>
      <c r="AJ314" s="118"/>
      <c r="AK314" s="118"/>
      <c r="AL314" s="118"/>
      <c r="AM314" s="118"/>
      <c r="AN314" s="118"/>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8"/>
      <c r="AH315" s="118"/>
      <c r="AI315" s="118"/>
      <c r="AJ315" s="118"/>
      <c r="AK315" s="118"/>
      <c r="AL315" s="118"/>
      <c r="AM315" s="118"/>
      <c r="AN315" s="118"/>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8"/>
      <c r="AH316" s="118"/>
      <c r="AI316" s="118"/>
      <c r="AJ316" s="118"/>
      <c r="AK316" s="118"/>
      <c r="AL316" s="118"/>
      <c r="AM316" s="118"/>
      <c r="AN316" s="118"/>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8"/>
      <c r="AH317" s="118"/>
      <c r="AI317" s="118"/>
      <c r="AJ317" s="118"/>
      <c r="AK317" s="118"/>
      <c r="AL317" s="118"/>
      <c r="AM317" s="118"/>
      <c r="AN317" s="118"/>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8"/>
      <c r="AH318" s="118"/>
      <c r="AI318" s="118"/>
      <c r="AJ318" s="118"/>
      <c r="AK318" s="118"/>
      <c r="AL318" s="118"/>
      <c r="AM318" s="118"/>
      <c r="AN318" s="118"/>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8"/>
      <c r="AH319" s="118"/>
      <c r="AI319" s="118"/>
      <c r="AJ319" s="118"/>
      <c r="AK319" s="118"/>
      <c r="AL319" s="118"/>
      <c r="AM319" s="118"/>
      <c r="AN319" s="118"/>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8"/>
      <c r="AH320" s="118"/>
      <c r="AI320" s="118"/>
      <c r="AJ320" s="118"/>
      <c r="AK320" s="118"/>
      <c r="AL320" s="118"/>
      <c r="AM320" s="118"/>
      <c r="AN320" s="118"/>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8"/>
      <c r="AH321" s="118"/>
      <c r="AI321" s="118"/>
      <c r="AJ321" s="118"/>
      <c r="AK321" s="118"/>
      <c r="AL321" s="118"/>
      <c r="AM321" s="118"/>
      <c r="AN321" s="118"/>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8"/>
      <c r="AH322" s="118"/>
      <c r="AI322" s="118"/>
      <c r="AJ322" s="118"/>
      <c r="AK322" s="118"/>
      <c r="AL322" s="118"/>
      <c r="AM322" s="118"/>
      <c r="AN322" s="118"/>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8"/>
      <c r="AH323" s="118"/>
      <c r="AI323" s="118"/>
      <c r="AJ323" s="118"/>
      <c r="AK323" s="118"/>
      <c r="AL323" s="118"/>
      <c r="AM323" s="118"/>
      <c r="AN323" s="118"/>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8"/>
      <c r="AH324" s="118"/>
      <c r="AI324" s="118"/>
      <c r="AJ324" s="118"/>
      <c r="AK324" s="118"/>
      <c r="AL324" s="118"/>
      <c r="AM324" s="118"/>
      <c r="AN324" s="118"/>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8"/>
      <c r="AH325" s="118"/>
      <c r="AI325" s="118"/>
      <c r="AJ325" s="118"/>
      <c r="AK325" s="118"/>
      <c r="AL325" s="118"/>
      <c r="AM325" s="118"/>
      <c r="AN325" s="118"/>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8"/>
      <c r="AH326" s="118"/>
      <c r="AI326" s="118"/>
      <c r="AJ326" s="118"/>
      <c r="AK326" s="118"/>
      <c r="AL326" s="118"/>
      <c r="AM326" s="118"/>
      <c r="AN326" s="118"/>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8"/>
      <c r="AH327" s="118"/>
      <c r="AI327" s="118"/>
      <c r="AJ327" s="118"/>
      <c r="AK327" s="118"/>
      <c r="AL327" s="118"/>
      <c r="AM327" s="118"/>
      <c r="AN327" s="118"/>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8"/>
      <c r="AH328" s="118"/>
      <c r="AI328" s="118"/>
      <c r="AJ328" s="118"/>
      <c r="AK328" s="118"/>
      <c r="AL328" s="118"/>
      <c r="AM328" s="118"/>
      <c r="AN328" s="118"/>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8"/>
      <c r="AH329" s="118"/>
      <c r="AI329" s="118"/>
      <c r="AJ329" s="118"/>
      <c r="AK329" s="118"/>
      <c r="AL329" s="118"/>
      <c r="AM329" s="118"/>
      <c r="AN329" s="118"/>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8"/>
      <c r="AH330" s="118"/>
      <c r="AI330" s="118"/>
      <c r="AJ330" s="118"/>
      <c r="AK330" s="118"/>
      <c r="AL330" s="118"/>
      <c r="AM330" s="118"/>
      <c r="AN330" s="118"/>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8"/>
      <c r="AH331" s="118"/>
      <c r="AI331" s="118"/>
      <c r="AJ331" s="118"/>
      <c r="AK331" s="118"/>
      <c r="AL331" s="118"/>
      <c r="AM331" s="118"/>
      <c r="AN331" s="118"/>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8"/>
      <c r="AH332" s="118"/>
      <c r="AI332" s="118"/>
      <c r="AJ332" s="118"/>
      <c r="AK332" s="118"/>
      <c r="AL332" s="118"/>
      <c r="AM332" s="118"/>
      <c r="AN332" s="118"/>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8"/>
      <c r="AH333" s="118"/>
      <c r="AI333" s="118"/>
      <c r="AJ333" s="118"/>
      <c r="AK333" s="118"/>
      <c r="AL333" s="118"/>
      <c r="AM333" s="118"/>
      <c r="AN333" s="118"/>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8"/>
      <c r="AH334" s="118"/>
      <c r="AI334" s="118"/>
      <c r="AJ334" s="118"/>
      <c r="AK334" s="118"/>
      <c r="AL334" s="118"/>
      <c r="AM334" s="118"/>
      <c r="AN334" s="118"/>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8"/>
      <c r="AH335" s="118"/>
      <c r="AI335" s="118"/>
      <c r="AJ335" s="118"/>
      <c r="AK335" s="118"/>
      <c r="AL335" s="118"/>
      <c r="AM335" s="118"/>
      <c r="AN335" s="118"/>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8"/>
      <c r="AH336" s="118"/>
      <c r="AI336" s="118"/>
      <c r="AJ336" s="118"/>
      <c r="AK336" s="118"/>
      <c r="AL336" s="118"/>
      <c r="AM336" s="118"/>
      <c r="AN336" s="118"/>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8"/>
      <c r="AH337" s="118"/>
      <c r="AI337" s="118"/>
      <c r="AJ337" s="118"/>
      <c r="AK337" s="118"/>
      <c r="AL337" s="118"/>
      <c r="AM337" s="118"/>
      <c r="AN337" s="118"/>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8"/>
      <c r="AH338" s="118"/>
      <c r="AI338" s="118"/>
      <c r="AJ338" s="118"/>
      <c r="AK338" s="118"/>
      <c r="AL338" s="118"/>
      <c r="AM338" s="118"/>
      <c r="AN338" s="118"/>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8"/>
      <c r="AH339" s="118"/>
      <c r="AI339" s="118"/>
      <c r="AJ339" s="118"/>
      <c r="AK339" s="118"/>
      <c r="AL339" s="118"/>
      <c r="AM339" s="118"/>
      <c r="AN339" s="118"/>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8"/>
      <c r="AH340" s="118"/>
      <c r="AI340" s="118"/>
      <c r="AJ340" s="118"/>
      <c r="AK340" s="118"/>
      <c r="AL340" s="118"/>
      <c r="AM340" s="118"/>
      <c r="AN340" s="118"/>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8"/>
      <c r="AH341" s="118"/>
      <c r="AI341" s="118"/>
      <c r="AJ341" s="118"/>
      <c r="AK341" s="118"/>
      <c r="AL341" s="118"/>
      <c r="AM341" s="118"/>
      <c r="AN341" s="118"/>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8"/>
      <c r="AH342" s="118"/>
      <c r="AI342" s="118"/>
      <c r="AJ342" s="118"/>
      <c r="AK342" s="118"/>
      <c r="AL342" s="118"/>
      <c r="AM342" s="118"/>
      <c r="AN342" s="118"/>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8"/>
      <c r="AH343" s="118"/>
      <c r="AI343" s="118"/>
      <c r="AJ343" s="118"/>
      <c r="AK343" s="118"/>
      <c r="AL343" s="118"/>
      <c r="AM343" s="118"/>
      <c r="AN343" s="118"/>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8"/>
      <c r="AH344" s="118"/>
      <c r="AI344" s="118"/>
      <c r="AJ344" s="118"/>
      <c r="AK344" s="118"/>
      <c r="AL344" s="118"/>
      <c r="AM344" s="118"/>
      <c r="AN344" s="118"/>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8"/>
      <c r="AH345" s="118"/>
      <c r="AI345" s="118"/>
      <c r="AJ345" s="118"/>
      <c r="AK345" s="118"/>
      <c r="AL345" s="118"/>
      <c r="AM345" s="118"/>
      <c r="AN345" s="118"/>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8"/>
      <c r="AH346" s="118"/>
      <c r="AI346" s="118"/>
      <c r="AJ346" s="118"/>
      <c r="AK346" s="118"/>
      <c r="AL346" s="118"/>
      <c r="AM346" s="118"/>
      <c r="AN346" s="118"/>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8"/>
      <c r="AH347" s="118"/>
      <c r="AI347" s="118"/>
      <c r="AJ347" s="118"/>
      <c r="AK347" s="118"/>
      <c r="AL347" s="118"/>
      <c r="AM347" s="118"/>
      <c r="AN347" s="118"/>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8"/>
      <c r="AH348" s="118"/>
      <c r="AI348" s="118"/>
      <c r="AJ348" s="118"/>
      <c r="AK348" s="118"/>
      <c r="AL348" s="118"/>
      <c r="AM348" s="118"/>
      <c r="AN348" s="118"/>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8"/>
      <c r="AH349" s="118"/>
      <c r="AI349" s="118"/>
      <c r="AJ349" s="118"/>
      <c r="AK349" s="118"/>
      <c r="AL349" s="118"/>
      <c r="AM349" s="118"/>
      <c r="AN349" s="118"/>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8"/>
      <c r="AH350" s="118"/>
      <c r="AI350" s="118"/>
      <c r="AJ350" s="118"/>
      <c r="AK350" s="118"/>
      <c r="AL350" s="118"/>
      <c r="AM350" s="118"/>
      <c r="AN350" s="118"/>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8"/>
      <c r="AH351" s="118"/>
      <c r="AI351" s="118"/>
      <c r="AJ351" s="118"/>
      <c r="AK351" s="118"/>
      <c r="AL351" s="118"/>
      <c r="AM351" s="118"/>
      <c r="AN351" s="118"/>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8"/>
      <c r="AH352" s="118"/>
      <c r="AI352" s="118"/>
      <c r="AJ352" s="118"/>
      <c r="AK352" s="118"/>
      <c r="AL352" s="118"/>
      <c r="AM352" s="118"/>
      <c r="AN352" s="118"/>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8"/>
      <c r="AH353" s="118"/>
      <c r="AI353" s="118"/>
      <c r="AJ353" s="118"/>
      <c r="AK353" s="118"/>
      <c r="AL353" s="118"/>
      <c r="AM353" s="118"/>
      <c r="AN353" s="118"/>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8"/>
      <c r="AH354" s="118"/>
      <c r="AI354" s="118"/>
      <c r="AJ354" s="118"/>
      <c r="AK354" s="118"/>
      <c r="AL354" s="118"/>
      <c r="AM354" s="118"/>
      <c r="AN354" s="118"/>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8"/>
      <c r="AH355" s="118"/>
      <c r="AI355" s="118"/>
      <c r="AJ355" s="118"/>
      <c r="AK355" s="118"/>
      <c r="AL355" s="118"/>
      <c r="AM355" s="118"/>
      <c r="AN355" s="118"/>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8"/>
      <c r="AH356" s="118"/>
      <c r="AI356" s="118"/>
      <c r="AJ356" s="118"/>
      <c r="AK356" s="118"/>
      <c r="AL356" s="118"/>
      <c r="AM356" s="118"/>
      <c r="AN356" s="118"/>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8"/>
      <c r="AH357" s="118"/>
      <c r="AI357" s="118"/>
      <c r="AJ357" s="118"/>
      <c r="AK357" s="118"/>
      <c r="AL357" s="118"/>
      <c r="AM357" s="118"/>
      <c r="AN357" s="118"/>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8"/>
      <c r="AH358" s="118"/>
      <c r="AI358" s="118"/>
      <c r="AJ358" s="118"/>
      <c r="AK358" s="118"/>
      <c r="AL358" s="118"/>
      <c r="AM358" s="118"/>
      <c r="AN358" s="118"/>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8"/>
      <c r="AH359" s="118"/>
      <c r="AI359" s="118"/>
      <c r="AJ359" s="118"/>
      <c r="AK359" s="118"/>
      <c r="AL359" s="118"/>
      <c r="AM359" s="118"/>
      <c r="AN359" s="118"/>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8"/>
      <c r="AH360" s="118"/>
      <c r="AI360" s="118"/>
      <c r="AJ360" s="118"/>
      <c r="AK360" s="118"/>
      <c r="AL360" s="118"/>
      <c r="AM360" s="118"/>
      <c r="AN360" s="118"/>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8"/>
      <c r="AH361" s="118"/>
      <c r="AI361" s="118"/>
      <c r="AJ361" s="118"/>
      <c r="AK361" s="118"/>
      <c r="AL361" s="118"/>
      <c r="AM361" s="118"/>
      <c r="AN361" s="118"/>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8"/>
      <c r="AH362" s="118"/>
      <c r="AI362" s="118"/>
      <c r="AJ362" s="118"/>
      <c r="AK362" s="118"/>
      <c r="AL362" s="118"/>
      <c r="AM362" s="118"/>
      <c r="AN362" s="118"/>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8"/>
      <c r="AH363" s="118"/>
      <c r="AI363" s="118"/>
      <c r="AJ363" s="118"/>
      <c r="AK363" s="118"/>
      <c r="AL363" s="118"/>
      <c r="AM363" s="118"/>
      <c r="AN363" s="118"/>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8"/>
      <c r="AH364" s="118"/>
      <c r="AI364" s="118"/>
      <c r="AJ364" s="118"/>
      <c r="AK364" s="118"/>
      <c r="AL364" s="118"/>
      <c r="AM364" s="118"/>
      <c r="AN364" s="118"/>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8"/>
      <c r="AH365" s="118"/>
      <c r="AI365" s="118"/>
      <c r="AJ365" s="118"/>
      <c r="AK365" s="118"/>
      <c r="AL365" s="118"/>
      <c r="AM365" s="118"/>
      <c r="AN365" s="118"/>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8"/>
      <c r="AH366" s="118"/>
      <c r="AI366" s="118"/>
      <c r="AJ366" s="118"/>
      <c r="AK366" s="118"/>
      <c r="AL366" s="118"/>
      <c r="AM366" s="118"/>
      <c r="AN366" s="118"/>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8"/>
      <c r="AH367" s="118"/>
      <c r="AI367" s="118"/>
      <c r="AJ367" s="118"/>
      <c r="AK367" s="118"/>
      <c r="AL367" s="118"/>
      <c r="AM367" s="118"/>
      <c r="AN367" s="118"/>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8"/>
      <c r="AH368" s="118"/>
      <c r="AI368" s="118"/>
      <c r="AJ368" s="118"/>
      <c r="AK368" s="118"/>
      <c r="AL368" s="118"/>
      <c r="AM368" s="118"/>
      <c r="AN368" s="118"/>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8"/>
      <c r="AH369" s="118"/>
      <c r="AI369" s="118"/>
      <c r="AJ369" s="118"/>
      <c r="AK369" s="118"/>
      <c r="AL369" s="118"/>
      <c r="AM369" s="118"/>
      <c r="AN369" s="118"/>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8"/>
      <c r="AH370" s="118"/>
      <c r="AI370" s="118"/>
      <c r="AJ370" s="118"/>
      <c r="AK370" s="118"/>
      <c r="AL370" s="118"/>
      <c r="AM370" s="118"/>
      <c r="AN370" s="118"/>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8"/>
      <c r="AH371" s="118"/>
      <c r="AI371" s="118"/>
      <c r="AJ371" s="118"/>
      <c r="AK371" s="118"/>
      <c r="AL371" s="118"/>
      <c r="AM371" s="118"/>
      <c r="AN371" s="118"/>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8"/>
      <c r="AH372" s="118"/>
      <c r="AI372" s="118"/>
      <c r="AJ372" s="118"/>
      <c r="AK372" s="118"/>
      <c r="AL372" s="118"/>
      <c r="AM372" s="118"/>
      <c r="AN372" s="118"/>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8"/>
      <c r="AH373" s="118"/>
      <c r="AI373" s="118"/>
      <c r="AJ373" s="118"/>
      <c r="AK373" s="118"/>
      <c r="AL373" s="118"/>
      <c r="AM373" s="118"/>
      <c r="AN373" s="118"/>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8"/>
      <c r="AH374" s="118"/>
      <c r="AI374" s="118"/>
      <c r="AJ374" s="118"/>
      <c r="AK374" s="118"/>
      <c r="AL374" s="118"/>
      <c r="AM374" s="118"/>
      <c r="AN374" s="118"/>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8"/>
      <c r="AH375" s="118"/>
      <c r="AI375" s="118"/>
      <c r="AJ375" s="118"/>
      <c r="AK375" s="118"/>
      <c r="AL375" s="118"/>
      <c r="AM375" s="118"/>
      <c r="AN375" s="118"/>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8"/>
      <c r="AH376" s="118"/>
      <c r="AI376" s="118"/>
      <c r="AJ376" s="118"/>
      <c r="AK376" s="118"/>
      <c r="AL376" s="118"/>
      <c r="AM376" s="118"/>
      <c r="AN376" s="118"/>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8"/>
      <c r="AH377" s="118"/>
      <c r="AI377" s="118"/>
      <c r="AJ377" s="118"/>
      <c r="AK377" s="118"/>
      <c r="AL377" s="118"/>
      <c r="AM377" s="118"/>
      <c r="AN377" s="118"/>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8"/>
      <c r="AH378" s="118"/>
      <c r="AI378" s="118"/>
      <c r="AJ378" s="118"/>
      <c r="AK378" s="118"/>
      <c r="AL378" s="118"/>
      <c r="AM378" s="118"/>
      <c r="AN378" s="118"/>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8"/>
      <c r="AH379" s="118"/>
      <c r="AI379" s="118"/>
      <c r="AJ379" s="118"/>
      <c r="AK379" s="118"/>
      <c r="AL379" s="118"/>
      <c r="AM379" s="118"/>
      <c r="AN379" s="118"/>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8"/>
      <c r="AH380" s="118"/>
      <c r="AI380" s="118"/>
      <c r="AJ380" s="118"/>
      <c r="AK380" s="118"/>
      <c r="AL380" s="118"/>
      <c r="AM380" s="118"/>
      <c r="AN380" s="118"/>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8"/>
      <c r="AH381" s="118"/>
      <c r="AI381" s="118"/>
      <c r="AJ381" s="118"/>
      <c r="AK381" s="118"/>
      <c r="AL381" s="118"/>
      <c r="AM381" s="118"/>
      <c r="AN381" s="118"/>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8"/>
      <c r="AH382" s="118"/>
      <c r="AI382" s="118"/>
      <c r="AJ382" s="118"/>
      <c r="AK382" s="118"/>
      <c r="AL382" s="118"/>
      <c r="AM382" s="118"/>
      <c r="AN382" s="118"/>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8"/>
      <c r="AH383" s="118"/>
      <c r="AI383" s="118"/>
      <c r="AJ383" s="118"/>
      <c r="AK383" s="118"/>
      <c r="AL383" s="118"/>
      <c r="AM383" s="118"/>
      <c r="AN383" s="118"/>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8"/>
      <c r="AH384" s="118"/>
      <c r="AI384" s="118"/>
      <c r="AJ384" s="118"/>
      <c r="AK384" s="118"/>
      <c r="AL384" s="118"/>
      <c r="AM384" s="118"/>
      <c r="AN384" s="118"/>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8"/>
      <c r="AH385" s="118"/>
      <c r="AI385" s="118"/>
      <c r="AJ385" s="118"/>
      <c r="AK385" s="118"/>
      <c r="AL385" s="118"/>
      <c r="AM385" s="118"/>
      <c r="AN385" s="118"/>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8"/>
      <c r="AH386" s="118"/>
      <c r="AI386" s="118"/>
      <c r="AJ386" s="118"/>
      <c r="AK386" s="118"/>
      <c r="AL386" s="118"/>
      <c r="AM386" s="118"/>
      <c r="AN386" s="118"/>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8"/>
      <c r="AH387" s="118"/>
      <c r="AI387" s="118"/>
      <c r="AJ387" s="118"/>
      <c r="AK387" s="118"/>
      <c r="AL387" s="118"/>
      <c r="AM387" s="118"/>
      <c r="AN387" s="118"/>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8"/>
      <c r="AH388" s="118"/>
      <c r="AI388" s="118"/>
      <c r="AJ388" s="118"/>
      <c r="AK388" s="118"/>
      <c r="AL388" s="118"/>
      <c r="AM388" s="118"/>
      <c r="AN388" s="118"/>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8"/>
      <c r="AH389" s="118"/>
      <c r="AI389" s="118"/>
      <c r="AJ389" s="118"/>
      <c r="AK389" s="118"/>
      <c r="AL389" s="118"/>
      <c r="AM389" s="118"/>
      <c r="AN389" s="118"/>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8"/>
      <c r="AH390" s="118"/>
      <c r="AI390" s="118"/>
      <c r="AJ390" s="118"/>
      <c r="AK390" s="118"/>
      <c r="AL390" s="118"/>
      <c r="AM390" s="118"/>
      <c r="AN390" s="118"/>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8"/>
      <c r="AH391" s="118"/>
      <c r="AI391" s="118"/>
      <c r="AJ391" s="118"/>
      <c r="AK391" s="118"/>
      <c r="AL391" s="118"/>
      <c r="AM391" s="118"/>
      <c r="AN391" s="118"/>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8"/>
      <c r="AH392" s="118"/>
      <c r="AI392" s="118"/>
      <c r="AJ392" s="118"/>
      <c r="AK392" s="118"/>
      <c r="AL392" s="118"/>
      <c r="AM392" s="118"/>
      <c r="AN392" s="118"/>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8"/>
      <c r="AH393" s="118"/>
      <c r="AI393" s="118"/>
      <c r="AJ393" s="118"/>
      <c r="AK393" s="118"/>
      <c r="AL393" s="118"/>
      <c r="AM393" s="118"/>
      <c r="AN393" s="118"/>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8"/>
      <c r="AH394" s="118"/>
      <c r="AI394" s="118"/>
      <c r="AJ394" s="118"/>
      <c r="AK394" s="118"/>
      <c r="AL394" s="118"/>
      <c r="AM394" s="118"/>
      <c r="AN394" s="118"/>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8"/>
      <c r="AH395" s="118"/>
      <c r="AI395" s="118"/>
      <c r="AJ395" s="118"/>
      <c r="AK395" s="118"/>
      <c r="AL395" s="118"/>
      <c r="AM395" s="118"/>
      <c r="AN395" s="118"/>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8"/>
      <c r="AH396" s="118"/>
      <c r="AI396" s="118"/>
      <c r="AJ396" s="118"/>
      <c r="AK396" s="118"/>
      <c r="AL396" s="118"/>
      <c r="AM396" s="118"/>
      <c r="AN396" s="118"/>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8"/>
      <c r="AH397" s="118"/>
      <c r="AI397" s="118"/>
      <c r="AJ397" s="118"/>
      <c r="AK397" s="118"/>
      <c r="AL397" s="118"/>
      <c r="AM397" s="118"/>
      <c r="AN397" s="118"/>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8"/>
      <c r="AH398" s="118"/>
      <c r="AI398" s="118"/>
      <c r="AJ398" s="118"/>
      <c r="AK398" s="118"/>
      <c r="AL398" s="118"/>
      <c r="AM398" s="118"/>
      <c r="AN398" s="118"/>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8"/>
      <c r="AH399" s="118"/>
      <c r="AI399" s="118"/>
      <c r="AJ399" s="118"/>
      <c r="AK399" s="118"/>
      <c r="AL399" s="118"/>
      <c r="AM399" s="118"/>
      <c r="AN399" s="118"/>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8"/>
      <c r="AH400" s="118"/>
      <c r="AI400" s="118"/>
      <c r="AJ400" s="118"/>
      <c r="AK400" s="118"/>
      <c r="AL400" s="118"/>
      <c r="AM400" s="118"/>
      <c r="AN400" s="118"/>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8"/>
      <c r="AH401" s="118"/>
      <c r="AI401" s="118"/>
      <c r="AJ401" s="118"/>
      <c r="AK401" s="118"/>
      <c r="AL401" s="118"/>
      <c r="AM401" s="118"/>
      <c r="AN401" s="118"/>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8"/>
      <c r="AH402" s="118"/>
      <c r="AI402" s="118"/>
      <c r="AJ402" s="118"/>
      <c r="AK402" s="118"/>
      <c r="AL402" s="118"/>
      <c r="AM402" s="118"/>
      <c r="AN402" s="118"/>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8"/>
      <c r="AH403" s="118"/>
      <c r="AI403" s="118"/>
      <c r="AJ403" s="118"/>
      <c r="AK403" s="118"/>
      <c r="AL403" s="118"/>
      <c r="AM403" s="118"/>
      <c r="AN403" s="118"/>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8"/>
      <c r="AH404" s="118"/>
      <c r="AI404" s="118"/>
      <c r="AJ404" s="118"/>
      <c r="AK404" s="118"/>
      <c r="AL404" s="118"/>
      <c r="AM404" s="118"/>
      <c r="AN404" s="118"/>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8"/>
      <c r="AH405" s="118"/>
      <c r="AI405" s="118"/>
      <c r="AJ405" s="118"/>
      <c r="AK405" s="118"/>
      <c r="AL405" s="118"/>
      <c r="AM405" s="118"/>
      <c r="AN405" s="118"/>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8"/>
      <c r="AH406" s="118"/>
      <c r="AI406" s="118"/>
      <c r="AJ406" s="118"/>
      <c r="AK406" s="118"/>
      <c r="AL406" s="118"/>
      <c r="AM406" s="118"/>
      <c r="AN406" s="118"/>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8"/>
      <c r="AH407" s="118"/>
      <c r="AI407" s="118"/>
      <c r="AJ407" s="118"/>
      <c r="AK407" s="118"/>
      <c r="AL407" s="118"/>
      <c r="AM407" s="118"/>
      <c r="AN407" s="118"/>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8"/>
      <c r="AH408" s="118"/>
      <c r="AI408" s="118"/>
      <c r="AJ408" s="118"/>
      <c r="AK408" s="118"/>
      <c r="AL408" s="118"/>
      <c r="AM408" s="118"/>
      <c r="AN408" s="118"/>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8"/>
      <c r="AH409" s="118"/>
      <c r="AI409" s="118"/>
      <c r="AJ409" s="118"/>
      <c r="AK409" s="118"/>
      <c r="AL409" s="118"/>
      <c r="AM409" s="118"/>
      <c r="AN409" s="118"/>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8"/>
      <c r="AH410" s="118"/>
      <c r="AI410" s="118"/>
      <c r="AJ410" s="118"/>
      <c r="AK410" s="118"/>
      <c r="AL410" s="118"/>
      <c r="AM410" s="118"/>
      <c r="AN410" s="118"/>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8"/>
      <c r="AH411" s="118"/>
      <c r="AI411" s="118"/>
      <c r="AJ411" s="118"/>
      <c r="AK411" s="118"/>
      <c r="AL411" s="118"/>
      <c r="AM411" s="118"/>
      <c r="AN411" s="118"/>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8"/>
      <c r="AH412" s="118"/>
      <c r="AI412" s="118"/>
      <c r="AJ412" s="118"/>
      <c r="AK412" s="118"/>
      <c r="AL412" s="118"/>
      <c r="AM412" s="118"/>
      <c r="AN412" s="118"/>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8"/>
      <c r="AH413" s="118"/>
      <c r="AI413" s="118"/>
      <c r="AJ413" s="118"/>
      <c r="AK413" s="118"/>
      <c r="AL413" s="118"/>
      <c r="AM413" s="118"/>
      <c r="AN413" s="118"/>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8"/>
      <c r="AH414" s="118"/>
      <c r="AI414" s="118"/>
      <c r="AJ414" s="118"/>
      <c r="AK414" s="118"/>
      <c r="AL414" s="118"/>
      <c r="AM414" s="118"/>
      <c r="AN414" s="118"/>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8"/>
      <c r="AH415" s="118"/>
      <c r="AI415" s="118"/>
      <c r="AJ415" s="118"/>
      <c r="AK415" s="118"/>
      <c r="AL415" s="118"/>
      <c r="AM415" s="118"/>
      <c r="AN415" s="118"/>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8"/>
      <c r="AH416" s="118"/>
      <c r="AI416" s="118"/>
      <c r="AJ416" s="118"/>
      <c r="AK416" s="118"/>
      <c r="AL416" s="118"/>
      <c r="AM416" s="118"/>
      <c r="AN416" s="118"/>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8"/>
      <c r="AH417" s="118"/>
      <c r="AI417" s="118"/>
      <c r="AJ417" s="118"/>
      <c r="AK417" s="118"/>
      <c r="AL417" s="118"/>
      <c r="AM417" s="118"/>
      <c r="AN417" s="118"/>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8"/>
      <c r="AH418" s="118"/>
      <c r="AI418" s="118"/>
      <c r="AJ418" s="118"/>
      <c r="AK418" s="118"/>
      <c r="AL418" s="118"/>
      <c r="AM418" s="118"/>
      <c r="AN418" s="118"/>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8"/>
      <c r="AH419" s="118"/>
      <c r="AI419" s="118"/>
      <c r="AJ419" s="118"/>
      <c r="AK419" s="118"/>
      <c r="AL419" s="118"/>
      <c r="AM419" s="118"/>
      <c r="AN419" s="118"/>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8"/>
      <c r="AH420" s="118"/>
      <c r="AI420" s="118"/>
      <c r="AJ420" s="118"/>
      <c r="AK420" s="118"/>
      <c r="AL420" s="118"/>
      <c r="AM420" s="118"/>
      <c r="AN420" s="118"/>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8"/>
      <c r="AH421" s="118"/>
      <c r="AI421" s="118"/>
      <c r="AJ421" s="118"/>
      <c r="AK421" s="118"/>
      <c r="AL421" s="118"/>
      <c r="AM421" s="118"/>
      <c r="AN421" s="118"/>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8"/>
      <c r="AH422" s="118"/>
      <c r="AI422" s="118"/>
      <c r="AJ422" s="118"/>
      <c r="AK422" s="118"/>
      <c r="AL422" s="118"/>
      <c r="AM422" s="118"/>
      <c r="AN422" s="118"/>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8"/>
      <c r="AH423" s="118"/>
      <c r="AI423" s="118"/>
      <c r="AJ423" s="118"/>
      <c r="AK423" s="118"/>
      <c r="AL423" s="118"/>
      <c r="AM423" s="118"/>
      <c r="AN423" s="118"/>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8"/>
      <c r="AH424" s="118"/>
      <c r="AI424" s="118"/>
      <c r="AJ424" s="118"/>
      <c r="AK424" s="118"/>
      <c r="AL424" s="118"/>
      <c r="AM424" s="118"/>
      <c r="AN424" s="118"/>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8"/>
      <c r="AH425" s="118"/>
      <c r="AI425" s="118"/>
      <c r="AJ425" s="118"/>
      <c r="AK425" s="118"/>
      <c r="AL425" s="118"/>
      <c r="AM425" s="118"/>
      <c r="AN425" s="118"/>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8"/>
      <c r="AH426" s="118"/>
      <c r="AI426" s="118"/>
      <c r="AJ426" s="118"/>
      <c r="AK426" s="118"/>
      <c r="AL426" s="118"/>
      <c r="AM426" s="118"/>
      <c r="AN426" s="118"/>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8"/>
      <c r="AH427" s="118"/>
      <c r="AI427" s="118"/>
      <c r="AJ427" s="118"/>
      <c r="AK427" s="118"/>
      <c r="AL427" s="118"/>
      <c r="AM427" s="118"/>
      <c r="AN427" s="118"/>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8"/>
      <c r="AH428" s="118"/>
      <c r="AI428" s="118"/>
      <c r="AJ428" s="118"/>
      <c r="AK428" s="118"/>
      <c r="AL428" s="118"/>
      <c r="AM428" s="118"/>
      <c r="AN428" s="118"/>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8"/>
      <c r="AH429" s="118"/>
      <c r="AI429" s="118"/>
      <c r="AJ429" s="118"/>
      <c r="AK429" s="118"/>
      <c r="AL429" s="118"/>
      <c r="AM429" s="118"/>
      <c r="AN429" s="118"/>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8"/>
      <c r="AH430" s="118"/>
      <c r="AI430" s="118"/>
      <c r="AJ430" s="118"/>
      <c r="AK430" s="118"/>
      <c r="AL430" s="118"/>
      <c r="AM430" s="118"/>
      <c r="AN430" s="118"/>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8"/>
      <c r="AH431" s="118"/>
      <c r="AI431" s="118"/>
      <c r="AJ431" s="118"/>
      <c r="AK431" s="118"/>
      <c r="AL431" s="118"/>
      <c r="AM431" s="118"/>
      <c r="AN431" s="118"/>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8"/>
      <c r="AH432" s="118"/>
      <c r="AI432" s="118"/>
      <c r="AJ432" s="118"/>
      <c r="AK432" s="118"/>
      <c r="AL432" s="118"/>
      <c r="AM432" s="118"/>
      <c r="AN432" s="118"/>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8"/>
      <c r="AH433" s="118"/>
      <c r="AI433" s="118"/>
      <c r="AJ433" s="118"/>
      <c r="AK433" s="118"/>
      <c r="AL433" s="118"/>
      <c r="AM433" s="118"/>
      <c r="AN433" s="118"/>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8"/>
      <c r="AH434" s="118"/>
      <c r="AI434" s="118"/>
      <c r="AJ434" s="118"/>
      <c r="AK434" s="118"/>
      <c r="AL434" s="118"/>
      <c r="AM434" s="118"/>
      <c r="AN434" s="118"/>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8"/>
      <c r="AH435" s="118"/>
      <c r="AI435" s="118"/>
      <c r="AJ435" s="118"/>
      <c r="AK435" s="118"/>
      <c r="AL435" s="118"/>
      <c r="AM435" s="118"/>
      <c r="AN435" s="118"/>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8"/>
      <c r="AH436" s="118"/>
      <c r="AI436" s="118"/>
      <c r="AJ436" s="118"/>
      <c r="AK436" s="118"/>
      <c r="AL436" s="118"/>
      <c r="AM436" s="118"/>
      <c r="AN436" s="118"/>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8"/>
      <c r="AH437" s="118"/>
      <c r="AI437" s="118"/>
      <c r="AJ437" s="118"/>
      <c r="AK437" s="118"/>
      <c r="AL437" s="118"/>
      <c r="AM437" s="118"/>
      <c r="AN437" s="118"/>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8"/>
      <c r="AH438" s="118"/>
      <c r="AI438" s="118"/>
      <c r="AJ438" s="118"/>
      <c r="AK438" s="118"/>
      <c r="AL438" s="118"/>
      <c r="AM438" s="118"/>
      <c r="AN438" s="118"/>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8"/>
      <c r="AH439" s="118"/>
      <c r="AI439" s="118"/>
      <c r="AJ439" s="118"/>
      <c r="AK439" s="118"/>
      <c r="AL439" s="118"/>
      <c r="AM439" s="118"/>
      <c r="AN439" s="118"/>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8"/>
      <c r="AH440" s="118"/>
      <c r="AI440" s="118"/>
      <c r="AJ440" s="118"/>
      <c r="AK440" s="118"/>
      <c r="AL440" s="118"/>
      <c r="AM440" s="118"/>
      <c r="AN440" s="118"/>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8"/>
      <c r="AH441" s="118"/>
      <c r="AI441" s="118"/>
      <c r="AJ441" s="118"/>
      <c r="AK441" s="118"/>
      <c r="AL441" s="118"/>
      <c r="AM441" s="118"/>
      <c r="AN441" s="118"/>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8"/>
      <c r="AH442" s="118"/>
      <c r="AI442" s="118"/>
      <c r="AJ442" s="118"/>
      <c r="AK442" s="118"/>
      <c r="AL442" s="118"/>
      <c r="AM442" s="118"/>
      <c r="AN442" s="118"/>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8"/>
      <c r="AH443" s="118"/>
      <c r="AI443" s="118"/>
      <c r="AJ443" s="118"/>
      <c r="AK443" s="118"/>
      <c r="AL443" s="118"/>
      <c r="AM443" s="118"/>
      <c r="AN443" s="118"/>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8"/>
      <c r="AH444" s="118"/>
      <c r="AI444" s="118"/>
      <c r="AJ444" s="118"/>
      <c r="AK444" s="118"/>
      <c r="AL444" s="118"/>
      <c r="AM444" s="118"/>
      <c r="AN444" s="118"/>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8"/>
      <c r="AH445" s="118"/>
      <c r="AI445" s="118"/>
      <c r="AJ445" s="118"/>
      <c r="AK445" s="118"/>
      <c r="AL445" s="118"/>
      <c r="AM445" s="118"/>
      <c r="AN445" s="118"/>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8"/>
      <c r="AH446" s="118"/>
      <c r="AI446" s="118"/>
      <c r="AJ446" s="118"/>
      <c r="AK446" s="118"/>
      <c r="AL446" s="118"/>
      <c r="AM446" s="118"/>
      <c r="AN446" s="118"/>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8"/>
      <c r="AH447" s="118"/>
      <c r="AI447" s="118"/>
      <c r="AJ447" s="118"/>
      <c r="AK447" s="118"/>
      <c r="AL447" s="118"/>
      <c r="AM447" s="118"/>
      <c r="AN447" s="118"/>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8"/>
      <c r="AH448" s="118"/>
      <c r="AI448" s="118"/>
      <c r="AJ448" s="118"/>
      <c r="AK448" s="118"/>
      <c r="AL448" s="118"/>
      <c r="AM448" s="118"/>
      <c r="AN448" s="118"/>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8"/>
      <c r="AH449" s="118"/>
      <c r="AI449" s="118"/>
      <c r="AJ449" s="118"/>
      <c r="AK449" s="118"/>
      <c r="AL449" s="118"/>
      <c r="AM449" s="118"/>
      <c r="AN449" s="118"/>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8"/>
      <c r="AH450" s="118"/>
      <c r="AI450" s="118"/>
      <c r="AJ450" s="118"/>
      <c r="AK450" s="118"/>
      <c r="AL450" s="118"/>
      <c r="AM450" s="118"/>
      <c r="AN450" s="118"/>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8"/>
      <c r="AH451" s="118"/>
      <c r="AI451" s="118"/>
      <c r="AJ451" s="118"/>
      <c r="AK451" s="118"/>
      <c r="AL451" s="118"/>
      <c r="AM451" s="118"/>
      <c r="AN451" s="118"/>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8"/>
      <c r="AH452" s="118"/>
      <c r="AI452" s="118"/>
      <c r="AJ452" s="118"/>
      <c r="AK452" s="118"/>
      <c r="AL452" s="118"/>
      <c r="AM452" s="118"/>
      <c r="AN452" s="118"/>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8"/>
      <c r="AH453" s="118"/>
      <c r="AI453" s="118"/>
      <c r="AJ453" s="118"/>
      <c r="AK453" s="118"/>
      <c r="AL453" s="118"/>
      <c r="AM453" s="118"/>
      <c r="AN453" s="118"/>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8"/>
      <c r="AH454" s="118"/>
      <c r="AI454" s="118"/>
      <c r="AJ454" s="118"/>
      <c r="AK454" s="118"/>
      <c r="AL454" s="118"/>
      <c r="AM454" s="118"/>
      <c r="AN454" s="118"/>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8"/>
      <c r="AH455" s="118"/>
      <c r="AI455" s="118"/>
      <c r="AJ455" s="118"/>
      <c r="AK455" s="118"/>
      <c r="AL455" s="118"/>
      <c r="AM455" s="118"/>
      <c r="AN455" s="118"/>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8"/>
      <c r="AH456" s="118"/>
      <c r="AI456" s="118"/>
      <c r="AJ456" s="118"/>
      <c r="AK456" s="118"/>
      <c r="AL456" s="118"/>
      <c r="AM456" s="118"/>
      <c r="AN456" s="118"/>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8"/>
      <c r="AH457" s="118"/>
      <c r="AI457" s="118"/>
      <c r="AJ457" s="118"/>
      <c r="AK457" s="118"/>
      <c r="AL457" s="118"/>
      <c r="AM457" s="118"/>
      <c r="AN457" s="118"/>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8"/>
      <c r="AH458" s="118"/>
      <c r="AI458" s="118"/>
      <c r="AJ458" s="118"/>
      <c r="AK458" s="118"/>
      <c r="AL458" s="118"/>
      <c r="AM458" s="118"/>
      <c r="AN458" s="118"/>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8"/>
      <c r="AH459" s="118"/>
      <c r="AI459" s="118"/>
      <c r="AJ459" s="118"/>
      <c r="AK459" s="118"/>
      <c r="AL459" s="118"/>
      <c r="AM459" s="118"/>
      <c r="AN459" s="118"/>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8"/>
      <c r="AH460" s="118"/>
      <c r="AI460" s="118"/>
      <c r="AJ460" s="118"/>
      <c r="AK460" s="118"/>
      <c r="AL460" s="118"/>
      <c r="AM460" s="118"/>
      <c r="AN460" s="118"/>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8"/>
      <c r="AH461" s="118"/>
      <c r="AI461" s="118"/>
      <c r="AJ461" s="118"/>
      <c r="AK461" s="118"/>
      <c r="AL461" s="118"/>
      <c r="AM461" s="118"/>
      <c r="AN461" s="118"/>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8"/>
      <c r="AH462" s="118"/>
      <c r="AI462" s="118"/>
      <c r="AJ462" s="118"/>
      <c r="AK462" s="118"/>
      <c r="AL462" s="118"/>
      <c r="AM462" s="118"/>
      <c r="AN462" s="118"/>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8"/>
      <c r="AH463" s="118"/>
      <c r="AI463" s="118"/>
      <c r="AJ463" s="118"/>
      <c r="AK463" s="118"/>
      <c r="AL463" s="118"/>
      <c r="AM463" s="118"/>
      <c r="AN463" s="118"/>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8"/>
      <c r="AH464" s="118"/>
      <c r="AI464" s="118"/>
      <c r="AJ464" s="118"/>
      <c r="AK464" s="118"/>
      <c r="AL464" s="118"/>
      <c r="AM464" s="118"/>
      <c r="AN464" s="118"/>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8"/>
      <c r="AH465" s="118"/>
      <c r="AI465" s="118"/>
      <c r="AJ465" s="118"/>
      <c r="AK465" s="118"/>
      <c r="AL465" s="118"/>
      <c r="AM465" s="118"/>
      <c r="AN465" s="118"/>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8"/>
      <c r="AH466" s="118"/>
      <c r="AI466" s="118"/>
      <c r="AJ466" s="118"/>
      <c r="AK466" s="118"/>
      <c r="AL466" s="118"/>
      <c r="AM466" s="118"/>
      <c r="AN466" s="118"/>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8"/>
      <c r="AH467" s="118"/>
      <c r="AI467" s="118"/>
      <c r="AJ467" s="118"/>
      <c r="AK467" s="118"/>
      <c r="AL467" s="118"/>
      <c r="AM467" s="118"/>
      <c r="AN467" s="118"/>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8"/>
      <c r="AH468" s="118"/>
      <c r="AI468" s="118"/>
      <c r="AJ468" s="118"/>
      <c r="AK468" s="118"/>
      <c r="AL468" s="118"/>
      <c r="AM468" s="118"/>
      <c r="AN468" s="118"/>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8"/>
      <c r="AH469" s="118"/>
      <c r="AI469" s="118"/>
      <c r="AJ469" s="118"/>
      <c r="AK469" s="118"/>
      <c r="AL469" s="118"/>
      <c r="AM469" s="118"/>
      <c r="AN469" s="118"/>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8"/>
      <c r="AH470" s="118"/>
      <c r="AI470" s="118"/>
      <c r="AJ470" s="118"/>
      <c r="AK470" s="118"/>
      <c r="AL470" s="118"/>
      <c r="AM470" s="118"/>
      <c r="AN470" s="118"/>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8"/>
      <c r="AH471" s="118"/>
      <c r="AI471" s="118"/>
      <c r="AJ471" s="118"/>
      <c r="AK471" s="118"/>
      <c r="AL471" s="118"/>
      <c r="AM471" s="118"/>
      <c r="AN471" s="118"/>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8"/>
      <c r="AH472" s="118"/>
      <c r="AI472" s="118"/>
      <c r="AJ472" s="118"/>
      <c r="AK472" s="118"/>
      <c r="AL472" s="118"/>
      <c r="AM472" s="118"/>
      <c r="AN472" s="118"/>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8"/>
      <c r="AH473" s="118"/>
      <c r="AI473" s="118"/>
      <c r="AJ473" s="118"/>
      <c r="AK473" s="118"/>
      <c r="AL473" s="118"/>
      <c r="AM473" s="118"/>
      <c r="AN473" s="118"/>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8"/>
      <c r="AH474" s="118"/>
      <c r="AI474" s="118"/>
      <c r="AJ474" s="118"/>
      <c r="AK474" s="118"/>
      <c r="AL474" s="118"/>
      <c r="AM474" s="118"/>
      <c r="AN474" s="118"/>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8"/>
      <c r="AH475" s="118"/>
      <c r="AI475" s="118"/>
      <c r="AJ475" s="118"/>
      <c r="AK475" s="118"/>
      <c r="AL475" s="118"/>
      <c r="AM475" s="118"/>
      <c r="AN475" s="118"/>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8"/>
      <c r="AH476" s="118"/>
      <c r="AI476" s="118"/>
      <c r="AJ476" s="118"/>
      <c r="AK476" s="118"/>
      <c r="AL476" s="118"/>
      <c r="AM476" s="118"/>
      <c r="AN476" s="118"/>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8"/>
      <c r="AH477" s="118"/>
      <c r="AI477" s="118"/>
      <c r="AJ477" s="118"/>
      <c r="AK477" s="118"/>
      <c r="AL477" s="118"/>
      <c r="AM477" s="118"/>
      <c r="AN477" s="118"/>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8"/>
      <c r="AH478" s="118"/>
      <c r="AI478" s="118"/>
      <c r="AJ478" s="118"/>
      <c r="AK478" s="118"/>
      <c r="AL478" s="118"/>
      <c r="AM478" s="118"/>
      <c r="AN478" s="118"/>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8"/>
      <c r="AH479" s="118"/>
      <c r="AI479" s="118"/>
      <c r="AJ479" s="118"/>
      <c r="AK479" s="118"/>
      <c r="AL479" s="118"/>
      <c r="AM479" s="118"/>
      <c r="AN479" s="118"/>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8"/>
      <c r="AH480" s="118"/>
      <c r="AI480" s="118"/>
      <c r="AJ480" s="118"/>
      <c r="AK480" s="118"/>
      <c r="AL480" s="118"/>
      <c r="AM480" s="118"/>
      <c r="AN480" s="118"/>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8"/>
      <c r="AH481" s="118"/>
      <c r="AI481" s="118"/>
      <c r="AJ481" s="118"/>
      <c r="AK481" s="118"/>
      <c r="AL481" s="118"/>
      <c r="AM481" s="118"/>
      <c r="AN481" s="118"/>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8"/>
      <c r="AH482" s="118"/>
      <c r="AI482" s="118"/>
      <c r="AJ482" s="118"/>
      <c r="AK482" s="118"/>
      <c r="AL482" s="118"/>
      <c r="AM482" s="118"/>
      <c r="AN482" s="118"/>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8"/>
      <c r="AH483" s="118"/>
      <c r="AI483" s="118"/>
      <c r="AJ483" s="118"/>
      <c r="AK483" s="118"/>
      <c r="AL483" s="118"/>
      <c r="AM483" s="118"/>
      <c r="AN483" s="118"/>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8"/>
      <c r="AH484" s="118"/>
      <c r="AI484" s="118"/>
      <c r="AJ484" s="118"/>
      <c r="AK484" s="118"/>
      <c r="AL484" s="118"/>
      <c r="AM484" s="118"/>
      <c r="AN484" s="118"/>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8"/>
      <c r="AH485" s="118"/>
      <c r="AI485" s="118"/>
      <c r="AJ485" s="118"/>
      <c r="AK485" s="118"/>
      <c r="AL485" s="118"/>
      <c r="AM485" s="118"/>
      <c r="AN485" s="118"/>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8"/>
      <c r="AH486" s="118"/>
      <c r="AI486" s="118"/>
      <c r="AJ486" s="118"/>
      <c r="AK486" s="118"/>
      <c r="AL486" s="118"/>
      <c r="AM486" s="118"/>
      <c r="AN486" s="118"/>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8"/>
      <c r="AH487" s="118"/>
      <c r="AI487" s="118"/>
      <c r="AJ487" s="118"/>
      <c r="AK487" s="118"/>
      <c r="AL487" s="118"/>
      <c r="AM487" s="118"/>
      <c r="AN487" s="118"/>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8"/>
      <c r="AH488" s="118"/>
      <c r="AI488" s="118"/>
      <c r="AJ488" s="118"/>
      <c r="AK488" s="118"/>
      <c r="AL488" s="118"/>
      <c r="AM488" s="118"/>
      <c r="AN488" s="118"/>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8"/>
      <c r="AH489" s="118"/>
      <c r="AI489" s="118"/>
      <c r="AJ489" s="118"/>
      <c r="AK489" s="118"/>
      <c r="AL489" s="118"/>
      <c r="AM489" s="118"/>
      <c r="AN489" s="118"/>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8"/>
      <c r="AH490" s="118"/>
      <c r="AI490" s="118"/>
      <c r="AJ490" s="118"/>
      <c r="AK490" s="118"/>
      <c r="AL490" s="118"/>
      <c r="AM490" s="118"/>
      <c r="AN490" s="118"/>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8"/>
      <c r="AH491" s="118"/>
      <c r="AI491" s="118"/>
      <c r="AJ491" s="118"/>
      <c r="AK491" s="118"/>
      <c r="AL491" s="118"/>
      <c r="AM491" s="118"/>
      <c r="AN491" s="118"/>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8"/>
      <c r="AH492" s="118"/>
      <c r="AI492" s="118"/>
      <c r="AJ492" s="118"/>
      <c r="AK492" s="118"/>
      <c r="AL492" s="118"/>
      <c r="AM492" s="118"/>
      <c r="AN492" s="118"/>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8"/>
      <c r="AH493" s="118"/>
      <c r="AI493" s="118"/>
      <c r="AJ493" s="118"/>
      <c r="AK493" s="118"/>
      <c r="AL493" s="118"/>
      <c r="AM493" s="118"/>
      <c r="AN493" s="118"/>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8"/>
      <c r="AH494" s="118"/>
      <c r="AI494" s="118"/>
      <c r="AJ494" s="118"/>
      <c r="AK494" s="118"/>
      <c r="AL494" s="118"/>
      <c r="AM494" s="118"/>
      <c r="AN494" s="118"/>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8"/>
      <c r="AH495" s="118"/>
      <c r="AI495" s="118"/>
      <c r="AJ495" s="118"/>
      <c r="AK495" s="118"/>
      <c r="AL495" s="118"/>
      <c r="AM495" s="118"/>
      <c r="AN495" s="118"/>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8"/>
      <c r="AH496" s="118"/>
      <c r="AI496" s="118"/>
      <c r="AJ496" s="118"/>
      <c r="AK496" s="118"/>
      <c r="AL496" s="118"/>
      <c r="AM496" s="118"/>
      <c r="AN496" s="118"/>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8"/>
      <c r="AH497" s="118"/>
      <c r="AI497" s="118"/>
      <c r="AJ497" s="118"/>
      <c r="AK497" s="118"/>
      <c r="AL497" s="118"/>
      <c r="AM497" s="118"/>
      <c r="AN497" s="118"/>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8"/>
      <c r="AH498" s="118"/>
      <c r="AI498" s="118"/>
      <c r="AJ498" s="118"/>
      <c r="AK498" s="118"/>
      <c r="AL498" s="118"/>
      <c r="AM498" s="118"/>
      <c r="AN498" s="118"/>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8"/>
      <c r="AH499" s="118"/>
      <c r="AI499" s="118"/>
      <c r="AJ499" s="118"/>
      <c r="AK499" s="118"/>
      <c r="AL499" s="118"/>
      <c r="AM499" s="118"/>
      <c r="AN499" s="118"/>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8"/>
      <c r="AH500" s="118"/>
      <c r="AI500" s="118"/>
      <c r="AJ500" s="118"/>
      <c r="AK500" s="118"/>
      <c r="AL500" s="118"/>
      <c r="AM500" s="118"/>
      <c r="AN500" s="118"/>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8"/>
      <c r="AH501" s="118"/>
      <c r="AI501" s="118"/>
      <c r="AJ501" s="118"/>
      <c r="AK501" s="118"/>
      <c r="AL501" s="118"/>
      <c r="AM501" s="118"/>
      <c r="AN501" s="118"/>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8"/>
      <c r="AH502" s="118"/>
      <c r="AI502" s="118"/>
      <c r="AJ502" s="118"/>
      <c r="AK502" s="118"/>
      <c r="AL502" s="118"/>
      <c r="AM502" s="118"/>
      <c r="AN502" s="118"/>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8"/>
      <c r="AH503" s="118"/>
      <c r="AI503" s="118"/>
      <c r="AJ503" s="118"/>
      <c r="AK503" s="118"/>
      <c r="AL503" s="118"/>
      <c r="AM503" s="118"/>
      <c r="AN503" s="118"/>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8"/>
      <c r="AH504" s="118"/>
      <c r="AI504" s="118"/>
      <c r="AJ504" s="118"/>
      <c r="AK504" s="118"/>
      <c r="AL504" s="118"/>
      <c r="AM504" s="118"/>
      <c r="AN504" s="118"/>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8"/>
      <c r="AH505" s="118"/>
      <c r="AI505" s="118"/>
      <c r="AJ505" s="118"/>
      <c r="AK505" s="118"/>
      <c r="AL505" s="118"/>
      <c r="AM505" s="118"/>
      <c r="AN505" s="118"/>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8"/>
      <c r="AH506" s="118"/>
      <c r="AI506" s="118"/>
      <c r="AJ506" s="118"/>
      <c r="AK506" s="118"/>
      <c r="AL506" s="118"/>
      <c r="AM506" s="118"/>
      <c r="AN506" s="118"/>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8"/>
      <c r="AH507" s="118"/>
      <c r="AI507" s="118"/>
      <c r="AJ507" s="118"/>
      <c r="AK507" s="118"/>
      <c r="AL507" s="118"/>
      <c r="AM507" s="118"/>
      <c r="AN507" s="118"/>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8"/>
      <c r="AH508" s="118"/>
      <c r="AI508" s="118"/>
      <c r="AJ508" s="118"/>
      <c r="AK508" s="118"/>
      <c r="AL508" s="118"/>
      <c r="AM508" s="118"/>
      <c r="AN508" s="118"/>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8"/>
      <c r="AH509" s="118"/>
      <c r="AI509" s="118"/>
      <c r="AJ509" s="118"/>
      <c r="AK509" s="118"/>
      <c r="AL509" s="118"/>
      <c r="AM509" s="118"/>
      <c r="AN509" s="118"/>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8"/>
      <c r="AH510" s="118"/>
      <c r="AI510" s="118"/>
      <c r="AJ510" s="118"/>
      <c r="AK510" s="118"/>
      <c r="AL510" s="118"/>
      <c r="AM510" s="118"/>
      <c r="AN510" s="118"/>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8"/>
      <c r="AH511" s="118"/>
      <c r="AI511" s="118"/>
      <c r="AJ511" s="118"/>
      <c r="AK511" s="118"/>
      <c r="AL511" s="118"/>
      <c r="AM511" s="118"/>
      <c r="AN511" s="118"/>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8"/>
      <c r="AH512" s="118"/>
      <c r="AI512" s="118"/>
      <c r="AJ512" s="118"/>
      <c r="AK512" s="118"/>
      <c r="AL512" s="118"/>
      <c r="AM512" s="118"/>
      <c r="AN512" s="118"/>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8"/>
      <c r="AH513" s="118"/>
      <c r="AI513" s="118"/>
      <c r="AJ513" s="118"/>
      <c r="AK513" s="118"/>
      <c r="AL513" s="118"/>
      <c r="AM513" s="118"/>
      <c r="AN513" s="118"/>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8"/>
      <c r="AH514" s="118"/>
      <c r="AI514" s="118"/>
      <c r="AJ514" s="118"/>
      <c r="AK514" s="118"/>
      <c r="AL514" s="118"/>
      <c r="AM514" s="118"/>
      <c r="AN514" s="118"/>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8"/>
      <c r="AH515" s="118"/>
      <c r="AI515" s="118"/>
      <c r="AJ515" s="118"/>
      <c r="AK515" s="118"/>
      <c r="AL515" s="118"/>
      <c r="AM515" s="118"/>
      <c r="AN515" s="118"/>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8"/>
      <c r="AH516" s="118"/>
      <c r="AI516" s="118"/>
      <c r="AJ516" s="118"/>
      <c r="AK516" s="118"/>
      <c r="AL516" s="118"/>
      <c r="AM516" s="118"/>
      <c r="AN516" s="118"/>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8"/>
      <c r="AH517" s="118"/>
      <c r="AI517" s="118"/>
      <c r="AJ517" s="118"/>
      <c r="AK517" s="118"/>
      <c r="AL517" s="118"/>
      <c r="AM517" s="118"/>
      <c r="AN517" s="118"/>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8"/>
      <c r="AH518" s="118"/>
      <c r="AI518" s="118"/>
      <c r="AJ518" s="118"/>
      <c r="AK518" s="118"/>
      <c r="AL518" s="118"/>
      <c r="AM518" s="118"/>
      <c r="AN518" s="118"/>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8"/>
      <c r="AH519" s="118"/>
      <c r="AI519" s="118"/>
      <c r="AJ519" s="118"/>
      <c r="AK519" s="118"/>
      <c r="AL519" s="118"/>
      <c r="AM519" s="118"/>
      <c r="AN519" s="118"/>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8"/>
      <c r="AH520" s="118"/>
      <c r="AI520" s="118"/>
      <c r="AJ520" s="118"/>
      <c r="AK520" s="118"/>
      <c r="AL520" s="118"/>
      <c r="AM520" s="118"/>
      <c r="AN520" s="118"/>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8"/>
      <c r="AH521" s="118"/>
      <c r="AI521" s="118"/>
      <c r="AJ521" s="118"/>
      <c r="AK521" s="118"/>
      <c r="AL521" s="118"/>
      <c r="AM521" s="118"/>
      <c r="AN521" s="118"/>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8"/>
      <c r="AH522" s="118"/>
      <c r="AI522" s="118"/>
      <c r="AJ522" s="118"/>
      <c r="AK522" s="118"/>
      <c r="AL522" s="118"/>
      <c r="AM522" s="118"/>
      <c r="AN522" s="118"/>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8"/>
      <c r="AH523" s="118"/>
      <c r="AI523" s="118"/>
      <c r="AJ523" s="118"/>
      <c r="AK523" s="118"/>
      <c r="AL523" s="118"/>
      <c r="AM523" s="118"/>
      <c r="AN523" s="118"/>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8"/>
      <c r="AH524" s="118"/>
      <c r="AI524" s="118"/>
      <c r="AJ524" s="118"/>
      <c r="AK524" s="118"/>
      <c r="AL524" s="118"/>
      <c r="AM524" s="118"/>
      <c r="AN524" s="118"/>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8"/>
      <c r="AH525" s="118"/>
      <c r="AI525" s="118"/>
      <c r="AJ525" s="118"/>
      <c r="AK525" s="118"/>
      <c r="AL525" s="118"/>
      <c r="AM525" s="118"/>
      <c r="AN525" s="118"/>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8"/>
      <c r="AH526" s="118"/>
      <c r="AI526" s="118"/>
      <c r="AJ526" s="118"/>
      <c r="AK526" s="118"/>
      <c r="AL526" s="118"/>
      <c r="AM526" s="118"/>
      <c r="AN526" s="118"/>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8"/>
      <c r="AH527" s="118"/>
      <c r="AI527" s="118"/>
      <c r="AJ527" s="118"/>
      <c r="AK527" s="118"/>
      <c r="AL527" s="118"/>
      <c r="AM527" s="118"/>
      <c r="AN527" s="118"/>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8"/>
      <c r="AH528" s="118"/>
      <c r="AI528" s="118"/>
      <c r="AJ528" s="118"/>
      <c r="AK528" s="118"/>
      <c r="AL528" s="118"/>
      <c r="AM528" s="118"/>
      <c r="AN528" s="118"/>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8"/>
      <c r="AH529" s="118"/>
      <c r="AI529" s="118"/>
      <c r="AJ529" s="118"/>
      <c r="AK529" s="118"/>
      <c r="AL529" s="118"/>
      <c r="AM529" s="118"/>
      <c r="AN529" s="118"/>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8"/>
      <c r="AH530" s="118"/>
      <c r="AI530" s="118"/>
      <c r="AJ530" s="118"/>
      <c r="AK530" s="118"/>
      <c r="AL530" s="118"/>
      <c r="AM530" s="118"/>
      <c r="AN530" s="118"/>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8"/>
      <c r="AH531" s="118"/>
      <c r="AI531" s="118"/>
      <c r="AJ531" s="118"/>
      <c r="AK531" s="118"/>
      <c r="AL531" s="118"/>
      <c r="AM531" s="118"/>
      <c r="AN531" s="118"/>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8"/>
      <c r="AH532" s="118"/>
      <c r="AI532" s="118"/>
      <c r="AJ532" s="118"/>
      <c r="AK532" s="118"/>
      <c r="AL532" s="118"/>
      <c r="AM532" s="118"/>
      <c r="AN532" s="118"/>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8"/>
      <c r="AH533" s="118"/>
      <c r="AI533" s="118"/>
      <c r="AJ533" s="118"/>
      <c r="AK533" s="118"/>
      <c r="AL533" s="118"/>
      <c r="AM533" s="118"/>
      <c r="AN533" s="118"/>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8"/>
      <c r="AH534" s="118"/>
      <c r="AI534" s="118"/>
      <c r="AJ534" s="118"/>
      <c r="AK534" s="118"/>
      <c r="AL534" s="118"/>
      <c r="AM534" s="118"/>
      <c r="AN534" s="118"/>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8"/>
      <c r="AH535" s="118"/>
      <c r="AI535" s="118"/>
      <c r="AJ535" s="118"/>
      <c r="AK535" s="118"/>
      <c r="AL535" s="118"/>
      <c r="AM535" s="118"/>
      <c r="AN535" s="118"/>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8"/>
      <c r="AH536" s="118"/>
      <c r="AI536" s="118"/>
      <c r="AJ536" s="118"/>
      <c r="AK536" s="118"/>
      <c r="AL536" s="118"/>
      <c r="AM536" s="118"/>
      <c r="AN536" s="118"/>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8"/>
      <c r="AH537" s="118"/>
      <c r="AI537" s="118"/>
      <c r="AJ537" s="118"/>
      <c r="AK537" s="118"/>
      <c r="AL537" s="118"/>
      <c r="AM537" s="118"/>
      <c r="AN537" s="118"/>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8"/>
      <c r="AH538" s="118"/>
      <c r="AI538" s="118"/>
      <c r="AJ538" s="118"/>
      <c r="AK538" s="118"/>
      <c r="AL538" s="118"/>
      <c r="AM538" s="118"/>
      <c r="AN538" s="118"/>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8"/>
      <c r="AH539" s="118"/>
      <c r="AI539" s="118"/>
      <c r="AJ539" s="118"/>
      <c r="AK539" s="118"/>
      <c r="AL539" s="118"/>
      <c r="AM539" s="118"/>
      <c r="AN539" s="118"/>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8"/>
      <c r="AH540" s="118"/>
      <c r="AI540" s="118"/>
      <c r="AJ540" s="118"/>
      <c r="AK540" s="118"/>
      <c r="AL540" s="118"/>
      <c r="AM540" s="118"/>
      <c r="AN540" s="118"/>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8"/>
      <c r="AH541" s="118"/>
      <c r="AI541" s="118"/>
      <c r="AJ541" s="118"/>
      <c r="AK541" s="118"/>
      <c r="AL541" s="118"/>
      <c r="AM541" s="118"/>
      <c r="AN541" s="118"/>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8"/>
      <c r="AH542" s="118"/>
      <c r="AI542" s="118"/>
      <c r="AJ542" s="118"/>
      <c r="AK542" s="118"/>
      <c r="AL542" s="118"/>
      <c r="AM542" s="118"/>
      <c r="AN542" s="118"/>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8"/>
      <c r="AH543" s="118"/>
      <c r="AI543" s="118"/>
      <c r="AJ543" s="118"/>
      <c r="AK543" s="118"/>
      <c r="AL543" s="118"/>
      <c r="AM543" s="118"/>
      <c r="AN543" s="118"/>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8"/>
      <c r="AH544" s="118"/>
      <c r="AI544" s="118"/>
      <c r="AJ544" s="118"/>
      <c r="AK544" s="118"/>
      <c r="AL544" s="118"/>
      <c r="AM544" s="118"/>
      <c r="AN544" s="118"/>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8"/>
      <c r="AH545" s="118"/>
      <c r="AI545" s="118"/>
      <c r="AJ545" s="118"/>
      <c r="AK545" s="118"/>
      <c r="AL545" s="118"/>
      <c r="AM545" s="118"/>
      <c r="AN545" s="118"/>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8"/>
      <c r="AH546" s="118"/>
      <c r="AI546" s="118"/>
      <c r="AJ546" s="118"/>
      <c r="AK546" s="118"/>
      <c r="AL546" s="118"/>
      <c r="AM546" s="118"/>
      <c r="AN546" s="118"/>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8"/>
      <c r="AH547" s="118"/>
      <c r="AI547" s="118"/>
      <c r="AJ547" s="118"/>
      <c r="AK547" s="118"/>
      <c r="AL547" s="118"/>
      <c r="AM547" s="118"/>
      <c r="AN547" s="118"/>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8"/>
      <c r="AH548" s="118"/>
      <c r="AI548" s="118"/>
      <c r="AJ548" s="118"/>
      <c r="AK548" s="118"/>
      <c r="AL548" s="118"/>
      <c r="AM548" s="118"/>
      <c r="AN548" s="118"/>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8"/>
      <c r="AH549" s="118"/>
      <c r="AI549" s="118"/>
      <c r="AJ549" s="118"/>
      <c r="AK549" s="118"/>
      <c r="AL549" s="118"/>
      <c r="AM549" s="118"/>
      <c r="AN549" s="118"/>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8"/>
      <c r="AH550" s="118"/>
      <c r="AI550" s="118"/>
      <c r="AJ550" s="118"/>
      <c r="AK550" s="118"/>
      <c r="AL550" s="118"/>
      <c r="AM550" s="118"/>
      <c r="AN550" s="118"/>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8"/>
      <c r="AH551" s="118"/>
      <c r="AI551" s="118"/>
      <c r="AJ551" s="118"/>
      <c r="AK551" s="118"/>
      <c r="AL551" s="118"/>
      <c r="AM551" s="118"/>
      <c r="AN551" s="118"/>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8"/>
      <c r="AH552" s="118"/>
      <c r="AI552" s="118"/>
      <c r="AJ552" s="118"/>
      <c r="AK552" s="118"/>
      <c r="AL552" s="118"/>
      <c r="AM552" s="118"/>
      <c r="AN552" s="118"/>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8"/>
      <c r="AH553" s="118"/>
      <c r="AI553" s="118"/>
      <c r="AJ553" s="118"/>
      <c r="AK553" s="118"/>
      <c r="AL553" s="118"/>
      <c r="AM553" s="118"/>
      <c r="AN553" s="118"/>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8"/>
      <c r="AH554" s="118"/>
      <c r="AI554" s="118"/>
      <c r="AJ554" s="118"/>
      <c r="AK554" s="118"/>
      <c r="AL554" s="118"/>
      <c r="AM554" s="118"/>
      <c r="AN554" s="118"/>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8"/>
      <c r="AH555" s="118"/>
      <c r="AI555" s="118"/>
      <c r="AJ555" s="118"/>
      <c r="AK555" s="118"/>
      <c r="AL555" s="118"/>
      <c r="AM555" s="118"/>
      <c r="AN555" s="118"/>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8"/>
      <c r="AH556" s="118"/>
      <c r="AI556" s="118"/>
      <c r="AJ556" s="118"/>
      <c r="AK556" s="118"/>
      <c r="AL556" s="118"/>
      <c r="AM556" s="118"/>
      <c r="AN556" s="118"/>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8"/>
      <c r="AH557" s="118"/>
      <c r="AI557" s="118"/>
      <c r="AJ557" s="118"/>
      <c r="AK557" s="118"/>
      <c r="AL557" s="118"/>
      <c r="AM557" s="118"/>
      <c r="AN557" s="118"/>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8"/>
      <c r="AH558" s="118"/>
      <c r="AI558" s="118"/>
      <c r="AJ558" s="118"/>
      <c r="AK558" s="118"/>
      <c r="AL558" s="118"/>
      <c r="AM558" s="118"/>
      <c r="AN558" s="118"/>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8"/>
      <c r="AH559" s="118"/>
      <c r="AI559" s="118"/>
      <c r="AJ559" s="118"/>
      <c r="AK559" s="118"/>
      <c r="AL559" s="118"/>
      <c r="AM559" s="118"/>
      <c r="AN559" s="118"/>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8"/>
      <c r="AH560" s="118"/>
      <c r="AI560" s="118"/>
      <c r="AJ560" s="118"/>
      <c r="AK560" s="118"/>
      <c r="AL560" s="118"/>
      <c r="AM560" s="118"/>
      <c r="AN560" s="118"/>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8"/>
      <c r="AH561" s="118"/>
      <c r="AI561" s="118"/>
      <c r="AJ561" s="118"/>
      <c r="AK561" s="118"/>
      <c r="AL561" s="118"/>
      <c r="AM561" s="118"/>
      <c r="AN561" s="118"/>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8"/>
      <c r="AH562" s="118"/>
      <c r="AI562" s="118"/>
      <c r="AJ562" s="118"/>
      <c r="AK562" s="118"/>
      <c r="AL562" s="118"/>
      <c r="AM562" s="118"/>
      <c r="AN562" s="118"/>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8"/>
      <c r="AH563" s="118"/>
      <c r="AI563" s="118"/>
      <c r="AJ563" s="118"/>
      <c r="AK563" s="118"/>
      <c r="AL563" s="118"/>
      <c r="AM563" s="118"/>
      <c r="AN563" s="118"/>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8"/>
      <c r="AH564" s="118"/>
      <c r="AI564" s="118"/>
      <c r="AJ564" s="118"/>
      <c r="AK564" s="118"/>
      <c r="AL564" s="118"/>
      <c r="AM564" s="118"/>
      <c r="AN564" s="118"/>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8"/>
      <c r="AH565" s="118"/>
      <c r="AI565" s="118"/>
      <c r="AJ565" s="118"/>
      <c r="AK565" s="118"/>
      <c r="AL565" s="118"/>
      <c r="AM565" s="118"/>
      <c r="AN565" s="118"/>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8"/>
      <c r="AH566" s="118"/>
      <c r="AI566" s="118"/>
      <c r="AJ566" s="118"/>
      <c r="AK566" s="118"/>
      <c r="AL566" s="118"/>
      <c r="AM566" s="118"/>
      <c r="AN566" s="118"/>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8"/>
      <c r="AH567" s="118"/>
      <c r="AI567" s="118"/>
      <c r="AJ567" s="118"/>
      <c r="AK567" s="118"/>
      <c r="AL567" s="118"/>
      <c r="AM567" s="118"/>
      <c r="AN567" s="118"/>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8"/>
      <c r="AH568" s="118"/>
      <c r="AI568" s="118"/>
      <c r="AJ568" s="118"/>
      <c r="AK568" s="118"/>
      <c r="AL568" s="118"/>
      <c r="AM568" s="118"/>
      <c r="AN568" s="118"/>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8"/>
      <c r="AH569" s="118"/>
      <c r="AI569" s="118"/>
      <c r="AJ569" s="118"/>
      <c r="AK569" s="118"/>
      <c r="AL569" s="118"/>
      <c r="AM569" s="118"/>
      <c r="AN569" s="118"/>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8"/>
      <c r="AH570" s="118"/>
      <c r="AI570" s="118"/>
      <c r="AJ570" s="118"/>
      <c r="AK570" s="118"/>
      <c r="AL570" s="118"/>
      <c r="AM570" s="118"/>
      <c r="AN570" s="118"/>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8"/>
      <c r="AH571" s="118"/>
      <c r="AI571" s="118"/>
      <c r="AJ571" s="118"/>
      <c r="AK571" s="118"/>
      <c r="AL571" s="118"/>
      <c r="AM571" s="118"/>
      <c r="AN571" s="118"/>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8"/>
      <c r="AH572" s="118"/>
      <c r="AI572" s="118"/>
      <c r="AJ572" s="118"/>
      <c r="AK572" s="118"/>
      <c r="AL572" s="118"/>
      <c r="AM572" s="118"/>
      <c r="AN572" s="118"/>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8"/>
      <c r="AH573" s="118"/>
      <c r="AI573" s="118"/>
      <c r="AJ573" s="118"/>
      <c r="AK573" s="118"/>
      <c r="AL573" s="118"/>
      <c r="AM573" s="118"/>
      <c r="AN573" s="118"/>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8"/>
      <c r="AH574" s="118"/>
      <c r="AI574" s="118"/>
      <c r="AJ574" s="118"/>
      <c r="AK574" s="118"/>
      <c r="AL574" s="118"/>
      <c r="AM574" s="118"/>
      <c r="AN574" s="118"/>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8"/>
      <c r="AH575" s="118"/>
      <c r="AI575" s="118"/>
      <c r="AJ575" s="118"/>
      <c r="AK575" s="118"/>
      <c r="AL575" s="118"/>
      <c r="AM575" s="118"/>
      <c r="AN575" s="118"/>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8"/>
      <c r="AH576" s="118"/>
      <c r="AI576" s="118"/>
      <c r="AJ576" s="118"/>
      <c r="AK576" s="118"/>
      <c r="AL576" s="118"/>
      <c r="AM576" s="118"/>
      <c r="AN576" s="118"/>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8"/>
      <c r="AH577" s="118"/>
      <c r="AI577" s="118"/>
      <c r="AJ577" s="118"/>
      <c r="AK577" s="118"/>
      <c r="AL577" s="118"/>
      <c r="AM577" s="118"/>
      <c r="AN577" s="118"/>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8"/>
      <c r="AH578" s="118"/>
      <c r="AI578" s="118"/>
      <c r="AJ578" s="118"/>
      <c r="AK578" s="118"/>
      <c r="AL578" s="118"/>
      <c r="AM578" s="118"/>
      <c r="AN578" s="118"/>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8"/>
      <c r="AH579" s="118"/>
      <c r="AI579" s="118"/>
      <c r="AJ579" s="118"/>
      <c r="AK579" s="118"/>
      <c r="AL579" s="118"/>
      <c r="AM579" s="118"/>
      <c r="AN579" s="118"/>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8"/>
      <c r="AH580" s="118"/>
      <c r="AI580" s="118"/>
      <c r="AJ580" s="118"/>
      <c r="AK580" s="118"/>
      <c r="AL580" s="118"/>
      <c r="AM580" s="118"/>
      <c r="AN580" s="118"/>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8"/>
      <c r="AH581" s="118"/>
      <c r="AI581" s="118"/>
      <c r="AJ581" s="118"/>
      <c r="AK581" s="118"/>
      <c r="AL581" s="118"/>
      <c r="AM581" s="118"/>
      <c r="AN581" s="118"/>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8"/>
      <c r="AH582" s="118"/>
      <c r="AI582" s="118"/>
      <c r="AJ582" s="118"/>
      <c r="AK582" s="118"/>
      <c r="AL582" s="118"/>
      <c r="AM582" s="118"/>
      <c r="AN582" s="118"/>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8"/>
      <c r="AH583" s="118"/>
      <c r="AI583" s="118"/>
      <c r="AJ583" s="118"/>
      <c r="AK583" s="118"/>
      <c r="AL583" s="118"/>
      <c r="AM583" s="118"/>
      <c r="AN583" s="118"/>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8"/>
      <c r="AH584" s="118"/>
      <c r="AI584" s="118"/>
      <c r="AJ584" s="118"/>
      <c r="AK584" s="118"/>
      <c r="AL584" s="118"/>
      <c r="AM584" s="118"/>
      <c r="AN584" s="118"/>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8"/>
      <c r="AH585" s="118"/>
      <c r="AI585" s="118"/>
      <c r="AJ585" s="118"/>
      <c r="AK585" s="118"/>
      <c r="AL585" s="118"/>
      <c r="AM585" s="118"/>
      <c r="AN585" s="118"/>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8"/>
      <c r="AH586" s="118"/>
      <c r="AI586" s="118"/>
      <c r="AJ586" s="118"/>
      <c r="AK586" s="118"/>
      <c r="AL586" s="118"/>
      <c r="AM586" s="118"/>
      <c r="AN586" s="118"/>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8"/>
      <c r="AH587" s="118"/>
      <c r="AI587" s="118"/>
      <c r="AJ587" s="118"/>
      <c r="AK587" s="118"/>
      <c r="AL587" s="118"/>
      <c r="AM587" s="118"/>
      <c r="AN587" s="118"/>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8"/>
      <c r="AH588" s="118"/>
      <c r="AI588" s="118"/>
      <c r="AJ588" s="118"/>
      <c r="AK588" s="118"/>
      <c r="AL588" s="118"/>
      <c r="AM588" s="118"/>
      <c r="AN588" s="118"/>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8"/>
      <c r="AH589" s="118"/>
      <c r="AI589" s="118"/>
      <c r="AJ589" s="118"/>
      <c r="AK589" s="118"/>
      <c r="AL589" s="118"/>
      <c r="AM589" s="118"/>
      <c r="AN589" s="118"/>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8"/>
      <c r="AH590" s="118"/>
      <c r="AI590" s="118"/>
      <c r="AJ590" s="118"/>
      <c r="AK590" s="118"/>
      <c r="AL590" s="118"/>
      <c r="AM590" s="118"/>
      <c r="AN590" s="118"/>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8"/>
      <c r="AH591" s="118"/>
      <c r="AI591" s="118"/>
      <c r="AJ591" s="118"/>
      <c r="AK591" s="118"/>
      <c r="AL591" s="118"/>
      <c r="AM591" s="118"/>
      <c r="AN591" s="118"/>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8"/>
      <c r="AH592" s="118"/>
      <c r="AI592" s="118"/>
      <c r="AJ592" s="118"/>
      <c r="AK592" s="118"/>
      <c r="AL592" s="118"/>
      <c r="AM592" s="118"/>
      <c r="AN592" s="118"/>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8"/>
      <c r="AH593" s="118"/>
      <c r="AI593" s="118"/>
      <c r="AJ593" s="118"/>
      <c r="AK593" s="118"/>
      <c r="AL593" s="118"/>
      <c r="AM593" s="118"/>
      <c r="AN593" s="118"/>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8"/>
      <c r="AH594" s="118"/>
      <c r="AI594" s="118"/>
      <c r="AJ594" s="118"/>
      <c r="AK594" s="118"/>
      <c r="AL594" s="118"/>
      <c r="AM594" s="118"/>
      <c r="AN594" s="118"/>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8"/>
      <c r="AH595" s="118"/>
      <c r="AI595" s="118"/>
      <c r="AJ595" s="118"/>
      <c r="AK595" s="118"/>
      <c r="AL595" s="118"/>
      <c r="AM595" s="118"/>
      <c r="AN595" s="118"/>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8"/>
      <c r="AH596" s="118"/>
      <c r="AI596" s="118"/>
      <c r="AJ596" s="118"/>
      <c r="AK596" s="118"/>
      <c r="AL596" s="118"/>
      <c r="AM596" s="118"/>
      <c r="AN596" s="118"/>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8"/>
      <c r="AH597" s="118"/>
      <c r="AI597" s="118"/>
      <c r="AJ597" s="118"/>
      <c r="AK597" s="118"/>
      <c r="AL597" s="118"/>
      <c r="AM597" s="118"/>
      <c r="AN597" s="118"/>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8"/>
      <c r="AH598" s="118"/>
      <c r="AI598" s="118"/>
      <c r="AJ598" s="118"/>
      <c r="AK598" s="118"/>
      <c r="AL598" s="118"/>
      <c r="AM598" s="118"/>
      <c r="AN598" s="118"/>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8"/>
      <c r="AH599" s="118"/>
      <c r="AI599" s="118"/>
      <c r="AJ599" s="118"/>
      <c r="AK599" s="118"/>
      <c r="AL599" s="118"/>
      <c r="AM599" s="118"/>
      <c r="AN599" s="118"/>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8"/>
      <c r="AH600" s="118"/>
      <c r="AI600" s="118"/>
      <c r="AJ600" s="118"/>
      <c r="AK600" s="118"/>
      <c r="AL600" s="118"/>
      <c r="AM600" s="118"/>
      <c r="AN600" s="118"/>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8"/>
      <c r="AH601" s="118"/>
      <c r="AI601" s="118"/>
      <c r="AJ601" s="118"/>
      <c r="AK601" s="118"/>
      <c r="AL601" s="118"/>
      <c r="AM601" s="118"/>
      <c r="AN601" s="118"/>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8"/>
      <c r="AH602" s="118"/>
      <c r="AI602" s="118"/>
      <c r="AJ602" s="118"/>
      <c r="AK602" s="118"/>
      <c r="AL602" s="118"/>
      <c r="AM602" s="118"/>
      <c r="AN602" s="118"/>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8"/>
      <c r="AH603" s="118"/>
      <c r="AI603" s="118"/>
      <c r="AJ603" s="118"/>
      <c r="AK603" s="118"/>
      <c r="AL603" s="118"/>
      <c r="AM603" s="118"/>
      <c r="AN603" s="118"/>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8"/>
      <c r="AH604" s="118"/>
      <c r="AI604" s="118"/>
      <c r="AJ604" s="118"/>
      <c r="AK604" s="118"/>
      <c r="AL604" s="118"/>
      <c r="AM604" s="118"/>
      <c r="AN604" s="118"/>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8"/>
      <c r="AH605" s="118"/>
      <c r="AI605" s="118"/>
      <c r="AJ605" s="118"/>
      <c r="AK605" s="118"/>
      <c r="AL605" s="118"/>
      <c r="AM605" s="118"/>
      <c r="AN605" s="118"/>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8"/>
      <c r="AH606" s="118"/>
      <c r="AI606" s="118"/>
      <c r="AJ606" s="118"/>
      <c r="AK606" s="118"/>
      <c r="AL606" s="118"/>
      <c r="AM606" s="118"/>
      <c r="AN606" s="118"/>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8"/>
      <c r="AH607" s="118"/>
      <c r="AI607" s="118"/>
      <c r="AJ607" s="118"/>
      <c r="AK607" s="118"/>
      <c r="AL607" s="118"/>
      <c r="AM607" s="118"/>
      <c r="AN607" s="118"/>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8"/>
      <c r="AH608" s="118"/>
      <c r="AI608" s="118"/>
      <c r="AJ608" s="118"/>
      <c r="AK608" s="118"/>
      <c r="AL608" s="118"/>
      <c r="AM608" s="118"/>
      <c r="AN608" s="118"/>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8"/>
      <c r="AH609" s="118"/>
      <c r="AI609" s="118"/>
      <c r="AJ609" s="118"/>
      <c r="AK609" s="118"/>
      <c r="AL609" s="118"/>
      <c r="AM609" s="118"/>
      <c r="AN609" s="118"/>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8"/>
      <c r="AH610" s="118"/>
      <c r="AI610" s="118"/>
      <c r="AJ610" s="118"/>
      <c r="AK610" s="118"/>
      <c r="AL610" s="118"/>
      <c r="AM610" s="118"/>
      <c r="AN610" s="118"/>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8"/>
      <c r="AH611" s="118"/>
      <c r="AI611" s="118"/>
      <c r="AJ611" s="118"/>
      <c r="AK611" s="118"/>
      <c r="AL611" s="118"/>
      <c r="AM611" s="118"/>
      <c r="AN611" s="118"/>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8"/>
      <c r="AH612" s="118"/>
      <c r="AI612" s="118"/>
      <c r="AJ612" s="118"/>
      <c r="AK612" s="118"/>
      <c r="AL612" s="118"/>
      <c r="AM612" s="118"/>
      <c r="AN612" s="118"/>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8"/>
      <c r="AH613" s="118"/>
      <c r="AI613" s="118"/>
      <c r="AJ613" s="118"/>
      <c r="AK613" s="118"/>
      <c r="AL613" s="118"/>
      <c r="AM613" s="118"/>
      <c r="AN613" s="118"/>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8"/>
      <c r="AH614" s="118"/>
      <c r="AI614" s="118"/>
      <c r="AJ614" s="118"/>
      <c r="AK614" s="118"/>
      <c r="AL614" s="118"/>
      <c r="AM614" s="118"/>
      <c r="AN614" s="118"/>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8"/>
      <c r="AH615" s="118"/>
      <c r="AI615" s="118"/>
      <c r="AJ615" s="118"/>
      <c r="AK615" s="118"/>
      <c r="AL615" s="118"/>
      <c r="AM615" s="118"/>
      <c r="AN615" s="118"/>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8"/>
      <c r="AH616" s="118"/>
      <c r="AI616" s="118"/>
      <c r="AJ616" s="118"/>
      <c r="AK616" s="118"/>
      <c r="AL616" s="118"/>
      <c r="AM616" s="118"/>
      <c r="AN616" s="118"/>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8"/>
      <c r="AH617" s="118"/>
      <c r="AI617" s="118"/>
      <c r="AJ617" s="118"/>
      <c r="AK617" s="118"/>
      <c r="AL617" s="118"/>
      <c r="AM617" s="118"/>
      <c r="AN617" s="118"/>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8"/>
      <c r="AH618" s="118"/>
      <c r="AI618" s="118"/>
      <c r="AJ618" s="118"/>
      <c r="AK618" s="118"/>
      <c r="AL618" s="118"/>
      <c r="AM618" s="118"/>
      <c r="AN618" s="118"/>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8"/>
      <c r="AH619" s="118"/>
      <c r="AI619" s="118"/>
      <c r="AJ619" s="118"/>
      <c r="AK619" s="118"/>
      <c r="AL619" s="118"/>
      <c r="AM619" s="118"/>
      <c r="AN619" s="118"/>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8"/>
      <c r="AH620" s="118"/>
      <c r="AI620" s="118"/>
      <c r="AJ620" s="118"/>
      <c r="AK620" s="118"/>
      <c r="AL620" s="118"/>
      <c r="AM620" s="118"/>
      <c r="AN620" s="118"/>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8"/>
      <c r="AH621" s="118"/>
      <c r="AI621" s="118"/>
      <c r="AJ621" s="118"/>
      <c r="AK621" s="118"/>
      <c r="AL621" s="118"/>
      <c r="AM621" s="118"/>
      <c r="AN621" s="118"/>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8"/>
      <c r="AH622" s="118"/>
      <c r="AI622" s="118"/>
      <c r="AJ622" s="118"/>
      <c r="AK622" s="118"/>
      <c r="AL622" s="118"/>
      <c r="AM622" s="118"/>
      <c r="AN622" s="118"/>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8"/>
      <c r="AH623" s="118"/>
      <c r="AI623" s="118"/>
      <c r="AJ623" s="118"/>
      <c r="AK623" s="118"/>
      <c r="AL623" s="118"/>
      <c r="AM623" s="118"/>
      <c r="AN623" s="118"/>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8"/>
      <c r="AH624" s="118"/>
      <c r="AI624" s="118"/>
      <c r="AJ624" s="118"/>
      <c r="AK624" s="118"/>
      <c r="AL624" s="118"/>
      <c r="AM624" s="118"/>
      <c r="AN624" s="118"/>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8"/>
      <c r="AH625" s="118"/>
      <c r="AI625" s="118"/>
      <c r="AJ625" s="118"/>
      <c r="AK625" s="118"/>
      <c r="AL625" s="118"/>
      <c r="AM625" s="118"/>
      <c r="AN625" s="118"/>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8"/>
      <c r="AH626" s="118"/>
      <c r="AI626" s="118"/>
      <c r="AJ626" s="118"/>
      <c r="AK626" s="118"/>
      <c r="AL626" s="118"/>
      <c r="AM626" s="118"/>
      <c r="AN626" s="118"/>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8"/>
      <c r="AH627" s="118"/>
      <c r="AI627" s="118"/>
      <c r="AJ627" s="118"/>
      <c r="AK627" s="118"/>
      <c r="AL627" s="118"/>
      <c r="AM627" s="118"/>
      <c r="AN627" s="118"/>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8"/>
      <c r="AH628" s="118"/>
      <c r="AI628" s="118"/>
      <c r="AJ628" s="118"/>
      <c r="AK628" s="118"/>
      <c r="AL628" s="118"/>
      <c r="AM628" s="118"/>
      <c r="AN628" s="118"/>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8"/>
      <c r="AH629" s="118"/>
      <c r="AI629" s="118"/>
      <c r="AJ629" s="118"/>
      <c r="AK629" s="118"/>
      <c r="AL629" s="118"/>
      <c r="AM629" s="118"/>
      <c r="AN629" s="118"/>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8"/>
      <c r="AH630" s="118"/>
      <c r="AI630" s="118"/>
      <c r="AJ630" s="118"/>
      <c r="AK630" s="118"/>
      <c r="AL630" s="118"/>
      <c r="AM630" s="118"/>
      <c r="AN630" s="118"/>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8"/>
      <c r="AH631" s="118"/>
      <c r="AI631" s="118"/>
      <c r="AJ631" s="118"/>
      <c r="AK631" s="118"/>
      <c r="AL631" s="118"/>
      <c r="AM631" s="118"/>
      <c r="AN631" s="118"/>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8"/>
      <c r="AH632" s="118"/>
      <c r="AI632" s="118"/>
      <c r="AJ632" s="118"/>
      <c r="AK632" s="118"/>
      <c r="AL632" s="118"/>
      <c r="AM632" s="118"/>
      <c r="AN632" s="118"/>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8"/>
      <c r="AH633" s="118"/>
      <c r="AI633" s="118"/>
      <c r="AJ633" s="118"/>
      <c r="AK633" s="118"/>
      <c r="AL633" s="118"/>
      <c r="AM633" s="118"/>
      <c r="AN633" s="118"/>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8"/>
      <c r="AH634" s="118"/>
      <c r="AI634" s="118"/>
      <c r="AJ634" s="118"/>
      <c r="AK634" s="118"/>
      <c r="AL634" s="118"/>
      <c r="AM634" s="118"/>
      <c r="AN634" s="118"/>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8"/>
      <c r="AH635" s="118"/>
      <c r="AI635" s="118"/>
      <c r="AJ635" s="118"/>
      <c r="AK635" s="118"/>
      <c r="AL635" s="118"/>
      <c r="AM635" s="118"/>
      <c r="AN635" s="118"/>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8"/>
      <c r="AH636" s="118"/>
      <c r="AI636" s="118"/>
      <c r="AJ636" s="118"/>
      <c r="AK636" s="118"/>
      <c r="AL636" s="118"/>
      <c r="AM636" s="118"/>
      <c r="AN636" s="118"/>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8"/>
      <c r="AH637" s="118"/>
      <c r="AI637" s="118"/>
      <c r="AJ637" s="118"/>
      <c r="AK637" s="118"/>
      <c r="AL637" s="118"/>
      <c r="AM637" s="118"/>
      <c r="AN637" s="118"/>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8"/>
      <c r="AH638" s="118"/>
      <c r="AI638" s="118"/>
      <c r="AJ638" s="118"/>
      <c r="AK638" s="118"/>
      <c r="AL638" s="118"/>
      <c r="AM638" s="118"/>
      <c r="AN638" s="118"/>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8"/>
      <c r="AH639" s="118"/>
      <c r="AI639" s="118"/>
      <c r="AJ639" s="118"/>
      <c r="AK639" s="118"/>
      <c r="AL639" s="118"/>
      <c r="AM639" s="118"/>
      <c r="AN639" s="118"/>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8"/>
      <c r="AH640" s="118"/>
      <c r="AI640" s="118"/>
      <c r="AJ640" s="118"/>
      <c r="AK640" s="118"/>
      <c r="AL640" s="118"/>
      <c r="AM640" s="118"/>
      <c r="AN640" s="118"/>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8"/>
      <c r="AH641" s="118"/>
      <c r="AI641" s="118"/>
      <c r="AJ641" s="118"/>
      <c r="AK641" s="118"/>
      <c r="AL641" s="118"/>
      <c r="AM641" s="118"/>
      <c r="AN641" s="118"/>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8"/>
      <c r="AH642" s="118"/>
      <c r="AI642" s="118"/>
      <c r="AJ642" s="118"/>
      <c r="AK642" s="118"/>
      <c r="AL642" s="118"/>
      <c r="AM642" s="118"/>
      <c r="AN642" s="118"/>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8"/>
      <c r="AH643" s="118"/>
      <c r="AI643" s="118"/>
      <c r="AJ643" s="118"/>
      <c r="AK643" s="118"/>
      <c r="AL643" s="118"/>
      <c r="AM643" s="118"/>
      <c r="AN643" s="118"/>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8"/>
      <c r="AH644" s="118"/>
      <c r="AI644" s="118"/>
      <c r="AJ644" s="118"/>
      <c r="AK644" s="118"/>
      <c r="AL644" s="118"/>
      <c r="AM644" s="118"/>
      <c r="AN644" s="118"/>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8"/>
      <c r="AH645" s="118"/>
      <c r="AI645" s="118"/>
      <c r="AJ645" s="118"/>
      <c r="AK645" s="118"/>
      <c r="AL645" s="118"/>
      <c r="AM645" s="118"/>
      <c r="AN645" s="118"/>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8"/>
      <c r="AH646" s="118"/>
      <c r="AI646" s="118"/>
      <c r="AJ646" s="118"/>
      <c r="AK646" s="118"/>
      <c r="AL646" s="118"/>
      <c r="AM646" s="118"/>
      <c r="AN646" s="118"/>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8"/>
      <c r="AH647" s="118"/>
      <c r="AI647" s="118"/>
      <c r="AJ647" s="118"/>
      <c r="AK647" s="118"/>
      <c r="AL647" s="118"/>
      <c r="AM647" s="118"/>
      <c r="AN647" s="118"/>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8"/>
      <c r="AH648" s="118"/>
      <c r="AI648" s="118"/>
      <c r="AJ648" s="118"/>
      <c r="AK648" s="118"/>
      <c r="AL648" s="118"/>
      <c r="AM648" s="118"/>
      <c r="AN648" s="118"/>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8"/>
      <c r="AH649" s="118"/>
      <c r="AI649" s="118"/>
      <c r="AJ649" s="118"/>
      <c r="AK649" s="118"/>
      <c r="AL649" s="118"/>
      <c r="AM649" s="118"/>
      <c r="AN649" s="118"/>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8"/>
      <c r="AH650" s="118"/>
      <c r="AI650" s="118"/>
      <c r="AJ650" s="118"/>
      <c r="AK650" s="118"/>
      <c r="AL650" s="118"/>
      <c r="AM650" s="118"/>
      <c r="AN650" s="118"/>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8"/>
      <c r="AH651" s="118"/>
      <c r="AI651" s="118"/>
      <c r="AJ651" s="118"/>
      <c r="AK651" s="118"/>
      <c r="AL651" s="118"/>
      <c r="AM651" s="118"/>
      <c r="AN651" s="118"/>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8"/>
      <c r="AH652" s="118"/>
      <c r="AI652" s="118"/>
      <c r="AJ652" s="118"/>
      <c r="AK652" s="118"/>
      <c r="AL652" s="118"/>
      <c r="AM652" s="118"/>
      <c r="AN652" s="118"/>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8"/>
      <c r="AH653" s="118"/>
      <c r="AI653" s="118"/>
      <c r="AJ653" s="118"/>
      <c r="AK653" s="118"/>
      <c r="AL653" s="118"/>
      <c r="AM653" s="118"/>
      <c r="AN653" s="118"/>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8"/>
      <c r="AH654" s="118"/>
      <c r="AI654" s="118"/>
      <c r="AJ654" s="118"/>
      <c r="AK654" s="118"/>
      <c r="AL654" s="118"/>
      <c r="AM654" s="118"/>
      <c r="AN654" s="118"/>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8"/>
      <c r="AH655" s="118"/>
      <c r="AI655" s="118"/>
      <c r="AJ655" s="118"/>
      <c r="AK655" s="118"/>
      <c r="AL655" s="118"/>
      <c r="AM655" s="118"/>
      <c r="AN655" s="118"/>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8"/>
      <c r="AH656" s="118"/>
      <c r="AI656" s="118"/>
      <c r="AJ656" s="118"/>
      <c r="AK656" s="118"/>
      <c r="AL656" s="118"/>
      <c r="AM656" s="118"/>
      <c r="AN656" s="118"/>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8"/>
      <c r="AH657" s="118"/>
      <c r="AI657" s="118"/>
      <c r="AJ657" s="118"/>
      <c r="AK657" s="118"/>
      <c r="AL657" s="118"/>
      <c r="AM657" s="118"/>
      <c r="AN657" s="118"/>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8"/>
      <c r="AH658" s="118"/>
      <c r="AI658" s="118"/>
      <c r="AJ658" s="118"/>
      <c r="AK658" s="118"/>
      <c r="AL658" s="118"/>
      <c r="AM658" s="118"/>
      <c r="AN658" s="118"/>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8"/>
      <c r="AH659" s="118"/>
      <c r="AI659" s="118"/>
      <c r="AJ659" s="118"/>
      <c r="AK659" s="118"/>
      <c r="AL659" s="118"/>
      <c r="AM659" s="118"/>
      <c r="AN659" s="118"/>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8"/>
      <c r="AH660" s="118"/>
      <c r="AI660" s="118"/>
      <c r="AJ660" s="118"/>
      <c r="AK660" s="118"/>
      <c r="AL660" s="118"/>
      <c r="AM660" s="118"/>
      <c r="AN660" s="118"/>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8"/>
      <c r="AH661" s="118"/>
      <c r="AI661" s="118"/>
      <c r="AJ661" s="118"/>
      <c r="AK661" s="118"/>
      <c r="AL661" s="118"/>
      <c r="AM661" s="118"/>
      <c r="AN661" s="118"/>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8"/>
      <c r="AH662" s="118"/>
      <c r="AI662" s="118"/>
      <c r="AJ662" s="118"/>
      <c r="AK662" s="118"/>
      <c r="AL662" s="118"/>
      <c r="AM662" s="118"/>
      <c r="AN662" s="118"/>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8"/>
      <c r="AH663" s="118"/>
      <c r="AI663" s="118"/>
      <c r="AJ663" s="118"/>
      <c r="AK663" s="118"/>
      <c r="AL663" s="118"/>
      <c r="AM663" s="118"/>
      <c r="AN663" s="118"/>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8"/>
      <c r="AH664" s="118"/>
      <c r="AI664" s="118"/>
      <c r="AJ664" s="118"/>
      <c r="AK664" s="118"/>
      <c r="AL664" s="118"/>
      <c r="AM664" s="118"/>
      <c r="AN664" s="118"/>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8"/>
      <c r="AH665" s="118"/>
      <c r="AI665" s="118"/>
      <c r="AJ665" s="118"/>
      <c r="AK665" s="118"/>
      <c r="AL665" s="118"/>
      <c r="AM665" s="118"/>
      <c r="AN665" s="118"/>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8"/>
      <c r="AH666" s="118"/>
      <c r="AI666" s="118"/>
      <c r="AJ666" s="118"/>
      <c r="AK666" s="118"/>
      <c r="AL666" s="118"/>
      <c r="AM666" s="118"/>
      <c r="AN666" s="118"/>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8"/>
      <c r="AH667" s="118"/>
      <c r="AI667" s="118"/>
      <c r="AJ667" s="118"/>
      <c r="AK667" s="118"/>
      <c r="AL667" s="118"/>
      <c r="AM667" s="118"/>
      <c r="AN667" s="118"/>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8"/>
      <c r="AH668" s="118"/>
      <c r="AI668" s="118"/>
      <c r="AJ668" s="118"/>
      <c r="AK668" s="118"/>
      <c r="AL668" s="118"/>
      <c r="AM668" s="118"/>
      <c r="AN668" s="118"/>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8"/>
      <c r="AH669" s="118"/>
      <c r="AI669" s="118"/>
      <c r="AJ669" s="118"/>
      <c r="AK669" s="118"/>
      <c r="AL669" s="118"/>
      <c r="AM669" s="118"/>
      <c r="AN669" s="118"/>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8"/>
      <c r="AH670" s="118"/>
      <c r="AI670" s="118"/>
      <c r="AJ670" s="118"/>
      <c r="AK670" s="118"/>
      <c r="AL670" s="118"/>
      <c r="AM670" s="118"/>
      <c r="AN670" s="118"/>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8"/>
      <c r="AH671" s="118"/>
      <c r="AI671" s="118"/>
      <c r="AJ671" s="118"/>
      <c r="AK671" s="118"/>
      <c r="AL671" s="118"/>
      <c r="AM671" s="118"/>
      <c r="AN671" s="118"/>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8"/>
      <c r="AH672" s="118"/>
      <c r="AI672" s="118"/>
      <c r="AJ672" s="118"/>
      <c r="AK672" s="118"/>
      <c r="AL672" s="118"/>
      <c r="AM672" s="118"/>
      <c r="AN672" s="118"/>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8"/>
      <c r="AH673" s="118"/>
      <c r="AI673" s="118"/>
      <c r="AJ673" s="118"/>
      <c r="AK673" s="118"/>
      <c r="AL673" s="118"/>
      <c r="AM673" s="118"/>
      <c r="AN673" s="118"/>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8"/>
      <c r="AH674" s="118"/>
      <c r="AI674" s="118"/>
      <c r="AJ674" s="118"/>
      <c r="AK674" s="118"/>
      <c r="AL674" s="118"/>
      <c r="AM674" s="118"/>
      <c r="AN674" s="118"/>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8"/>
      <c r="AH675" s="118"/>
      <c r="AI675" s="118"/>
      <c r="AJ675" s="118"/>
      <c r="AK675" s="118"/>
      <c r="AL675" s="118"/>
      <c r="AM675" s="118"/>
      <c r="AN675" s="118"/>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8"/>
      <c r="AH676" s="118"/>
      <c r="AI676" s="118"/>
      <c r="AJ676" s="118"/>
      <c r="AK676" s="118"/>
      <c r="AL676" s="118"/>
      <c r="AM676" s="118"/>
      <c r="AN676" s="118"/>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8"/>
      <c r="AH677" s="118"/>
      <c r="AI677" s="118"/>
      <c r="AJ677" s="118"/>
      <c r="AK677" s="118"/>
      <c r="AL677" s="118"/>
      <c r="AM677" s="118"/>
      <c r="AN677" s="118"/>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8"/>
      <c r="AH678" s="118"/>
      <c r="AI678" s="118"/>
      <c r="AJ678" s="118"/>
      <c r="AK678" s="118"/>
      <c r="AL678" s="118"/>
      <c r="AM678" s="118"/>
      <c r="AN678" s="118"/>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8"/>
      <c r="AH679" s="118"/>
      <c r="AI679" s="118"/>
      <c r="AJ679" s="118"/>
      <c r="AK679" s="118"/>
      <c r="AL679" s="118"/>
      <c r="AM679" s="118"/>
      <c r="AN679" s="118"/>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8"/>
      <c r="AH680" s="118"/>
      <c r="AI680" s="118"/>
      <c r="AJ680" s="118"/>
      <c r="AK680" s="118"/>
      <c r="AL680" s="118"/>
      <c r="AM680" s="118"/>
      <c r="AN680" s="118"/>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8"/>
      <c r="AH681" s="118"/>
      <c r="AI681" s="118"/>
      <c r="AJ681" s="118"/>
      <c r="AK681" s="118"/>
      <c r="AL681" s="118"/>
      <c r="AM681" s="118"/>
      <c r="AN681" s="118"/>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8"/>
      <c r="AH682" s="118"/>
      <c r="AI682" s="118"/>
      <c r="AJ682" s="118"/>
      <c r="AK682" s="118"/>
      <c r="AL682" s="118"/>
      <c r="AM682" s="118"/>
      <c r="AN682" s="118"/>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8"/>
      <c r="AH683" s="118"/>
      <c r="AI683" s="118"/>
      <c r="AJ683" s="118"/>
      <c r="AK683" s="118"/>
      <c r="AL683" s="118"/>
      <c r="AM683" s="118"/>
      <c r="AN683" s="118"/>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8"/>
      <c r="AH684" s="118"/>
      <c r="AI684" s="118"/>
      <c r="AJ684" s="118"/>
      <c r="AK684" s="118"/>
      <c r="AL684" s="118"/>
      <c r="AM684" s="118"/>
      <c r="AN684" s="118"/>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8"/>
      <c r="AH685" s="118"/>
      <c r="AI685" s="118"/>
      <c r="AJ685" s="118"/>
      <c r="AK685" s="118"/>
      <c r="AL685" s="118"/>
      <c r="AM685" s="118"/>
      <c r="AN685" s="118"/>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8"/>
      <c r="AH686" s="118"/>
      <c r="AI686" s="118"/>
      <c r="AJ686" s="118"/>
      <c r="AK686" s="118"/>
      <c r="AL686" s="118"/>
      <c r="AM686" s="118"/>
      <c r="AN686" s="118"/>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8"/>
      <c r="AH687" s="118"/>
      <c r="AI687" s="118"/>
      <c r="AJ687" s="118"/>
      <c r="AK687" s="118"/>
      <c r="AL687" s="118"/>
      <c r="AM687" s="118"/>
      <c r="AN687" s="118"/>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8"/>
      <c r="AH688" s="118"/>
      <c r="AI688" s="118"/>
      <c r="AJ688" s="118"/>
      <c r="AK688" s="118"/>
      <c r="AL688" s="118"/>
      <c r="AM688" s="118"/>
      <c r="AN688" s="118"/>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8"/>
      <c r="AH689" s="118"/>
      <c r="AI689" s="118"/>
      <c r="AJ689" s="118"/>
      <c r="AK689" s="118"/>
      <c r="AL689" s="118"/>
      <c r="AM689" s="118"/>
      <c r="AN689" s="118"/>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8"/>
      <c r="AH690" s="118"/>
      <c r="AI690" s="118"/>
      <c r="AJ690" s="118"/>
      <c r="AK690" s="118"/>
      <c r="AL690" s="118"/>
      <c r="AM690" s="118"/>
      <c r="AN690" s="118"/>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8"/>
      <c r="AH691" s="118"/>
      <c r="AI691" s="118"/>
      <c r="AJ691" s="118"/>
      <c r="AK691" s="118"/>
      <c r="AL691" s="118"/>
      <c r="AM691" s="118"/>
      <c r="AN691" s="118"/>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8"/>
      <c r="AH692" s="118"/>
      <c r="AI692" s="118"/>
      <c r="AJ692" s="118"/>
      <c r="AK692" s="118"/>
      <c r="AL692" s="118"/>
      <c r="AM692" s="118"/>
      <c r="AN692" s="118"/>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8"/>
      <c r="AH693" s="118"/>
      <c r="AI693" s="118"/>
      <c r="AJ693" s="118"/>
      <c r="AK693" s="118"/>
      <c r="AL693" s="118"/>
      <c r="AM693" s="118"/>
      <c r="AN693" s="118"/>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8"/>
      <c r="AH694" s="118"/>
      <c r="AI694" s="118"/>
      <c r="AJ694" s="118"/>
      <c r="AK694" s="118"/>
      <c r="AL694" s="118"/>
      <c r="AM694" s="118"/>
      <c r="AN694" s="118"/>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8"/>
      <c r="AH695" s="118"/>
      <c r="AI695" s="118"/>
      <c r="AJ695" s="118"/>
      <c r="AK695" s="118"/>
      <c r="AL695" s="118"/>
      <c r="AM695" s="118"/>
      <c r="AN695" s="118"/>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8"/>
      <c r="AH696" s="118"/>
      <c r="AI696" s="118"/>
      <c r="AJ696" s="118"/>
      <c r="AK696" s="118"/>
      <c r="AL696" s="118"/>
      <c r="AM696" s="118"/>
      <c r="AN696" s="118"/>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8"/>
      <c r="AH697" s="118"/>
      <c r="AI697" s="118"/>
      <c r="AJ697" s="118"/>
      <c r="AK697" s="118"/>
      <c r="AL697" s="118"/>
      <c r="AM697" s="118"/>
      <c r="AN697" s="118"/>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8"/>
      <c r="AH698" s="118"/>
      <c r="AI698" s="118"/>
      <c r="AJ698" s="118"/>
      <c r="AK698" s="118"/>
      <c r="AL698" s="118"/>
      <c r="AM698" s="118"/>
      <c r="AN698" s="118"/>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8"/>
      <c r="AH699" s="118"/>
      <c r="AI699" s="118"/>
      <c r="AJ699" s="118"/>
      <c r="AK699" s="118"/>
      <c r="AL699" s="118"/>
      <c r="AM699" s="118"/>
      <c r="AN699" s="118"/>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8"/>
      <c r="AH700" s="118"/>
      <c r="AI700" s="118"/>
      <c r="AJ700" s="118"/>
      <c r="AK700" s="118"/>
      <c r="AL700" s="118"/>
      <c r="AM700" s="118"/>
      <c r="AN700" s="118"/>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8"/>
      <c r="AH701" s="118"/>
      <c r="AI701" s="118"/>
      <c r="AJ701" s="118"/>
      <c r="AK701" s="118"/>
      <c r="AL701" s="118"/>
      <c r="AM701" s="118"/>
      <c r="AN701" s="118"/>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8"/>
      <c r="AH702" s="118"/>
      <c r="AI702" s="118"/>
      <c r="AJ702" s="118"/>
      <c r="AK702" s="118"/>
      <c r="AL702" s="118"/>
      <c r="AM702" s="118"/>
      <c r="AN702" s="118"/>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8"/>
      <c r="AH703" s="118"/>
      <c r="AI703" s="118"/>
      <c r="AJ703" s="118"/>
      <c r="AK703" s="118"/>
      <c r="AL703" s="118"/>
      <c r="AM703" s="118"/>
      <c r="AN703" s="118"/>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8"/>
      <c r="AH704" s="118"/>
      <c r="AI704" s="118"/>
      <c r="AJ704" s="118"/>
      <c r="AK704" s="118"/>
      <c r="AL704" s="118"/>
      <c r="AM704" s="118"/>
      <c r="AN704" s="118"/>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8"/>
      <c r="AH705" s="118"/>
      <c r="AI705" s="118"/>
      <c r="AJ705" s="118"/>
      <c r="AK705" s="118"/>
      <c r="AL705" s="118"/>
      <c r="AM705" s="118"/>
      <c r="AN705" s="118"/>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8"/>
      <c r="AH706" s="118"/>
      <c r="AI706" s="118"/>
      <c r="AJ706" s="118"/>
      <c r="AK706" s="118"/>
      <c r="AL706" s="118"/>
      <c r="AM706" s="118"/>
      <c r="AN706" s="118"/>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8"/>
      <c r="AH707" s="118"/>
      <c r="AI707" s="118"/>
      <c r="AJ707" s="118"/>
      <c r="AK707" s="118"/>
      <c r="AL707" s="118"/>
      <c r="AM707" s="118"/>
      <c r="AN707" s="118"/>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8"/>
      <c r="AH708" s="118"/>
      <c r="AI708" s="118"/>
      <c r="AJ708" s="118"/>
      <c r="AK708" s="118"/>
      <c r="AL708" s="118"/>
      <c r="AM708" s="118"/>
      <c r="AN708" s="118"/>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8"/>
      <c r="AH709" s="118"/>
      <c r="AI709" s="118"/>
      <c r="AJ709" s="118"/>
      <c r="AK709" s="118"/>
      <c r="AL709" s="118"/>
      <c r="AM709" s="118"/>
      <c r="AN709" s="118"/>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8"/>
      <c r="AH710" s="118"/>
      <c r="AI710" s="118"/>
      <c r="AJ710" s="118"/>
      <c r="AK710" s="118"/>
      <c r="AL710" s="118"/>
      <c r="AM710" s="118"/>
      <c r="AN710" s="118"/>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8"/>
      <c r="AH711" s="118"/>
      <c r="AI711" s="118"/>
      <c r="AJ711" s="118"/>
      <c r="AK711" s="118"/>
      <c r="AL711" s="118"/>
      <c r="AM711" s="118"/>
      <c r="AN711" s="118"/>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8"/>
      <c r="AH712" s="118"/>
      <c r="AI712" s="118"/>
      <c r="AJ712" s="118"/>
      <c r="AK712" s="118"/>
      <c r="AL712" s="118"/>
      <c r="AM712" s="118"/>
      <c r="AN712" s="118"/>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8"/>
      <c r="AH713" s="118"/>
      <c r="AI713" s="118"/>
      <c r="AJ713" s="118"/>
      <c r="AK713" s="118"/>
      <c r="AL713" s="118"/>
      <c r="AM713" s="118"/>
      <c r="AN713" s="118"/>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8"/>
      <c r="AH714" s="118"/>
      <c r="AI714" s="118"/>
      <c r="AJ714" s="118"/>
      <c r="AK714" s="118"/>
      <c r="AL714" s="118"/>
      <c r="AM714" s="118"/>
      <c r="AN714" s="118"/>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8"/>
      <c r="AH715" s="118"/>
      <c r="AI715" s="118"/>
      <c r="AJ715" s="118"/>
      <c r="AK715" s="118"/>
      <c r="AL715" s="118"/>
      <c r="AM715" s="118"/>
      <c r="AN715" s="118"/>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8"/>
      <c r="AH716" s="118"/>
      <c r="AI716" s="118"/>
      <c r="AJ716" s="118"/>
      <c r="AK716" s="118"/>
      <c r="AL716" s="118"/>
      <c r="AM716" s="118"/>
      <c r="AN716" s="118"/>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8"/>
      <c r="AH717" s="118"/>
      <c r="AI717" s="118"/>
      <c r="AJ717" s="118"/>
      <c r="AK717" s="118"/>
      <c r="AL717" s="118"/>
      <c r="AM717" s="118"/>
      <c r="AN717" s="118"/>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8"/>
      <c r="AH718" s="118"/>
      <c r="AI718" s="118"/>
      <c r="AJ718" s="118"/>
      <c r="AK718" s="118"/>
      <c r="AL718" s="118"/>
      <c r="AM718" s="118"/>
      <c r="AN718" s="118"/>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8"/>
      <c r="AH719" s="118"/>
      <c r="AI719" s="118"/>
      <c r="AJ719" s="118"/>
      <c r="AK719" s="118"/>
      <c r="AL719" s="118"/>
      <c r="AM719" s="118"/>
      <c r="AN719" s="118"/>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8"/>
      <c r="AH720" s="118"/>
      <c r="AI720" s="118"/>
      <c r="AJ720" s="118"/>
      <c r="AK720" s="118"/>
      <c r="AL720" s="118"/>
      <c r="AM720" s="118"/>
      <c r="AN720" s="118"/>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8"/>
      <c r="AH721" s="118"/>
      <c r="AI721" s="118"/>
      <c r="AJ721" s="118"/>
      <c r="AK721" s="118"/>
      <c r="AL721" s="118"/>
      <c r="AM721" s="118"/>
      <c r="AN721" s="118"/>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8"/>
      <c r="AH722" s="118"/>
      <c r="AI722" s="118"/>
      <c r="AJ722" s="118"/>
      <c r="AK722" s="118"/>
      <c r="AL722" s="118"/>
      <c r="AM722" s="118"/>
      <c r="AN722" s="118"/>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8"/>
      <c r="AH723" s="118"/>
      <c r="AI723" s="118"/>
      <c r="AJ723" s="118"/>
      <c r="AK723" s="118"/>
      <c r="AL723" s="118"/>
      <c r="AM723" s="118"/>
      <c r="AN723" s="118"/>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8"/>
      <c r="AH724" s="118"/>
      <c r="AI724" s="118"/>
      <c r="AJ724" s="118"/>
      <c r="AK724" s="118"/>
      <c r="AL724" s="118"/>
      <c r="AM724" s="118"/>
      <c r="AN724" s="118"/>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8"/>
      <c r="AH725" s="118"/>
      <c r="AI725" s="118"/>
      <c r="AJ725" s="118"/>
      <c r="AK725" s="118"/>
      <c r="AL725" s="118"/>
      <c r="AM725" s="118"/>
      <c r="AN725" s="118"/>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8"/>
      <c r="AH726" s="118"/>
      <c r="AI726" s="118"/>
      <c r="AJ726" s="118"/>
      <c r="AK726" s="118"/>
      <c r="AL726" s="118"/>
      <c r="AM726" s="118"/>
      <c r="AN726" s="118"/>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8"/>
      <c r="AH727" s="118"/>
      <c r="AI727" s="118"/>
      <c r="AJ727" s="118"/>
      <c r="AK727" s="118"/>
      <c r="AL727" s="118"/>
      <c r="AM727" s="118"/>
      <c r="AN727" s="118"/>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8"/>
      <c r="AH728" s="118"/>
      <c r="AI728" s="118"/>
      <c r="AJ728" s="118"/>
      <c r="AK728" s="118"/>
      <c r="AL728" s="118"/>
      <c r="AM728" s="118"/>
      <c r="AN728" s="118"/>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8"/>
      <c r="AH729" s="118"/>
      <c r="AI729" s="118"/>
      <c r="AJ729" s="118"/>
      <c r="AK729" s="118"/>
      <c r="AL729" s="118"/>
      <c r="AM729" s="118"/>
      <c r="AN729" s="118"/>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8"/>
      <c r="AH730" s="118"/>
      <c r="AI730" s="118"/>
      <c r="AJ730" s="118"/>
      <c r="AK730" s="118"/>
      <c r="AL730" s="118"/>
      <c r="AM730" s="118"/>
      <c r="AN730" s="118"/>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8"/>
      <c r="AH731" s="118"/>
      <c r="AI731" s="118"/>
      <c r="AJ731" s="118"/>
      <c r="AK731" s="118"/>
      <c r="AL731" s="118"/>
      <c r="AM731" s="118"/>
      <c r="AN731" s="118"/>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8"/>
      <c r="AH732" s="118"/>
      <c r="AI732" s="118"/>
      <c r="AJ732" s="118"/>
      <c r="AK732" s="118"/>
      <c r="AL732" s="118"/>
      <c r="AM732" s="118"/>
      <c r="AN732" s="118"/>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8"/>
      <c r="AH733" s="118"/>
      <c r="AI733" s="118"/>
      <c r="AJ733" s="118"/>
      <c r="AK733" s="118"/>
      <c r="AL733" s="118"/>
      <c r="AM733" s="118"/>
      <c r="AN733" s="118"/>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8"/>
      <c r="AH734" s="118"/>
      <c r="AI734" s="118"/>
      <c r="AJ734" s="118"/>
      <c r="AK734" s="118"/>
      <c r="AL734" s="118"/>
      <c r="AM734" s="118"/>
      <c r="AN734" s="118"/>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8"/>
      <c r="AH735" s="118"/>
      <c r="AI735" s="118"/>
      <c r="AJ735" s="118"/>
      <c r="AK735" s="118"/>
      <c r="AL735" s="118"/>
      <c r="AM735" s="118"/>
      <c r="AN735" s="118"/>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8"/>
      <c r="AH736" s="118"/>
      <c r="AI736" s="118"/>
      <c r="AJ736" s="118"/>
      <c r="AK736" s="118"/>
      <c r="AL736" s="118"/>
      <c r="AM736" s="118"/>
      <c r="AN736" s="118"/>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8"/>
      <c r="AH737" s="118"/>
      <c r="AI737" s="118"/>
      <c r="AJ737" s="118"/>
      <c r="AK737" s="118"/>
      <c r="AL737" s="118"/>
      <c r="AM737" s="118"/>
      <c r="AN737" s="118"/>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8"/>
      <c r="AH738" s="118"/>
      <c r="AI738" s="118"/>
      <c r="AJ738" s="118"/>
      <c r="AK738" s="118"/>
      <c r="AL738" s="118"/>
      <c r="AM738" s="118"/>
      <c r="AN738" s="118"/>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8"/>
      <c r="AH739" s="118"/>
      <c r="AI739" s="118"/>
      <c r="AJ739" s="118"/>
      <c r="AK739" s="118"/>
      <c r="AL739" s="118"/>
      <c r="AM739" s="118"/>
      <c r="AN739" s="118"/>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8"/>
      <c r="AH740" s="118"/>
      <c r="AI740" s="118"/>
      <c r="AJ740" s="118"/>
      <c r="AK740" s="118"/>
      <c r="AL740" s="118"/>
      <c r="AM740" s="118"/>
      <c r="AN740" s="118"/>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8"/>
      <c r="AH741" s="118"/>
      <c r="AI741" s="118"/>
      <c r="AJ741" s="118"/>
      <c r="AK741" s="118"/>
      <c r="AL741" s="118"/>
      <c r="AM741" s="118"/>
      <c r="AN741" s="118"/>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8"/>
      <c r="AH742" s="118"/>
      <c r="AI742" s="118"/>
      <c r="AJ742" s="118"/>
      <c r="AK742" s="118"/>
      <c r="AL742" s="118"/>
      <c r="AM742" s="118"/>
      <c r="AN742" s="118"/>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8"/>
      <c r="AH743" s="118"/>
      <c r="AI743" s="118"/>
      <c r="AJ743" s="118"/>
      <c r="AK743" s="118"/>
      <c r="AL743" s="118"/>
      <c r="AM743" s="118"/>
      <c r="AN743" s="118"/>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8"/>
      <c r="AH744" s="118"/>
      <c r="AI744" s="118"/>
      <c r="AJ744" s="118"/>
      <c r="AK744" s="118"/>
      <c r="AL744" s="118"/>
      <c r="AM744" s="118"/>
      <c r="AN744" s="118"/>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8"/>
      <c r="AH745" s="118"/>
      <c r="AI745" s="118"/>
      <c r="AJ745" s="118"/>
      <c r="AK745" s="118"/>
      <c r="AL745" s="118"/>
      <c r="AM745" s="118"/>
      <c r="AN745" s="118"/>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8"/>
      <c r="AH746" s="118"/>
      <c r="AI746" s="118"/>
      <c r="AJ746" s="118"/>
      <c r="AK746" s="118"/>
      <c r="AL746" s="118"/>
      <c r="AM746" s="118"/>
      <c r="AN746" s="118"/>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8"/>
      <c r="AH747" s="118"/>
      <c r="AI747" s="118"/>
      <c r="AJ747" s="118"/>
      <c r="AK747" s="118"/>
      <c r="AL747" s="118"/>
      <c r="AM747" s="118"/>
      <c r="AN747" s="118"/>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8"/>
      <c r="AH748" s="118"/>
      <c r="AI748" s="118"/>
      <c r="AJ748" s="118"/>
      <c r="AK748" s="118"/>
      <c r="AL748" s="118"/>
      <c r="AM748" s="118"/>
      <c r="AN748" s="118"/>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8"/>
      <c r="AH749" s="118"/>
      <c r="AI749" s="118"/>
      <c r="AJ749" s="118"/>
      <c r="AK749" s="118"/>
      <c r="AL749" s="118"/>
      <c r="AM749" s="118"/>
      <c r="AN749" s="118"/>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8"/>
      <c r="AH750" s="118"/>
      <c r="AI750" s="118"/>
      <c r="AJ750" s="118"/>
      <c r="AK750" s="118"/>
      <c r="AL750" s="118"/>
      <c r="AM750" s="118"/>
      <c r="AN750" s="118"/>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8"/>
      <c r="AH751" s="118"/>
      <c r="AI751" s="118"/>
      <c r="AJ751" s="118"/>
      <c r="AK751" s="118"/>
      <c r="AL751" s="118"/>
      <c r="AM751" s="118"/>
      <c r="AN751" s="118"/>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8"/>
      <c r="AH752" s="118"/>
      <c r="AI752" s="118"/>
      <c r="AJ752" s="118"/>
      <c r="AK752" s="118"/>
      <c r="AL752" s="118"/>
      <c r="AM752" s="118"/>
      <c r="AN752" s="118"/>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8"/>
      <c r="AH753" s="118"/>
      <c r="AI753" s="118"/>
      <c r="AJ753" s="118"/>
      <c r="AK753" s="118"/>
      <c r="AL753" s="118"/>
      <c r="AM753" s="118"/>
      <c r="AN753" s="118"/>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8"/>
      <c r="AH754" s="118"/>
      <c r="AI754" s="118"/>
      <c r="AJ754" s="118"/>
      <c r="AK754" s="118"/>
      <c r="AL754" s="118"/>
      <c r="AM754" s="118"/>
      <c r="AN754" s="118"/>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8"/>
      <c r="AH755" s="118"/>
      <c r="AI755" s="118"/>
      <c r="AJ755" s="118"/>
      <c r="AK755" s="118"/>
      <c r="AL755" s="118"/>
      <c r="AM755" s="118"/>
      <c r="AN755" s="118"/>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8"/>
      <c r="AH756" s="118"/>
      <c r="AI756" s="118"/>
      <c r="AJ756" s="118"/>
      <c r="AK756" s="118"/>
      <c r="AL756" s="118"/>
      <c r="AM756" s="118"/>
      <c r="AN756" s="118"/>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8"/>
      <c r="AH757" s="118"/>
      <c r="AI757" s="118"/>
      <c r="AJ757" s="118"/>
      <c r="AK757" s="118"/>
      <c r="AL757" s="118"/>
      <c r="AM757" s="118"/>
      <c r="AN757" s="118"/>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8"/>
      <c r="AH758" s="118"/>
      <c r="AI758" s="118"/>
      <c r="AJ758" s="118"/>
      <c r="AK758" s="118"/>
      <c r="AL758" s="118"/>
      <c r="AM758" s="118"/>
      <c r="AN758" s="118"/>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8"/>
      <c r="AH759" s="118"/>
      <c r="AI759" s="118"/>
      <c r="AJ759" s="118"/>
      <c r="AK759" s="118"/>
      <c r="AL759" s="118"/>
      <c r="AM759" s="118"/>
      <c r="AN759" s="118"/>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8"/>
      <c r="AH760" s="118"/>
      <c r="AI760" s="118"/>
      <c r="AJ760" s="118"/>
      <c r="AK760" s="118"/>
      <c r="AL760" s="118"/>
      <c r="AM760" s="118"/>
      <c r="AN760" s="118"/>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8"/>
      <c r="AH761" s="118"/>
      <c r="AI761" s="118"/>
      <c r="AJ761" s="118"/>
      <c r="AK761" s="118"/>
      <c r="AL761" s="118"/>
      <c r="AM761" s="118"/>
      <c r="AN761" s="118"/>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8"/>
      <c r="AH762" s="118"/>
      <c r="AI762" s="118"/>
      <c r="AJ762" s="118"/>
      <c r="AK762" s="118"/>
      <c r="AL762" s="118"/>
      <c r="AM762" s="118"/>
      <c r="AN762" s="118"/>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8"/>
      <c r="AH763" s="118"/>
      <c r="AI763" s="118"/>
      <c r="AJ763" s="118"/>
      <c r="AK763" s="118"/>
      <c r="AL763" s="118"/>
      <c r="AM763" s="118"/>
      <c r="AN763" s="118"/>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8"/>
      <c r="AH764" s="118"/>
      <c r="AI764" s="118"/>
      <c r="AJ764" s="118"/>
      <c r="AK764" s="118"/>
      <c r="AL764" s="118"/>
      <c r="AM764" s="118"/>
      <c r="AN764" s="118"/>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8"/>
      <c r="AH765" s="118"/>
      <c r="AI765" s="118"/>
      <c r="AJ765" s="118"/>
      <c r="AK765" s="118"/>
      <c r="AL765" s="118"/>
      <c r="AM765" s="118"/>
      <c r="AN765" s="118"/>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8"/>
      <c r="AH766" s="118"/>
      <c r="AI766" s="118"/>
      <c r="AJ766" s="118"/>
      <c r="AK766" s="118"/>
      <c r="AL766" s="118"/>
      <c r="AM766" s="118"/>
      <c r="AN766" s="118"/>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8"/>
      <c r="AH767" s="118"/>
      <c r="AI767" s="118"/>
      <c r="AJ767" s="118"/>
      <c r="AK767" s="118"/>
      <c r="AL767" s="118"/>
      <c r="AM767" s="118"/>
      <c r="AN767" s="118"/>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8"/>
      <c r="AH768" s="118"/>
      <c r="AI768" s="118"/>
      <c r="AJ768" s="118"/>
      <c r="AK768" s="118"/>
      <c r="AL768" s="118"/>
      <c r="AM768" s="118"/>
      <c r="AN768" s="118"/>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8"/>
      <c r="AH769" s="118"/>
      <c r="AI769" s="118"/>
      <c r="AJ769" s="118"/>
      <c r="AK769" s="118"/>
      <c r="AL769" s="118"/>
      <c r="AM769" s="118"/>
      <c r="AN769" s="118"/>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8"/>
      <c r="AH770" s="118"/>
      <c r="AI770" s="118"/>
      <c r="AJ770" s="118"/>
      <c r="AK770" s="118"/>
      <c r="AL770" s="118"/>
      <c r="AM770" s="118"/>
      <c r="AN770" s="118"/>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8"/>
      <c r="AH771" s="118"/>
      <c r="AI771" s="118"/>
      <c r="AJ771" s="118"/>
      <c r="AK771" s="118"/>
      <c r="AL771" s="118"/>
      <c r="AM771" s="118"/>
      <c r="AN771" s="118"/>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8"/>
      <c r="AH772" s="118"/>
      <c r="AI772" s="118"/>
      <c r="AJ772" s="118"/>
      <c r="AK772" s="118"/>
      <c r="AL772" s="118"/>
      <c r="AM772" s="118"/>
      <c r="AN772" s="118"/>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8"/>
      <c r="AH773" s="118"/>
      <c r="AI773" s="118"/>
      <c r="AJ773" s="118"/>
      <c r="AK773" s="118"/>
      <c r="AL773" s="118"/>
      <c r="AM773" s="118"/>
      <c r="AN773" s="118"/>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8"/>
      <c r="AH774" s="118"/>
      <c r="AI774" s="118"/>
      <c r="AJ774" s="118"/>
      <c r="AK774" s="118"/>
      <c r="AL774" s="118"/>
      <c r="AM774" s="118"/>
      <c r="AN774" s="118"/>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8"/>
      <c r="AH775" s="118"/>
      <c r="AI775" s="118"/>
      <c r="AJ775" s="118"/>
      <c r="AK775" s="118"/>
      <c r="AL775" s="118"/>
      <c r="AM775" s="118"/>
      <c r="AN775" s="118"/>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8"/>
      <c r="AH776" s="118"/>
      <c r="AI776" s="118"/>
      <c r="AJ776" s="118"/>
      <c r="AK776" s="118"/>
      <c r="AL776" s="118"/>
      <c r="AM776" s="118"/>
      <c r="AN776" s="118"/>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8"/>
      <c r="AH777" s="118"/>
      <c r="AI777" s="118"/>
      <c r="AJ777" s="118"/>
      <c r="AK777" s="118"/>
      <c r="AL777" s="118"/>
      <c r="AM777" s="118"/>
      <c r="AN777" s="118"/>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8"/>
      <c r="AH778" s="118"/>
      <c r="AI778" s="118"/>
      <c r="AJ778" s="118"/>
      <c r="AK778" s="118"/>
      <c r="AL778" s="118"/>
      <c r="AM778" s="118"/>
      <c r="AN778" s="118"/>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8"/>
      <c r="AH779" s="118"/>
      <c r="AI779" s="118"/>
      <c r="AJ779" s="118"/>
      <c r="AK779" s="118"/>
      <c r="AL779" s="118"/>
      <c r="AM779" s="118"/>
      <c r="AN779" s="118"/>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8"/>
      <c r="AH780" s="118"/>
      <c r="AI780" s="118"/>
      <c r="AJ780" s="118"/>
      <c r="AK780" s="118"/>
      <c r="AL780" s="118"/>
      <c r="AM780" s="118"/>
      <c r="AN780" s="118"/>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8"/>
      <c r="AH781" s="118"/>
      <c r="AI781" s="118"/>
      <c r="AJ781" s="118"/>
      <c r="AK781" s="118"/>
      <c r="AL781" s="118"/>
      <c r="AM781" s="118"/>
      <c r="AN781" s="118"/>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8"/>
      <c r="AH782" s="118"/>
      <c r="AI782" s="118"/>
      <c r="AJ782" s="118"/>
      <c r="AK782" s="118"/>
      <c r="AL782" s="118"/>
      <c r="AM782" s="118"/>
      <c r="AN782" s="118"/>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8"/>
      <c r="AH783" s="118"/>
      <c r="AI783" s="118"/>
      <c r="AJ783" s="118"/>
      <c r="AK783" s="118"/>
      <c r="AL783" s="118"/>
      <c r="AM783" s="118"/>
      <c r="AN783" s="118"/>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8"/>
      <c r="AH784" s="118"/>
      <c r="AI784" s="118"/>
      <c r="AJ784" s="118"/>
      <c r="AK784" s="118"/>
      <c r="AL784" s="118"/>
      <c r="AM784" s="118"/>
      <c r="AN784" s="118"/>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8"/>
      <c r="AH785" s="118"/>
      <c r="AI785" s="118"/>
      <c r="AJ785" s="118"/>
      <c r="AK785" s="118"/>
      <c r="AL785" s="118"/>
      <c r="AM785" s="118"/>
      <c r="AN785" s="118"/>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8"/>
      <c r="AH786" s="118"/>
      <c r="AI786" s="118"/>
      <c r="AJ786" s="118"/>
      <c r="AK786" s="118"/>
      <c r="AL786" s="118"/>
      <c r="AM786" s="118"/>
      <c r="AN786" s="118"/>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8"/>
      <c r="AH787" s="118"/>
      <c r="AI787" s="118"/>
      <c r="AJ787" s="118"/>
      <c r="AK787" s="118"/>
      <c r="AL787" s="118"/>
      <c r="AM787" s="118"/>
      <c r="AN787" s="118"/>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8"/>
      <c r="AH788" s="118"/>
      <c r="AI788" s="118"/>
      <c r="AJ788" s="118"/>
      <c r="AK788" s="118"/>
      <c r="AL788" s="118"/>
      <c r="AM788" s="118"/>
      <c r="AN788" s="118"/>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8"/>
      <c r="AH789" s="118"/>
      <c r="AI789" s="118"/>
      <c r="AJ789" s="118"/>
      <c r="AK789" s="118"/>
      <c r="AL789" s="118"/>
      <c r="AM789" s="118"/>
      <c r="AN789" s="118"/>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8"/>
      <c r="AH790" s="118"/>
      <c r="AI790" s="118"/>
      <c r="AJ790" s="118"/>
      <c r="AK790" s="118"/>
      <c r="AL790" s="118"/>
      <c r="AM790" s="118"/>
      <c r="AN790" s="118"/>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8"/>
      <c r="AH791" s="118"/>
      <c r="AI791" s="118"/>
      <c r="AJ791" s="118"/>
      <c r="AK791" s="118"/>
      <c r="AL791" s="118"/>
      <c r="AM791" s="118"/>
      <c r="AN791" s="118"/>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8"/>
      <c r="AH792" s="118"/>
      <c r="AI792" s="118"/>
      <c r="AJ792" s="118"/>
      <c r="AK792" s="118"/>
      <c r="AL792" s="118"/>
      <c r="AM792" s="118"/>
      <c r="AN792" s="118"/>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8"/>
      <c r="AH793" s="118"/>
      <c r="AI793" s="118"/>
      <c r="AJ793" s="118"/>
      <c r="AK793" s="118"/>
      <c r="AL793" s="118"/>
      <c r="AM793" s="118"/>
      <c r="AN793" s="118"/>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8"/>
      <c r="AH794" s="118"/>
      <c r="AI794" s="118"/>
      <c r="AJ794" s="118"/>
      <c r="AK794" s="118"/>
      <c r="AL794" s="118"/>
      <c r="AM794" s="118"/>
      <c r="AN794" s="118"/>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8"/>
      <c r="AH795" s="118"/>
      <c r="AI795" s="118"/>
      <c r="AJ795" s="118"/>
      <c r="AK795" s="118"/>
      <c r="AL795" s="118"/>
      <c r="AM795" s="118"/>
      <c r="AN795" s="118"/>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8"/>
      <c r="AH796" s="118"/>
      <c r="AI796" s="118"/>
      <c r="AJ796" s="118"/>
      <c r="AK796" s="118"/>
      <c r="AL796" s="118"/>
      <c r="AM796" s="118"/>
      <c r="AN796" s="118"/>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8"/>
      <c r="AH797" s="118"/>
      <c r="AI797" s="118"/>
      <c r="AJ797" s="118"/>
      <c r="AK797" s="118"/>
      <c r="AL797" s="118"/>
      <c r="AM797" s="118"/>
      <c r="AN797" s="118"/>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8"/>
      <c r="AH798" s="118"/>
      <c r="AI798" s="118"/>
      <c r="AJ798" s="118"/>
      <c r="AK798" s="118"/>
      <c r="AL798" s="118"/>
      <c r="AM798" s="118"/>
      <c r="AN798" s="118"/>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8"/>
      <c r="AH799" s="118"/>
      <c r="AI799" s="118"/>
      <c r="AJ799" s="118"/>
      <c r="AK799" s="118"/>
      <c r="AL799" s="118"/>
      <c r="AM799" s="118"/>
      <c r="AN799" s="118"/>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8"/>
      <c r="AH800" s="118"/>
      <c r="AI800" s="118"/>
      <c r="AJ800" s="118"/>
      <c r="AK800" s="118"/>
      <c r="AL800" s="118"/>
      <c r="AM800" s="118"/>
      <c r="AN800" s="118"/>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8"/>
      <c r="AH801" s="118"/>
      <c r="AI801" s="118"/>
      <c r="AJ801" s="118"/>
      <c r="AK801" s="118"/>
      <c r="AL801" s="118"/>
      <c r="AM801" s="118"/>
      <c r="AN801" s="118"/>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8"/>
      <c r="AH802" s="118"/>
      <c r="AI802" s="118"/>
      <c r="AJ802" s="118"/>
      <c r="AK802" s="118"/>
      <c r="AL802" s="118"/>
      <c r="AM802" s="118"/>
      <c r="AN802" s="118"/>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8"/>
      <c r="AH803" s="118"/>
      <c r="AI803" s="118"/>
      <c r="AJ803" s="118"/>
      <c r="AK803" s="118"/>
      <c r="AL803" s="118"/>
      <c r="AM803" s="118"/>
      <c r="AN803" s="118"/>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8"/>
      <c r="AH804" s="118"/>
      <c r="AI804" s="118"/>
      <c r="AJ804" s="118"/>
      <c r="AK804" s="118"/>
      <c r="AL804" s="118"/>
      <c r="AM804" s="118"/>
      <c r="AN804" s="118"/>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8"/>
      <c r="AH805" s="118"/>
      <c r="AI805" s="118"/>
      <c r="AJ805" s="118"/>
      <c r="AK805" s="118"/>
      <c r="AL805" s="118"/>
      <c r="AM805" s="118"/>
      <c r="AN805" s="118"/>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8"/>
      <c r="AH806" s="118"/>
      <c r="AI806" s="118"/>
      <c r="AJ806" s="118"/>
      <c r="AK806" s="118"/>
      <c r="AL806" s="118"/>
      <c r="AM806" s="118"/>
      <c r="AN806" s="118"/>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8"/>
      <c r="AH807" s="118"/>
      <c r="AI807" s="118"/>
      <c r="AJ807" s="118"/>
      <c r="AK807" s="118"/>
      <c r="AL807" s="118"/>
      <c r="AM807" s="118"/>
      <c r="AN807" s="118"/>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8"/>
      <c r="AH808" s="118"/>
      <c r="AI808" s="118"/>
      <c r="AJ808" s="118"/>
      <c r="AK808" s="118"/>
      <c r="AL808" s="118"/>
      <c r="AM808" s="118"/>
      <c r="AN808" s="118"/>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8"/>
      <c r="AH809" s="118"/>
      <c r="AI809" s="118"/>
      <c r="AJ809" s="118"/>
      <c r="AK809" s="118"/>
      <c r="AL809" s="118"/>
      <c r="AM809" s="118"/>
      <c r="AN809" s="118"/>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8"/>
      <c r="AH810" s="118"/>
      <c r="AI810" s="118"/>
      <c r="AJ810" s="118"/>
      <c r="AK810" s="118"/>
      <c r="AL810" s="118"/>
      <c r="AM810" s="118"/>
      <c r="AN810" s="118"/>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8"/>
      <c r="AH811" s="118"/>
      <c r="AI811" s="118"/>
      <c r="AJ811" s="118"/>
      <c r="AK811" s="118"/>
      <c r="AL811" s="118"/>
      <c r="AM811" s="118"/>
      <c r="AN811" s="118"/>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8"/>
      <c r="AH812" s="118"/>
      <c r="AI812" s="118"/>
      <c r="AJ812" s="118"/>
      <c r="AK812" s="118"/>
      <c r="AL812" s="118"/>
      <c r="AM812" s="118"/>
      <c r="AN812" s="118"/>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8"/>
      <c r="AH813" s="118"/>
      <c r="AI813" s="118"/>
      <c r="AJ813" s="118"/>
      <c r="AK813" s="118"/>
      <c r="AL813" s="118"/>
      <c r="AM813" s="118"/>
      <c r="AN813" s="118"/>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8"/>
      <c r="AH814" s="118"/>
      <c r="AI814" s="118"/>
      <c r="AJ814" s="118"/>
      <c r="AK814" s="118"/>
      <c r="AL814" s="118"/>
      <c r="AM814" s="118"/>
      <c r="AN814" s="118"/>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8"/>
      <c r="AH815" s="118"/>
      <c r="AI815" s="118"/>
      <c r="AJ815" s="118"/>
      <c r="AK815" s="118"/>
      <c r="AL815" s="118"/>
      <c r="AM815" s="118"/>
      <c r="AN815" s="118"/>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8"/>
      <c r="AH816" s="118"/>
      <c r="AI816" s="118"/>
      <c r="AJ816" s="118"/>
      <c r="AK816" s="118"/>
      <c r="AL816" s="118"/>
      <c r="AM816" s="118"/>
      <c r="AN816" s="118"/>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8"/>
      <c r="AH817" s="118"/>
      <c r="AI817" s="118"/>
      <c r="AJ817" s="118"/>
      <c r="AK817" s="118"/>
      <c r="AL817" s="118"/>
      <c r="AM817" s="118"/>
      <c r="AN817" s="118"/>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8"/>
      <c r="AH818" s="118"/>
      <c r="AI818" s="118"/>
      <c r="AJ818" s="118"/>
      <c r="AK818" s="118"/>
      <c r="AL818" s="118"/>
      <c r="AM818" s="118"/>
      <c r="AN818" s="118"/>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8"/>
      <c r="AH819" s="118"/>
      <c r="AI819" s="118"/>
      <c r="AJ819" s="118"/>
      <c r="AK819" s="118"/>
      <c r="AL819" s="118"/>
      <c r="AM819" s="118"/>
      <c r="AN819" s="118"/>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8"/>
      <c r="AH820" s="118"/>
      <c r="AI820" s="118"/>
      <c r="AJ820" s="118"/>
      <c r="AK820" s="118"/>
      <c r="AL820" s="118"/>
      <c r="AM820" s="118"/>
      <c r="AN820" s="118"/>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8"/>
      <c r="AH821" s="118"/>
      <c r="AI821" s="118"/>
      <c r="AJ821" s="118"/>
      <c r="AK821" s="118"/>
      <c r="AL821" s="118"/>
      <c r="AM821" s="118"/>
      <c r="AN821" s="118"/>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8"/>
      <c r="AH822" s="118"/>
      <c r="AI822" s="118"/>
      <c r="AJ822" s="118"/>
      <c r="AK822" s="118"/>
      <c r="AL822" s="118"/>
      <c r="AM822" s="118"/>
      <c r="AN822" s="118"/>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8"/>
      <c r="AH823" s="118"/>
      <c r="AI823" s="118"/>
      <c r="AJ823" s="118"/>
      <c r="AK823" s="118"/>
      <c r="AL823" s="118"/>
      <c r="AM823" s="118"/>
      <c r="AN823" s="118"/>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8"/>
      <c r="AH824" s="118"/>
      <c r="AI824" s="118"/>
      <c r="AJ824" s="118"/>
      <c r="AK824" s="118"/>
      <c r="AL824" s="118"/>
      <c r="AM824" s="118"/>
      <c r="AN824" s="118"/>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8"/>
      <c r="AH825" s="118"/>
      <c r="AI825" s="118"/>
      <c r="AJ825" s="118"/>
      <c r="AK825" s="118"/>
      <c r="AL825" s="118"/>
      <c r="AM825" s="118"/>
      <c r="AN825" s="118"/>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8"/>
      <c r="AH826" s="118"/>
      <c r="AI826" s="118"/>
      <c r="AJ826" s="118"/>
      <c r="AK826" s="118"/>
      <c r="AL826" s="118"/>
      <c r="AM826" s="118"/>
      <c r="AN826" s="118"/>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8"/>
      <c r="AH827" s="118"/>
      <c r="AI827" s="118"/>
      <c r="AJ827" s="118"/>
      <c r="AK827" s="118"/>
      <c r="AL827" s="118"/>
      <c r="AM827" s="118"/>
      <c r="AN827" s="118"/>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8"/>
      <c r="AH828" s="118"/>
      <c r="AI828" s="118"/>
      <c r="AJ828" s="118"/>
      <c r="AK828" s="118"/>
      <c r="AL828" s="118"/>
      <c r="AM828" s="118"/>
      <c r="AN828" s="118"/>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8"/>
      <c r="AH829" s="118"/>
      <c r="AI829" s="118"/>
      <c r="AJ829" s="118"/>
      <c r="AK829" s="118"/>
      <c r="AL829" s="118"/>
      <c r="AM829" s="118"/>
      <c r="AN829" s="118"/>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8"/>
      <c r="AH830" s="118"/>
      <c r="AI830" s="118"/>
      <c r="AJ830" s="118"/>
      <c r="AK830" s="118"/>
      <c r="AL830" s="118"/>
      <c r="AM830" s="118"/>
      <c r="AN830" s="118"/>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8"/>
      <c r="AH831" s="118"/>
      <c r="AI831" s="118"/>
      <c r="AJ831" s="118"/>
      <c r="AK831" s="118"/>
      <c r="AL831" s="118"/>
      <c r="AM831" s="118"/>
      <c r="AN831" s="118"/>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8"/>
      <c r="AH832" s="118"/>
      <c r="AI832" s="118"/>
      <c r="AJ832" s="118"/>
      <c r="AK832" s="118"/>
      <c r="AL832" s="118"/>
      <c r="AM832" s="118"/>
      <c r="AN832" s="118"/>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8"/>
      <c r="AH833" s="118"/>
      <c r="AI833" s="118"/>
      <c r="AJ833" s="118"/>
      <c r="AK833" s="118"/>
      <c r="AL833" s="118"/>
      <c r="AM833" s="118"/>
      <c r="AN833" s="118"/>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8"/>
      <c r="AH834" s="118"/>
      <c r="AI834" s="118"/>
      <c r="AJ834" s="118"/>
      <c r="AK834" s="118"/>
      <c r="AL834" s="118"/>
      <c r="AM834" s="118"/>
      <c r="AN834" s="118"/>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8"/>
      <c r="AH835" s="118"/>
      <c r="AI835" s="118"/>
      <c r="AJ835" s="118"/>
      <c r="AK835" s="118"/>
      <c r="AL835" s="118"/>
      <c r="AM835" s="118"/>
      <c r="AN835" s="118"/>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8"/>
      <c r="AH836" s="118"/>
      <c r="AI836" s="118"/>
      <c r="AJ836" s="118"/>
      <c r="AK836" s="118"/>
      <c r="AL836" s="118"/>
      <c r="AM836" s="118"/>
      <c r="AN836" s="118"/>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8"/>
      <c r="AH837" s="118"/>
      <c r="AI837" s="118"/>
      <c r="AJ837" s="118"/>
      <c r="AK837" s="118"/>
      <c r="AL837" s="118"/>
      <c r="AM837" s="118"/>
      <c r="AN837" s="118"/>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8"/>
      <c r="AH838" s="118"/>
      <c r="AI838" s="118"/>
      <c r="AJ838" s="118"/>
      <c r="AK838" s="118"/>
      <c r="AL838" s="118"/>
      <c r="AM838" s="118"/>
      <c r="AN838" s="118"/>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8"/>
      <c r="AH839" s="118"/>
      <c r="AI839" s="118"/>
      <c r="AJ839" s="118"/>
      <c r="AK839" s="118"/>
      <c r="AL839" s="118"/>
      <c r="AM839" s="118"/>
      <c r="AN839" s="118"/>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8"/>
      <c r="AH840" s="118"/>
      <c r="AI840" s="118"/>
      <c r="AJ840" s="118"/>
      <c r="AK840" s="118"/>
      <c r="AL840" s="118"/>
      <c r="AM840" s="118"/>
      <c r="AN840" s="118"/>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8"/>
      <c r="AH841" s="118"/>
      <c r="AI841" s="118"/>
      <c r="AJ841" s="118"/>
      <c r="AK841" s="118"/>
      <c r="AL841" s="118"/>
      <c r="AM841" s="118"/>
      <c r="AN841" s="118"/>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8"/>
      <c r="AH842" s="118"/>
      <c r="AI842" s="118"/>
      <c r="AJ842" s="118"/>
      <c r="AK842" s="118"/>
      <c r="AL842" s="118"/>
      <c r="AM842" s="118"/>
      <c r="AN842" s="118"/>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8"/>
      <c r="AH843" s="118"/>
      <c r="AI843" s="118"/>
      <c r="AJ843" s="118"/>
      <c r="AK843" s="118"/>
      <c r="AL843" s="118"/>
      <c r="AM843" s="118"/>
      <c r="AN843" s="118"/>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8"/>
      <c r="AH844" s="118"/>
      <c r="AI844" s="118"/>
      <c r="AJ844" s="118"/>
      <c r="AK844" s="118"/>
      <c r="AL844" s="118"/>
      <c r="AM844" s="118"/>
      <c r="AN844" s="118"/>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8"/>
      <c r="AH845" s="118"/>
      <c r="AI845" s="118"/>
      <c r="AJ845" s="118"/>
      <c r="AK845" s="118"/>
      <c r="AL845" s="118"/>
      <c r="AM845" s="118"/>
      <c r="AN845" s="118"/>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8"/>
      <c r="AH846" s="118"/>
      <c r="AI846" s="118"/>
      <c r="AJ846" s="118"/>
      <c r="AK846" s="118"/>
      <c r="AL846" s="118"/>
      <c r="AM846" s="118"/>
      <c r="AN846" s="118"/>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8"/>
      <c r="AH847" s="118"/>
      <c r="AI847" s="118"/>
      <c r="AJ847" s="118"/>
      <c r="AK847" s="118"/>
      <c r="AL847" s="118"/>
      <c r="AM847" s="118"/>
      <c r="AN847" s="118"/>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8"/>
      <c r="AH848" s="118"/>
      <c r="AI848" s="118"/>
      <c r="AJ848" s="118"/>
      <c r="AK848" s="118"/>
      <c r="AL848" s="118"/>
      <c r="AM848" s="118"/>
      <c r="AN848" s="118"/>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8"/>
      <c r="AH849" s="118"/>
      <c r="AI849" s="118"/>
      <c r="AJ849" s="118"/>
      <c r="AK849" s="118"/>
      <c r="AL849" s="118"/>
      <c r="AM849" s="118"/>
      <c r="AN849" s="118"/>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8"/>
      <c r="AH850" s="118"/>
      <c r="AI850" s="118"/>
      <c r="AJ850" s="118"/>
      <c r="AK850" s="118"/>
      <c r="AL850" s="118"/>
      <c r="AM850" s="118"/>
      <c r="AN850" s="118"/>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8"/>
      <c r="AH851" s="118"/>
      <c r="AI851" s="118"/>
      <c r="AJ851" s="118"/>
      <c r="AK851" s="118"/>
      <c r="AL851" s="118"/>
      <c r="AM851" s="118"/>
      <c r="AN851" s="118"/>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8"/>
      <c r="AH852" s="118"/>
      <c r="AI852" s="118"/>
      <c r="AJ852" s="118"/>
      <c r="AK852" s="118"/>
      <c r="AL852" s="118"/>
      <c r="AM852" s="118"/>
      <c r="AN852" s="118"/>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8"/>
      <c r="AH853" s="118"/>
      <c r="AI853" s="118"/>
      <c r="AJ853" s="118"/>
      <c r="AK853" s="118"/>
      <c r="AL853" s="118"/>
      <c r="AM853" s="118"/>
      <c r="AN853" s="118"/>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8"/>
      <c r="AH854" s="118"/>
      <c r="AI854" s="118"/>
      <c r="AJ854" s="118"/>
      <c r="AK854" s="118"/>
      <c r="AL854" s="118"/>
      <c r="AM854" s="118"/>
      <c r="AN854" s="118"/>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8"/>
      <c r="AH855" s="118"/>
      <c r="AI855" s="118"/>
      <c r="AJ855" s="118"/>
      <c r="AK855" s="118"/>
      <c r="AL855" s="118"/>
      <c r="AM855" s="118"/>
      <c r="AN855" s="118"/>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8"/>
      <c r="AH856" s="118"/>
      <c r="AI856" s="118"/>
      <c r="AJ856" s="118"/>
      <c r="AK856" s="118"/>
      <c r="AL856" s="118"/>
      <c r="AM856" s="118"/>
      <c r="AN856" s="118"/>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8"/>
      <c r="AH857" s="118"/>
      <c r="AI857" s="118"/>
      <c r="AJ857" s="118"/>
      <c r="AK857" s="118"/>
      <c r="AL857" s="118"/>
      <c r="AM857" s="118"/>
      <c r="AN857" s="118"/>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8"/>
      <c r="AH858" s="118"/>
      <c r="AI858" s="118"/>
      <c r="AJ858" s="118"/>
      <c r="AK858" s="118"/>
      <c r="AL858" s="118"/>
      <c r="AM858" s="118"/>
      <c r="AN858" s="118"/>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8"/>
      <c r="AH859" s="118"/>
      <c r="AI859" s="118"/>
      <c r="AJ859" s="118"/>
      <c r="AK859" s="118"/>
      <c r="AL859" s="118"/>
      <c r="AM859" s="118"/>
      <c r="AN859" s="118"/>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8"/>
      <c r="AH860" s="118"/>
      <c r="AI860" s="118"/>
      <c r="AJ860" s="118"/>
      <c r="AK860" s="118"/>
      <c r="AL860" s="118"/>
      <c r="AM860" s="118"/>
      <c r="AN860" s="118"/>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8"/>
      <c r="AH861" s="118"/>
      <c r="AI861" s="118"/>
      <c r="AJ861" s="118"/>
      <c r="AK861" s="118"/>
      <c r="AL861" s="118"/>
      <c r="AM861" s="118"/>
      <c r="AN861" s="118"/>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8"/>
      <c r="AH862" s="118"/>
      <c r="AI862" s="118"/>
      <c r="AJ862" s="118"/>
      <c r="AK862" s="118"/>
      <c r="AL862" s="118"/>
      <c r="AM862" s="118"/>
      <c r="AN862" s="118"/>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8"/>
      <c r="AH863" s="118"/>
      <c r="AI863" s="118"/>
      <c r="AJ863" s="118"/>
      <c r="AK863" s="118"/>
      <c r="AL863" s="118"/>
      <c r="AM863" s="118"/>
      <c r="AN863" s="118"/>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8"/>
      <c r="AH864" s="118"/>
      <c r="AI864" s="118"/>
      <c r="AJ864" s="118"/>
      <c r="AK864" s="118"/>
      <c r="AL864" s="118"/>
      <c r="AM864" s="118"/>
      <c r="AN864" s="118"/>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8"/>
      <c r="AH865" s="118"/>
      <c r="AI865" s="118"/>
      <c r="AJ865" s="118"/>
      <c r="AK865" s="118"/>
      <c r="AL865" s="118"/>
      <c r="AM865" s="118"/>
      <c r="AN865" s="118"/>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8"/>
      <c r="AH866" s="118"/>
      <c r="AI866" s="118"/>
      <c r="AJ866" s="118"/>
      <c r="AK866" s="118"/>
      <c r="AL866" s="118"/>
      <c r="AM866" s="118"/>
      <c r="AN866" s="118"/>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8"/>
      <c r="AH867" s="118"/>
      <c r="AI867" s="118"/>
      <c r="AJ867" s="118"/>
      <c r="AK867" s="118"/>
      <c r="AL867" s="118"/>
      <c r="AM867" s="118"/>
      <c r="AN867" s="118"/>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8"/>
      <c r="AH868" s="118"/>
      <c r="AI868" s="118"/>
      <c r="AJ868" s="118"/>
      <c r="AK868" s="118"/>
      <c r="AL868" s="118"/>
      <c r="AM868" s="118"/>
      <c r="AN868" s="118"/>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8"/>
      <c r="AH869" s="118"/>
      <c r="AI869" s="118"/>
      <c r="AJ869" s="118"/>
      <c r="AK869" s="118"/>
      <c r="AL869" s="118"/>
      <c r="AM869" s="118"/>
      <c r="AN869" s="118"/>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8"/>
      <c r="AH870" s="118"/>
      <c r="AI870" s="118"/>
      <c r="AJ870" s="118"/>
      <c r="AK870" s="118"/>
      <c r="AL870" s="118"/>
      <c r="AM870" s="118"/>
      <c r="AN870" s="118"/>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8"/>
      <c r="AH871" s="118"/>
      <c r="AI871" s="118"/>
      <c r="AJ871" s="118"/>
      <c r="AK871" s="118"/>
      <c r="AL871" s="118"/>
      <c r="AM871" s="118"/>
      <c r="AN871" s="118"/>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8"/>
      <c r="AH872" s="118"/>
      <c r="AI872" s="118"/>
      <c r="AJ872" s="118"/>
      <c r="AK872" s="118"/>
      <c r="AL872" s="118"/>
      <c r="AM872" s="118"/>
      <c r="AN872" s="118"/>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8"/>
      <c r="AH873" s="118"/>
      <c r="AI873" s="118"/>
      <c r="AJ873" s="118"/>
      <c r="AK873" s="118"/>
      <c r="AL873" s="118"/>
      <c r="AM873" s="118"/>
      <c r="AN873" s="118"/>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8"/>
      <c r="AH874" s="118"/>
      <c r="AI874" s="118"/>
      <c r="AJ874" s="118"/>
      <c r="AK874" s="118"/>
      <c r="AL874" s="118"/>
      <c r="AM874" s="118"/>
      <c r="AN874" s="118"/>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8"/>
      <c r="AH875" s="118"/>
      <c r="AI875" s="118"/>
      <c r="AJ875" s="118"/>
      <c r="AK875" s="118"/>
      <c r="AL875" s="118"/>
      <c r="AM875" s="118"/>
      <c r="AN875" s="118"/>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8"/>
      <c r="AH876" s="118"/>
      <c r="AI876" s="118"/>
      <c r="AJ876" s="118"/>
      <c r="AK876" s="118"/>
      <c r="AL876" s="118"/>
      <c r="AM876" s="118"/>
      <c r="AN876" s="118"/>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8"/>
      <c r="AH877" s="118"/>
      <c r="AI877" s="118"/>
      <c r="AJ877" s="118"/>
      <c r="AK877" s="118"/>
      <c r="AL877" s="118"/>
      <c r="AM877" s="118"/>
      <c r="AN877" s="118"/>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8"/>
      <c r="AH878" s="118"/>
      <c r="AI878" s="118"/>
      <c r="AJ878" s="118"/>
      <c r="AK878" s="118"/>
      <c r="AL878" s="118"/>
      <c r="AM878" s="118"/>
      <c r="AN878" s="118"/>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8"/>
      <c r="AH879" s="118"/>
      <c r="AI879" s="118"/>
      <c r="AJ879" s="118"/>
      <c r="AK879" s="118"/>
      <c r="AL879" s="118"/>
      <c r="AM879" s="118"/>
      <c r="AN879" s="118"/>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8"/>
      <c r="AH880" s="118"/>
      <c r="AI880" s="118"/>
      <c r="AJ880" s="118"/>
      <c r="AK880" s="118"/>
      <c r="AL880" s="118"/>
      <c r="AM880" s="118"/>
      <c r="AN880" s="118"/>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8"/>
      <c r="AH881" s="118"/>
      <c r="AI881" s="118"/>
      <c r="AJ881" s="118"/>
      <c r="AK881" s="118"/>
      <c r="AL881" s="118"/>
      <c r="AM881" s="118"/>
      <c r="AN881" s="118"/>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8"/>
      <c r="AH882" s="118"/>
      <c r="AI882" s="118"/>
      <c r="AJ882" s="118"/>
      <c r="AK882" s="118"/>
      <c r="AL882" s="118"/>
      <c r="AM882" s="118"/>
      <c r="AN882" s="118"/>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8"/>
      <c r="AH883" s="118"/>
      <c r="AI883" s="118"/>
      <c r="AJ883" s="118"/>
      <c r="AK883" s="118"/>
      <c r="AL883" s="118"/>
      <c r="AM883" s="118"/>
      <c r="AN883" s="118"/>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8"/>
      <c r="AH884" s="118"/>
      <c r="AI884" s="118"/>
      <c r="AJ884" s="118"/>
      <c r="AK884" s="118"/>
      <c r="AL884" s="118"/>
      <c r="AM884" s="118"/>
      <c r="AN884" s="118"/>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8"/>
      <c r="AH885" s="118"/>
      <c r="AI885" s="118"/>
      <c r="AJ885" s="118"/>
      <c r="AK885" s="118"/>
      <c r="AL885" s="118"/>
      <c r="AM885" s="118"/>
      <c r="AN885" s="118"/>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8"/>
      <c r="AH886" s="118"/>
      <c r="AI886" s="118"/>
      <c r="AJ886" s="118"/>
      <c r="AK886" s="118"/>
      <c r="AL886" s="118"/>
      <c r="AM886" s="118"/>
      <c r="AN886" s="118"/>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8"/>
      <c r="AH887" s="118"/>
      <c r="AI887" s="118"/>
      <c r="AJ887" s="118"/>
      <c r="AK887" s="118"/>
      <c r="AL887" s="118"/>
      <c r="AM887" s="118"/>
      <c r="AN887" s="118"/>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8"/>
      <c r="AH888" s="118"/>
      <c r="AI888" s="118"/>
      <c r="AJ888" s="118"/>
      <c r="AK888" s="118"/>
      <c r="AL888" s="118"/>
      <c r="AM888" s="118"/>
      <c r="AN888" s="118"/>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8"/>
      <c r="AH889" s="118"/>
      <c r="AI889" s="118"/>
      <c r="AJ889" s="118"/>
      <c r="AK889" s="118"/>
      <c r="AL889" s="118"/>
      <c r="AM889" s="118"/>
      <c r="AN889" s="118"/>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8"/>
      <c r="AH890" s="118"/>
      <c r="AI890" s="118"/>
      <c r="AJ890" s="118"/>
      <c r="AK890" s="118"/>
      <c r="AL890" s="118"/>
      <c r="AM890" s="118"/>
      <c r="AN890" s="118"/>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8"/>
      <c r="AH891" s="118"/>
      <c r="AI891" s="118"/>
      <c r="AJ891" s="118"/>
      <c r="AK891" s="118"/>
      <c r="AL891" s="118"/>
      <c r="AM891" s="118"/>
      <c r="AN891" s="118"/>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8"/>
      <c r="AH892" s="118"/>
      <c r="AI892" s="118"/>
      <c r="AJ892" s="118"/>
      <c r="AK892" s="118"/>
      <c r="AL892" s="118"/>
      <c r="AM892" s="118"/>
      <c r="AN892" s="118"/>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8"/>
      <c r="AH893" s="118"/>
      <c r="AI893" s="118"/>
      <c r="AJ893" s="118"/>
      <c r="AK893" s="118"/>
      <c r="AL893" s="118"/>
      <c r="AM893" s="118"/>
      <c r="AN893" s="118"/>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8"/>
      <c r="AH894" s="118"/>
      <c r="AI894" s="118"/>
      <c r="AJ894" s="118"/>
      <c r="AK894" s="118"/>
      <c r="AL894" s="118"/>
      <c r="AM894" s="118"/>
      <c r="AN894" s="118"/>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8"/>
      <c r="AH895" s="118"/>
      <c r="AI895" s="118"/>
      <c r="AJ895" s="118"/>
      <c r="AK895" s="118"/>
      <c r="AL895" s="118"/>
      <c r="AM895" s="118"/>
      <c r="AN895" s="118"/>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8"/>
      <c r="AH896" s="118"/>
      <c r="AI896" s="118"/>
      <c r="AJ896" s="118"/>
      <c r="AK896" s="118"/>
      <c r="AL896" s="118"/>
      <c r="AM896" s="118"/>
      <c r="AN896" s="118"/>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8"/>
      <c r="AH897" s="118"/>
      <c r="AI897" s="118"/>
      <c r="AJ897" s="118"/>
      <c r="AK897" s="118"/>
      <c r="AL897" s="118"/>
      <c r="AM897" s="118"/>
      <c r="AN897" s="118"/>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8"/>
      <c r="AH898" s="118"/>
      <c r="AI898" s="118"/>
      <c r="AJ898" s="118"/>
      <c r="AK898" s="118"/>
      <c r="AL898" s="118"/>
      <c r="AM898" s="118"/>
      <c r="AN898" s="118"/>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8"/>
      <c r="AH899" s="118"/>
      <c r="AI899" s="118"/>
      <c r="AJ899" s="118"/>
      <c r="AK899" s="118"/>
      <c r="AL899" s="118"/>
      <c r="AM899" s="118"/>
      <c r="AN899" s="118"/>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8"/>
      <c r="AH900" s="118"/>
      <c r="AI900" s="118"/>
      <c r="AJ900" s="118"/>
      <c r="AK900" s="118"/>
      <c r="AL900" s="118"/>
      <c r="AM900" s="118"/>
      <c r="AN900" s="118"/>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8"/>
      <c r="AH901" s="118"/>
      <c r="AI901" s="118"/>
      <c r="AJ901" s="118"/>
      <c r="AK901" s="118"/>
      <c r="AL901" s="118"/>
      <c r="AM901" s="118"/>
      <c r="AN901" s="118"/>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8"/>
      <c r="AH902" s="118"/>
      <c r="AI902" s="118"/>
      <c r="AJ902" s="118"/>
      <c r="AK902" s="118"/>
      <c r="AL902" s="118"/>
      <c r="AM902" s="118"/>
      <c r="AN902" s="118"/>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8"/>
      <c r="AH903" s="118"/>
      <c r="AI903" s="118"/>
      <c r="AJ903" s="118"/>
      <c r="AK903" s="118"/>
      <c r="AL903" s="118"/>
      <c r="AM903" s="118"/>
      <c r="AN903" s="118"/>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8"/>
      <c r="AH904" s="118"/>
      <c r="AI904" s="118"/>
      <c r="AJ904" s="118"/>
      <c r="AK904" s="118"/>
      <c r="AL904" s="118"/>
      <c r="AM904" s="118"/>
      <c r="AN904" s="118"/>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8"/>
      <c r="AH905" s="118"/>
      <c r="AI905" s="118"/>
      <c r="AJ905" s="118"/>
      <c r="AK905" s="118"/>
      <c r="AL905" s="118"/>
      <c r="AM905" s="118"/>
      <c r="AN905" s="118"/>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8"/>
      <c r="AH906" s="118"/>
      <c r="AI906" s="118"/>
      <c r="AJ906" s="118"/>
      <c r="AK906" s="118"/>
      <c r="AL906" s="118"/>
      <c r="AM906" s="118"/>
      <c r="AN906" s="118"/>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8"/>
      <c r="AH907" s="118"/>
      <c r="AI907" s="118"/>
      <c r="AJ907" s="118"/>
      <c r="AK907" s="118"/>
      <c r="AL907" s="118"/>
      <c r="AM907" s="118"/>
      <c r="AN907" s="118"/>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8"/>
      <c r="AH908" s="118"/>
      <c r="AI908" s="118"/>
      <c r="AJ908" s="118"/>
      <c r="AK908" s="118"/>
      <c r="AL908" s="118"/>
      <c r="AM908" s="118"/>
      <c r="AN908" s="118"/>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8"/>
      <c r="AH909" s="118"/>
      <c r="AI909" s="118"/>
      <c r="AJ909" s="118"/>
      <c r="AK909" s="118"/>
      <c r="AL909" s="118"/>
      <c r="AM909" s="118"/>
      <c r="AN909" s="118"/>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8"/>
      <c r="AH910" s="118"/>
      <c r="AI910" s="118"/>
      <c r="AJ910" s="118"/>
      <c r="AK910" s="118"/>
      <c r="AL910" s="118"/>
      <c r="AM910" s="118"/>
      <c r="AN910" s="118"/>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8"/>
      <c r="AH911" s="118"/>
      <c r="AI911" s="118"/>
      <c r="AJ911" s="118"/>
      <c r="AK911" s="118"/>
      <c r="AL911" s="118"/>
      <c r="AM911" s="118"/>
      <c r="AN911" s="118"/>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8"/>
      <c r="AH912" s="118"/>
      <c r="AI912" s="118"/>
      <c r="AJ912" s="118"/>
      <c r="AK912" s="118"/>
      <c r="AL912" s="118"/>
      <c r="AM912" s="118"/>
      <c r="AN912" s="118"/>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8"/>
      <c r="AH913" s="118"/>
      <c r="AI913" s="118"/>
      <c r="AJ913" s="118"/>
      <c r="AK913" s="118"/>
      <c r="AL913" s="118"/>
      <c r="AM913" s="118"/>
      <c r="AN913" s="118"/>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8"/>
      <c r="AH914" s="118"/>
      <c r="AI914" s="118"/>
      <c r="AJ914" s="118"/>
      <c r="AK914" s="118"/>
      <c r="AL914" s="118"/>
      <c r="AM914" s="118"/>
      <c r="AN914" s="118"/>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8"/>
      <c r="AH915" s="118"/>
      <c r="AI915" s="118"/>
      <c r="AJ915" s="118"/>
      <c r="AK915" s="118"/>
      <c r="AL915" s="118"/>
      <c r="AM915" s="118"/>
      <c r="AN915" s="118"/>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8"/>
      <c r="AH916" s="118"/>
      <c r="AI916" s="118"/>
      <c r="AJ916" s="118"/>
      <c r="AK916" s="118"/>
      <c r="AL916" s="118"/>
      <c r="AM916" s="118"/>
      <c r="AN916" s="118"/>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8"/>
      <c r="AH917" s="118"/>
      <c r="AI917" s="118"/>
      <c r="AJ917" s="118"/>
      <c r="AK917" s="118"/>
      <c r="AL917" s="118"/>
      <c r="AM917" s="118"/>
      <c r="AN917" s="118"/>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8"/>
      <c r="AH918" s="118"/>
      <c r="AI918" s="118"/>
      <c r="AJ918" s="118"/>
      <c r="AK918" s="118"/>
      <c r="AL918" s="118"/>
      <c r="AM918" s="118"/>
      <c r="AN918" s="118"/>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8"/>
      <c r="AH919" s="118"/>
      <c r="AI919" s="118"/>
      <c r="AJ919" s="118"/>
      <c r="AK919" s="118"/>
      <c r="AL919" s="118"/>
      <c r="AM919" s="118"/>
      <c r="AN919" s="118"/>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8"/>
      <c r="AH920" s="118"/>
      <c r="AI920" s="118"/>
      <c r="AJ920" s="118"/>
      <c r="AK920" s="118"/>
      <c r="AL920" s="118"/>
      <c r="AM920" s="118"/>
      <c r="AN920" s="118"/>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8"/>
      <c r="AH921" s="118"/>
      <c r="AI921" s="118"/>
      <c r="AJ921" s="118"/>
      <c r="AK921" s="118"/>
      <c r="AL921" s="118"/>
      <c r="AM921" s="118"/>
      <c r="AN921" s="118"/>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8"/>
      <c r="AH922" s="118"/>
      <c r="AI922" s="118"/>
      <c r="AJ922" s="118"/>
      <c r="AK922" s="118"/>
      <c r="AL922" s="118"/>
      <c r="AM922" s="118"/>
      <c r="AN922" s="118"/>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8"/>
      <c r="AH923" s="118"/>
      <c r="AI923" s="118"/>
      <c r="AJ923" s="118"/>
      <c r="AK923" s="118"/>
      <c r="AL923" s="118"/>
      <c r="AM923" s="118"/>
      <c r="AN923" s="118"/>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8"/>
      <c r="AH924" s="118"/>
      <c r="AI924" s="118"/>
      <c r="AJ924" s="118"/>
      <c r="AK924" s="118"/>
      <c r="AL924" s="118"/>
      <c r="AM924" s="118"/>
      <c r="AN924" s="118"/>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8"/>
      <c r="AH925" s="118"/>
      <c r="AI925" s="118"/>
      <c r="AJ925" s="118"/>
      <c r="AK925" s="118"/>
      <c r="AL925" s="118"/>
      <c r="AM925" s="118"/>
      <c r="AN925" s="118"/>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8"/>
      <c r="AH926" s="118"/>
      <c r="AI926" s="118"/>
      <c r="AJ926" s="118"/>
      <c r="AK926" s="118"/>
      <c r="AL926" s="118"/>
      <c r="AM926" s="118"/>
      <c r="AN926" s="118"/>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8"/>
      <c r="AH927" s="118"/>
      <c r="AI927" s="118"/>
      <c r="AJ927" s="118"/>
      <c r="AK927" s="118"/>
      <c r="AL927" s="118"/>
      <c r="AM927" s="118"/>
      <c r="AN927" s="118"/>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8"/>
      <c r="AH928" s="118"/>
      <c r="AI928" s="118"/>
      <c r="AJ928" s="118"/>
      <c r="AK928" s="118"/>
      <c r="AL928" s="118"/>
      <c r="AM928" s="118"/>
      <c r="AN928" s="118"/>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8"/>
      <c r="AH929" s="118"/>
      <c r="AI929" s="118"/>
      <c r="AJ929" s="118"/>
      <c r="AK929" s="118"/>
      <c r="AL929" s="118"/>
      <c r="AM929" s="118"/>
      <c r="AN929" s="118"/>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8"/>
      <c r="AH930" s="118"/>
      <c r="AI930" s="118"/>
      <c r="AJ930" s="118"/>
      <c r="AK930" s="118"/>
      <c r="AL930" s="118"/>
      <c r="AM930" s="118"/>
      <c r="AN930" s="118"/>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8"/>
      <c r="AH931" s="118"/>
      <c r="AI931" s="118"/>
      <c r="AJ931" s="118"/>
      <c r="AK931" s="118"/>
      <c r="AL931" s="118"/>
      <c r="AM931" s="118"/>
      <c r="AN931" s="118"/>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8"/>
      <c r="AH932" s="118"/>
      <c r="AI932" s="118"/>
      <c r="AJ932" s="118"/>
      <c r="AK932" s="118"/>
      <c r="AL932" s="118"/>
      <c r="AM932" s="118"/>
      <c r="AN932" s="118"/>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8"/>
      <c r="AH933" s="118"/>
      <c r="AI933" s="118"/>
      <c r="AJ933" s="118"/>
      <c r="AK933" s="118"/>
      <c r="AL933" s="118"/>
      <c r="AM933" s="118"/>
      <c r="AN933" s="118"/>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8"/>
      <c r="AH934" s="118"/>
      <c r="AI934" s="118"/>
      <c r="AJ934" s="118"/>
      <c r="AK934" s="118"/>
      <c r="AL934" s="118"/>
      <c r="AM934" s="118"/>
      <c r="AN934" s="118"/>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8"/>
      <c r="AH935" s="118"/>
      <c r="AI935" s="118"/>
      <c r="AJ935" s="118"/>
      <c r="AK935" s="118"/>
      <c r="AL935" s="118"/>
      <c r="AM935" s="118"/>
      <c r="AN935" s="118"/>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8"/>
      <c r="AH936" s="118"/>
      <c r="AI936" s="118"/>
      <c r="AJ936" s="118"/>
      <c r="AK936" s="118"/>
      <c r="AL936" s="118"/>
      <c r="AM936" s="118"/>
      <c r="AN936" s="118"/>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8"/>
      <c r="AH937" s="118"/>
      <c r="AI937" s="118"/>
      <c r="AJ937" s="118"/>
      <c r="AK937" s="118"/>
      <c r="AL937" s="118"/>
      <c r="AM937" s="118"/>
      <c r="AN937" s="118"/>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8"/>
      <c r="AH938" s="118"/>
      <c r="AI938" s="118"/>
      <c r="AJ938" s="118"/>
      <c r="AK938" s="118"/>
      <c r="AL938" s="118"/>
      <c r="AM938" s="118"/>
      <c r="AN938" s="118"/>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8"/>
      <c r="AH939" s="118"/>
      <c r="AI939" s="118"/>
      <c r="AJ939" s="118"/>
      <c r="AK939" s="118"/>
      <c r="AL939" s="118"/>
      <c r="AM939" s="118"/>
      <c r="AN939" s="118"/>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8"/>
      <c r="AH940" s="118"/>
      <c r="AI940" s="118"/>
      <c r="AJ940" s="118"/>
      <c r="AK940" s="118"/>
      <c r="AL940" s="118"/>
      <c r="AM940" s="118"/>
      <c r="AN940" s="118"/>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8"/>
      <c r="AH941" s="118"/>
      <c r="AI941" s="118"/>
      <c r="AJ941" s="118"/>
      <c r="AK941" s="118"/>
      <c r="AL941" s="118"/>
      <c r="AM941" s="118"/>
      <c r="AN941" s="118"/>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8"/>
      <c r="AH942" s="118"/>
      <c r="AI942" s="118"/>
      <c r="AJ942" s="118"/>
      <c r="AK942" s="118"/>
      <c r="AL942" s="118"/>
      <c r="AM942" s="118"/>
      <c r="AN942" s="118"/>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8"/>
      <c r="AH943" s="118"/>
      <c r="AI943" s="118"/>
      <c r="AJ943" s="118"/>
      <c r="AK943" s="118"/>
      <c r="AL943" s="118"/>
      <c r="AM943" s="118"/>
      <c r="AN943" s="118"/>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8"/>
      <c r="AH944" s="118"/>
      <c r="AI944" s="118"/>
      <c r="AJ944" s="118"/>
      <c r="AK944" s="118"/>
      <c r="AL944" s="118"/>
      <c r="AM944" s="118"/>
      <c r="AN944" s="118"/>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8"/>
      <c r="AH945" s="118"/>
      <c r="AI945" s="118"/>
      <c r="AJ945" s="118"/>
      <c r="AK945" s="118"/>
      <c r="AL945" s="118"/>
      <c r="AM945" s="118"/>
      <c r="AN945" s="118"/>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5"/>
      <c r="AH946" s="126"/>
      <c r="AI946" s="127"/>
      <c r="AJ946" s="128"/>
      <c r="AK946" s="125"/>
      <c r="AL946" s="126"/>
      <c r="AM946" s="127"/>
      <c r="AN946" s="128"/>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5"/>
      <c r="AH947" s="126"/>
      <c r="AI947" s="127"/>
      <c r="AJ947" s="128"/>
      <c r="AK947" s="125"/>
      <c r="AL947" s="126"/>
      <c r="AM947" s="127"/>
      <c r="AN947" s="128"/>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5"/>
      <c r="AH948" s="126"/>
      <c r="AI948" s="127"/>
      <c r="AJ948" s="128"/>
      <c r="AK948" s="125"/>
      <c r="AL948" s="126"/>
      <c r="AM948" s="127"/>
      <c r="AN948" s="128"/>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5"/>
      <c r="AH949" s="126"/>
      <c r="AI949" s="127"/>
      <c r="AJ949" s="128"/>
      <c r="AK949" s="125"/>
      <c r="AL949" s="126"/>
      <c r="AM949" s="127"/>
      <c r="AN949" s="128"/>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5"/>
      <c r="AH950" s="126"/>
      <c r="AI950" s="127"/>
      <c r="AJ950" s="128"/>
      <c r="AK950" s="125"/>
      <c r="AL950" s="126"/>
      <c r="AM950" s="127"/>
      <c r="AN950" s="128"/>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5"/>
      <c r="AH951" s="126"/>
      <c r="AI951" s="127"/>
      <c r="AJ951" s="128"/>
      <c r="AK951" s="125"/>
      <c r="AL951" s="126"/>
      <c r="AM951" s="127"/>
      <c r="AN951" s="128"/>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5"/>
      <c r="AH952" s="126"/>
      <c r="AI952" s="127"/>
      <c r="AJ952" s="128"/>
      <c r="AK952" s="125"/>
      <c r="AL952" s="126"/>
      <c r="AM952" s="127"/>
      <c r="AN952" s="128"/>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5"/>
      <c r="AH953" s="126"/>
      <c r="AI953" s="127"/>
      <c r="AJ953" s="128"/>
      <c r="AK953" s="125"/>
      <c r="AL953" s="126"/>
      <c r="AM953" s="127"/>
      <c r="AN953" s="128"/>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5"/>
      <c r="AH954" s="126"/>
      <c r="AI954" s="127"/>
      <c r="AJ954" s="128"/>
      <c r="AK954" s="125"/>
      <c r="AL954" s="126"/>
      <c r="AM954" s="127"/>
      <c r="AN954" s="128"/>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5"/>
      <c r="AH955" s="126"/>
      <c r="AI955" s="127"/>
      <c r="AJ955" s="128"/>
      <c r="AK955" s="125"/>
      <c r="AL955" s="126"/>
      <c r="AM955" s="127"/>
      <c r="AN955" s="128"/>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5"/>
      <c r="AH956" s="126"/>
      <c r="AI956" s="127"/>
      <c r="AJ956" s="128"/>
      <c r="AK956" s="125"/>
      <c r="AL956" s="126"/>
      <c r="AM956" s="127"/>
      <c r="AN956" s="128"/>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5"/>
      <c r="AH957" s="126"/>
      <c r="AI957" s="127"/>
      <c r="AJ957" s="128"/>
      <c r="AK957" s="125"/>
      <c r="AL957" s="126"/>
      <c r="AM957" s="127"/>
      <c r="AN957" s="128"/>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5"/>
      <c r="AH958" s="126"/>
      <c r="AI958" s="127"/>
      <c r="AJ958" s="128"/>
      <c r="AK958" s="125"/>
      <c r="AL958" s="126"/>
      <c r="AM958" s="127"/>
      <c r="AN958" s="128"/>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5"/>
      <c r="AH959" s="126"/>
      <c r="AI959" s="127"/>
      <c r="AJ959" s="128"/>
      <c r="AK959" s="125"/>
      <c r="AL959" s="126"/>
      <c r="AM959" s="127"/>
      <c r="AN959" s="128"/>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5"/>
      <c r="AH960" s="126"/>
      <c r="AI960" s="127"/>
      <c r="AJ960" s="128"/>
      <c r="AK960" s="125"/>
      <c r="AL960" s="126"/>
      <c r="AM960" s="127"/>
      <c r="AN960" s="128"/>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5"/>
      <c r="AH961" s="126"/>
      <c r="AI961" s="127"/>
      <c r="AJ961" s="128"/>
      <c r="AK961" s="125"/>
      <c r="AL961" s="126"/>
      <c r="AM961" s="127"/>
      <c r="AN961" s="128"/>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5"/>
      <c r="AH962" s="126"/>
      <c r="AI962" s="127"/>
      <c r="AJ962" s="128"/>
      <c r="AK962" s="125"/>
      <c r="AL962" s="126"/>
      <c r="AM962" s="127"/>
      <c r="AN962" s="128"/>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5"/>
      <c r="AH963" s="126"/>
      <c r="AI963" s="127"/>
      <c r="AJ963" s="128"/>
      <c r="AK963" s="125"/>
      <c r="AL963" s="126"/>
      <c r="AM963" s="127"/>
      <c r="AN963" s="128"/>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5"/>
      <c r="AH964" s="126"/>
      <c r="AI964" s="127"/>
      <c r="AJ964" s="128"/>
      <c r="AK964" s="125"/>
      <c r="AL964" s="126"/>
      <c r="AM964" s="127"/>
      <c r="AN964" s="128"/>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5"/>
      <c r="AH965" s="126"/>
      <c r="AI965" s="127"/>
      <c r="AJ965" s="128"/>
      <c r="AK965" s="125"/>
      <c r="AL965" s="126"/>
      <c r="AM965" s="127"/>
      <c r="AN965" s="128"/>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5"/>
      <c r="AH966" s="126"/>
      <c r="AI966" s="127"/>
      <c r="AJ966" s="128"/>
      <c r="AK966" s="125"/>
      <c r="AL966" s="126"/>
      <c r="AM966" s="127"/>
      <c r="AN966" s="128"/>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5"/>
      <c r="AH967" s="126"/>
      <c r="AI967" s="127"/>
      <c r="AJ967" s="128"/>
      <c r="AK967" s="125"/>
      <c r="AL967" s="126"/>
      <c r="AM967" s="127"/>
      <c r="AN967" s="128"/>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5"/>
      <c r="AH968" s="126"/>
      <c r="AI968" s="127"/>
      <c r="AJ968" s="128"/>
      <c r="AK968" s="125"/>
      <c r="AL968" s="126"/>
      <c r="AM968" s="127"/>
      <c r="AN968" s="128"/>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5"/>
      <c r="AH969" s="126"/>
      <c r="AI969" s="127"/>
      <c r="AJ969" s="128"/>
      <c r="AK969" s="125"/>
      <c r="AL969" s="126"/>
      <c r="AM969" s="127"/>
      <c r="AN969" s="128"/>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5"/>
      <c r="AH970" s="126"/>
      <c r="AI970" s="127"/>
      <c r="AJ970" s="128"/>
      <c r="AK970" s="125"/>
      <c r="AL970" s="126"/>
      <c r="AM970" s="127"/>
      <c r="AN970" s="128"/>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5"/>
      <c r="AH971" s="126"/>
      <c r="AI971" s="127"/>
      <c r="AJ971" s="128"/>
      <c r="AK971" s="125"/>
      <c r="AL971" s="126"/>
      <c r="AM971" s="127"/>
      <c r="AN971" s="128"/>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5"/>
      <c r="AH972" s="126"/>
      <c r="AI972" s="127"/>
      <c r="AJ972" s="128"/>
      <c r="AK972" s="125"/>
      <c r="AL972" s="126"/>
      <c r="AM972" s="127"/>
      <c r="AN972" s="128"/>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5"/>
      <c r="AH973" s="126"/>
      <c r="AI973" s="127"/>
      <c r="AJ973" s="128"/>
      <c r="AK973" s="125"/>
      <c r="AL973" s="126"/>
      <c r="AM973" s="127"/>
      <c r="AN973" s="128"/>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5"/>
      <c r="AH974" s="126"/>
      <c r="AI974" s="127"/>
      <c r="AJ974" s="128"/>
      <c r="AK974" s="125"/>
      <c r="AL974" s="126"/>
      <c r="AM974" s="127"/>
      <c r="AN974" s="128"/>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5"/>
      <c r="AH975" s="126"/>
      <c r="AI975" s="127"/>
      <c r="AJ975" s="128"/>
      <c r="AK975" s="125"/>
      <c r="AL975" s="126"/>
      <c r="AM975" s="127"/>
      <c r="AN975" s="128"/>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5"/>
      <c r="AH976" s="126"/>
      <c r="AI976" s="127"/>
      <c r="AJ976" s="128"/>
      <c r="AK976" s="125"/>
      <c r="AL976" s="126"/>
      <c r="AM976" s="127"/>
      <c r="AN976" s="128"/>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5"/>
      <c r="AH977" s="126"/>
      <c r="AI977" s="127"/>
      <c r="AJ977" s="128"/>
      <c r="AK977" s="125"/>
      <c r="AL977" s="126"/>
      <c r="AM977" s="127"/>
      <c r="AN977" s="128"/>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5"/>
      <c r="AH978" s="126"/>
      <c r="AI978" s="127"/>
      <c r="AJ978" s="128"/>
      <c r="AK978" s="125"/>
      <c r="AL978" s="126"/>
      <c r="AM978" s="127"/>
      <c r="AN978" s="128"/>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5"/>
      <c r="AH979" s="126"/>
      <c r="AI979" s="127"/>
      <c r="AJ979" s="128"/>
      <c r="AK979" s="125"/>
      <c r="AL979" s="126"/>
      <c r="AM979" s="127"/>
      <c r="AN979" s="128"/>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5"/>
      <c r="AH980" s="126"/>
      <c r="AI980" s="127"/>
      <c r="AJ980" s="128"/>
      <c r="AK980" s="125"/>
      <c r="AL980" s="126"/>
      <c r="AM980" s="127"/>
      <c r="AN980" s="128"/>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5"/>
      <c r="AH981" s="126"/>
      <c r="AI981" s="127"/>
      <c r="AJ981" s="128"/>
      <c r="AK981" s="125"/>
      <c r="AL981" s="126"/>
      <c r="AM981" s="127"/>
      <c r="AN981" s="128"/>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5"/>
      <c r="AH982" s="126"/>
      <c r="AI982" s="127"/>
      <c r="AJ982" s="128"/>
      <c r="AK982" s="125"/>
      <c r="AL982" s="126"/>
      <c r="AM982" s="127"/>
      <c r="AN982" s="128"/>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5"/>
      <c r="AH983" s="126"/>
      <c r="AI983" s="127"/>
      <c r="AJ983" s="128"/>
      <c r="AK983" s="125"/>
      <c r="AL983" s="126"/>
      <c r="AM983" s="127"/>
      <c r="AN983" s="128"/>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5"/>
      <c r="AH984" s="126"/>
      <c r="AI984" s="127"/>
      <c r="AJ984" s="128"/>
      <c r="AK984" s="125"/>
      <c r="AL984" s="126"/>
      <c r="AM984" s="127"/>
      <c r="AN984" s="128"/>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5"/>
      <c r="AH985" s="126"/>
      <c r="AI985" s="127"/>
      <c r="AJ985" s="128"/>
      <c r="AK985" s="125"/>
      <c r="AL985" s="126"/>
      <c r="AM985" s="127"/>
      <c r="AN985" s="128"/>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5"/>
      <c r="AH986" s="126"/>
      <c r="AI986" s="127"/>
      <c r="AJ986" s="128"/>
      <c r="AK986" s="125"/>
      <c r="AL986" s="126"/>
      <c r="AM986" s="127"/>
      <c r="AN986" s="128"/>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5"/>
      <c r="AH987" s="126"/>
      <c r="AI987" s="127"/>
      <c r="AJ987" s="128"/>
      <c r="AK987" s="125"/>
      <c r="AL987" s="126"/>
      <c r="AM987" s="127"/>
      <c r="AN987" s="128"/>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5"/>
      <c r="AH988" s="126"/>
      <c r="AI988" s="127"/>
      <c r="AJ988" s="128"/>
      <c r="AK988" s="125"/>
      <c r="AL988" s="126"/>
      <c r="AM988" s="127"/>
      <c r="AN988" s="128"/>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5"/>
      <c r="AH989" s="126"/>
      <c r="AI989" s="127"/>
      <c r="AJ989" s="128"/>
      <c r="AK989" s="125"/>
      <c r="AL989" s="126"/>
      <c r="AM989" s="127"/>
      <c r="AN989" s="128"/>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5"/>
      <c r="AH990" s="126"/>
      <c r="AI990" s="127"/>
      <c r="AJ990" s="128"/>
      <c r="AK990" s="125"/>
      <c r="AL990" s="126"/>
      <c r="AM990" s="127"/>
      <c r="AN990" s="128"/>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5"/>
      <c r="AH991" s="126"/>
      <c r="AI991" s="127"/>
      <c r="AJ991" s="128"/>
      <c r="AK991" s="125"/>
      <c r="AL991" s="126"/>
      <c r="AM991" s="127"/>
      <c r="AN991" s="128"/>
      <c r="AO991" s="55"/>
    </row>
    <row r="992">
      <c r="A992" s="112"/>
      <c r="B992" s="92"/>
      <c r="C992" s="93"/>
      <c r="D992" s="61"/>
      <c r="E992" s="112"/>
      <c r="F992" s="92"/>
      <c r="G992" s="93"/>
      <c r="H992" s="61"/>
      <c r="I992" s="112"/>
      <c r="J992" s="92"/>
      <c r="K992" s="93"/>
      <c r="L992" s="61"/>
      <c r="M992" s="112"/>
      <c r="N992" s="92"/>
      <c r="O992" s="93"/>
      <c r="P992" s="61"/>
      <c r="Q992" s="55"/>
      <c r="R992" s="55"/>
      <c r="S992" s="55"/>
      <c r="T992" s="55"/>
      <c r="U992" s="55"/>
      <c r="V992" s="55"/>
      <c r="W992" s="55"/>
      <c r="X992" s="55"/>
      <c r="Y992" s="113"/>
      <c r="Z992" s="129"/>
      <c r="AA992" s="129"/>
      <c r="AB992" s="129"/>
      <c r="AC992" s="113"/>
      <c r="AD992" s="55"/>
      <c r="AE992" s="130"/>
      <c r="AF992" s="130"/>
      <c r="AG992" s="125"/>
      <c r="AH992" s="126"/>
      <c r="AI992" s="127"/>
      <c r="AJ992" s="128"/>
      <c r="AK992" s="125"/>
      <c r="AL992" s="126"/>
      <c r="AM992" s="127"/>
      <c r="AN992" s="128"/>
      <c r="AO992" s="61"/>
    </row>
    <row r="993">
      <c r="A993" s="112"/>
      <c r="B993" s="92"/>
      <c r="C993" s="93"/>
      <c r="D993" s="61"/>
      <c r="E993" s="112"/>
      <c r="F993" s="92"/>
      <c r="G993" s="93"/>
      <c r="H993" s="61"/>
      <c r="I993" s="112"/>
      <c r="J993" s="92"/>
      <c r="K993" s="93"/>
      <c r="L993" s="61"/>
      <c r="M993" s="112"/>
      <c r="N993" s="92"/>
      <c r="O993" s="93"/>
      <c r="P993" s="61"/>
      <c r="Q993" s="55"/>
      <c r="R993" s="55"/>
      <c r="S993" s="55"/>
      <c r="T993" s="55"/>
      <c r="U993" s="55"/>
      <c r="V993" s="55"/>
      <c r="W993" s="55"/>
      <c r="X993" s="55"/>
      <c r="Y993" s="113"/>
      <c r="Z993" s="129"/>
      <c r="AA993" s="129"/>
      <c r="AB993" s="129"/>
      <c r="AC993" s="113"/>
      <c r="AD993" s="55"/>
      <c r="AE993" s="130"/>
      <c r="AF993" s="130"/>
      <c r="AG993" s="125"/>
      <c r="AH993" s="126"/>
      <c r="AI993" s="127"/>
      <c r="AJ993" s="128"/>
      <c r="AK993" s="125"/>
      <c r="AL993" s="126"/>
      <c r="AM993" s="127"/>
      <c r="AN993" s="128"/>
      <c r="AO993" s="61"/>
    </row>
    <row r="994">
      <c r="A994" s="112"/>
      <c r="B994" s="92"/>
      <c r="C994" s="93"/>
      <c r="D994" s="61"/>
      <c r="E994" s="112"/>
      <c r="F994" s="92"/>
      <c r="G994" s="93"/>
      <c r="H994" s="61"/>
      <c r="I994" s="112"/>
      <c r="J994" s="92"/>
      <c r="K994" s="93"/>
      <c r="L994" s="61"/>
      <c r="M994" s="112"/>
      <c r="N994" s="92"/>
      <c r="O994" s="93"/>
      <c r="P994" s="61"/>
      <c r="Q994" s="55"/>
      <c r="R994" s="55"/>
      <c r="S994" s="55"/>
      <c r="T994" s="55"/>
      <c r="U994" s="55"/>
      <c r="V994" s="55"/>
      <c r="W994" s="55"/>
      <c r="X994" s="55"/>
      <c r="Y994" s="113"/>
      <c r="Z994" s="129"/>
      <c r="AA994" s="129"/>
      <c r="AB994" s="129"/>
      <c r="AC994" s="113"/>
      <c r="AD994" s="55"/>
      <c r="AE994" s="130"/>
      <c r="AF994" s="130"/>
      <c r="AG994" s="125"/>
      <c r="AH994" s="126"/>
      <c r="AI994" s="127"/>
      <c r="AJ994" s="128"/>
      <c r="AK994" s="125"/>
      <c r="AL994" s="126"/>
      <c r="AM994" s="127"/>
      <c r="AN994" s="128"/>
      <c r="AO994" s="61"/>
    </row>
    <row r="995">
      <c r="A995" s="112"/>
      <c r="B995" s="92"/>
      <c r="C995" s="93"/>
      <c r="D995" s="61"/>
      <c r="E995" s="112"/>
      <c r="F995" s="92"/>
      <c r="G995" s="93"/>
      <c r="H995" s="61"/>
      <c r="I995" s="112"/>
      <c r="J995" s="92"/>
      <c r="K995" s="93"/>
      <c r="L995" s="61"/>
      <c r="M995" s="112"/>
      <c r="N995" s="92"/>
      <c r="O995" s="93"/>
      <c r="P995" s="61"/>
      <c r="Q995" s="55"/>
      <c r="R995" s="55"/>
      <c r="S995" s="55"/>
      <c r="T995" s="55"/>
      <c r="U995" s="55"/>
      <c r="V995" s="55"/>
      <c r="W995" s="55"/>
      <c r="X995" s="55"/>
      <c r="Y995" s="113"/>
      <c r="Z995" s="129"/>
      <c r="AA995" s="129"/>
      <c r="AB995" s="129"/>
      <c r="AC995" s="113"/>
      <c r="AD995" s="55"/>
      <c r="AE995" s="130"/>
      <c r="AF995" s="130"/>
      <c r="AG995" s="125"/>
      <c r="AH995" s="126"/>
      <c r="AI995" s="127"/>
      <c r="AJ995" s="128"/>
      <c r="AK995" s="125"/>
      <c r="AL995" s="126"/>
      <c r="AM995" s="127"/>
      <c r="AN995" s="128"/>
      <c r="AO995" s="61"/>
    </row>
    <row r="996">
      <c r="A996" s="112"/>
      <c r="B996" s="92"/>
      <c r="C996" s="93"/>
      <c r="D996" s="61"/>
      <c r="E996" s="112"/>
      <c r="F996" s="92"/>
      <c r="G996" s="93"/>
      <c r="H996" s="61"/>
      <c r="I996" s="112"/>
      <c r="J996" s="92"/>
      <c r="K996" s="93"/>
      <c r="L996" s="61"/>
      <c r="M996" s="112"/>
      <c r="N996" s="92"/>
      <c r="O996" s="93"/>
      <c r="P996" s="61"/>
      <c r="Q996" s="55"/>
      <c r="R996" s="55"/>
      <c r="S996" s="55"/>
      <c r="T996" s="55"/>
      <c r="U996" s="55"/>
      <c r="V996" s="55"/>
      <c r="W996" s="55"/>
      <c r="X996" s="55"/>
      <c r="Y996" s="113"/>
      <c r="Z996" s="129"/>
      <c r="AA996" s="129"/>
      <c r="AB996" s="129"/>
      <c r="AC996" s="113"/>
      <c r="AD996" s="55"/>
      <c r="AE996" s="130"/>
      <c r="AF996" s="130"/>
      <c r="AG996" s="125"/>
      <c r="AH996" s="126"/>
      <c r="AI996" s="127"/>
      <c r="AJ996" s="128"/>
      <c r="AK996" s="125"/>
      <c r="AL996" s="126"/>
      <c r="AM996" s="127"/>
      <c r="AN996" s="128"/>
      <c r="AO996" s="61"/>
    </row>
    <row r="997">
      <c r="A997" s="112"/>
      <c r="B997" s="92"/>
      <c r="C997" s="93"/>
      <c r="D997" s="61"/>
      <c r="E997" s="112"/>
      <c r="F997" s="92"/>
      <c r="G997" s="93"/>
      <c r="H997" s="61"/>
      <c r="I997" s="112"/>
      <c r="J997" s="92"/>
      <c r="K997" s="93"/>
      <c r="L997" s="61"/>
      <c r="M997" s="112"/>
      <c r="N997" s="92"/>
      <c r="O997" s="93"/>
      <c r="P997" s="61"/>
      <c r="Q997" s="55"/>
      <c r="R997" s="55"/>
      <c r="S997" s="55"/>
      <c r="T997" s="55"/>
      <c r="U997" s="55"/>
      <c r="V997" s="55"/>
      <c r="W997" s="55"/>
      <c r="X997" s="55"/>
      <c r="Y997" s="113"/>
      <c r="Z997" s="129"/>
      <c r="AA997" s="129"/>
      <c r="AB997" s="129"/>
      <c r="AC997" s="113"/>
      <c r="AD997" s="55"/>
      <c r="AE997" s="130"/>
      <c r="AF997" s="130"/>
      <c r="AG997" s="125"/>
      <c r="AH997" s="126"/>
      <c r="AI997" s="127"/>
      <c r="AJ997" s="128"/>
      <c r="AK997" s="125"/>
      <c r="AL997" s="126"/>
      <c r="AM997" s="127"/>
      <c r="AN997" s="128"/>
      <c r="AO997" s="61"/>
    </row>
    <row r="998">
      <c r="A998" s="112"/>
      <c r="B998" s="92"/>
      <c r="C998" s="93"/>
      <c r="D998" s="61"/>
      <c r="E998" s="112"/>
      <c r="F998" s="92"/>
      <c r="G998" s="93"/>
      <c r="H998" s="61"/>
      <c r="I998" s="112"/>
      <c r="J998" s="92"/>
      <c r="K998" s="93"/>
      <c r="L998" s="61"/>
      <c r="M998" s="112"/>
      <c r="N998" s="92"/>
      <c r="O998" s="93"/>
      <c r="P998" s="61"/>
      <c r="Q998" s="55"/>
      <c r="R998" s="55"/>
      <c r="S998" s="55"/>
      <c r="T998" s="55"/>
      <c r="U998" s="55"/>
      <c r="V998" s="55"/>
      <c r="W998" s="55"/>
      <c r="X998" s="55"/>
      <c r="Y998" s="113"/>
      <c r="Z998" s="129"/>
      <c r="AA998" s="129"/>
      <c r="AB998" s="129"/>
      <c r="AC998" s="113"/>
      <c r="AD998" s="55"/>
      <c r="AE998" s="130"/>
      <c r="AF998" s="130"/>
      <c r="AG998" s="125"/>
      <c r="AH998" s="126"/>
      <c r="AI998" s="127"/>
      <c r="AJ998" s="128"/>
      <c r="AK998" s="125"/>
      <c r="AL998" s="126"/>
      <c r="AM998" s="127"/>
      <c r="AN998" s="128"/>
      <c r="AO998" s="61"/>
    </row>
    <row r="999">
      <c r="A999" s="112"/>
      <c r="B999" s="92"/>
      <c r="C999" s="93"/>
      <c r="D999" s="61"/>
      <c r="E999" s="112"/>
      <c r="F999" s="92"/>
      <c r="G999" s="93"/>
      <c r="H999" s="61"/>
      <c r="I999" s="112"/>
      <c r="J999" s="92"/>
      <c r="K999" s="93"/>
      <c r="L999" s="61"/>
      <c r="M999" s="112"/>
      <c r="N999" s="92"/>
      <c r="O999" s="93"/>
      <c r="P999" s="61"/>
      <c r="Q999" s="55"/>
      <c r="R999" s="55"/>
      <c r="S999" s="55"/>
      <c r="T999" s="55"/>
      <c r="U999" s="55"/>
      <c r="V999" s="55"/>
      <c r="W999" s="55"/>
      <c r="X999" s="55"/>
      <c r="Y999" s="113"/>
      <c r="Z999" s="129"/>
      <c r="AA999" s="129"/>
      <c r="AB999" s="129"/>
      <c r="AC999" s="113"/>
      <c r="AD999" s="55"/>
      <c r="AE999" s="130"/>
      <c r="AF999" s="130"/>
      <c r="AG999" s="125"/>
      <c r="AH999" s="126"/>
      <c r="AI999" s="127"/>
      <c r="AJ999" s="128"/>
      <c r="AK999" s="125"/>
      <c r="AL999" s="126"/>
      <c r="AM999" s="127"/>
      <c r="AN999" s="128"/>
      <c r="AO999" s="61"/>
    </row>
    <row r="1000">
      <c r="A1000" s="112"/>
      <c r="B1000" s="92"/>
      <c r="C1000" s="93"/>
      <c r="D1000" s="61"/>
      <c r="E1000" s="112"/>
      <c r="F1000" s="92"/>
      <c r="G1000" s="93"/>
      <c r="H1000" s="61"/>
      <c r="I1000" s="112"/>
      <c r="J1000" s="92"/>
      <c r="K1000" s="93"/>
      <c r="L1000" s="61"/>
      <c r="M1000" s="112"/>
      <c r="N1000" s="92"/>
      <c r="O1000" s="93"/>
      <c r="P1000" s="61"/>
      <c r="Q1000" s="55"/>
      <c r="R1000" s="55"/>
      <c r="S1000" s="55"/>
      <c r="T1000" s="55"/>
      <c r="U1000" s="55"/>
      <c r="V1000" s="55"/>
      <c r="W1000" s="55"/>
      <c r="X1000" s="55"/>
      <c r="Y1000" s="113"/>
      <c r="Z1000" s="129"/>
      <c r="AA1000" s="129"/>
      <c r="AB1000" s="129"/>
      <c r="AC1000" s="113"/>
      <c r="AD1000" s="55"/>
      <c r="AE1000" s="130"/>
      <c r="AF1000" s="130"/>
      <c r="AG1000" s="125"/>
      <c r="AH1000" s="126"/>
      <c r="AI1000" s="127"/>
      <c r="AJ1000" s="128"/>
      <c r="AK1000" s="125"/>
      <c r="AL1000" s="126"/>
      <c r="AM1000" s="127"/>
      <c r="AN1000" s="128"/>
      <c r="AO1000" s="61"/>
    </row>
    <row r="1001">
      <c r="A1001" s="112"/>
      <c r="B1001" s="92"/>
      <c r="C1001" s="93"/>
      <c r="D1001" s="61"/>
      <c r="E1001" s="112"/>
      <c r="F1001" s="92"/>
      <c r="G1001" s="93"/>
      <c r="H1001" s="61"/>
      <c r="I1001" s="112"/>
      <c r="J1001" s="92"/>
      <c r="K1001" s="93"/>
      <c r="L1001" s="61"/>
      <c r="M1001" s="112"/>
      <c r="N1001" s="92"/>
      <c r="O1001" s="93"/>
      <c r="P1001" s="61"/>
      <c r="Q1001" s="55"/>
      <c r="R1001" s="55"/>
      <c r="S1001" s="55"/>
      <c r="T1001" s="55"/>
      <c r="U1001" s="55"/>
      <c r="V1001" s="55"/>
      <c r="W1001" s="55"/>
      <c r="X1001" s="55"/>
      <c r="Y1001" s="113"/>
      <c r="Z1001" s="129"/>
      <c r="AA1001" s="129"/>
      <c r="AB1001" s="129"/>
      <c r="AC1001" s="113"/>
      <c r="AD1001" s="55"/>
      <c r="AE1001" s="130"/>
      <c r="AF1001" s="130"/>
      <c r="AG1001" s="125"/>
      <c r="AH1001" s="126"/>
      <c r="AI1001" s="127"/>
      <c r="AJ1001" s="128"/>
      <c r="AK1001" s="125"/>
      <c r="AL1001" s="126"/>
      <c r="AM1001" s="127"/>
      <c r="AN1001" s="128"/>
      <c r="AO1001" s="61"/>
    </row>
    <row r="1002">
      <c r="A1002" s="112"/>
      <c r="B1002" s="92"/>
      <c r="C1002" s="93"/>
      <c r="D1002" s="61"/>
      <c r="E1002" s="112"/>
      <c r="F1002" s="92"/>
      <c r="G1002" s="93"/>
      <c r="H1002" s="61"/>
      <c r="I1002" s="112"/>
      <c r="J1002" s="92"/>
      <c r="K1002" s="93"/>
      <c r="L1002" s="61"/>
      <c r="M1002" s="112"/>
      <c r="N1002" s="92"/>
      <c r="O1002" s="93"/>
      <c r="P1002" s="61"/>
      <c r="Q1002" s="55"/>
      <c r="R1002" s="55"/>
      <c r="S1002" s="55"/>
      <c r="T1002" s="55"/>
      <c r="U1002" s="55"/>
      <c r="V1002" s="55"/>
      <c r="W1002" s="55"/>
      <c r="X1002" s="55"/>
      <c r="Y1002" s="113"/>
      <c r="Z1002" s="129"/>
      <c r="AA1002" s="129"/>
      <c r="AB1002" s="129"/>
      <c r="AC1002" s="113"/>
      <c r="AD1002" s="55"/>
      <c r="AE1002" s="130"/>
      <c r="AF1002" s="130"/>
      <c r="AG1002" s="125"/>
      <c r="AH1002" s="126"/>
      <c r="AI1002" s="127"/>
      <c r="AJ1002" s="128"/>
      <c r="AK1002" s="125"/>
      <c r="AL1002" s="126"/>
      <c r="AM1002" s="127"/>
      <c r="AN1002" s="128"/>
      <c r="AO1002" s="61"/>
    </row>
    <row r="1003">
      <c r="A1003" s="112"/>
      <c r="B1003" s="92"/>
      <c r="C1003" s="93"/>
      <c r="D1003" s="61"/>
      <c r="E1003" s="112"/>
      <c r="F1003" s="92"/>
      <c r="G1003" s="93"/>
      <c r="H1003" s="61"/>
      <c r="I1003" s="112"/>
      <c r="J1003" s="92"/>
      <c r="K1003" s="93"/>
      <c r="L1003" s="61"/>
      <c r="M1003" s="112"/>
      <c r="N1003" s="92"/>
      <c r="O1003" s="93"/>
      <c r="P1003" s="61"/>
      <c r="Q1003" s="55"/>
      <c r="R1003" s="55"/>
      <c r="S1003" s="55"/>
      <c r="T1003" s="55"/>
      <c r="U1003" s="55"/>
      <c r="V1003" s="55"/>
      <c r="W1003" s="55"/>
      <c r="X1003" s="55"/>
      <c r="Y1003" s="113"/>
      <c r="Z1003" s="129"/>
      <c r="AA1003" s="129"/>
      <c r="AB1003" s="129"/>
      <c r="AC1003" s="113"/>
      <c r="AD1003" s="55"/>
      <c r="AE1003" s="130"/>
      <c r="AF1003" s="130"/>
      <c r="AG1003" s="125"/>
      <c r="AH1003" s="126"/>
      <c r="AI1003" s="127"/>
      <c r="AJ1003" s="128"/>
      <c r="AK1003" s="125"/>
      <c r="AL1003" s="126"/>
      <c r="AM1003" s="127"/>
      <c r="AN1003" s="128"/>
      <c r="AO1003" s="61"/>
    </row>
    <row r="1004">
      <c r="A1004" s="112"/>
      <c r="B1004" s="92"/>
      <c r="C1004" s="93"/>
      <c r="D1004" s="61"/>
      <c r="E1004" s="112"/>
      <c r="F1004" s="92"/>
      <c r="G1004" s="93"/>
      <c r="H1004" s="61"/>
      <c r="I1004" s="112"/>
      <c r="J1004" s="92"/>
      <c r="K1004" s="93"/>
      <c r="L1004" s="61"/>
      <c r="M1004" s="112"/>
      <c r="N1004" s="92"/>
      <c r="O1004" s="93"/>
      <c r="P1004" s="61"/>
      <c r="Q1004" s="55"/>
      <c r="R1004" s="55"/>
      <c r="S1004" s="55"/>
      <c r="T1004" s="55"/>
      <c r="U1004" s="55"/>
      <c r="V1004" s="55"/>
      <c r="W1004" s="55"/>
      <c r="X1004" s="55"/>
      <c r="Y1004" s="113"/>
      <c r="Z1004" s="129"/>
      <c r="AA1004" s="129"/>
      <c r="AB1004" s="129"/>
      <c r="AC1004" s="113"/>
      <c r="AD1004" s="55"/>
      <c r="AE1004" s="130"/>
      <c r="AF1004" s="130"/>
      <c r="AG1004" s="125"/>
      <c r="AH1004" s="126"/>
      <c r="AI1004" s="127"/>
      <c r="AJ1004" s="128"/>
      <c r="AK1004" s="125"/>
      <c r="AL1004" s="126"/>
      <c r="AM1004" s="127"/>
      <c r="AN1004" s="128"/>
      <c r="AO1004" s="61"/>
    </row>
    <row r="1005">
      <c r="A1005" s="112"/>
      <c r="B1005" s="92"/>
      <c r="C1005" s="93"/>
      <c r="D1005" s="61"/>
      <c r="E1005" s="112"/>
      <c r="F1005" s="92"/>
      <c r="G1005" s="93"/>
      <c r="H1005" s="61"/>
      <c r="I1005" s="112"/>
      <c r="J1005" s="92"/>
      <c r="K1005" s="93"/>
      <c r="L1005" s="61"/>
      <c r="M1005" s="112"/>
      <c r="N1005" s="92"/>
      <c r="O1005" s="93"/>
      <c r="P1005" s="61"/>
      <c r="Q1005" s="55"/>
      <c r="R1005" s="55"/>
      <c r="S1005" s="55"/>
      <c r="T1005" s="55"/>
      <c r="U1005" s="55"/>
      <c r="V1005" s="55"/>
      <c r="W1005" s="55"/>
      <c r="X1005" s="55"/>
      <c r="Y1005" s="113"/>
      <c r="Z1005" s="129"/>
      <c r="AA1005" s="129"/>
      <c r="AB1005" s="129"/>
      <c r="AC1005" s="113"/>
      <c r="AD1005" s="55"/>
      <c r="AE1005" s="130"/>
      <c r="AF1005" s="130"/>
      <c r="AG1005" s="125"/>
      <c r="AH1005" s="126"/>
      <c r="AI1005" s="127"/>
      <c r="AJ1005" s="128"/>
      <c r="AK1005" s="125"/>
      <c r="AL1005" s="126"/>
      <c r="AM1005" s="127"/>
      <c r="AN1005" s="128"/>
      <c r="AO1005" s="61"/>
    </row>
    <row r="1006">
      <c r="A1006" s="112"/>
      <c r="B1006" s="92"/>
      <c r="C1006" s="93"/>
      <c r="D1006" s="61"/>
      <c r="E1006" s="112"/>
      <c r="F1006" s="92"/>
      <c r="G1006" s="93"/>
      <c r="H1006" s="61"/>
      <c r="I1006" s="112"/>
      <c r="J1006" s="92"/>
      <c r="K1006" s="93"/>
      <c r="L1006" s="61"/>
      <c r="M1006" s="112"/>
      <c r="N1006" s="92"/>
      <c r="O1006" s="93"/>
      <c r="P1006" s="61"/>
      <c r="Q1006" s="55"/>
      <c r="R1006" s="55"/>
      <c r="S1006" s="55"/>
      <c r="T1006" s="55"/>
      <c r="U1006" s="55"/>
      <c r="V1006" s="55"/>
      <c r="W1006" s="55"/>
      <c r="X1006" s="55"/>
      <c r="Y1006" s="113"/>
      <c r="Z1006" s="129"/>
      <c r="AA1006" s="129"/>
      <c r="AB1006" s="129"/>
      <c r="AC1006" s="113"/>
      <c r="AD1006" s="55"/>
      <c r="AE1006" s="130"/>
      <c r="AF1006" s="130"/>
      <c r="AG1006" s="125"/>
      <c r="AH1006" s="126"/>
      <c r="AI1006" s="127"/>
      <c r="AJ1006" s="128"/>
      <c r="AK1006" s="125"/>
      <c r="AL1006" s="126"/>
      <c r="AM1006" s="127"/>
      <c r="AN1006" s="128"/>
      <c r="AO1006" s="61"/>
    </row>
    <row r="1007">
      <c r="A1007" s="112"/>
      <c r="B1007" s="92"/>
      <c r="C1007" s="93"/>
      <c r="D1007" s="61"/>
      <c r="E1007" s="112"/>
      <c r="F1007" s="92"/>
      <c r="G1007" s="93"/>
      <c r="H1007" s="61"/>
      <c r="I1007" s="112"/>
      <c r="J1007" s="92"/>
      <c r="K1007" s="93"/>
      <c r="L1007" s="61"/>
      <c r="M1007" s="112"/>
      <c r="N1007" s="92"/>
      <c r="O1007" s="93"/>
      <c r="P1007" s="61"/>
      <c r="Q1007" s="55"/>
      <c r="R1007" s="55"/>
      <c r="S1007" s="55"/>
      <c r="T1007" s="55"/>
      <c r="U1007" s="55"/>
      <c r="V1007" s="55"/>
      <c r="W1007" s="55"/>
      <c r="X1007" s="55"/>
      <c r="Y1007" s="113"/>
      <c r="Z1007" s="129"/>
      <c r="AA1007" s="129"/>
      <c r="AB1007" s="129"/>
      <c r="AC1007" s="113"/>
      <c r="AD1007" s="55"/>
      <c r="AE1007" s="130"/>
      <c r="AF1007" s="130"/>
      <c r="AG1007" s="125"/>
      <c r="AH1007" s="126"/>
      <c r="AI1007" s="127"/>
      <c r="AJ1007" s="128"/>
      <c r="AK1007" s="125"/>
      <c r="AL1007" s="126"/>
      <c r="AM1007" s="127"/>
      <c r="AN1007" s="128"/>
      <c r="AO1007" s="61"/>
    </row>
    <row r="1008">
      <c r="A1008" s="112"/>
      <c r="B1008" s="92"/>
      <c r="C1008" s="93"/>
      <c r="D1008" s="61"/>
      <c r="E1008" s="112"/>
      <c r="F1008" s="92"/>
      <c r="G1008" s="93"/>
      <c r="H1008" s="61"/>
      <c r="I1008" s="112"/>
      <c r="J1008" s="92"/>
      <c r="K1008" s="93"/>
      <c r="L1008" s="61"/>
      <c r="M1008" s="112"/>
      <c r="N1008" s="92"/>
      <c r="O1008" s="93"/>
      <c r="P1008" s="61"/>
      <c r="Q1008" s="55"/>
      <c r="R1008" s="55"/>
      <c r="S1008" s="55"/>
      <c r="T1008" s="55"/>
      <c r="U1008" s="55"/>
      <c r="V1008" s="55"/>
      <c r="W1008" s="55"/>
      <c r="X1008" s="55"/>
      <c r="Y1008" s="113"/>
      <c r="Z1008" s="129"/>
      <c r="AA1008" s="129"/>
      <c r="AB1008" s="129"/>
      <c r="AC1008" s="113"/>
      <c r="AD1008" s="55"/>
      <c r="AE1008" s="130"/>
      <c r="AF1008" s="130"/>
      <c r="AG1008" s="125"/>
      <c r="AH1008" s="126"/>
      <c r="AI1008" s="127"/>
      <c r="AJ1008" s="128"/>
      <c r="AK1008" s="125"/>
      <c r="AL1008" s="126"/>
      <c r="AM1008" s="127"/>
      <c r="AN1008" s="128"/>
      <c r="AO1008" s="61"/>
    </row>
    <row r="1009">
      <c r="A1009" s="112"/>
      <c r="B1009" s="92"/>
      <c r="C1009" s="93"/>
      <c r="D1009" s="61"/>
      <c r="E1009" s="112"/>
      <c r="F1009" s="92"/>
      <c r="G1009" s="93"/>
      <c r="H1009" s="61"/>
      <c r="I1009" s="112"/>
      <c r="J1009" s="92"/>
      <c r="K1009" s="93"/>
      <c r="L1009" s="61"/>
      <c r="M1009" s="112"/>
      <c r="N1009" s="92"/>
      <c r="O1009" s="93"/>
      <c r="P1009" s="61"/>
      <c r="Q1009" s="55"/>
      <c r="R1009" s="55"/>
      <c r="S1009" s="55"/>
      <c r="T1009" s="55"/>
      <c r="U1009" s="55"/>
      <c r="V1009" s="55"/>
      <c r="W1009" s="55"/>
      <c r="X1009" s="55"/>
      <c r="Y1009" s="113"/>
      <c r="Z1009" s="129"/>
      <c r="AA1009" s="129"/>
      <c r="AB1009" s="129"/>
      <c r="AC1009" s="113"/>
      <c r="AD1009" s="55"/>
      <c r="AE1009" s="130"/>
      <c r="AF1009" s="130"/>
      <c r="AG1009" s="125"/>
      <c r="AH1009" s="126"/>
      <c r="AI1009" s="127"/>
      <c r="AJ1009" s="128"/>
      <c r="AK1009" s="125"/>
      <c r="AL1009" s="126"/>
      <c r="AM1009" s="127"/>
      <c r="AN1009" s="128"/>
      <c r="AO1009" s="61"/>
    </row>
    <row r="1010">
      <c r="A1010" s="112"/>
      <c r="B1010" s="92"/>
      <c r="C1010" s="93"/>
      <c r="D1010" s="61"/>
      <c r="E1010" s="112"/>
      <c r="F1010" s="92"/>
      <c r="G1010" s="93"/>
      <c r="H1010" s="61"/>
      <c r="I1010" s="112"/>
      <c r="J1010" s="92"/>
      <c r="K1010" s="93"/>
      <c r="L1010" s="61"/>
      <c r="M1010" s="112"/>
      <c r="N1010" s="92"/>
      <c r="O1010" s="93"/>
      <c r="P1010" s="61"/>
      <c r="Q1010" s="55"/>
      <c r="R1010" s="55"/>
      <c r="S1010" s="55"/>
      <c r="T1010" s="55"/>
      <c r="U1010" s="55"/>
      <c r="V1010" s="55"/>
      <c r="W1010" s="55"/>
      <c r="X1010" s="55"/>
      <c r="Y1010" s="113"/>
      <c r="Z1010" s="129"/>
      <c r="AA1010" s="129"/>
      <c r="AB1010" s="129"/>
      <c r="AC1010" s="113"/>
      <c r="AD1010" s="55"/>
      <c r="AE1010" s="130"/>
      <c r="AF1010" s="130"/>
      <c r="AG1010" s="125"/>
      <c r="AH1010" s="126"/>
      <c r="AI1010" s="127"/>
      <c r="AJ1010" s="128"/>
      <c r="AK1010" s="125"/>
      <c r="AL1010" s="126"/>
      <c r="AM1010" s="127"/>
      <c r="AN1010" s="128"/>
      <c r="AO1010" s="61"/>
    </row>
    <row r="1011">
      <c r="A1011" s="112"/>
      <c r="B1011" s="92"/>
      <c r="C1011" s="93"/>
      <c r="D1011" s="61"/>
      <c r="E1011" s="112"/>
      <c r="F1011" s="92"/>
      <c r="G1011" s="93"/>
      <c r="H1011" s="61"/>
      <c r="I1011" s="112"/>
      <c r="J1011" s="92"/>
      <c r="K1011" s="93"/>
      <c r="L1011" s="61"/>
      <c r="M1011" s="112"/>
      <c r="N1011" s="92"/>
      <c r="O1011" s="93"/>
      <c r="P1011" s="61"/>
      <c r="Q1011" s="55"/>
      <c r="R1011" s="55"/>
      <c r="S1011" s="55"/>
      <c r="T1011" s="55"/>
      <c r="U1011" s="55"/>
      <c r="V1011" s="55"/>
      <c r="W1011" s="55"/>
      <c r="X1011" s="55"/>
      <c r="Y1011" s="113"/>
      <c r="Z1011" s="129"/>
      <c r="AA1011" s="129"/>
      <c r="AB1011" s="129"/>
      <c r="AC1011" s="113"/>
      <c r="AD1011" s="55"/>
      <c r="AE1011" s="130"/>
      <c r="AF1011" s="130"/>
      <c r="AG1011" s="125"/>
      <c r="AH1011" s="126"/>
      <c r="AI1011" s="127"/>
      <c r="AJ1011" s="128"/>
      <c r="AK1011" s="125"/>
      <c r="AL1011" s="126"/>
      <c r="AM1011" s="127"/>
      <c r="AN1011" s="128"/>
      <c r="AO1011" s="61"/>
    </row>
    <row r="1012">
      <c r="A1012" s="112"/>
      <c r="B1012" s="92"/>
      <c r="C1012" s="93"/>
      <c r="D1012" s="61"/>
      <c r="E1012" s="112"/>
      <c r="F1012" s="92"/>
      <c r="G1012" s="93"/>
      <c r="H1012" s="61"/>
      <c r="I1012" s="112"/>
      <c r="J1012" s="92"/>
      <c r="K1012" s="93"/>
      <c r="L1012" s="61"/>
      <c r="M1012" s="112"/>
      <c r="N1012" s="92"/>
      <c r="O1012" s="93"/>
      <c r="P1012" s="61"/>
      <c r="Q1012" s="55"/>
      <c r="R1012" s="55"/>
      <c r="S1012" s="55"/>
      <c r="T1012" s="55"/>
      <c r="U1012" s="55"/>
      <c r="V1012" s="55"/>
      <c r="W1012" s="55"/>
      <c r="X1012" s="55"/>
      <c r="Y1012" s="113"/>
      <c r="Z1012" s="129"/>
      <c r="AA1012" s="129"/>
      <c r="AB1012" s="129"/>
      <c r="AC1012" s="113"/>
      <c r="AD1012" s="55"/>
      <c r="AE1012" s="130"/>
      <c r="AF1012" s="130"/>
      <c r="AG1012" s="125"/>
      <c r="AH1012" s="126"/>
      <c r="AI1012" s="127"/>
      <c r="AJ1012" s="128"/>
      <c r="AK1012" s="125"/>
      <c r="AL1012" s="126"/>
      <c r="AM1012" s="127"/>
      <c r="AN1012" s="128"/>
      <c r="AO1012" s="61"/>
    </row>
    <row r="1013">
      <c r="A1013" s="112"/>
      <c r="B1013" s="92"/>
      <c r="C1013" s="93"/>
      <c r="D1013" s="61"/>
      <c r="E1013" s="112"/>
      <c r="F1013" s="92"/>
      <c r="G1013" s="93"/>
      <c r="H1013" s="61"/>
      <c r="I1013" s="112"/>
      <c r="J1013" s="92"/>
      <c r="K1013" s="93"/>
      <c r="L1013" s="61"/>
      <c r="M1013" s="112"/>
      <c r="N1013" s="92"/>
      <c r="O1013" s="93"/>
      <c r="P1013" s="61"/>
      <c r="Q1013" s="55"/>
      <c r="R1013" s="55"/>
      <c r="S1013" s="55"/>
      <c r="T1013" s="55"/>
      <c r="U1013" s="55"/>
      <c r="V1013" s="55"/>
      <c r="W1013" s="55"/>
      <c r="X1013" s="55"/>
      <c r="Y1013" s="113"/>
      <c r="Z1013" s="129"/>
      <c r="AA1013" s="129"/>
      <c r="AB1013" s="129"/>
      <c r="AC1013" s="113"/>
      <c r="AD1013" s="55"/>
      <c r="AE1013" s="130"/>
      <c r="AF1013" s="130"/>
      <c r="AG1013" s="125"/>
      <c r="AH1013" s="126"/>
      <c r="AI1013" s="127"/>
      <c r="AJ1013" s="128"/>
      <c r="AK1013" s="125"/>
      <c r="AL1013" s="126"/>
      <c r="AM1013" s="127"/>
      <c r="AN1013" s="128"/>
      <c r="AO1013" s="61"/>
    </row>
    <row r="1014">
      <c r="A1014" s="112"/>
      <c r="B1014" s="92"/>
      <c r="C1014" s="93"/>
      <c r="D1014" s="61"/>
      <c r="E1014" s="112"/>
      <c r="F1014" s="92"/>
      <c r="G1014" s="93"/>
      <c r="H1014" s="61"/>
      <c r="I1014" s="112"/>
      <c r="J1014" s="92"/>
      <c r="K1014" s="93"/>
      <c r="L1014" s="61"/>
      <c r="M1014" s="112"/>
      <c r="N1014" s="92"/>
      <c r="O1014" s="93"/>
      <c r="P1014" s="61"/>
      <c r="Q1014" s="55"/>
      <c r="R1014" s="55"/>
      <c r="S1014" s="55"/>
      <c r="T1014" s="55"/>
      <c r="U1014" s="55"/>
      <c r="V1014" s="55"/>
      <c r="W1014" s="55"/>
      <c r="X1014" s="55"/>
      <c r="Y1014" s="113"/>
      <c r="Z1014" s="129"/>
      <c r="AA1014" s="129"/>
      <c r="AB1014" s="129"/>
      <c r="AC1014" s="113"/>
      <c r="AD1014" s="55"/>
      <c r="AE1014" s="130"/>
      <c r="AF1014" s="130"/>
      <c r="AG1014" s="125"/>
      <c r="AH1014" s="126"/>
      <c r="AI1014" s="127"/>
      <c r="AJ1014" s="128"/>
      <c r="AK1014" s="125"/>
      <c r="AL1014" s="126"/>
      <c r="AM1014" s="127"/>
      <c r="AN1014" s="128"/>
      <c r="AO1014" s="61"/>
    </row>
    <row r="1015">
      <c r="A1015" s="112"/>
      <c r="B1015" s="92"/>
      <c r="C1015" s="93"/>
      <c r="D1015" s="61"/>
      <c r="E1015" s="112"/>
      <c r="F1015" s="92"/>
      <c r="G1015" s="93"/>
      <c r="H1015" s="61"/>
      <c r="I1015" s="112"/>
      <c r="J1015" s="92"/>
      <c r="K1015" s="93"/>
      <c r="L1015" s="61"/>
      <c r="M1015" s="112"/>
      <c r="N1015" s="92"/>
      <c r="O1015" s="93"/>
      <c r="P1015" s="61"/>
      <c r="Q1015" s="55"/>
      <c r="R1015" s="55"/>
      <c r="S1015" s="55"/>
      <c r="T1015" s="55"/>
      <c r="U1015" s="55"/>
      <c r="V1015" s="55"/>
      <c r="W1015" s="55"/>
      <c r="X1015" s="55"/>
      <c r="Y1015" s="113"/>
      <c r="Z1015" s="129"/>
      <c r="AA1015" s="129"/>
      <c r="AB1015" s="129"/>
      <c r="AC1015" s="113"/>
      <c r="AD1015" s="55"/>
      <c r="AE1015" s="130"/>
      <c r="AF1015" s="130"/>
      <c r="AG1015" s="125"/>
      <c r="AH1015" s="126"/>
      <c r="AI1015" s="127"/>
      <c r="AJ1015" s="128"/>
      <c r="AK1015" s="125"/>
      <c r="AL1015" s="126"/>
      <c r="AM1015" s="127"/>
      <c r="AN1015" s="128"/>
      <c r="AO1015" s="61"/>
    </row>
    <row r="1016">
      <c r="A1016" s="112"/>
      <c r="B1016" s="92"/>
      <c r="C1016" s="93"/>
      <c r="D1016" s="61"/>
      <c r="E1016" s="112"/>
      <c r="F1016" s="92"/>
      <c r="G1016" s="93"/>
      <c r="H1016" s="61"/>
      <c r="I1016" s="112"/>
      <c r="J1016" s="92"/>
      <c r="K1016" s="93"/>
      <c r="L1016" s="61"/>
      <c r="M1016" s="112"/>
      <c r="N1016" s="92"/>
      <c r="O1016" s="93"/>
      <c r="P1016" s="61"/>
      <c r="Q1016" s="55"/>
      <c r="R1016" s="55"/>
      <c r="S1016" s="55"/>
      <c r="T1016" s="55"/>
      <c r="U1016" s="55"/>
      <c r="V1016" s="55"/>
      <c r="W1016" s="55"/>
      <c r="X1016" s="55"/>
      <c r="Y1016" s="113"/>
      <c r="Z1016" s="129"/>
      <c r="AA1016" s="129"/>
      <c r="AB1016" s="129"/>
      <c r="AC1016" s="113"/>
      <c r="AD1016" s="55"/>
      <c r="AE1016" s="130"/>
      <c r="AF1016" s="130"/>
      <c r="AG1016" s="125"/>
      <c r="AH1016" s="126"/>
      <c r="AI1016" s="127"/>
      <c r="AJ1016" s="128"/>
      <c r="AK1016" s="125"/>
      <c r="AL1016" s="126"/>
      <c r="AM1016" s="127"/>
      <c r="AN1016" s="128"/>
      <c r="AO1016" s="61"/>
    </row>
    <row r="1017">
      <c r="A1017" s="112"/>
      <c r="B1017" s="92"/>
      <c r="C1017" s="93"/>
      <c r="D1017" s="61"/>
      <c r="E1017" s="112"/>
      <c r="F1017" s="92"/>
      <c r="G1017" s="93"/>
      <c r="H1017" s="61"/>
      <c r="I1017" s="112"/>
      <c r="J1017" s="92"/>
      <c r="K1017" s="93"/>
      <c r="L1017" s="61"/>
      <c r="M1017" s="112"/>
      <c r="N1017" s="92"/>
      <c r="O1017" s="93"/>
      <c r="P1017" s="61"/>
      <c r="Q1017" s="55"/>
      <c r="R1017" s="55"/>
      <c r="S1017" s="55"/>
      <c r="T1017" s="55"/>
      <c r="U1017" s="55"/>
      <c r="V1017" s="55"/>
      <c r="W1017" s="55"/>
      <c r="X1017" s="55"/>
      <c r="Y1017" s="113"/>
      <c r="Z1017" s="129"/>
      <c r="AA1017" s="129"/>
      <c r="AB1017" s="129"/>
      <c r="AC1017" s="113"/>
      <c r="AD1017" s="55"/>
      <c r="AE1017" s="130"/>
      <c r="AF1017" s="130"/>
      <c r="AG1017" s="125"/>
      <c r="AH1017" s="126"/>
      <c r="AI1017" s="127"/>
      <c r="AJ1017" s="128"/>
      <c r="AK1017" s="125"/>
      <c r="AL1017" s="126"/>
      <c r="AM1017" s="127"/>
      <c r="AN1017" s="128"/>
      <c r="AO1017" s="61"/>
    </row>
    <row r="1018">
      <c r="A1018" s="112"/>
      <c r="B1018" s="92"/>
      <c r="C1018" s="93"/>
      <c r="D1018" s="61"/>
      <c r="E1018" s="112"/>
      <c r="F1018" s="92"/>
      <c r="G1018" s="93"/>
      <c r="H1018" s="61"/>
      <c r="I1018" s="112"/>
      <c r="J1018" s="92"/>
      <c r="K1018" s="93"/>
      <c r="L1018" s="61"/>
      <c r="M1018" s="112"/>
      <c r="N1018" s="92"/>
      <c r="O1018" s="93"/>
      <c r="P1018" s="61"/>
      <c r="Q1018" s="55"/>
      <c r="R1018" s="55"/>
      <c r="S1018" s="55"/>
      <c r="T1018" s="55"/>
      <c r="U1018" s="55"/>
      <c r="V1018" s="55"/>
      <c r="W1018" s="55"/>
      <c r="X1018" s="55"/>
      <c r="Y1018" s="113"/>
      <c r="Z1018" s="129"/>
      <c r="AA1018" s="129"/>
      <c r="AB1018" s="129"/>
      <c r="AC1018" s="113"/>
      <c r="AD1018" s="55"/>
      <c r="AE1018" s="130"/>
      <c r="AF1018" s="130"/>
      <c r="AG1018" s="125"/>
      <c r="AH1018" s="126"/>
      <c r="AI1018" s="127"/>
      <c r="AJ1018" s="128"/>
      <c r="AK1018" s="125"/>
      <c r="AL1018" s="126"/>
      <c r="AM1018" s="127"/>
      <c r="AN1018" s="128"/>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5" t="s">
        <v>2115</v>
      </c>
      <c r="AO1" s="65"/>
    </row>
    <row r="2" ht="42.75" customHeight="1">
      <c r="AO2" s="65"/>
    </row>
    <row r="3">
      <c r="A3" s="131" t="s">
        <v>2116</v>
      </c>
      <c r="E3" s="131"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1" t="s">
        <v>2117</v>
      </c>
      <c r="M3" s="132" t="str">
        <f>IFERROR(__xludf.DUMMYFUNCTION("GOOGLETRANSLATE(A3,""zh-tw"",""zh"")"),"地面上的发光文字，有许多是玩家们的骗人留言。
请不要用那些假情报进行提问。")</f>
        <v>地面上的发光文字，有许多是玩家们的骗人留言。
请不要用那些假情报进行提问。</v>
      </c>
      <c r="Q3" s="132"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2"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2"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1" t="s">
        <v>2118</v>
      </c>
      <c r="AG3" s="133" t="s">
        <v>2119</v>
      </c>
      <c r="AK3" s="134" t="s">
        <v>2120</v>
      </c>
      <c r="AO3" s="135"/>
    </row>
    <row r="4">
      <c r="A4" s="136" t="s">
        <v>217</v>
      </c>
      <c r="B4" s="74" t="s">
        <v>2121</v>
      </c>
      <c r="C4" s="75" t="s">
        <v>219</v>
      </c>
      <c r="D4" s="76" t="s">
        <v>220</v>
      </c>
      <c r="E4" s="136" t="s">
        <v>217</v>
      </c>
      <c r="F4" s="74" t="str">
        <f>IFERROR(__xludf.DUMMYFUNCTION("GOOGLETRANSLATE(B4,""zh-tw"",""ja"")"),"RPGイベント")</f>
        <v>RPGイベント</v>
      </c>
      <c r="G4" s="75" t="str">
        <f>IFERROR(__xludf.DUMMYFUNCTION("GOOGLETRANSLATE(C4,""zh-tw"",""ja"")"),"説明する")</f>
        <v>説明する</v>
      </c>
      <c r="H4" s="76" t="str">
        <f>IFERROR(__xludf.DUMMYFUNCTION("GOOGLETRANSLATE(D4,""zh-tw"",""ja"")"),"結果")</f>
        <v>結果</v>
      </c>
      <c r="I4" s="136" t="s">
        <v>217</v>
      </c>
      <c r="J4" s="74" t="s">
        <v>2122</v>
      </c>
      <c r="K4" s="75" t="s">
        <v>222</v>
      </c>
      <c r="L4" s="76" t="s">
        <v>223</v>
      </c>
      <c r="M4" s="70" t="str">
        <f>IFERROR(__xludf.DUMMYFUNCTION("GOOGLETRANSLATE(E4,""zh-tw"",""en"")"),"NO.")</f>
        <v>NO.</v>
      </c>
      <c r="N4" s="71" t="str">
        <f>IFERROR(__xludf.DUMMYFUNCTION("GOOGLETRANSLATE(B4,""zh-tw"",""zh"")"),"RPG事件")</f>
        <v>RPG事件</v>
      </c>
      <c r="O4" s="72" t="str">
        <f>IFERROR(__xludf.DUMMYFUNCTION("GOOGLETRANSLATE(C4,""zh-tw"",""zh"")"),"说明")</f>
        <v>说明</v>
      </c>
      <c r="P4" s="137" t="str">
        <f>IFERROR(__xludf.DUMMYFUNCTION("GOOGLETRANSLATE(D4,""zh-tw"",""zh"")"),"结果")</f>
        <v>结果</v>
      </c>
      <c r="Q4" s="70" t="s">
        <v>217</v>
      </c>
      <c r="R4" s="71" t="str">
        <f>IFERROR(__xludf.DUMMYFUNCTION("GOOGLETRANSLATE(B4,""zh-tw"",""es-MX"")"),"Evento de rol")</f>
        <v>Evento de rol</v>
      </c>
      <c r="S4" s="72" t="str">
        <f>IFERROR(__xludf.DUMMYFUNCTION("GOOGLETRANSLATE(C4,""zh-tw"",""es-MX"")"),"ilustrar")</f>
        <v>ilustrar</v>
      </c>
      <c r="T4" s="73" t="str">
        <f>IFERROR(__xludf.DUMMYFUNCTION("GOOGLETRANSLATE(D4,""zh-tw"",""es-MX"")"),"resultado")</f>
        <v>resultado</v>
      </c>
      <c r="U4" s="70" t="s">
        <v>217</v>
      </c>
      <c r="V4" s="71" t="str">
        <f>IFERROR(__xludf.DUMMYFUNCTION("GOOGLETRANSLATE(B4,""zh-tw"",""KO"")"),"RPG 이벤트")</f>
        <v>RPG 이벤트</v>
      </c>
      <c r="W4" s="72" t="str">
        <f>IFERROR(__xludf.DUMMYFUNCTION("GOOGLETRANSLATE(C4,""zh-tw"",""KO"")"),"설명하다")</f>
        <v>설명하다</v>
      </c>
      <c r="X4" s="73" t="str">
        <f>IFERROR(__xludf.DUMMYFUNCTION("GOOGLETRANSLATE(D4,""zh-tw"",""KO"")"),"결과")</f>
        <v>결과</v>
      </c>
      <c r="Y4" s="136" t="s">
        <v>217</v>
      </c>
      <c r="Z4" s="71" t="str">
        <f>IFERROR(__xludf.DUMMYFUNCTION("GOOGLETRANSLATE(B4,""zh-tw"",""ru"")"),"РПГ-событие")</f>
        <v>РПГ-событие</v>
      </c>
      <c r="AA4" s="138" t="str">
        <f>IFERROR(__xludf.DUMMYFUNCTION("GOOGLETRANSLATE(C4,""zh-tw"",""RU"")"),"проиллюстрировать")</f>
        <v>проиллюстрировать</v>
      </c>
      <c r="AB4" s="73" t="str">
        <f>IFERROR(__xludf.DUMMYFUNCTION("GOOGLETRANSLATE(D4,""zh-tw"",""RU"")"),"результат")</f>
        <v>результат</v>
      </c>
      <c r="AC4" s="136" t="s">
        <v>217</v>
      </c>
      <c r="AD4" s="74" t="s">
        <v>2123</v>
      </c>
      <c r="AE4" s="139" t="s">
        <v>2124</v>
      </c>
      <c r="AF4" s="76" t="s">
        <v>2125</v>
      </c>
      <c r="AG4" s="140" t="s">
        <v>2126</v>
      </c>
      <c r="AH4" s="141" t="s">
        <v>2127</v>
      </c>
      <c r="AI4" s="142" t="s">
        <v>2128</v>
      </c>
      <c r="AJ4" s="143" t="s">
        <v>236</v>
      </c>
      <c r="AK4" s="144" t="s">
        <v>217</v>
      </c>
      <c r="AL4" s="145" t="s">
        <v>2129</v>
      </c>
      <c r="AM4" s="146" t="s">
        <v>238</v>
      </c>
      <c r="AN4" s="147" t="s">
        <v>226</v>
      </c>
      <c r="AO4" s="147"/>
    </row>
    <row r="5">
      <c r="A5" s="108" t="s">
        <v>2130</v>
      </c>
      <c r="B5" s="148" t="s">
        <v>2131</v>
      </c>
      <c r="C5" s="98" t="s">
        <v>2132</v>
      </c>
      <c r="D5" s="59" t="s">
        <v>2133</v>
      </c>
      <c r="E5" s="108" t="str">
        <f>IFERROR(__xludf.DUMMYFUNCTION("GOOGLETRANSLATE(A5,""zh-tw"",""ja"")"),"R1")</f>
        <v>R1</v>
      </c>
      <c r="F5" s="148" t="s">
        <v>2134</v>
      </c>
      <c r="G5" s="98" t="s">
        <v>2135</v>
      </c>
      <c r="H5" s="59" t="s">
        <v>2136</v>
      </c>
      <c r="I5" s="108" t="str">
        <f>IFERROR(__xludf.DUMMYFUNCTION("GOOGLETRANSLATE(A5,""zh-tw"",""en"")"),"R1")</f>
        <v>R1</v>
      </c>
      <c r="J5" s="148" t="s">
        <v>2137</v>
      </c>
      <c r="K5" s="98" t="s">
        <v>2138</v>
      </c>
      <c r="L5" s="59" t="s">
        <v>2139</v>
      </c>
      <c r="M5" s="112" t="str">
        <f>IFERROR(__xludf.DUMMYFUNCTION("GOOGLETRANSLATE(A5,""zh-tw"",""en"")"),"R1")</f>
        <v>R1</v>
      </c>
      <c r="N5" s="148" t="str">
        <f>IFERROR(__xludf.DUMMYFUNCTION("GOOGLETRANSLATE(B5,""zh-tw"",""zh"")"),"提前回家")</f>
        <v>提前回家</v>
      </c>
      <c r="O5" s="93"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2" t="str">
        <f>IFERROR(__xludf.DUMMYFUNCTION("GOOGLETRANSLATE(A5,""zh-tw"",""ja"")"),"R1")</f>
        <v>R1</v>
      </c>
      <c r="R5" s="149" t="str">
        <f>IFERROR(__xludf.DUMMYFUNCTION("GOOGLETRANSLATE(B5,""zh-tw"",""es-MX"")"),"Vete a casa temprano")</f>
        <v>Vete a casa temprano</v>
      </c>
      <c r="S5" s="93"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2140</v>
      </c>
      <c r="W5" s="93"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2142</v>
      </c>
      <c r="AE5" s="153" t="s">
        <v>2143</v>
      </c>
      <c r="AF5" s="106" t="s">
        <v>2144</v>
      </c>
      <c r="AG5" s="88" t="s">
        <v>2130</v>
      </c>
      <c r="AH5" s="154" t="s">
        <v>2145</v>
      </c>
      <c r="AI5" s="155" t="s">
        <v>2146</v>
      </c>
      <c r="AJ5" s="57" t="s">
        <v>2147</v>
      </c>
      <c r="AK5" s="156" t="s">
        <v>2130</v>
      </c>
      <c r="AL5" s="157" t="s">
        <v>2148</v>
      </c>
      <c r="AM5" s="158" t="s">
        <v>2149</v>
      </c>
      <c r="AN5" s="159" t="s">
        <v>2150</v>
      </c>
      <c r="AO5" s="159"/>
    </row>
    <row r="6">
      <c r="A6" s="108" t="s">
        <v>2151</v>
      </c>
      <c r="B6" s="148" t="s">
        <v>2152</v>
      </c>
      <c r="C6" s="98" t="s">
        <v>2153</v>
      </c>
      <c r="D6" s="59" t="s">
        <v>2154</v>
      </c>
      <c r="E6" s="108" t="str">
        <f>IFERROR(__xludf.DUMMYFUNCTION("GOOGLETRANSLATE(A6,""zh-tw"",""ja"")"),"R2")</f>
        <v>R2</v>
      </c>
      <c r="F6" s="148" t="s">
        <v>2152</v>
      </c>
      <c r="G6" s="98" t="s">
        <v>2155</v>
      </c>
      <c r="H6" s="59" t="s">
        <v>2156</v>
      </c>
      <c r="I6" s="108" t="str">
        <f>IFERROR(__xludf.DUMMYFUNCTION("GOOGLETRANSLATE(A6,""zh-tw"",""en"")"),"R2")</f>
        <v>R2</v>
      </c>
      <c r="J6" s="148" t="s">
        <v>2157</v>
      </c>
      <c r="K6" s="98" t="s">
        <v>2158</v>
      </c>
      <c r="L6" s="59" t="s">
        <v>2159</v>
      </c>
      <c r="M6" s="112" t="str">
        <f>IFERROR(__xludf.DUMMYFUNCTION("GOOGLETRANSLATE(A6,""zh-tw"",""en"")"),"R2")</f>
        <v>R2</v>
      </c>
      <c r="N6" s="148" t="str">
        <f>IFERROR(__xludf.DUMMYFUNCTION("GOOGLETRANSLATE(B6,""zh-tw"",""zh"")"),"闪步太刀")</f>
        <v>闪步太刀</v>
      </c>
      <c r="O6" s="98" t="s">
        <v>2160</v>
      </c>
      <c r="P6" s="61" t="str">
        <f>IFERROR(__xludf.DUMMYFUNCTION("GOOGLETRANSLATE(D6,""zh-tw"",""zh"")"),"习得技能:闪步太刀")</f>
        <v>习得技能:闪步太刀</v>
      </c>
      <c r="Q6" s="112" t="str">
        <f>IFERROR(__xludf.DUMMYFUNCTION("GOOGLETRANSLATE(A6,""zh-tw"",""ja"")"),"R2")</f>
        <v>R2</v>
      </c>
      <c r="R6" s="149" t="str">
        <f>IFERROR(__xludf.DUMMYFUNCTION("GOOGLETRANSLATE(B6,""zh-tw"",""es-MX"")"),"Espada de paso rápido")</f>
        <v>Espada de paso rápido</v>
      </c>
      <c r="S6" s="9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93"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2161</v>
      </c>
      <c r="AE6" s="153" t="s">
        <v>2162</v>
      </c>
      <c r="AF6" s="106" t="s">
        <v>2163</v>
      </c>
      <c r="AG6" s="88" t="s">
        <v>2151</v>
      </c>
      <c r="AH6" s="154" t="s">
        <v>2157</v>
      </c>
      <c r="AI6" s="155" t="s">
        <v>2164</v>
      </c>
      <c r="AJ6" s="57" t="s">
        <v>2165</v>
      </c>
      <c r="AK6" s="156" t="s">
        <v>2151</v>
      </c>
      <c r="AL6" s="157" t="s">
        <v>2157</v>
      </c>
      <c r="AM6" s="158" t="s">
        <v>2166</v>
      </c>
      <c r="AN6" s="159" t="s">
        <v>2167</v>
      </c>
      <c r="AO6" s="159"/>
    </row>
    <row r="7" ht="167.25" customHeight="1">
      <c r="A7" s="108" t="s">
        <v>2168</v>
      </c>
      <c r="B7" s="148" t="s">
        <v>2169</v>
      </c>
      <c r="C7" s="98" t="s">
        <v>2170</v>
      </c>
      <c r="D7" s="59" t="s">
        <v>2171</v>
      </c>
      <c r="E7" s="108" t="str">
        <f>IFERROR(__xludf.DUMMYFUNCTION("GOOGLETRANSLATE(A7,""zh-tw"",""ja"")"),"R3")</f>
        <v>R3</v>
      </c>
      <c r="F7" s="148" t="s">
        <v>2172</v>
      </c>
      <c r="G7" s="98" t="s">
        <v>2173</v>
      </c>
      <c r="H7" s="59" t="s">
        <v>2174</v>
      </c>
      <c r="I7" s="108" t="str">
        <f>IFERROR(__xludf.DUMMYFUNCTION("GOOGLETRANSLATE(A7,""zh-tw"",""en"")"),"R3")</f>
        <v>R3</v>
      </c>
      <c r="J7" s="148" t="s">
        <v>2175</v>
      </c>
      <c r="K7" s="98" t="s">
        <v>2176</v>
      </c>
      <c r="L7" s="59" t="s">
        <v>2177</v>
      </c>
      <c r="M7" s="112" t="str">
        <f>IFERROR(__xludf.DUMMYFUNCTION("GOOGLETRANSLATE(A7,""zh-tw"",""en"")"),"R3")</f>
        <v>R3</v>
      </c>
      <c r="N7" s="148" t="str">
        <f>IFERROR(__xludf.DUMMYFUNCTION("GOOGLETRANSLATE(B7,""zh-tw"",""zh"")"),"剑术修行")</f>
        <v>剑术修行</v>
      </c>
      <c r="O7" s="93"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2" t="str">
        <f>IFERROR(__xludf.DUMMYFUNCTION("GOOGLETRANSLATE(A7,""zh-tw"",""ja"")"),"R3")</f>
        <v>R3</v>
      </c>
      <c r="R7" s="149" t="str">
        <f>IFERROR(__xludf.DUMMYFUNCTION("GOOGLETRANSLATE(B7,""zh-tw"",""es-MX"")"),"Entrenamiento de esgrima")</f>
        <v>Entrenamiento de esgrima</v>
      </c>
      <c r="S7" s="98"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93"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2179</v>
      </c>
      <c r="AE7" s="153" t="s">
        <v>2180</v>
      </c>
      <c r="AF7" s="106" t="s">
        <v>2181</v>
      </c>
      <c r="AG7" s="88" t="s">
        <v>2168</v>
      </c>
      <c r="AH7" s="154" t="s">
        <v>2182</v>
      </c>
      <c r="AI7" s="155" t="s">
        <v>2183</v>
      </c>
      <c r="AJ7" s="57" t="s">
        <v>2184</v>
      </c>
      <c r="AK7" s="156" t="s">
        <v>2168</v>
      </c>
      <c r="AL7" s="157" t="s">
        <v>2185</v>
      </c>
      <c r="AM7" s="158" t="s">
        <v>2186</v>
      </c>
      <c r="AN7" s="159" t="s">
        <v>2187</v>
      </c>
      <c r="AO7" s="159"/>
    </row>
    <row r="8">
      <c r="A8" s="108" t="s">
        <v>2188</v>
      </c>
      <c r="B8" s="148" t="s">
        <v>2189</v>
      </c>
      <c r="C8" s="98" t="s">
        <v>2190</v>
      </c>
      <c r="D8" s="59" t="s">
        <v>2191</v>
      </c>
      <c r="E8" s="108" t="str">
        <f>IFERROR(__xludf.DUMMYFUNCTION("GOOGLETRANSLATE(A8,""zh-tw"",""ja"")"),"R4")</f>
        <v>R4</v>
      </c>
      <c r="F8" s="148" t="s">
        <v>2192</v>
      </c>
      <c r="G8" s="160" t="s">
        <v>2193</v>
      </c>
      <c r="H8" s="59" t="s">
        <v>2194</v>
      </c>
      <c r="I8" s="108" t="str">
        <f>IFERROR(__xludf.DUMMYFUNCTION("GOOGLETRANSLATE(A8,""zh-tw"",""en"")"),"R4")</f>
        <v>R4</v>
      </c>
      <c r="J8" s="148" t="s">
        <v>2195</v>
      </c>
      <c r="K8" s="160" t="s">
        <v>2196</v>
      </c>
      <c r="L8" s="59" t="s">
        <v>2197</v>
      </c>
      <c r="M8" s="112" t="str">
        <f>IFERROR(__xludf.DUMMYFUNCTION("GOOGLETRANSLATE(A8,""zh-tw"",""en"")"),"R4")</f>
        <v>R4</v>
      </c>
      <c r="N8" s="148" t="str">
        <f>IFERROR(__xludf.DUMMYFUNCTION("GOOGLETRANSLATE(B8,""zh-tw"",""zh"")"),"攻略在哪里?")</f>
        <v>攻略在哪里?</v>
      </c>
      <c r="O8" s="93"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2" t="str">
        <f>IFERROR(__xludf.DUMMYFUNCTION("GOOGLETRANSLATE(A8,""zh-tw"",""ja"")"),"R4")</f>
        <v>R4</v>
      </c>
      <c r="R8" s="149" t="str">
        <f>IFERROR(__xludf.DUMMYFUNCTION("GOOGLETRANSLATE(B8,""zh-tw"",""es-MX"")"),"¿Dónde puedo encontrar el tutorial?")</f>
        <v>¿Dónde puedo encontrar el tutorial?</v>
      </c>
      <c r="S8" s="98" t="s">
        <v>2198</v>
      </c>
      <c r="T8" s="61"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IFERROR(__xludf.DUMMYFUNCTION("GOOGLETRANSLATE(B8,""zh-tw"",""KO"")"),"연습문제는 어디서 볼 수 있나요?")</f>
        <v>연습문제는 어디서 볼 수 있나요?</v>
      </c>
      <c r="W8" s="93"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2199</v>
      </c>
      <c r="AE8" s="153" t="s">
        <v>2200</v>
      </c>
      <c r="AF8" s="106" t="s">
        <v>2201</v>
      </c>
      <c r="AG8" s="88" t="s">
        <v>2188</v>
      </c>
      <c r="AH8" s="148" t="s">
        <v>2202</v>
      </c>
      <c r="AI8" s="161" t="s">
        <v>2203</v>
      </c>
      <c r="AJ8" s="56" t="s">
        <v>2204</v>
      </c>
      <c r="AK8" s="156" t="s">
        <v>2188</v>
      </c>
      <c r="AL8" s="157" t="s">
        <v>2205</v>
      </c>
      <c r="AM8" s="162" t="s">
        <v>2206</v>
      </c>
      <c r="AN8" s="159" t="s">
        <v>2207</v>
      </c>
      <c r="AO8" s="159"/>
    </row>
    <row r="9">
      <c r="A9" s="108" t="s">
        <v>2208</v>
      </c>
      <c r="B9" s="148" t="s">
        <v>2209</v>
      </c>
      <c r="C9" s="98" t="s">
        <v>2210</v>
      </c>
      <c r="D9" s="163" t="s">
        <v>792</v>
      </c>
      <c r="E9" s="108" t="str">
        <f>IFERROR(__xludf.DUMMYFUNCTION("GOOGLETRANSLATE(A9,""zh-tw"",""ja"")"),"R5")</f>
        <v>R5</v>
      </c>
      <c r="F9" s="148" t="s">
        <v>2211</v>
      </c>
      <c r="G9" s="98" t="s">
        <v>2212</v>
      </c>
      <c r="H9" s="163" t="str">
        <f>IFERROR(__xludf.DUMMYFUNCTION("GOOGLETRANSLATE(D9,""zh-tw"",""ja"")"),"-")</f>
        <v>-</v>
      </c>
      <c r="I9" s="108" t="str">
        <f>IFERROR(__xludf.DUMMYFUNCTION("GOOGLETRANSLATE(A9,""zh-tw"",""en"")"),"R5")</f>
        <v>R5</v>
      </c>
      <c r="J9" s="148" t="s">
        <v>2213</v>
      </c>
      <c r="K9" s="98" t="s">
        <v>2214</v>
      </c>
      <c r="L9" s="61" t="str">
        <f>IFERROR(__xludf.DUMMYFUNCTION("GOOGLETRANSLATE(D9,""zh-tw"",""en"")"),"-")</f>
        <v>-</v>
      </c>
      <c r="M9" s="112" t="str">
        <f>IFERROR(__xludf.DUMMYFUNCTION("GOOGLETRANSLATE(A9,""zh-tw"",""en"")"),"R5")</f>
        <v>R5</v>
      </c>
      <c r="N9" s="148" t="str">
        <f>IFERROR(__xludf.DUMMYFUNCTION("GOOGLETRANSLATE(B9,""zh-tw"",""zh"")"),"饮料贩售机重生")</f>
        <v>饮料贩售机重生</v>
      </c>
      <c r="O9" s="98" t="s">
        <v>2215</v>
      </c>
      <c r="P9" s="164" t="str">
        <f>IFERROR(__xludf.DUMMYFUNCTION("GOOGLETRANSLATE(D9,""zh-tw"",""zh"")"),"-")</f>
        <v>-</v>
      </c>
      <c r="Q9" s="112" t="str">
        <f>IFERROR(__xludf.DUMMYFUNCTION("GOOGLETRANSLATE(A9,""zh-tw"",""ja"")"),"R5")</f>
        <v>R5</v>
      </c>
      <c r="R9" s="149" t="str">
        <f>IFERROR(__xludf.DUMMYFUNCTION("GOOGLETRANSLATE(B9,""zh-tw"",""es-MX"")"),"La máquina expendedora de bebidas renace")</f>
        <v>La máquina expendedora de bebidas renace</v>
      </c>
      <c r="S9" s="93"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4" t="str">
        <f>IFERROR(__xludf.DUMMYFUNCTION("GOOGLETRANSLATE(D9,""zh-tw"",""es-MX"")"),"-")</f>
        <v>-</v>
      </c>
      <c r="U9" s="150" t="str">
        <f>IFERROR(__xludf.DUMMYFUNCTION("GOOGLETRANSLATE(A9,""zh-tw"",""en"")"),"R5")</f>
        <v>R5</v>
      </c>
      <c r="V9" s="149" t="str">
        <f>IFERROR(__xludf.DUMMYFUNCTION("GOOGLETRANSLATE(B9,""zh-tw"",""KO"")"),"음료 자판기 부활")</f>
        <v>음료 자판기 부활</v>
      </c>
      <c r="W9" s="93"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0" t="str">
        <f>IFERROR(__xludf.DUMMYFUNCTION("GOOGLETRANSLATE(I9,""zh-tw"",""en"")"),"R5")</f>
        <v>R5</v>
      </c>
      <c r="AD9" s="148" t="s">
        <v>2216</v>
      </c>
      <c r="AE9" s="153" t="s">
        <v>2217</v>
      </c>
      <c r="AF9" s="106" t="s">
        <v>2218</v>
      </c>
      <c r="AG9" s="88" t="s">
        <v>2208</v>
      </c>
      <c r="AH9" s="154" t="s">
        <v>2219</v>
      </c>
      <c r="AI9" s="155" t="s">
        <v>2220</v>
      </c>
      <c r="AJ9" s="41" t="s">
        <v>792</v>
      </c>
      <c r="AK9" s="156" t="s">
        <v>2208</v>
      </c>
      <c r="AL9" s="157" t="s">
        <v>2221</v>
      </c>
      <c r="AM9" s="158" t="s">
        <v>2222</v>
      </c>
      <c r="AN9" s="159" t="s">
        <v>792</v>
      </c>
      <c r="AO9" s="159"/>
    </row>
    <row r="10" ht="122.25" customHeight="1">
      <c r="A10" s="108" t="s">
        <v>2223</v>
      </c>
      <c r="B10" s="154" t="s">
        <v>2224</v>
      </c>
      <c r="C10" s="166" t="s">
        <v>2225</v>
      </c>
      <c r="D10" s="91" t="s">
        <v>2226</v>
      </c>
      <c r="E10" s="108" t="str">
        <f>IFERROR(__xludf.DUMMYFUNCTION("GOOGLETRANSLATE(A10,""zh-tw"",""ja"")"),"R6")</f>
        <v>R6</v>
      </c>
      <c r="F10" s="148" t="s">
        <v>2227</v>
      </c>
      <c r="G10" s="160" t="s">
        <v>2228</v>
      </c>
      <c r="H10" s="59" t="s">
        <v>2229</v>
      </c>
      <c r="I10" s="108" t="str">
        <f>IFERROR(__xludf.DUMMYFUNCTION("GOOGLETRANSLATE(A10,""zh-tw"",""en"")"),"R6")</f>
        <v>R6</v>
      </c>
      <c r="J10" s="148" t="s">
        <v>2230</v>
      </c>
      <c r="K10" s="98" t="s">
        <v>2231</v>
      </c>
      <c r="L10" s="59" t="s">
        <v>2232</v>
      </c>
      <c r="M10" s="112" t="str">
        <f>IFERROR(__xludf.DUMMYFUNCTION("GOOGLETRANSLATE(A10,""zh-tw"",""en"")"),"R6")</f>
        <v>R6</v>
      </c>
      <c r="N10" s="148" t="str">
        <f>IFERROR(__xludf.DUMMYFUNCTION("GOOGLETRANSLATE(B10,""zh-tw"",""zh"")"),"垃圾桶")</f>
        <v>垃圾桶</v>
      </c>
      <c r="O10" s="93"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2" t="str">
        <f>IFERROR(__xludf.DUMMYFUNCTION("GOOGLETRANSLATE(A10,""zh-tw"",""ja"")"),"R6")</f>
        <v>R6</v>
      </c>
      <c r="R10" s="149" t="str">
        <f>IFERROR(__xludf.DUMMYFUNCTION("GOOGLETRANSLATE(B10,""zh-tw"",""es-MX"")"),"cubo de la basura")</f>
        <v>cubo de la basura</v>
      </c>
      <c r="S10" s="93"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93"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2233</v>
      </c>
      <c r="AE10" s="153" t="s">
        <v>2234</v>
      </c>
      <c r="AF10" s="106" t="s">
        <v>2235</v>
      </c>
      <c r="AG10" s="88" t="s">
        <v>2223</v>
      </c>
      <c r="AH10" s="154" t="s">
        <v>2236</v>
      </c>
      <c r="AI10" s="155" t="s">
        <v>2237</v>
      </c>
      <c r="AJ10" s="57" t="s">
        <v>2238</v>
      </c>
      <c r="AK10" s="156" t="s">
        <v>2223</v>
      </c>
      <c r="AL10" s="157" t="s">
        <v>2239</v>
      </c>
      <c r="AM10" s="158" t="s">
        <v>2240</v>
      </c>
      <c r="AN10" s="159" t="s">
        <v>2241</v>
      </c>
      <c r="AO10" s="159"/>
    </row>
    <row r="11">
      <c r="A11" s="108" t="s">
        <v>2242</v>
      </c>
      <c r="B11" s="148" t="s">
        <v>2243</v>
      </c>
      <c r="C11" s="98" t="s">
        <v>2244</v>
      </c>
      <c r="D11" s="59" t="s">
        <v>2245</v>
      </c>
      <c r="E11" s="108" t="str">
        <f>IFERROR(__xludf.DUMMYFUNCTION("GOOGLETRANSLATE(A11,""zh-tw"",""ja"")"),"R7")</f>
        <v>R7</v>
      </c>
      <c r="F11" s="148" t="s">
        <v>2246</v>
      </c>
      <c r="G11" s="98" t="s">
        <v>2247</v>
      </c>
      <c r="H11" s="59" t="s">
        <v>2248</v>
      </c>
      <c r="I11" s="108" t="str">
        <f>IFERROR(__xludf.DUMMYFUNCTION("GOOGLETRANSLATE(A11,""zh-tw"",""en"")"),"R7")</f>
        <v>R7</v>
      </c>
      <c r="J11" s="148" t="s">
        <v>2249</v>
      </c>
      <c r="K11" s="98" t="s">
        <v>2250</v>
      </c>
      <c r="L11" s="59" t="s">
        <v>2251</v>
      </c>
      <c r="M11" s="112" t="str">
        <f>IFERROR(__xludf.DUMMYFUNCTION("GOOGLETRANSLATE(A11,""zh-tw"",""en"")"),"R7")</f>
        <v>R7</v>
      </c>
      <c r="N11" s="148" t="str">
        <f>IFERROR(__xludf.DUMMYFUNCTION("GOOGLETRANSLATE(B11,""zh-tw"",""zh"")"),"5000$")</f>
        <v>5000$</v>
      </c>
      <c r="O11" s="93" t="str">
        <f>IFERROR(__xludf.DUMMYFUNCTION("GOOGLETRANSLATE(C11,""zh-tw"",""zh"")"),"冒险者小道:林间 
小木屋烟囱后方捡取
(木屋左方斧头可捡到斧头)")</f>
        <v>冒险者小道:林间 
小木屋烟囱后方捡取
(木屋左方斧头可捡到斧头)</v>
      </c>
      <c r="P11" s="59" t="s">
        <v>2252</v>
      </c>
      <c r="Q11" s="112" t="str">
        <f>IFERROR(__xludf.DUMMYFUNCTION("GOOGLETRANSLATE(A11,""zh-tw"",""ja"")"),"R7")</f>
        <v>R7</v>
      </c>
      <c r="R11" s="149" t="str">
        <f>IFERROR(__xludf.DUMMYFUNCTION("GOOGLETRANSLATE(B11,""zh-tw"",""es-MX"")"),"$5000")</f>
        <v>$5000</v>
      </c>
      <c r="S11" s="93" t="str">
        <f>IFERROR(__xludf.DUMMYFUNCTION("GOOGLETRANSLATE(C11,""zh-tw"",""es-MX"")"),"Sendero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2253</v>
      </c>
      <c r="W11" s="98" t="s">
        <v>2254</v>
      </c>
      <c r="X11" s="59" t="s">
        <v>2255</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2256</v>
      </c>
      <c r="AE11" s="153" t="s">
        <v>2257</v>
      </c>
      <c r="AF11" s="106" t="s">
        <v>2258</v>
      </c>
      <c r="AG11" s="88" t="s">
        <v>2242</v>
      </c>
      <c r="AH11" s="154" t="s">
        <v>2259</v>
      </c>
      <c r="AI11" s="155" t="s">
        <v>2260</v>
      </c>
      <c r="AJ11" s="57" t="s">
        <v>2261</v>
      </c>
      <c r="AK11" s="156" t="s">
        <v>2242</v>
      </c>
      <c r="AL11" s="157" t="s">
        <v>2262</v>
      </c>
      <c r="AM11" s="158" t="s">
        <v>2263</v>
      </c>
      <c r="AN11" s="159" t="s">
        <v>2264</v>
      </c>
      <c r="AO11" s="159"/>
    </row>
    <row r="12">
      <c r="A12" s="108" t="s">
        <v>2265</v>
      </c>
      <c r="B12" s="148" t="s">
        <v>2266</v>
      </c>
      <c r="C12" s="98" t="s">
        <v>2267</v>
      </c>
      <c r="D12" s="59" t="s">
        <v>2268</v>
      </c>
      <c r="E12" s="108" t="str">
        <f>IFERROR(__xludf.DUMMYFUNCTION("GOOGLETRANSLATE(A12,""zh-tw"",""ja"")"),"R8")</f>
        <v>R8</v>
      </c>
      <c r="F12" s="148" t="s">
        <v>2269</v>
      </c>
      <c r="G12" s="98" t="s">
        <v>2270</v>
      </c>
      <c r="H12" s="59" t="s">
        <v>2271</v>
      </c>
      <c r="I12" s="108" t="str">
        <f>IFERROR(__xludf.DUMMYFUNCTION("GOOGLETRANSLATE(A12,""zh-tw"",""en"")"),"R8")</f>
        <v>R8</v>
      </c>
      <c r="J12" s="148" t="s">
        <v>2272</v>
      </c>
      <c r="K12" s="98" t="s">
        <v>2273</v>
      </c>
      <c r="L12" s="59" t="s">
        <v>2274</v>
      </c>
      <c r="M12" s="112" t="str">
        <f>IFERROR(__xludf.DUMMYFUNCTION("GOOGLETRANSLATE(A12,""zh-tw"",""en"")"),"R8")</f>
        <v>R8</v>
      </c>
      <c r="N12" s="148" t="str">
        <f>IFERROR(__xludf.DUMMYFUNCTION("GOOGLETRANSLATE(B12,""zh-tw"",""zh"")"),"游戏机")</f>
        <v>游戏机</v>
      </c>
      <c r="O12" s="98" t="s">
        <v>2275</v>
      </c>
      <c r="P12" s="61" t="str">
        <f>IFERROR(__xludf.DUMMYFUNCTION("GOOGLETRANSLATE(D12,""zh-tw"",""zh"")"),"获得""JoyStation V""
回家后触发和开启与妹妹游戏的功能")</f>
        <v>获得"JoyStation V"
回家后触发和开启与妹妹游戏的功能</v>
      </c>
      <c r="Q12" s="112" t="str">
        <f>IFERROR(__xludf.DUMMYFUNCTION("GOOGLETRANSLATE(A12,""zh-tw"",""ja"")"),"R8")</f>
        <v>R8</v>
      </c>
      <c r="R12" s="149" t="str">
        <f>IFERROR(__xludf.DUMMYFUNCTION("GOOGLETRANSLATE(B12,""zh-tw"",""es-MX"")"),"consola de juegos")</f>
        <v>consola de juegos</v>
      </c>
      <c r="S12" s="93"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93"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2276</v>
      </c>
      <c r="AE12" s="153" t="s">
        <v>2277</v>
      </c>
      <c r="AF12" s="106" t="s">
        <v>2278</v>
      </c>
      <c r="AG12" s="88" t="s">
        <v>2265</v>
      </c>
      <c r="AH12" s="154" t="s">
        <v>2279</v>
      </c>
      <c r="AI12" s="155" t="s">
        <v>2280</v>
      </c>
      <c r="AJ12" s="57" t="s">
        <v>2281</v>
      </c>
      <c r="AK12" s="156" t="s">
        <v>2265</v>
      </c>
      <c r="AL12" s="157" t="s">
        <v>2282</v>
      </c>
      <c r="AM12" s="158" t="s">
        <v>2283</v>
      </c>
      <c r="AN12" s="159" t="s">
        <v>2284</v>
      </c>
      <c r="AO12" s="159"/>
    </row>
    <row r="13">
      <c r="A13" s="108" t="s">
        <v>2285</v>
      </c>
      <c r="B13" s="148" t="s">
        <v>2286</v>
      </c>
      <c r="C13" s="98" t="s">
        <v>2287</v>
      </c>
      <c r="D13" s="59" t="s">
        <v>2288</v>
      </c>
      <c r="E13" s="108" t="str">
        <f>IFERROR(__xludf.DUMMYFUNCTION("GOOGLETRANSLATE(A13,""zh-tw"",""ja"")"),"R9")</f>
        <v>R9</v>
      </c>
      <c r="F13" s="148" t="s">
        <v>2289</v>
      </c>
      <c r="G13" s="98" t="s">
        <v>2290</v>
      </c>
      <c r="H13" s="59" t="s">
        <v>2291</v>
      </c>
      <c r="I13" s="108" t="str">
        <f>IFERROR(__xludf.DUMMYFUNCTION("GOOGLETRANSLATE(A13,""zh-tw"",""en"")"),"R9")</f>
        <v>R9</v>
      </c>
      <c r="J13" s="148" t="s">
        <v>2292</v>
      </c>
      <c r="K13" s="98" t="s">
        <v>2293</v>
      </c>
      <c r="L13" s="59" t="s">
        <v>2294</v>
      </c>
      <c r="M13" s="112" t="str">
        <f>IFERROR(__xludf.DUMMYFUNCTION("GOOGLETRANSLATE(A13,""zh-tw"",""en"")"),"R9")</f>
        <v>R9</v>
      </c>
      <c r="N13" s="148" t="str">
        <f>IFERROR(__xludf.DUMMYFUNCTION("GOOGLETRANSLATE(B13,""zh-tw"",""zh"")"),"鸭鸭")</f>
        <v>鸭鸭</v>
      </c>
      <c r="O13" s="93"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2" t="str">
        <f>IFERROR(__xludf.DUMMYFUNCTION("GOOGLETRANSLATE(A13,""zh-tw"",""ja"")"),"R9")</f>
        <v>R9</v>
      </c>
      <c r="R13" s="148" t="s">
        <v>2295</v>
      </c>
      <c r="S13" s="98" t="s">
        <v>2296</v>
      </c>
      <c r="T13" s="61"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93" t="str">
        <f>IFERROR(__xludf.DUMMYFUNCTION("GOOGLETRANSLATE(C13,""zh-tw"",""KO"")"),"모험가의 길: 기념물
오른쪽 강둑에서 찾을 수 있습니다.
*폐허 숲-4의 폭포에서 이곳으로 휩쓸려 왔다면, 다른 대화가 시작됩니다.")</f>
        <v>모험가의 길: 기념물
오른쪽 강둑에서 찾을 수 있습니다.
*폐허 숲-4의 폭포에서 이곳으로 휩쓸려 왔다면, 다른 대화가 시작됩니다.</v>
      </c>
      <c r="X13" s="61"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2297</v>
      </c>
      <c r="AE13" s="153" t="s">
        <v>2298</v>
      </c>
      <c r="AF13" s="106" t="s">
        <v>2299</v>
      </c>
      <c r="AG13" s="88" t="s">
        <v>2285</v>
      </c>
      <c r="AH13" s="154" t="s">
        <v>2300</v>
      </c>
      <c r="AI13" s="155" t="s">
        <v>2301</v>
      </c>
      <c r="AJ13" s="57" t="s">
        <v>2302</v>
      </c>
      <c r="AK13" s="156" t="s">
        <v>2285</v>
      </c>
      <c r="AL13" s="157" t="s">
        <v>2292</v>
      </c>
      <c r="AM13" s="158" t="s">
        <v>2303</v>
      </c>
      <c r="AN13" s="159" t="s">
        <v>2304</v>
      </c>
      <c r="AO13" s="159"/>
    </row>
    <row r="14">
      <c r="A14" s="108" t="s">
        <v>2305</v>
      </c>
      <c r="B14" s="148" t="s">
        <v>2306</v>
      </c>
      <c r="C14" s="98" t="s">
        <v>2307</v>
      </c>
      <c r="D14" s="59" t="s">
        <v>2308</v>
      </c>
      <c r="E14" s="108" t="str">
        <f>IFERROR(__xludf.DUMMYFUNCTION("GOOGLETRANSLATE(A14,""zh-tw"",""ja"")"),"R10")</f>
        <v>R10</v>
      </c>
      <c r="F14" s="148" t="s">
        <v>2309</v>
      </c>
      <c r="G14" s="98" t="s">
        <v>2310</v>
      </c>
      <c r="H14" s="59" t="s">
        <v>2311</v>
      </c>
      <c r="I14" s="108" t="str">
        <f>IFERROR(__xludf.DUMMYFUNCTION("GOOGLETRANSLATE(A14,""zh-tw"",""en"")"),"R10")</f>
        <v>R10</v>
      </c>
      <c r="J14" s="148" t="s">
        <v>2312</v>
      </c>
      <c r="K14" s="98" t="s">
        <v>2313</v>
      </c>
      <c r="L14" s="59" t="s">
        <v>2314</v>
      </c>
      <c r="M14" s="112" t="str">
        <f>IFERROR(__xludf.DUMMYFUNCTION("GOOGLETRANSLATE(A14,""zh-tw"",""en"")"),"R10")</f>
        <v>R10</v>
      </c>
      <c r="N14" s="148" t="str">
        <f>IFERROR(__xludf.DUMMYFUNCTION("GOOGLETRANSLATE(B14,""zh-tw"",""zh"")"),"连结遗迹洞口")</f>
        <v>连结遗迹洞口</v>
      </c>
      <c r="O14" s="93"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2" t="str">
        <f>IFERROR(__xludf.DUMMYFUNCTION("GOOGLETRANSLATE(A14,""zh-tw"",""ja"")"),"R10")</f>
        <v>R10</v>
      </c>
      <c r="R14" s="148" t="s">
        <v>2315</v>
      </c>
      <c r="S14" s="98" t="s">
        <v>2316</v>
      </c>
      <c r="T14" s="61"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93"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2317</v>
      </c>
      <c r="AE14" s="153" t="s">
        <v>2318</v>
      </c>
      <c r="AF14" s="106" t="s">
        <v>2319</v>
      </c>
      <c r="AG14" s="88" t="s">
        <v>2305</v>
      </c>
      <c r="AH14" s="154" t="s">
        <v>2320</v>
      </c>
      <c r="AI14" s="155" t="s">
        <v>2321</v>
      </c>
      <c r="AJ14" s="57" t="s">
        <v>2322</v>
      </c>
      <c r="AK14" s="156" t="s">
        <v>2305</v>
      </c>
      <c r="AL14" s="157" t="s">
        <v>2323</v>
      </c>
      <c r="AM14" s="158" t="s">
        <v>2324</v>
      </c>
      <c r="AN14" s="159" t="s">
        <v>2325</v>
      </c>
      <c r="AO14" s="159"/>
    </row>
    <row r="15">
      <c r="A15" s="108" t="s">
        <v>2326</v>
      </c>
      <c r="B15" s="154" t="s">
        <v>2327</v>
      </c>
      <c r="C15" s="166" t="s">
        <v>2328</v>
      </c>
      <c r="D15" s="59" t="s">
        <v>2329</v>
      </c>
      <c r="E15" s="108" t="str">
        <f>IFERROR(__xludf.DUMMYFUNCTION("GOOGLETRANSLATE(A15,""zh-tw"",""ja"")"),"R11")</f>
        <v>R11</v>
      </c>
      <c r="F15" s="148" t="str">
        <f>IFERROR(__xludf.DUMMYFUNCTION("GOOGLETRANSLATE(B15,""zh-tw"",""ja"")"),"未知の洞窟")</f>
        <v>未知の洞窟</v>
      </c>
      <c r="G15" s="98" t="s">
        <v>2330</v>
      </c>
      <c r="H15" s="59" t="s">
        <v>2331</v>
      </c>
      <c r="I15" s="108" t="str">
        <f>IFERROR(__xludf.DUMMYFUNCTION("GOOGLETRANSLATE(A15,""zh-tw"",""en"")"),"R11")</f>
        <v>R11</v>
      </c>
      <c r="J15" s="148" t="s">
        <v>2332</v>
      </c>
      <c r="K15" s="98" t="s">
        <v>2333</v>
      </c>
      <c r="L15" s="59" t="s">
        <v>2334</v>
      </c>
      <c r="M15" s="112" t="str">
        <f>IFERROR(__xludf.DUMMYFUNCTION("GOOGLETRANSLATE(A15,""zh-tw"",""en"")"),"R11")</f>
        <v>R11</v>
      </c>
      <c r="N15" s="148" t="str">
        <f>IFERROR(__xludf.DUMMYFUNCTION("GOOGLETRANSLATE(B15,""zh-tw"",""zh"")"),"不知名地洞")</f>
        <v>不知名地洞</v>
      </c>
      <c r="O15" s="93"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2" t="str">
        <f>IFERROR(__xludf.DUMMYFUNCTION("GOOGLETRANSLATE(A15,""zh-tw"",""ja"")"),"R11")</f>
        <v>R11</v>
      </c>
      <c r="R15" s="149" t="str">
        <f>IFERROR(__xludf.DUMMYFUNCTION("GOOGLETRANSLATE(B15,""zh-tw"",""es-MX"")"),"Cueva desconocida")</f>
        <v>Cueva desconocida</v>
      </c>
      <c r="S15" s="93"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93"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2335</v>
      </c>
      <c r="AE15" s="153" t="s">
        <v>2336</v>
      </c>
      <c r="AF15" s="106" t="s">
        <v>2337</v>
      </c>
      <c r="AG15" s="88" t="s">
        <v>2326</v>
      </c>
      <c r="AH15" s="154" t="s">
        <v>2338</v>
      </c>
      <c r="AI15" s="167" t="s">
        <v>2339</v>
      </c>
      <c r="AJ15" s="56" t="s">
        <v>2340</v>
      </c>
      <c r="AK15" s="156" t="s">
        <v>2326</v>
      </c>
      <c r="AL15" s="157" t="s">
        <v>2341</v>
      </c>
      <c r="AM15" s="158" t="s">
        <v>2342</v>
      </c>
      <c r="AN15" s="159" t="s">
        <v>2343</v>
      </c>
      <c r="AO15" s="159"/>
    </row>
    <row r="16">
      <c r="A16" s="108" t="s">
        <v>2344</v>
      </c>
      <c r="B16" s="148" t="s">
        <v>2345</v>
      </c>
      <c r="C16" s="98" t="s">
        <v>2346</v>
      </c>
      <c r="D16" s="59" t="s">
        <v>2347</v>
      </c>
      <c r="E16" s="108" t="str">
        <f>IFERROR(__xludf.DUMMYFUNCTION("GOOGLETRANSLATE(A16,""zh-tw"",""ja"")"),"R12")</f>
        <v>R12</v>
      </c>
      <c r="F16" s="148" t="s">
        <v>2348</v>
      </c>
      <c r="G16" s="98" t="str">
        <f>IFERROR(__xludf.DUMMYFUNCTION("GOOGLETRANSLATE(C16,""zh-tw"",""ja"")"),"冒険者の道：森の右下隅に隠されたアイテム。")</f>
        <v>冒険者の道：森の右下隅に隠されたアイテム。</v>
      </c>
      <c r="H16" s="59" t="s">
        <v>2349</v>
      </c>
      <c r="I16" s="108" t="str">
        <f>IFERROR(__xludf.DUMMYFUNCTION("GOOGLETRANSLATE(A16,""zh-tw"",""en"")"),"R12")</f>
        <v>R12</v>
      </c>
      <c r="J16" s="148" t="s">
        <v>2350</v>
      </c>
      <c r="K16" s="98" t="s">
        <v>2351</v>
      </c>
      <c r="L16" s="59" t="s">
        <v>2352</v>
      </c>
      <c r="M16" s="112" t="str">
        <f>IFERROR(__xludf.DUMMYFUNCTION("GOOGLETRANSLATE(A16,""zh-tw"",""en"")"),"R12")</f>
        <v>R12</v>
      </c>
      <c r="N16" s="148" t="str">
        <f>IFERROR(__xludf.DUMMYFUNCTION("GOOGLETRANSLATE(B16,""zh-tw"",""zh"")"),"隐藏通道1")</f>
        <v>隐藏通道1</v>
      </c>
      <c r="O16" s="93" t="str">
        <f>IFERROR(__xludf.DUMMYFUNCTION("GOOGLETRANSLATE(C16,""zh-tw"",""zh"")"),"冒险者小道:林间 右下角树林，有隐藏物品")</f>
        <v>冒险者小道:林间 右下角树林，有隐藏物品</v>
      </c>
      <c r="P16" s="61" t="str">
        <f>IFERROR(__xludf.DUMMYFUNCTION("GOOGLETRANSLATE(D16,""zh-tw"",""zh"")"),"获得道具")</f>
        <v>获得道具</v>
      </c>
      <c r="Q16" s="112" t="str">
        <f>IFERROR(__xludf.DUMMYFUNCTION("GOOGLETRANSLATE(A16,""zh-tw"",""ja"")"),"R12")</f>
        <v>R12</v>
      </c>
      <c r="R16" s="148" t="s">
        <v>2353</v>
      </c>
      <c r="S16" s="93"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93"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0" t="str">
        <f>IFERROR(__xludf.DUMMYFUNCTION("GOOGLETRANSLATE(I16,""zh-tw"",""en"")"),"R12")</f>
        <v>R12</v>
      </c>
      <c r="AD16" s="148" t="s">
        <v>2354</v>
      </c>
      <c r="AE16" s="153" t="s">
        <v>2355</v>
      </c>
      <c r="AF16" s="106" t="s">
        <v>2356</v>
      </c>
      <c r="AG16" s="88" t="s">
        <v>2344</v>
      </c>
      <c r="AH16" s="154" t="s">
        <v>2357</v>
      </c>
      <c r="AI16" s="155" t="s">
        <v>2358</v>
      </c>
      <c r="AJ16" s="57" t="s">
        <v>2359</v>
      </c>
      <c r="AK16" s="156" t="s">
        <v>2344</v>
      </c>
      <c r="AL16" s="157" t="s">
        <v>2360</v>
      </c>
      <c r="AM16" s="158" t="s">
        <v>2361</v>
      </c>
      <c r="AN16" s="159" t="s">
        <v>2362</v>
      </c>
      <c r="AO16" s="159"/>
    </row>
    <row r="17">
      <c r="A17" s="108" t="s">
        <v>2363</v>
      </c>
      <c r="B17" s="148" t="s">
        <v>2364</v>
      </c>
      <c r="C17" s="98" t="s">
        <v>2365</v>
      </c>
      <c r="D17" s="59" t="s">
        <v>2366</v>
      </c>
      <c r="E17" s="108" t="str">
        <f>IFERROR(__xludf.DUMMYFUNCTION("GOOGLETRANSLATE(A17,""zh-tw"",""ja"")"),"R13")</f>
        <v>R13</v>
      </c>
      <c r="F17" s="148" t="s">
        <v>2367</v>
      </c>
      <c r="G17" s="160" t="str">
        <f>IFERROR(__xludf.DUMMYFUNCTION("GOOGLETRANSLATE(C17,""zh-tw"",""ja"")"),"冒険者の道：集合場所、左上に宝箱があります。")</f>
        <v>冒険者の道：集合場所、左上に宝箱があります。</v>
      </c>
      <c r="H17" s="59" t="s">
        <v>2368</v>
      </c>
      <c r="I17" s="108" t="str">
        <f>IFERROR(__xludf.DUMMYFUNCTION("GOOGLETRANSLATE(A17,""zh-tw"",""en"")"),"R13")</f>
        <v>R13</v>
      </c>
      <c r="J17" s="148" t="s">
        <v>2369</v>
      </c>
      <c r="K17" s="98" t="s">
        <v>2370</v>
      </c>
      <c r="L17" s="59" t="s">
        <v>2371</v>
      </c>
      <c r="M17" s="112" t="str">
        <f>IFERROR(__xludf.DUMMYFUNCTION("GOOGLETRANSLATE(A17,""zh-tw"",""en"")"),"R13")</f>
        <v>R13</v>
      </c>
      <c r="N17" s="148" t="str">
        <f>IFERROR(__xludf.DUMMYFUNCTION("GOOGLETRANSLATE(B17,""zh-tw"",""zh"")"),"隐藏通道2")</f>
        <v>隐藏通道2</v>
      </c>
      <c r="O17" s="93"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2" t="str">
        <f>IFERROR(__xludf.DUMMYFUNCTION("GOOGLETRANSLATE(A17,""zh-tw"",""ja"")"),"R13")</f>
        <v>R13</v>
      </c>
      <c r="R17" s="148" t="s">
        <v>2372</v>
      </c>
      <c r="S17" s="93"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93"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2373</v>
      </c>
      <c r="AE17" s="153" t="s">
        <v>2374</v>
      </c>
      <c r="AF17" s="106" t="s">
        <v>2375</v>
      </c>
      <c r="AG17" s="88" t="s">
        <v>2363</v>
      </c>
      <c r="AH17" s="154" t="s">
        <v>2376</v>
      </c>
      <c r="AI17" s="155" t="s">
        <v>2377</v>
      </c>
      <c r="AJ17" s="57" t="s">
        <v>2378</v>
      </c>
      <c r="AK17" s="156" t="s">
        <v>2363</v>
      </c>
      <c r="AL17" s="157" t="s">
        <v>2379</v>
      </c>
      <c r="AM17" s="158" t="s">
        <v>2380</v>
      </c>
      <c r="AN17" s="159" t="s">
        <v>2381</v>
      </c>
      <c r="AO17" s="159"/>
    </row>
    <row r="18">
      <c r="A18" s="108" t="s">
        <v>2382</v>
      </c>
      <c r="B18" s="148" t="s">
        <v>2383</v>
      </c>
      <c r="C18" s="98" t="s">
        <v>2384</v>
      </c>
      <c r="D18" s="59" t="s">
        <v>2385</v>
      </c>
      <c r="E18" s="108" t="str">
        <f>IFERROR(__xludf.DUMMYFUNCTION("GOOGLETRANSLATE(A18,""zh-tw"",""ja"")"),"R14")</f>
        <v>R14</v>
      </c>
      <c r="F18" s="148" t="s">
        <v>2386</v>
      </c>
      <c r="G18" s="160" t="s">
        <v>2387</v>
      </c>
      <c r="H18" s="59" t="s">
        <v>2388</v>
      </c>
      <c r="I18" s="108" t="str">
        <f>IFERROR(__xludf.DUMMYFUNCTION("GOOGLETRANSLATE(A18,""zh-tw"",""en"")"),"R14")</f>
        <v>R14</v>
      </c>
      <c r="J18" s="148" t="s">
        <v>2389</v>
      </c>
      <c r="K18" s="98" t="s">
        <v>2390</v>
      </c>
      <c r="L18" s="59" t="s">
        <v>2391</v>
      </c>
      <c r="M18" s="112" t="str">
        <f>IFERROR(__xludf.DUMMYFUNCTION("GOOGLETRANSLATE(A18,""zh-tw"",""en"")"),"R14")</f>
        <v>R14</v>
      </c>
      <c r="N18" s="148" t="str">
        <f>IFERROR(__xludf.DUMMYFUNCTION("GOOGLETRANSLATE(B18,""zh-tw"",""zh"")"),"隐藏通道3")</f>
        <v>隐藏通道3</v>
      </c>
      <c r="O18" s="93"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2" t="str">
        <f>IFERROR(__xludf.DUMMYFUNCTION("GOOGLETRANSLATE(A18,""zh-tw"",""ja"")"),"R14")</f>
        <v>R14</v>
      </c>
      <c r="R18" s="148" t="s">
        <v>2392</v>
      </c>
      <c r="S18" s="93"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93"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2393</v>
      </c>
      <c r="AE18" s="153" t="s">
        <v>2394</v>
      </c>
      <c r="AF18" s="106" t="s">
        <v>2395</v>
      </c>
      <c r="AG18" s="88" t="s">
        <v>2382</v>
      </c>
      <c r="AH18" s="154" t="s">
        <v>2396</v>
      </c>
      <c r="AI18" s="155" t="s">
        <v>2397</v>
      </c>
      <c r="AJ18" s="57" t="s">
        <v>2398</v>
      </c>
      <c r="AK18" s="156" t="s">
        <v>2382</v>
      </c>
      <c r="AL18" s="157" t="s">
        <v>2399</v>
      </c>
      <c r="AM18" s="158" t="s">
        <v>2400</v>
      </c>
      <c r="AN18" s="159" t="s">
        <v>2401</v>
      </c>
      <c r="AO18" s="159"/>
    </row>
    <row r="19">
      <c r="A19" s="108" t="s">
        <v>2402</v>
      </c>
      <c r="B19" s="148" t="s">
        <v>2403</v>
      </c>
      <c r="C19" s="98" t="s">
        <v>2404</v>
      </c>
      <c r="D19" s="59" t="s">
        <v>2347</v>
      </c>
      <c r="E19" s="108" t="str">
        <f>IFERROR(__xludf.DUMMYFUNCTION("GOOGLETRANSLATE(A19,""zh-tw"",""ja"")"),"R15")</f>
        <v>R15</v>
      </c>
      <c r="F19" s="148" t="s">
        <v>2405</v>
      </c>
      <c r="G19" s="98" t="s">
        <v>2406</v>
      </c>
      <c r="H19" s="59" t="s">
        <v>2349</v>
      </c>
      <c r="I19" s="108" t="str">
        <f>IFERROR(__xludf.DUMMYFUNCTION("GOOGLETRANSLATE(A19,""zh-tw"",""en"")"),"R15")</f>
        <v>R15</v>
      </c>
      <c r="J19" s="148" t="s">
        <v>2407</v>
      </c>
      <c r="K19" s="98" t="s">
        <v>2408</v>
      </c>
      <c r="L19" s="59" t="s">
        <v>2352</v>
      </c>
      <c r="M19" s="112" t="str">
        <f>IFERROR(__xludf.DUMMYFUNCTION("GOOGLETRANSLATE(A19,""zh-tw"",""en"")"),"R15")</f>
        <v>R15</v>
      </c>
      <c r="N19" s="148" t="str">
        <f>IFERROR(__xludf.DUMMYFUNCTION("GOOGLETRANSLATE(B19,""zh-tw"",""zh"")"),"隐藏通道4")</f>
        <v>隐藏通道4</v>
      </c>
      <c r="O19" s="93" t="str">
        <f>IFERROR(__xludf.DUMMYFUNCTION("GOOGLETRANSLATE(C19,""zh-tw"",""zh"")"),"""遗迹之森-4""右下角树林，有隐藏物品")</f>
        <v>"遗迹之森-4"右下角树林，有隐藏物品</v>
      </c>
      <c r="P19" s="61" t="str">
        <f>IFERROR(__xludf.DUMMYFUNCTION("GOOGLETRANSLATE(D19,""zh-tw"",""zh"")"),"获得道具")</f>
        <v>获得道具</v>
      </c>
      <c r="Q19" s="112" t="str">
        <f>IFERROR(__xludf.DUMMYFUNCTION("GOOGLETRANSLATE(A19,""zh-tw"",""ja"")"),"R15")</f>
        <v>R15</v>
      </c>
      <c r="R19" s="148" t="s">
        <v>2409</v>
      </c>
      <c r="S19" s="93" t="str">
        <f>IFERROR(__xludf.DUMMYFUNCTION("GOOGLETRANSLATE(C19,""zh-tw"",""es-MX"")"),"Hay un objeto oculto en el bosque en la esquina inferior derecha de ""Ruinas del Bosque-4"".")</f>
        <v>Hay un objeto oculto en el bosque en la esquina inferior derecha de "Ruinas del Bosque-4".</v>
      </c>
      <c r="T19" s="59" t="s">
        <v>2410</v>
      </c>
      <c r="U19" s="150" t="str">
        <f>IFERROR(__xludf.DUMMYFUNCTION("GOOGLETRANSLATE(A19,""zh-tw"",""en"")"),"R15")</f>
        <v>R15</v>
      </c>
      <c r="V19" s="149" t="str">
        <f>IFERROR(__xludf.DUMMYFUNCTION("GOOGLETRANSLATE(B19,""zh-tw"",""KO"")"),"숨겨진 통로 4")</f>
        <v>숨겨진 통로 4</v>
      </c>
      <c r="W19" s="93"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0" t="str">
        <f>IFERROR(__xludf.DUMMYFUNCTION("GOOGLETRANSLATE(I19,""zh-tw"",""en"")"),"R15")</f>
        <v>R15</v>
      </c>
      <c r="AD19" s="148" t="s">
        <v>2411</v>
      </c>
      <c r="AE19" s="153" t="s">
        <v>2412</v>
      </c>
      <c r="AF19" s="106" t="s">
        <v>2413</v>
      </c>
      <c r="AG19" s="88" t="s">
        <v>2402</v>
      </c>
      <c r="AH19" s="154" t="s">
        <v>2414</v>
      </c>
      <c r="AI19" s="155" t="s">
        <v>2415</v>
      </c>
      <c r="AJ19" s="57" t="s">
        <v>2359</v>
      </c>
      <c r="AK19" s="156" t="s">
        <v>2402</v>
      </c>
      <c r="AL19" s="157" t="s">
        <v>2416</v>
      </c>
      <c r="AM19" s="158" t="s">
        <v>2417</v>
      </c>
      <c r="AN19" s="159" t="s">
        <v>2418</v>
      </c>
      <c r="AO19" s="159"/>
    </row>
    <row r="20">
      <c r="A20" s="108" t="s">
        <v>2419</v>
      </c>
      <c r="B20" s="148" t="s">
        <v>2420</v>
      </c>
      <c r="C20" s="98" t="s">
        <v>2421</v>
      </c>
      <c r="D20" s="59" t="s">
        <v>2422</v>
      </c>
      <c r="E20" s="108" t="str">
        <f>IFERROR(__xludf.DUMMYFUNCTION("GOOGLETRANSLATE(A20,""zh-tw"",""ja"")"),"R16")</f>
        <v>R16</v>
      </c>
      <c r="F20" s="148" t="s">
        <v>2423</v>
      </c>
      <c r="G20" s="98" t="s">
        <v>2424</v>
      </c>
      <c r="H20" s="59" t="s">
        <v>2425</v>
      </c>
      <c r="I20" s="108" t="str">
        <f>IFERROR(__xludf.DUMMYFUNCTION("GOOGLETRANSLATE(A20,""zh-tw"",""en"")"),"R16")</f>
        <v>R16</v>
      </c>
      <c r="J20" s="148" t="s">
        <v>2426</v>
      </c>
      <c r="K20" s="98" t="s">
        <v>2427</v>
      </c>
      <c r="L20" s="59" t="s">
        <v>2428</v>
      </c>
      <c r="M20" s="112" t="str">
        <f>IFERROR(__xludf.DUMMYFUNCTION("GOOGLETRANSLATE(A20,""zh-tw"",""en"")"),"R16")</f>
        <v>R16</v>
      </c>
      <c r="N20" s="148" t="str">
        <f>IFERROR(__xludf.DUMMYFUNCTION("GOOGLETRANSLATE(B20,""zh-tw"",""zh"")"),"隐藏通道5")</f>
        <v>隐藏通道5</v>
      </c>
      <c r="O20" s="93"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2" t="str">
        <f>IFERROR(__xludf.DUMMYFUNCTION("GOOGLETRANSLATE(A20,""zh-tw"",""ja"")"),"R16")</f>
        <v>R16</v>
      </c>
      <c r="R20" s="148" t="s">
        <v>2429</v>
      </c>
      <c r="S20" s="93"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93"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0" t="str">
        <f>IFERROR(__xludf.DUMMYFUNCTION("GOOGLETRANSLATE(I20,""zh-tw"",""en"")"),"R16")</f>
        <v>R16</v>
      </c>
      <c r="AD20" s="148" t="s">
        <v>2430</v>
      </c>
      <c r="AE20" s="153" t="s">
        <v>2431</v>
      </c>
      <c r="AF20" s="106" t="s">
        <v>2432</v>
      </c>
      <c r="AG20" s="88" t="s">
        <v>2419</v>
      </c>
      <c r="AH20" s="154" t="s">
        <v>2433</v>
      </c>
      <c r="AI20" s="155" t="s">
        <v>2434</v>
      </c>
      <c r="AJ20" s="57" t="s">
        <v>2435</v>
      </c>
      <c r="AK20" s="156" t="s">
        <v>2419</v>
      </c>
      <c r="AL20" s="157" t="s">
        <v>2436</v>
      </c>
      <c r="AM20" s="158" t="s">
        <v>2437</v>
      </c>
      <c r="AN20" s="159" t="s">
        <v>2438</v>
      </c>
      <c r="AO20" s="159"/>
    </row>
    <row r="21">
      <c r="A21" s="108" t="s">
        <v>2439</v>
      </c>
      <c r="B21" s="148" t="s">
        <v>2440</v>
      </c>
      <c r="C21" s="98" t="s">
        <v>2441</v>
      </c>
      <c r="D21" s="59" t="s">
        <v>2442</v>
      </c>
      <c r="E21" s="108" t="str">
        <f>IFERROR(__xludf.DUMMYFUNCTION("GOOGLETRANSLATE(A21,""zh-tw"",""ja"")"),"R17")</f>
        <v>R17</v>
      </c>
      <c r="F21" s="148" t="s">
        <v>2443</v>
      </c>
      <c r="G21" s="160"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8" t="str">
        <f>IFERROR(__xludf.DUMMYFUNCTION("GOOGLETRANSLATE(A21,""zh-tw"",""en"")"),"R17")</f>
        <v>R17</v>
      </c>
      <c r="J21" s="148" t="s">
        <v>2445</v>
      </c>
      <c r="K21" s="98" t="s">
        <v>2446</v>
      </c>
      <c r="L21" s="59" t="s">
        <v>2447</v>
      </c>
      <c r="M21" s="112" t="str">
        <f>IFERROR(__xludf.DUMMYFUNCTION("GOOGLETRANSLATE(A21,""zh-tw"",""en"")"),"R17")</f>
        <v>R17</v>
      </c>
      <c r="N21" s="148" t="str">
        <f>IFERROR(__xludf.DUMMYFUNCTION("GOOGLETRANSLATE(B21,""zh-tw"",""zh"")"),"隐藏通道6")</f>
        <v>隐藏通道6</v>
      </c>
      <c r="O21" s="93"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2" t="str">
        <f>IFERROR(__xludf.DUMMYFUNCTION("GOOGLETRANSLATE(A21,""zh-tw"",""ja"")"),"R17")</f>
        <v>R17</v>
      </c>
      <c r="R21" s="148" t="s">
        <v>2448</v>
      </c>
      <c r="S21" s="98" t="s">
        <v>2449</v>
      </c>
      <c r="T21" s="61"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93"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2450</v>
      </c>
      <c r="AE21" s="153" t="s">
        <v>2451</v>
      </c>
      <c r="AF21" s="106" t="s">
        <v>2452</v>
      </c>
      <c r="AG21" s="88" t="s">
        <v>2439</v>
      </c>
      <c r="AH21" s="154" t="s">
        <v>2453</v>
      </c>
      <c r="AI21" s="155" t="s">
        <v>2454</v>
      </c>
      <c r="AJ21" s="57" t="s">
        <v>2455</v>
      </c>
      <c r="AK21" s="156" t="s">
        <v>2439</v>
      </c>
      <c r="AL21" s="157" t="s">
        <v>2456</v>
      </c>
      <c r="AM21" s="158" t="s">
        <v>2457</v>
      </c>
      <c r="AN21" s="159" t="s">
        <v>2458</v>
      </c>
      <c r="AO21" s="159"/>
    </row>
    <row r="22">
      <c r="A22" s="108" t="s">
        <v>2459</v>
      </c>
      <c r="B22" s="148" t="s">
        <v>2460</v>
      </c>
      <c r="C22" s="98" t="s">
        <v>2461</v>
      </c>
      <c r="D22" s="59" t="s">
        <v>2462</v>
      </c>
      <c r="E22" s="108" t="str">
        <f>IFERROR(__xludf.DUMMYFUNCTION("GOOGLETRANSLATE(A22,""zh-tw"",""ja"")"),"R18")</f>
        <v>R18</v>
      </c>
      <c r="F22" s="148" t="s">
        <v>2463</v>
      </c>
      <c r="G22" s="160" t="s">
        <v>2464</v>
      </c>
      <c r="H22" s="59" t="s">
        <v>2465</v>
      </c>
      <c r="I22" s="108" t="str">
        <f>IFERROR(__xludf.DUMMYFUNCTION("GOOGLETRANSLATE(A22,""zh-tw"",""en"")"),"R18")</f>
        <v>R18</v>
      </c>
      <c r="J22" s="148" t="s">
        <v>2466</v>
      </c>
      <c r="K22" s="98" t="s">
        <v>2467</v>
      </c>
      <c r="L22" s="59" t="s">
        <v>2468</v>
      </c>
      <c r="M22" s="112" t="str">
        <f>IFERROR(__xludf.DUMMYFUNCTION("GOOGLETRANSLATE(A22,""zh-tw"",""en"")"),"R18")</f>
        <v>R18</v>
      </c>
      <c r="N22" s="148" t="str">
        <f>IFERROR(__xludf.DUMMYFUNCTION("GOOGLETRANSLATE(B22,""zh-tw"",""zh"")"),"隐藏通道7")</f>
        <v>隐藏通道7</v>
      </c>
      <c r="O22" s="93"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2" t="str">
        <f>IFERROR(__xludf.DUMMYFUNCTION("GOOGLETRANSLATE(A22,""zh-tw"",""ja"")"),"R18")</f>
        <v>R18</v>
      </c>
      <c r="R22" s="148" t="s">
        <v>2469</v>
      </c>
      <c r="S22" s="93"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93"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2470</v>
      </c>
      <c r="AE22" s="153" t="s">
        <v>2471</v>
      </c>
      <c r="AF22" s="106" t="s">
        <v>2472</v>
      </c>
      <c r="AG22" s="88" t="s">
        <v>2459</v>
      </c>
      <c r="AH22" s="154" t="s">
        <v>2473</v>
      </c>
      <c r="AI22" s="155" t="s">
        <v>2474</v>
      </c>
      <c r="AJ22" s="57" t="s">
        <v>2475</v>
      </c>
      <c r="AK22" s="156" t="s">
        <v>2459</v>
      </c>
      <c r="AL22" s="157" t="s">
        <v>2476</v>
      </c>
      <c r="AM22" s="158" t="s">
        <v>2477</v>
      </c>
      <c r="AN22" s="159" t="s">
        <v>2478</v>
      </c>
      <c r="AO22" s="159"/>
    </row>
    <row r="23">
      <c r="A23" s="108" t="s">
        <v>2479</v>
      </c>
      <c r="B23" s="148" t="s">
        <v>2480</v>
      </c>
      <c r="C23" s="98" t="s">
        <v>2481</v>
      </c>
      <c r="D23" s="59" t="s">
        <v>2482</v>
      </c>
      <c r="E23" s="108" t="str">
        <f>IFERROR(__xludf.DUMMYFUNCTION("GOOGLETRANSLATE(A23,""zh-tw"",""ja"")"),"R19")</f>
        <v>R19</v>
      </c>
      <c r="F23" s="148" t="s">
        <v>2483</v>
      </c>
      <c r="G23" s="160" t="s">
        <v>2484</v>
      </c>
      <c r="H23" s="59" t="s">
        <v>2485</v>
      </c>
      <c r="I23" s="108" t="str">
        <f>IFERROR(__xludf.DUMMYFUNCTION("GOOGLETRANSLATE(A23,""zh-tw"",""en"")"),"R19")</f>
        <v>R19</v>
      </c>
      <c r="J23" s="148" t="s">
        <v>2486</v>
      </c>
      <c r="K23" s="98" t="s">
        <v>2487</v>
      </c>
      <c r="L23" s="59" t="s">
        <v>2488</v>
      </c>
      <c r="M23" s="112" t="str">
        <f>IFERROR(__xludf.DUMMYFUNCTION("GOOGLETRANSLATE(A23,""zh-tw"",""en"")"),"R19")</f>
        <v>R19</v>
      </c>
      <c r="N23" s="148" t="str">
        <f>IFERROR(__xludf.DUMMYFUNCTION("GOOGLETRANSLATE(B23,""zh-tw"",""zh"")"),"隐藏通道8")</f>
        <v>隐藏通道8</v>
      </c>
      <c r="O23" s="93"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2" t="str">
        <f>IFERROR(__xludf.DUMMYFUNCTION("GOOGLETRANSLATE(A23,""zh-tw"",""ja"")"),"R19")</f>
        <v>R19</v>
      </c>
      <c r="R23" s="148" t="s">
        <v>2489</v>
      </c>
      <c r="S23" s="93"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93"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2490</v>
      </c>
      <c r="AE23" s="153" t="s">
        <v>2491</v>
      </c>
      <c r="AF23" s="106" t="s">
        <v>2492</v>
      </c>
      <c r="AG23" s="88" t="s">
        <v>2479</v>
      </c>
      <c r="AH23" s="154" t="s">
        <v>2493</v>
      </c>
      <c r="AI23" s="155" t="s">
        <v>2494</v>
      </c>
      <c r="AJ23" s="57" t="s">
        <v>2495</v>
      </c>
      <c r="AK23" s="156" t="s">
        <v>2479</v>
      </c>
      <c r="AL23" s="157" t="s">
        <v>2496</v>
      </c>
      <c r="AM23" s="158" t="s">
        <v>2497</v>
      </c>
      <c r="AN23" s="159" t="s">
        <v>2498</v>
      </c>
      <c r="AO23" s="159"/>
    </row>
    <row r="24">
      <c r="A24" s="108" t="s">
        <v>2499</v>
      </c>
      <c r="B24" s="148" t="s">
        <v>2500</v>
      </c>
      <c r="C24" s="98" t="s">
        <v>2501</v>
      </c>
      <c r="D24" s="59" t="s">
        <v>2502</v>
      </c>
      <c r="E24" s="108" t="str">
        <f>IFERROR(__xludf.DUMMYFUNCTION("GOOGLETRANSLATE(A24,""zh-tw"",""ja"")"),"R20")</f>
        <v>R20</v>
      </c>
      <c r="F24" s="148" t="s">
        <v>2503</v>
      </c>
      <c r="G24" s="98" t="s">
        <v>2504</v>
      </c>
      <c r="H24" s="59" t="s">
        <v>2444</v>
      </c>
      <c r="I24" s="108" t="str">
        <f>IFERROR(__xludf.DUMMYFUNCTION("GOOGLETRANSLATE(A24,""zh-tw"",""en"")"),"R20")</f>
        <v>R20</v>
      </c>
      <c r="J24" s="148" t="s">
        <v>2505</v>
      </c>
      <c r="K24" s="98" t="s">
        <v>2506</v>
      </c>
      <c r="L24" s="59" t="s">
        <v>2447</v>
      </c>
      <c r="M24" s="112" t="str">
        <f>IFERROR(__xludf.DUMMYFUNCTION("GOOGLETRANSLATE(A24,""zh-tw"",""en"")"),"R20")</f>
        <v>R20</v>
      </c>
      <c r="N24" s="148" t="str">
        <f>IFERROR(__xludf.DUMMYFUNCTION("GOOGLETRANSLATE(B24,""zh-tw"",""zh"")"),"隐藏通道9")</f>
        <v>隐藏通道9</v>
      </c>
      <c r="O24" s="93"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2" t="str">
        <f>IFERROR(__xludf.DUMMYFUNCTION("GOOGLETRANSLATE(A24,""zh-tw"",""ja"")"),"R20")</f>
        <v>R20</v>
      </c>
      <c r="R24" s="148" t="s">
        <v>2507</v>
      </c>
      <c r="S24" s="98" t="s">
        <v>2508</v>
      </c>
      <c r="T24" s="61"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93"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61"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2509</v>
      </c>
      <c r="AE24" s="153" t="s">
        <v>2510</v>
      </c>
      <c r="AF24" s="106" t="s">
        <v>2511</v>
      </c>
      <c r="AG24" s="88" t="s">
        <v>2499</v>
      </c>
      <c r="AH24" s="154" t="s">
        <v>2512</v>
      </c>
      <c r="AI24" s="155" t="s">
        <v>2513</v>
      </c>
      <c r="AJ24" s="57" t="s">
        <v>2455</v>
      </c>
      <c r="AK24" s="156" t="s">
        <v>2499</v>
      </c>
      <c r="AL24" s="157" t="s">
        <v>2514</v>
      </c>
      <c r="AM24" s="158" t="s">
        <v>2515</v>
      </c>
      <c r="AN24" s="159" t="s">
        <v>2516</v>
      </c>
      <c r="AO24" s="159"/>
    </row>
    <row r="25">
      <c r="A25" s="108" t="s">
        <v>2517</v>
      </c>
      <c r="B25" s="148" t="s">
        <v>2518</v>
      </c>
      <c r="C25" s="98" t="s">
        <v>2519</v>
      </c>
      <c r="D25" s="59" t="s">
        <v>2520</v>
      </c>
      <c r="E25" s="108" t="str">
        <f>IFERROR(__xludf.DUMMYFUNCTION("GOOGLETRANSLATE(A25,""zh-tw"",""ja"")"),"R21")</f>
        <v>R21</v>
      </c>
      <c r="F25" s="148" t="s">
        <v>2521</v>
      </c>
      <c r="G25" s="98" t="s">
        <v>2522</v>
      </c>
      <c r="H25" s="59" t="s">
        <v>2523</v>
      </c>
      <c r="I25" s="108" t="str">
        <f>IFERROR(__xludf.DUMMYFUNCTION("GOOGLETRANSLATE(A25,""zh-tw"",""en"")"),"R21")</f>
        <v>R21</v>
      </c>
      <c r="J25" s="148" t="s">
        <v>2524</v>
      </c>
      <c r="K25" s="98" t="s">
        <v>2525</v>
      </c>
      <c r="L25" s="59" t="s">
        <v>2526</v>
      </c>
      <c r="M25" s="112" t="str">
        <f>IFERROR(__xludf.DUMMYFUNCTION("GOOGLETRANSLATE(A25,""zh-tw"",""en"")"),"R21")</f>
        <v>R21</v>
      </c>
      <c r="N25" s="148" t="str">
        <f>IFERROR(__xludf.DUMMYFUNCTION("GOOGLETRANSLATE(B25,""zh-tw"",""zh"")"),"隐藏通道10
机甲")</f>
        <v>隐藏通道10
机甲</v>
      </c>
      <c r="O25" s="98"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2" t="str">
        <f>IFERROR(__xludf.DUMMYFUNCTION("GOOGLETRANSLATE(A25,""zh-tw"",""ja"")"),"R21")</f>
        <v>R21</v>
      </c>
      <c r="R25" s="148" t="s">
        <v>2528</v>
      </c>
      <c r="S25" s="93"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93"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2529</v>
      </c>
      <c r="AE25" s="153" t="s">
        <v>2530</v>
      </c>
      <c r="AF25" s="106" t="s">
        <v>2531</v>
      </c>
      <c r="AG25" s="88" t="s">
        <v>2517</v>
      </c>
      <c r="AH25" s="154" t="s">
        <v>2532</v>
      </c>
      <c r="AI25" s="155" t="s">
        <v>2533</v>
      </c>
      <c r="AJ25" s="57" t="s">
        <v>2534</v>
      </c>
      <c r="AK25" s="156" t="s">
        <v>2517</v>
      </c>
      <c r="AL25" s="157" t="s">
        <v>2535</v>
      </c>
      <c r="AM25" s="158" t="s">
        <v>2536</v>
      </c>
      <c r="AN25" s="159" t="s">
        <v>2537</v>
      </c>
      <c r="AO25" s="159"/>
    </row>
    <row r="26">
      <c r="A26" s="108" t="s">
        <v>2538</v>
      </c>
      <c r="B26" s="148" t="s">
        <v>2539</v>
      </c>
      <c r="C26" s="98" t="s">
        <v>2540</v>
      </c>
      <c r="D26" s="59" t="s">
        <v>2541</v>
      </c>
      <c r="E26" s="108" t="str">
        <f>IFERROR(__xludf.DUMMYFUNCTION("GOOGLETRANSLATE(A26,""zh-tw"",""ja"")"),"R22")</f>
        <v>R22</v>
      </c>
      <c r="F26" s="148" t="s">
        <v>2542</v>
      </c>
      <c r="G26" s="160"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2543</v>
      </c>
      <c r="I26" s="108" t="str">
        <f>IFERROR(__xludf.DUMMYFUNCTION("GOOGLETRANSLATE(A26,""zh-tw"",""en"")"),"R22")</f>
        <v>R22</v>
      </c>
      <c r="J26" s="148" t="s">
        <v>2544</v>
      </c>
      <c r="K26" s="98" t="s">
        <v>2545</v>
      </c>
      <c r="L26" s="59" t="s">
        <v>2546</v>
      </c>
      <c r="M26" s="112" t="str">
        <f>IFERROR(__xludf.DUMMYFUNCTION("GOOGLETRANSLATE(A26,""zh-tw"",""en"")"),"R22")</f>
        <v>R22</v>
      </c>
      <c r="N26" s="148" t="str">
        <f>IFERROR(__xludf.DUMMYFUNCTION("GOOGLETRANSLATE(B26,""zh-tw"",""zh"")"),"隐藏通道11")</f>
        <v>隐藏通道11</v>
      </c>
      <c r="O26" s="93"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2" t="str">
        <f>IFERROR(__xludf.DUMMYFUNCTION("GOOGLETRANSLATE(A26,""zh-tw"",""ja"")"),"R22")</f>
        <v>R22</v>
      </c>
      <c r="R26" s="148" t="s">
        <v>2547</v>
      </c>
      <c r="S26" s="93"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93"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2548</v>
      </c>
      <c r="AE26" s="153" t="s">
        <v>2549</v>
      </c>
      <c r="AF26" s="106" t="s">
        <v>2550</v>
      </c>
      <c r="AG26" s="88" t="s">
        <v>2538</v>
      </c>
      <c r="AH26" s="154" t="s">
        <v>2551</v>
      </c>
      <c r="AI26" s="155" t="s">
        <v>2552</v>
      </c>
      <c r="AJ26" s="57" t="s">
        <v>2553</v>
      </c>
      <c r="AK26" s="156" t="s">
        <v>2538</v>
      </c>
      <c r="AL26" s="157" t="s">
        <v>2554</v>
      </c>
      <c r="AM26" s="158" t="s">
        <v>2555</v>
      </c>
      <c r="AN26" s="159" t="s">
        <v>2556</v>
      </c>
      <c r="AO26" s="159"/>
    </row>
    <row r="27">
      <c r="A27" s="108" t="s">
        <v>2557</v>
      </c>
      <c r="B27" s="148" t="s">
        <v>2558</v>
      </c>
      <c r="C27" s="98" t="s">
        <v>2559</v>
      </c>
      <c r="D27" s="59" t="s">
        <v>2560</v>
      </c>
      <c r="E27" s="108" t="str">
        <f>IFERROR(__xludf.DUMMYFUNCTION("GOOGLETRANSLATE(A27,""zh-tw"",""ja"")"),"R23")</f>
        <v>R23</v>
      </c>
      <c r="F27" s="148" t="str">
        <f>IFERROR(__xludf.DUMMYFUNCTION("GOOGLETRANSLATE(B27,""zh-tw"",""ja"")"),"穴に落ちる")</f>
        <v>穴に落ちる</v>
      </c>
      <c r="G27" s="98" t="s">
        <v>2561</v>
      </c>
      <c r="H27" s="59" t="s">
        <v>2562</v>
      </c>
      <c r="I27" s="108" t="str">
        <f>IFERROR(__xludf.DUMMYFUNCTION("GOOGLETRANSLATE(A27,""zh-tw"",""en"")"),"R23")</f>
        <v>R23</v>
      </c>
      <c r="J27" s="148" t="s">
        <v>2563</v>
      </c>
      <c r="K27" s="98" t="s">
        <v>2564</v>
      </c>
      <c r="L27" s="59" t="s">
        <v>2565</v>
      </c>
      <c r="M27" s="112" t="str">
        <f>IFERROR(__xludf.DUMMYFUNCTION("GOOGLETRANSLATE(A27,""zh-tw"",""en"")"),"R23")</f>
        <v>R23</v>
      </c>
      <c r="N27" s="148" t="str">
        <f>IFERROR(__xludf.DUMMYFUNCTION("GOOGLETRANSLATE(B27,""zh-tw"",""zh"")"),"摔洞里")</f>
        <v>摔洞里</v>
      </c>
      <c r="O27" s="93" t="str">
        <f>IFERROR(__xludf.DUMMYFUNCTION("GOOGLETRANSLATE(C27,""zh-tw"",""zh"")"),"开发中区域(矿坑)
矿坑地图掉下去")</f>
        <v>开发中区域(矿坑)
矿坑地图掉下去</v>
      </c>
      <c r="P27" s="61" t="str">
        <f>IFERROR(__xludf.DUMMYFUNCTION("GOOGLETRANSLATE(D27,""zh-tw"",""zh"")"),"见闻：掉到洞窟")</f>
        <v>见闻：掉到洞窟</v>
      </c>
      <c r="Q27" s="112" t="str">
        <f>IFERROR(__xludf.DUMMYFUNCTION("GOOGLETRANSLATE(A27,""zh-tw"",""ja"")"),"R23")</f>
        <v>R23</v>
      </c>
      <c r="R27" s="149" t="str">
        <f>IFERROR(__xludf.DUMMYFUNCTION("GOOGLETRANSLATE(B27,""zh-tw"",""es-MX"")"),"Caer en el agujero")</f>
        <v>Caer en el agujero</v>
      </c>
      <c r="S27" s="98" t="s">
        <v>2566</v>
      </c>
      <c r="T27" s="61"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93"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0" t="str">
        <f>IFERROR(__xludf.DUMMYFUNCTION("GOOGLETRANSLATE(I27,""zh-tw"",""en"")"),"R23")</f>
        <v>R23</v>
      </c>
      <c r="AD27" s="148" t="s">
        <v>2567</v>
      </c>
      <c r="AE27" s="153" t="s">
        <v>2568</v>
      </c>
      <c r="AF27" s="106" t="s">
        <v>2569</v>
      </c>
      <c r="AG27" s="88" t="s">
        <v>2557</v>
      </c>
      <c r="AH27" s="154" t="s">
        <v>2570</v>
      </c>
      <c r="AI27" s="155" t="s">
        <v>2571</v>
      </c>
      <c r="AJ27" s="57" t="s">
        <v>2572</v>
      </c>
      <c r="AK27" s="156" t="s">
        <v>2557</v>
      </c>
      <c r="AL27" s="157" t="s">
        <v>2573</v>
      </c>
      <c r="AM27" s="158" t="s">
        <v>2574</v>
      </c>
      <c r="AN27" s="159" t="s">
        <v>2575</v>
      </c>
      <c r="AO27" s="159"/>
    </row>
    <row r="28">
      <c r="A28" s="108" t="s">
        <v>2576</v>
      </c>
      <c r="B28" s="148" t="s">
        <v>2577</v>
      </c>
      <c r="C28" s="98" t="s">
        <v>2578</v>
      </c>
      <c r="D28" s="59" t="s">
        <v>2579</v>
      </c>
      <c r="E28" s="108" t="str">
        <f>IFERROR(__xludf.DUMMYFUNCTION("GOOGLETRANSLATE(A28,""zh-tw"",""ja"")"),"R24")</f>
        <v>R24</v>
      </c>
      <c r="F28" s="148" t="s">
        <v>2580</v>
      </c>
      <c r="G28" s="98" t="s">
        <v>2581</v>
      </c>
      <c r="H28" s="59" t="s">
        <v>2582</v>
      </c>
      <c r="I28" s="108" t="str">
        <f>IFERROR(__xludf.DUMMYFUNCTION("GOOGLETRANSLATE(A28,""zh-tw"",""en"")"),"R24")</f>
        <v>R24</v>
      </c>
      <c r="J28" s="148" t="s">
        <v>2583</v>
      </c>
      <c r="K28" s="98" t="s">
        <v>2584</v>
      </c>
      <c r="L28" s="59" t="s">
        <v>2585</v>
      </c>
      <c r="M28" s="112" t="str">
        <f>IFERROR(__xludf.DUMMYFUNCTION("GOOGLETRANSLATE(A28,""zh-tw"",""en"")"),"R24")</f>
        <v>R24</v>
      </c>
      <c r="N28" s="148" t="str">
        <f>IFERROR(__xludf.DUMMYFUNCTION("GOOGLETRANSLATE(B28,""zh-tw"",""zh"")"),"矿坑宝箱")</f>
        <v>矿坑宝箱</v>
      </c>
      <c r="O28" s="93"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2" t="str">
        <f>IFERROR(__xludf.DUMMYFUNCTION("GOOGLETRANSLATE(A28,""zh-tw"",""ja"")"),"R24")</f>
        <v>R24</v>
      </c>
      <c r="R28" s="149" t="str">
        <f>IFERROR(__xludf.DUMMYFUNCTION("GOOGLETRANSLATE(B28,""zh-tw"",""es-MX"")"),"Cofre del tesoro de la mina")</f>
        <v>Cofre del tesoro de la mina</v>
      </c>
      <c r="S28" s="98" t="s">
        <v>2586</v>
      </c>
      <c r="T28" s="61"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93"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2587</v>
      </c>
      <c r="AE28" s="153" t="s">
        <v>2588</v>
      </c>
      <c r="AF28" s="106" t="s">
        <v>2589</v>
      </c>
      <c r="AG28" s="88" t="s">
        <v>2576</v>
      </c>
      <c r="AH28" s="154" t="s">
        <v>2590</v>
      </c>
      <c r="AI28" s="155" t="s">
        <v>2591</v>
      </c>
      <c r="AJ28" s="57" t="s">
        <v>2592</v>
      </c>
      <c r="AK28" s="156" t="s">
        <v>2576</v>
      </c>
      <c r="AL28" s="157" t="s">
        <v>2593</v>
      </c>
      <c r="AM28" s="158" t="s">
        <v>2594</v>
      </c>
      <c r="AN28" s="159" t="s">
        <v>2595</v>
      </c>
      <c r="AO28" s="159"/>
    </row>
    <row r="29">
      <c r="A29" s="108" t="s">
        <v>2596</v>
      </c>
      <c r="B29" s="148" t="s">
        <v>2597</v>
      </c>
      <c r="C29" s="98" t="s">
        <v>2598</v>
      </c>
      <c r="D29" s="56" t="s">
        <v>2599</v>
      </c>
      <c r="E29" s="88" t="str">
        <f>IFERROR(__xludf.DUMMYFUNCTION("GOOGLETRANSLATE(A29,""zh-tw"",""ja"")"),"R25")</f>
        <v>R25</v>
      </c>
      <c r="F29" s="154" t="s">
        <v>2600</v>
      </c>
      <c r="G29" s="97" t="s">
        <v>2601</v>
      </c>
      <c r="H29" s="57" t="s">
        <v>2602</v>
      </c>
      <c r="I29" s="88" t="str">
        <f>IFERROR(__xludf.DUMMYFUNCTION("GOOGLETRANSLATE(A29,""zh-tw"",""en"")"),"R25")</f>
        <v>R25</v>
      </c>
      <c r="J29" s="154" t="s">
        <v>2603</v>
      </c>
      <c r="K29" s="97" t="s">
        <v>2604</v>
      </c>
      <c r="L29" s="59" t="s">
        <v>2605</v>
      </c>
      <c r="M29" s="112" t="str">
        <f>IFERROR(__xludf.DUMMYFUNCTION("GOOGLETRANSLATE(A29,""zh-tw"",""en"")"),"R25")</f>
        <v>R25</v>
      </c>
      <c r="N29" s="154" t="str">
        <f>IFERROR(__xludf.DUMMYFUNCTION("GOOGLETRANSLATE(B29,""zh-tw"",""zh"")"),"遗迹宝箱1")</f>
        <v>遗迹宝箱1</v>
      </c>
      <c r="O29" s="116"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2" t="str">
        <f>IFERROR(__xludf.DUMMYFUNCTION("GOOGLETRANSLATE(A29,""zh-tw"",""ja"")"),"R25")</f>
        <v>R25</v>
      </c>
      <c r="R29" s="149" t="str">
        <f>IFERROR(__xludf.DUMMYFUNCTION("GOOGLETRANSLATE(B29,""zh-tw"",""es-MX"")"),"Cofre de reliquias 1")</f>
        <v>Cofre de reliquias 1</v>
      </c>
      <c r="S29" s="97"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16"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54" t="str">
        <f>IFERROR(__xludf.DUMMYFUNCTION("GOOGLETRANSLATE(B29,""zh-tw"",""ru"")"),"Сундук с реликвиями 1")</f>
        <v>Сундук с реликвиями 1</v>
      </c>
      <c r="AA29" s="116"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54" t="s">
        <v>2607</v>
      </c>
      <c r="AE29" s="97" t="s">
        <v>2608</v>
      </c>
      <c r="AF29" s="57" t="s">
        <v>2609</v>
      </c>
      <c r="AG29" s="88" t="s">
        <v>2596</v>
      </c>
      <c r="AH29" s="154" t="s">
        <v>2610</v>
      </c>
      <c r="AI29" s="155" t="s">
        <v>2611</v>
      </c>
      <c r="AJ29" s="57" t="s">
        <v>2612</v>
      </c>
      <c r="AK29" s="156" t="s">
        <v>2596</v>
      </c>
      <c r="AL29" s="157" t="s">
        <v>2613</v>
      </c>
      <c r="AM29" s="158" t="s">
        <v>2614</v>
      </c>
      <c r="AN29" s="159" t="s">
        <v>2615</v>
      </c>
      <c r="AO29" s="159"/>
    </row>
    <row r="30">
      <c r="A30" s="108" t="s">
        <v>2616</v>
      </c>
      <c r="B30" s="148" t="s">
        <v>2617</v>
      </c>
      <c r="C30" s="98" t="s">
        <v>2618</v>
      </c>
      <c r="D30" s="59" t="s">
        <v>2619</v>
      </c>
      <c r="E30" s="108" t="str">
        <f>IFERROR(__xludf.DUMMYFUNCTION("GOOGLETRANSLATE(A30,""zh-tw"",""ja"")"),"R26")</f>
        <v>R26</v>
      </c>
      <c r="F30" s="148" t="s">
        <v>2620</v>
      </c>
      <c r="G30" s="160" t="s">
        <v>2621</v>
      </c>
      <c r="H30" s="59" t="s">
        <v>2425</v>
      </c>
      <c r="I30" s="108" t="str">
        <f>IFERROR(__xludf.DUMMYFUNCTION("GOOGLETRANSLATE(A30,""zh-tw"",""en"")"),"R26")</f>
        <v>R26</v>
      </c>
      <c r="J30" s="148" t="s">
        <v>2622</v>
      </c>
      <c r="K30" s="98" t="s">
        <v>2623</v>
      </c>
      <c r="L30" s="59" t="s">
        <v>2624</v>
      </c>
      <c r="M30" s="112" t="str">
        <f>IFERROR(__xludf.DUMMYFUNCTION("GOOGLETRANSLATE(A30,""zh-tw"",""en"")"),"R26")</f>
        <v>R26</v>
      </c>
      <c r="N30" s="148" t="str">
        <f>IFERROR(__xludf.DUMMYFUNCTION("GOOGLETRANSLATE(B30,""zh-tw"",""zh"")"),"遗迹宝箱2")</f>
        <v>遗迹宝箱2</v>
      </c>
      <c r="O30" s="93"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2" t="str">
        <f>IFERROR(__xludf.DUMMYFUNCTION("GOOGLETRANSLATE(A30,""zh-tw"",""ja"")"),"R26")</f>
        <v>R26</v>
      </c>
      <c r="R30" s="149" t="str">
        <f>IFERROR(__xludf.DUMMYFUNCTION("GOOGLETRANSLATE(B30,""zh-tw"",""es-MX"")"),"Cofre de reliquias 2")</f>
        <v>Cofre de reliquias 2</v>
      </c>
      <c r="S30" s="98" t="s">
        <v>2625</v>
      </c>
      <c r="T30" s="61"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93"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2626</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2627</v>
      </c>
      <c r="AG30" s="88" t="s">
        <v>2616</v>
      </c>
      <c r="AH30" s="154" t="s">
        <v>2628</v>
      </c>
      <c r="AI30" s="155" t="s">
        <v>2629</v>
      </c>
      <c r="AJ30" s="57" t="s">
        <v>2630</v>
      </c>
      <c r="AK30" s="156" t="s">
        <v>2616</v>
      </c>
      <c r="AL30" s="157" t="s">
        <v>2631</v>
      </c>
      <c r="AM30" s="158" t="s">
        <v>2632</v>
      </c>
      <c r="AN30" s="159" t="s">
        <v>2633</v>
      </c>
      <c r="AO30" s="159"/>
    </row>
    <row r="31">
      <c r="A31" s="108" t="s">
        <v>2634</v>
      </c>
      <c r="B31" s="148" t="s">
        <v>2635</v>
      </c>
      <c r="C31" s="98" t="s">
        <v>2636</v>
      </c>
      <c r="D31" s="59" t="s">
        <v>2637</v>
      </c>
      <c r="E31" s="108" t="str">
        <f>IFERROR(__xludf.DUMMYFUNCTION("GOOGLETRANSLATE(A31,""zh-tw"",""ja"")"),"R27")</f>
        <v>R27</v>
      </c>
      <c r="F31" s="148" t="s">
        <v>2638</v>
      </c>
      <c r="G31" s="160" t="s">
        <v>2639</v>
      </c>
      <c r="H31" s="59" t="s">
        <v>2425</v>
      </c>
      <c r="I31" s="108" t="str">
        <f>IFERROR(__xludf.DUMMYFUNCTION("GOOGLETRANSLATE(A31,""zh-tw"",""en"")"),"R27")</f>
        <v>R27</v>
      </c>
      <c r="J31" s="148" t="s">
        <v>2640</v>
      </c>
      <c r="K31" s="98" t="s">
        <v>2641</v>
      </c>
      <c r="L31" s="59" t="s">
        <v>2642</v>
      </c>
      <c r="M31" s="112" t="str">
        <f>IFERROR(__xludf.DUMMYFUNCTION("GOOGLETRANSLATE(A31,""zh-tw"",""en"")"),"R27")</f>
        <v>R27</v>
      </c>
      <c r="N31" s="148" t="str">
        <f>IFERROR(__xludf.DUMMYFUNCTION("GOOGLETRANSLATE(B31,""zh-tw"",""zh"")"),"遗迹宝箱3")</f>
        <v>遗迹宝箱3</v>
      </c>
      <c r="O31" s="93"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2" t="str">
        <f>IFERROR(__xludf.DUMMYFUNCTION("GOOGLETRANSLATE(A31,""zh-tw"",""ja"")"),"R27")</f>
        <v>R27</v>
      </c>
      <c r="R31" s="149" t="str">
        <f>IFERROR(__xludf.DUMMYFUNCTION("GOOGLETRANSLATE(B31,""zh-tw"",""es-MX"")"),"Cofre de reliquias 3")</f>
        <v>Cofre de reliquias 3</v>
      </c>
      <c r="S31" s="98" t="s">
        <v>2643</v>
      </c>
      <c r="T31" s="61"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93"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0" t="str">
        <f>IFERROR(__xludf.DUMMYFUNCTION("GOOGLETRANSLATE(I31,""zh-tw"",""en"")"),"R27")</f>
        <v>R27</v>
      </c>
      <c r="AD31" s="148" t="s">
        <v>2644</v>
      </c>
      <c r="AE31" s="151" t="str">
        <f>IFERROR(__xludf.DUMMYFUNCTION("GOOGLETRANSLATE(C31,""zh-tw"",""DE"")"),"Vergessenes Grab-1, eine Schatztruhe in der Nähe des Eis in der Mitte.")</f>
        <v>Vergessenes Grab-1, eine Schatztruhe in der Nähe des Eis in der Mitte.</v>
      </c>
      <c r="AF31" s="106" t="s">
        <v>2645</v>
      </c>
      <c r="AG31" s="88" t="s">
        <v>2634</v>
      </c>
      <c r="AH31" s="154" t="s">
        <v>2646</v>
      </c>
      <c r="AI31" s="155" t="s">
        <v>2647</v>
      </c>
      <c r="AJ31" s="57" t="s">
        <v>2648</v>
      </c>
      <c r="AK31" s="156" t="s">
        <v>2634</v>
      </c>
      <c r="AL31" s="157" t="s">
        <v>2649</v>
      </c>
      <c r="AM31" s="158" t="s">
        <v>2650</v>
      </c>
      <c r="AN31" s="159" t="s">
        <v>2651</v>
      </c>
      <c r="AO31" s="159"/>
    </row>
    <row r="32">
      <c r="A32" s="108" t="s">
        <v>2652</v>
      </c>
      <c r="B32" s="148" t="s">
        <v>2653</v>
      </c>
      <c r="C32" s="98" t="s">
        <v>2654</v>
      </c>
      <c r="D32" s="59" t="s">
        <v>2655</v>
      </c>
      <c r="E32" s="108" t="str">
        <f>IFERROR(__xludf.DUMMYFUNCTION("GOOGLETRANSLATE(A32,""zh-tw"",""ja"")"),"R28")</f>
        <v>R28</v>
      </c>
      <c r="F32" s="148" t="str">
        <f>IFERROR(__xludf.DUMMYFUNCTION("GOOGLETRANSLATE(B32,""zh-tw"",""ja"")"),"ダウンロードコンテンツ")</f>
        <v>ダウンロードコンテンツ</v>
      </c>
      <c r="G32" s="98" t="s">
        <v>2656</v>
      </c>
      <c r="H32" s="59" t="s">
        <v>2657</v>
      </c>
      <c r="I32" s="108" t="str">
        <f>IFERROR(__xludf.DUMMYFUNCTION("GOOGLETRANSLATE(A32,""zh-tw"",""en"")"),"R28")</f>
        <v>R28</v>
      </c>
      <c r="J32" s="148" t="s">
        <v>2653</v>
      </c>
      <c r="K32" s="98" t="s">
        <v>2658</v>
      </c>
      <c r="L32" s="59" t="s">
        <v>2659</v>
      </c>
      <c r="M32" s="112" t="str">
        <f>IFERROR(__xludf.DUMMYFUNCTION("GOOGLETRANSLATE(A32,""zh-tw"",""en"")"),"R28")</f>
        <v>R28</v>
      </c>
      <c r="N32" s="148" t="str">
        <f>IFERROR(__xludf.DUMMYFUNCTION("GOOGLETRANSLATE(B32,""zh-tw"",""zh"")"),"DLC")</f>
        <v>DLC</v>
      </c>
      <c r="O32" s="93"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2" t="str">
        <f>IFERROR(__xludf.DUMMYFUNCTION("GOOGLETRANSLATE(A32,""zh-tw"",""ja"")"),"R28")</f>
        <v>R28</v>
      </c>
      <c r="R32" s="149" t="str">
        <f>IFERROR(__xludf.DUMMYFUNCTION("GOOGLETRANSLATE(B32,""zh-tw"",""es-MX"")"),"Contenido descargable")</f>
        <v>Contenido descargable</v>
      </c>
      <c r="S32" s="98" t="s">
        <v>2660</v>
      </c>
      <c r="T32" s="61"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93"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0" t="str">
        <f>IFERROR(__xludf.DUMMYFUNCTION("GOOGLETRANSLATE(I32,""zh-tw"",""en"")"),"R28")</f>
        <v>R28</v>
      </c>
      <c r="AD32" s="148" t="s">
        <v>2653</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2661</v>
      </c>
      <c r="AG32" s="88" t="s">
        <v>2652</v>
      </c>
      <c r="AH32" s="154" t="s">
        <v>2653</v>
      </c>
      <c r="AI32" s="155" t="s">
        <v>2662</v>
      </c>
      <c r="AJ32" s="57" t="s">
        <v>2663</v>
      </c>
      <c r="AK32" s="156" t="s">
        <v>2652</v>
      </c>
      <c r="AL32" s="157" t="s">
        <v>2653</v>
      </c>
      <c r="AM32" s="158" t="s">
        <v>2664</v>
      </c>
      <c r="AN32" s="159" t="s">
        <v>2665</v>
      </c>
      <c r="AO32" s="159"/>
    </row>
    <row r="33">
      <c r="A33" s="108" t="s">
        <v>2666</v>
      </c>
      <c r="B33" s="148" t="s">
        <v>2667</v>
      </c>
      <c r="C33" s="98" t="s">
        <v>2668</v>
      </c>
      <c r="D33" s="59" t="s">
        <v>2669</v>
      </c>
      <c r="E33" s="108" t="str">
        <f>IFERROR(__xludf.DUMMYFUNCTION("GOOGLETRANSLATE(A33,""zh-tw"",""ja"")"),"R29")</f>
        <v>R29</v>
      </c>
      <c r="F33" s="148" t="s">
        <v>2670</v>
      </c>
      <c r="G33" s="98" t="s">
        <v>2671</v>
      </c>
      <c r="H33" s="59" t="s">
        <v>2672</v>
      </c>
      <c r="I33" s="108" t="str">
        <f>IFERROR(__xludf.DUMMYFUNCTION("GOOGLETRANSLATE(A33,""zh-tw"",""en"")"),"R29")</f>
        <v>R29</v>
      </c>
      <c r="J33" s="148" t="s">
        <v>2673</v>
      </c>
      <c r="K33" s="98" t="s">
        <v>2674</v>
      </c>
      <c r="L33" s="59" t="s">
        <v>2675</v>
      </c>
      <c r="M33" s="112" t="str">
        <f>IFERROR(__xludf.DUMMYFUNCTION("GOOGLETRANSLATE(A33,""zh-tw"",""en"")"),"R29")</f>
        <v>R29</v>
      </c>
      <c r="N33" s="148" t="str">
        <f>IFERROR(__xludf.DUMMYFUNCTION("GOOGLETRANSLATE(B33,""zh-tw"",""zh"")"),"全部见闻")</f>
        <v>全部见闻</v>
      </c>
      <c r="O33" s="93"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2" t="str">
        <f>IFERROR(__xludf.DUMMYFUNCTION("GOOGLETRANSLATE(A33,""zh-tw"",""ja"")"),"R29")</f>
        <v>R29</v>
      </c>
      <c r="R33" s="148" t="s">
        <v>2676</v>
      </c>
      <c r="S33" s="98"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93"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2678</v>
      </c>
      <c r="AE33" s="153" t="s">
        <v>2679</v>
      </c>
      <c r="AF33" s="106" t="s">
        <v>2680</v>
      </c>
      <c r="AG33" s="88" t="s">
        <v>2666</v>
      </c>
      <c r="AH33" s="154" t="s">
        <v>2681</v>
      </c>
      <c r="AI33" s="155" t="s">
        <v>2682</v>
      </c>
      <c r="AJ33" s="57" t="s">
        <v>2683</v>
      </c>
      <c r="AK33" s="156" t="s">
        <v>2666</v>
      </c>
      <c r="AL33" s="157" t="s">
        <v>2684</v>
      </c>
      <c r="AM33" s="158" t="s">
        <v>2685</v>
      </c>
      <c r="AN33" s="159" t="s">
        <v>2686</v>
      </c>
      <c r="AO33" s="159"/>
    </row>
    <row r="34">
      <c r="A34" s="108" t="s">
        <v>2687</v>
      </c>
      <c r="B34" s="148" t="s">
        <v>2688</v>
      </c>
      <c r="C34" s="98" t="s">
        <v>2689</v>
      </c>
      <c r="D34" s="59" t="s">
        <v>2690</v>
      </c>
      <c r="E34" s="108" t="str">
        <f>IFERROR(__xludf.DUMMYFUNCTION("GOOGLETRANSLATE(A34,""zh-tw"",""ja"")"),"R30")</f>
        <v>R30</v>
      </c>
      <c r="F34" s="148" t="s">
        <v>2691</v>
      </c>
      <c r="G34" s="98" t="s">
        <v>2692</v>
      </c>
      <c r="H34" s="59" t="s">
        <v>2693</v>
      </c>
      <c r="I34" s="108" t="str">
        <f>IFERROR(__xludf.DUMMYFUNCTION("GOOGLETRANSLATE(A34,""zh-tw"",""en"")"),"R30")</f>
        <v>R30</v>
      </c>
      <c r="J34" s="148" t="s">
        <v>2694</v>
      </c>
      <c r="K34" s="98" t="s">
        <v>2695</v>
      </c>
      <c r="L34" s="59" t="s">
        <v>2696</v>
      </c>
      <c r="M34" s="112" t="str">
        <f>IFERROR(__xludf.DUMMYFUNCTION("GOOGLETRANSLATE(A34,""zh-tw"",""en"")"),"R30")</f>
        <v>R30</v>
      </c>
      <c r="N34" s="148" t="str">
        <f>IFERROR(__xludf.DUMMYFUNCTION("GOOGLETRANSLATE(B34,""zh-tw"",""zh"")"),"遗留信")</f>
        <v>遗留信</v>
      </c>
      <c r="O34" s="93"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2" t="str">
        <f>IFERROR(__xludf.DUMMYFUNCTION("GOOGLETRANSLATE(A34,""zh-tw"",""ja"")"),"R30")</f>
        <v>R30</v>
      </c>
      <c r="R34" s="149" t="str">
        <f>IFERROR(__xludf.DUMMYFUNCTION("GOOGLETRANSLATE(B34,""zh-tw"",""es-MX"")"),"Última carta")</f>
        <v>Última carta</v>
      </c>
      <c r="S34" s="93"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93"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2697</v>
      </c>
      <c r="AE34" s="153" t="s">
        <v>2698</v>
      </c>
      <c r="AF34" s="106" t="s">
        <v>2699</v>
      </c>
      <c r="AG34" s="88" t="s">
        <v>2687</v>
      </c>
      <c r="AH34" s="154" t="s">
        <v>2700</v>
      </c>
      <c r="AI34" s="155" t="s">
        <v>2701</v>
      </c>
      <c r="AJ34" s="57" t="s">
        <v>2702</v>
      </c>
      <c r="AK34" s="156" t="s">
        <v>2687</v>
      </c>
      <c r="AL34" s="157" t="s">
        <v>2703</v>
      </c>
      <c r="AM34" s="158" t="s">
        <v>2704</v>
      </c>
      <c r="AN34" s="159" t="s">
        <v>2705</v>
      </c>
      <c r="AO34" s="159"/>
    </row>
    <row r="35">
      <c r="A35" s="108" t="s">
        <v>2706</v>
      </c>
      <c r="B35" s="148" t="s">
        <v>2707</v>
      </c>
      <c r="C35" s="98" t="s">
        <v>2708</v>
      </c>
      <c r="D35" s="59" t="s">
        <v>2709</v>
      </c>
      <c r="E35" s="108" t="str">
        <f>IFERROR(__xludf.DUMMYFUNCTION("GOOGLETRANSLATE(A35,""zh-tw"",""ja"")"),"R31")</f>
        <v>R31</v>
      </c>
      <c r="F35" s="148" t="s">
        <v>2710</v>
      </c>
      <c r="G35" s="98" t="s">
        <v>2711</v>
      </c>
      <c r="H35" s="59" t="s">
        <v>2712</v>
      </c>
      <c r="I35" s="108" t="str">
        <f>IFERROR(__xludf.DUMMYFUNCTION("GOOGLETRANSLATE(A35,""zh-tw"",""en"")"),"R31")</f>
        <v>R31</v>
      </c>
      <c r="J35" s="148" t="s">
        <v>2713</v>
      </c>
      <c r="K35" s="98" t="s">
        <v>2714</v>
      </c>
      <c r="L35" s="59" t="s">
        <v>2715</v>
      </c>
      <c r="M35" s="112" t="str">
        <f>IFERROR(__xludf.DUMMYFUNCTION("GOOGLETRANSLATE(A35,""zh-tw"",""en"")"),"R31")</f>
        <v>R31</v>
      </c>
      <c r="N35" s="148" t="str">
        <f>IFERROR(__xludf.DUMMYFUNCTION("GOOGLETRANSLATE(B35,""zh-tw"",""zh"")"),"炎热天气1")</f>
        <v>炎热天气1</v>
      </c>
      <c r="O35" s="93"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2" t="str">
        <f>IFERROR(__xludf.DUMMYFUNCTION("GOOGLETRANSLATE(A35,""zh-tw"",""ja"")"),"R31")</f>
        <v>R31</v>
      </c>
      <c r="R35" s="148" t="s">
        <v>2716</v>
      </c>
      <c r="S35" s="93"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93"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2717</v>
      </c>
      <c r="AE35" s="153" t="s">
        <v>2718</v>
      </c>
      <c r="AF35" s="106" t="s">
        <v>2719</v>
      </c>
      <c r="AG35" s="88" t="s">
        <v>2706</v>
      </c>
      <c r="AH35" s="154" t="s">
        <v>2720</v>
      </c>
      <c r="AI35" s="155" t="s">
        <v>2721</v>
      </c>
      <c r="AJ35" s="57" t="s">
        <v>2722</v>
      </c>
      <c r="AK35" s="156" t="s">
        <v>2706</v>
      </c>
      <c r="AL35" s="157" t="s">
        <v>2723</v>
      </c>
      <c r="AM35" s="158" t="s">
        <v>2724</v>
      </c>
      <c r="AN35" s="159" t="s">
        <v>2725</v>
      </c>
      <c r="AO35" s="159"/>
    </row>
    <row r="36">
      <c r="A36" s="108" t="s">
        <v>2726</v>
      </c>
      <c r="B36" s="148" t="s">
        <v>2727</v>
      </c>
      <c r="C36" s="98" t="s">
        <v>2728</v>
      </c>
      <c r="D36" s="59" t="s">
        <v>2729</v>
      </c>
      <c r="E36" s="108" t="str">
        <f>IFERROR(__xludf.DUMMYFUNCTION("GOOGLETRANSLATE(A36,""zh-tw"",""ja"")"),"R32")</f>
        <v>R32</v>
      </c>
      <c r="F36" s="148" t="s">
        <v>2730</v>
      </c>
      <c r="G36" s="98" t="s">
        <v>2731</v>
      </c>
      <c r="H36" s="59" t="s">
        <v>2732</v>
      </c>
      <c r="I36" s="108" t="str">
        <f>IFERROR(__xludf.DUMMYFUNCTION("GOOGLETRANSLATE(A36,""zh-tw"",""en"")"),"R32")</f>
        <v>R32</v>
      </c>
      <c r="J36" s="148" t="s">
        <v>2733</v>
      </c>
      <c r="K36" s="98" t="s">
        <v>2734</v>
      </c>
      <c r="L36" s="59" t="s">
        <v>2735</v>
      </c>
      <c r="M36" s="112" t="str">
        <f>IFERROR(__xludf.DUMMYFUNCTION("GOOGLETRANSLATE(A36,""zh-tw"",""en"")"),"R32")</f>
        <v>R32</v>
      </c>
      <c r="N36" s="148" t="str">
        <f>IFERROR(__xludf.DUMMYFUNCTION("GOOGLETRANSLATE(B36,""zh-tw"",""zh"")"),"炎热天气2
特典T恤")</f>
        <v>炎热天气2
特典T恤</v>
      </c>
      <c r="O36" s="93"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2" t="str">
        <f>IFERROR(__xludf.DUMMYFUNCTION("GOOGLETRANSLATE(A36,""zh-tw"",""ja"")"),"R32")</f>
        <v>R32</v>
      </c>
      <c r="R36" s="148" t="s">
        <v>2736</v>
      </c>
      <c r="S36" s="98"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93"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2738</v>
      </c>
      <c r="AE36" s="153" t="s">
        <v>2739</v>
      </c>
      <c r="AF36" s="106" t="s">
        <v>2740</v>
      </c>
      <c r="AG36" s="88" t="s">
        <v>2726</v>
      </c>
      <c r="AH36" s="154" t="s">
        <v>2741</v>
      </c>
      <c r="AI36" s="155" t="s">
        <v>2742</v>
      </c>
      <c r="AJ36" s="57" t="s">
        <v>2743</v>
      </c>
      <c r="AK36" s="156" t="s">
        <v>2726</v>
      </c>
      <c r="AL36" s="157" t="s">
        <v>2744</v>
      </c>
      <c r="AM36" s="158" t="s">
        <v>2745</v>
      </c>
      <c r="AN36" s="159" t="s">
        <v>2746</v>
      </c>
      <c r="AO36" s="159"/>
    </row>
    <row r="37">
      <c r="A37" s="108" t="s">
        <v>2747</v>
      </c>
      <c r="B37" s="148" t="s">
        <v>2748</v>
      </c>
      <c r="C37" s="98" t="s">
        <v>2749</v>
      </c>
      <c r="D37" s="59" t="s">
        <v>2750</v>
      </c>
      <c r="E37" s="108" t="str">
        <f>IFERROR(__xludf.DUMMYFUNCTION("GOOGLETRANSLATE(A37,""zh-tw"",""ja"")"),"R33")</f>
        <v>R33</v>
      </c>
      <c r="F37" s="148" t="s">
        <v>2751</v>
      </c>
      <c r="G37" s="160"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8" t="str">
        <f>IFERROR(__xludf.DUMMYFUNCTION("GOOGLETRANSLATE(A37,""zh-tw"",""en"")"),"R33")</f>
        <v>R33</v>
      </c>
      <c r="J37" s="148" t="s">
        <v>2753</v>
      </c>
      <c r="K37" s="160" t="s">
        <v>2754</v>
      </c>
      <c r="L37" s="59" t="s">
        <v>2755</v>
      </c>
      <c r="M37" s="112" t="str">
        <f>IFERROR(__xludf.DUMMYFUNCTION("GOOGLETRANSLATE(A37,""zh-tw"",""en"")"),"R33")</f>
        <v>R33</v>
      </c>
      <c r="N37" s="148" t="str">
        <f>IFERROR(__xludf.DUMMYFUNCTION("GOOGLETRANSLATE(B37,""zh-tw"",""zh"")"),"炎热天气3
电风扇")</f>
        <v>炎热天气3
电风扇</v>
      </c>
      <c r="O37" s="93"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2" t="str">
        <f>IFERROR(__xludf.DUMMYFUNCTION("GOOGLETRANSLATE(A37,""zh-tw"",""ja"")"),"R33")</f>
        <v>R33</v>
      </c>
      <c r="R37" s="148" t="s">
        <v>2756</v>
      </c>
      <c r="S37" s="98" t="s">
        <v>2757</v>
      </c>
      <c r="T37" s="61"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93"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2758</v>
      </c>
      <c r="AE37" s="153" t="s">
        <v>2759</v>
      </c>
      <c r="AF37" s="106" t="s">
        <v>2760</v>
      </c>
      <c r="AG37" s="88" t="s">
        <v>2747</v>
      </c>
      <c r="AH37" s="154" t="s">
        <v>2761</v>
      </c>
      <c r="AI37" s="155" t="s">
        <v>2762</v>
      </c>
      <c r="AJ37" s="57" t="s">
        <v>2763</v>
      </c>
      <c r="AK37" s="156" t="s">
        <v>2747</v>
      </c>
      <c r="AL37" s="157" t="s">
        <v>2764</v>
      </c>
      <c r="AM37" s="162" t="s">
        <v>2765</v>
      </c>
      <c r="AN37" s="159" t="s">
        <v>2766</v>
      </c>
      <c r="AO37" s="159"/>
    </row>
    <row r="38">
      <c r="A38" s="108" t="s">
        <v>2767</v>
      </c>
      <c r="B38" s="148"/>
      <c r="C38" s="98"/>
      <c r="D38" s="59"/>
      <c r="E38" s="108" t="s">
        <v>2767</v>
      </c>
      <c r="F38" s="148"/>
      <c r="G38" s="98"/>
      <c r="H38" s="59"/>
      <c r="I38" s="108" t="s">
        <v>2767</v>
      </c>
      <c r="J38" s="148"/>
      <c r="K38" s="98"/>
      <c r="L38" s="59"/>
      <c r="M38" s="108" t="s">
        <v>2767</v>
      </c>
      <c r="N38" s="148"/>
      <c r="O38" s="93"/>
      <c r="P38" s="61"/>
      <c r="Q38" s="108" t="s">
        <v>2767</v>
      </c>
      <c r="R38" s="148"/>
      <c r="S38" s="98"/>
      <c r="T38" s="61"/>
      <c r="U38" s="108" t="s">
        <v>2767</v>
      </c>
      <c r="V38" s="149"/>
      <c r="W38" s="93"/>
      <c r="X38" s="61"/>
      <c r="Y38" s="108" t="s">
        <v>2767</v>
      </c>
      <c r="Z38" s="148"/>
      <c r="AA38" s="151"/>
      <c r="AB38" s="54"/>
      <c r="AC38" s="108" t="s">
        <v>2767</v>
      </c>
      <c r="AD38" s="148"/>
      <c r="AE38" s="153"/>
      <c r="AF38" s="106"/>
      <c r="AG38" s="108" t="s">
        <v>2767</v>
      </c>
      <c r="AH38" s="154"/>
      <c r="AI38" s="155"/>
      <c r="AJ38" s="57"/>
      <c r="AK38" s="156" t="s">
        <v>2767</v>
      </c>
      <c r="AL38" s="168"/>
      <c r="AM38" s="169"/>
      <c r="AN38" s="170"/>
      <c r="AO38" s="170"/>
    </row>
    <row r="39">
      <c r="A39" s="108" t="s">
        <v>2768</v>
      </c>
      <c r="B39" s="148" t="s">
        <v>2769</v>
      </c>
      <c r="C39" s="98" t="s">
        <v>2770</v>
      </c>
      <c r="D39" s="59" t="s">
        <v>2771</v>
      </c>
      <c r="E39" s="108" t="str">
        <f>IFERROR(__xludf.DUMMYFUNCTION("GOOGLETRANSLATE(A39,""zh-tw"",""ja"")"),"R35")</f>
        <v>R35</v>
      </c>
      <c r="F39" s="148" t="s">
        <v>2772</v>
      </c>
      <c r="G39" s="160" t="s">
        <v>2773</v>
      </c>
      <c r="H39" s="59" t="s">
        <v>2774</v>
      </c>
      <c r="I39" s="108" t="str">
        <f>IFERROR(__xludf.DUMMYFUNCTION("GOOGLETRANSLATE(A39,""zh-tw"",""en"")"),"R35")</f>
        <v>R35</v>
      </c>
      <c r="J39" s="148" t="s">
        <v>2775</v>
      </c>
      <c r="K39" s="98" t="s">
        <v>2776</v>
      </c>
      <c r="L39" s="59" t="s">
        <v>2777</v>
      </c>
      <c r="M39" s="112" t="str">
        <f>IFERROR(__xludf.DUMMYFUNCTION("GOOGLETRANSLATE(A39,""zh-tw"",""en"")"),"R35")</f>
        <v>R35</v>
      </c>
      <c r="N39" s="148" t="str">
        <f>IFERROR(__xludf.DUMMYFUNCTION("GOOGLETRANSLATE(B39,""zh-tw"",""zh"")"),"神秘商店")</f>
        <v>神秘商店</v>
      </c>
      <c r="O39" s="98"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2" t="str">
        <f>IFERROR(__xludf.DUMMYFUNCTION("GOOGLETRANSLATE(A39,""zh-tw"",""ja"")"),"R35")</f>
        <v>R35</v>
      </c>
      <c r="R39" s="148" t="s">
        <v>2779</v>
      </c>
      <c r="S39" s="98"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93"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2781</v>
      </c>
      <c r="AE39" s="153" t="s">
        <v>2782</v>
      </c>
      <c r="AF39" s="106" t="s">
        <v>2783</v>
      </c>
      <c r="AG39" s="88" t="s">
        <v>2768</v>
      </c>
      <c r="AH39" s="154" t="s">
        <v>2784</v>
      </c>
      <c r="AI39" s="155" t="s">
        <v>2785</v>
      </c>
      <c r="AJ39" s="57" t="s">
        <v>2786</v>
      </c>
      <c r="AK39" s="156" t="s">
        <v>2768</v>
      </c>
      <c r="AL39" s="157" t="s">
        <v>2787</v>
      </c>
      <c r="AM39" s="158" t="s">
        <v>2788</v>
      </c>
      <c r="AN39" s="159" t="s">
        <v>2789</v>
      </c>
      <c r="AO39" s="159"/>
    </row>
    <row r="40">
      <c r="A40" s="108" t="s">
        <v>2790</v>
      </c>
      <c r="B40" s="148" t="s">
        <v>2791</v>
      </c>
      <c r="C40" s="98" t="s">
        <v>2792</v>
      </c>
      <c r="D40" s="59" t="s">
        <v>2793</v>
      </c>
      <c r="E40" s="108" t="str">
        <f>IFERROR(__xludf.DUMMYFUNCTION("GOOGLETRANSLATE(A40,""zh-tw"",""ja"")"),"R36")</f>
        <v>R36</v>
      </c>
      <c r="F40" s="148" t="s">
        <v>2794</v>
      </c>
      <c r="G40" s="160" t="s">
        <v>2795</v>
      </c>
      <c r="H40" s="59" t="s">
        <v>2796</v>
      </c>
      <c r="I40" s="108" t="str">
        <f>IFERROR(__xludf.DUMMYFUNCTION("GOOGLETRANSLATE(A40,""zh-tw"",""en"")"),"R36")</f>
        <v>R36</v>
      </c>
      <c r="J40" s="148" t="s">
        <v>2797</v>
      </c>
      <c r="K40" s="98" t="s">
        <v>2798</v>
      </c>
      <c r="L40" s="59" t="s">
        <v>2799</v>
      </c>
      <c r="M40" s="112" t="str">
        <f>IFERROR(__xludf.DUMMYFUNCTION("GOOGLETRANSLATE(A40,""zh-tw"",""en"")"),"R36")</f>
        <v>R36</v>
      </c>
      <c r="N40" s="148" t="str">
        <f>IFERROR(__xludf.DUMMYFUNCTION("GOOGLETRANSLATE(B40,""zh-tw"",""zh"")"),"神秘商店-1")</f>
        <v>神秘商店-1</v>
      </c>
      <c r="O40" s="93"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2" t="str">
        <f>IFERROR(__xludf.DUMMYFUNCTION("GOOGLETRANSLATE(A40,""zh-tw"",""ja"")"),"R36")</f>
        <v>R36</v>
      </c>
      <c r="R40" s="148" t="s">
        <v>2800</v>
      </c>
      <c r="S40" s="98"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93"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2802</v>
      </c>
      <c r="AE40" s="153" t="s">
        <v>2803</v>
      </c>
      <c r="AF40" s="106" t="s">
        <v>2804</v>
      </c>
      <c r="AG40" s="88" t="s">
        <v>2790</v>
      </c>
      <c r="AH40" s="154" t="s">
        <v>2805</v>
      </c>
      <c r="AI40" s="155" t="s">
        <v>2806</v>
      </c>
      <c r="AJ40" s="57" t="s">
        <v>2807</v>
      </c>
      <c r="AK40" s="156" t="s">
        <v>2790</v>
      </c>
      <c r="AL40" s="157" t="s">
        <v>2808</v>
      </c>
      <c r="AM40" s="158" t="s">
        <v>2809</v>
      </c>
      <c r="AN40" s="159" t="s">
        <v>2810</v>
      </c>
      <c r="AO40" s="159"/>
    </row>
    <row r="41">
      <c r="A41" s="108" t="s">
        <v>2811</v>
      </c>
      <c r="B41" s="148" t="s">
        <v>2812</v>
      </c>
      <c r="C41" s="98" t="s">
        <v>2813</v>
      </c>
      <c r="D41" s="59" t="s">
        <v>2814</v>
      </c>
      <c r="E41" s="108" t="str">
        <f>IFERROR(__xludf.DUMMYFUNCTION("GOOGLETRANSLATE(A41,""zh-tw"",""ja"")"),"R37")</f>
        <v>R37</v>
      </c>
      <c r="F41" s="148" t="s">
        <v>2815</v>
      </c>
      <c r="G41" s="160"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2816</v>
      </c>
      <c r="K41" s="98" t="s">
        <v>2817</v>
      </c>
      <c r="L41" s="59" t="s">
        <v>2818</v>
      </c>
      <c r="M41" s="112" t="str">
        <f>IFERROR(__xludf.DUMMYFUNCTION("GOOGLETRANSLATE(A41,""zh-tw"",""en"")"),"R37")</f>
        <v>R37</v>
      </c>
      <c r="N41" s="148" t="str">
        <f>IFERROR(__xludf.DUMMYFUNCTION("GOOGLETRANSLATE(B41,""zh-tw"",""zh"")"),"神秘商店-2")</f>
        <v>神秘商店-2</v>
      </c>
      <c r="O41" s="93"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2" t="str">
        <f>IFERROR(__xludf.DUMMYFUNCTION("GOOGLETRANSLATE(A41,""zh-tw"",""ja"")"),"R37")</f>
        <v>R37</v>
      </c>
      <c r="R41" s="148" t="s">
        <v>2819</v>
      </c>
      <c r="S41" s="93"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93"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2820</v>
      </c>
      <c r="AE41" s="153" t="s">
        <v>2821</v>
      </c>
      <c r="AF41" s="106" t="s">
        <v>2822</v>
      </c>
      <c r="AG41" s="88" t="s">
        <v>2811</v>
      </c>
      <c r="AH41" s="154" t="s">
        <v>2823</v>
      </c>
      <c r="AI41" s="155" t="s">
        <v>2824</v>
      </c>
      <c r="AJ41" s="56" t="s">
        <v>2825</v>
      </c>
      <c r="AK41" s="156" t="s">
        <v>2811</v>
      </c>
      <c r="AL41" s="157" t="s">
        <v>2826</v>
      </c>
      <c r="AM41" s="158" t="s">
        <v>2827</v>
      </c>
      <c r="AN41" s="159" t="s">
        <v>2828</v>
      </c>
      <c r="AO41" s="159"/>
    </row>
    <row r="42">
      <c r="A42" s="108" t="s">
        <v>2829</v>
      </c>
      <c r="B42" s="148" t="s">
        <v>2830</v>
      </c>
      <c r="C42" s="98" t="s">
        <v>2831</v>
      </c>
      <c r="D42" s="59" t="s">
        <v>2832</v>
      </c>
      <c r="E42" s="108" t="str">
        <f>IFERROR(__xludf.DUMMYFUNCTION("GOOGLETRANSLATE(A42,""zh-tw"",""ja"")"),"R38")</f>
        <v>R38</v>
      </c>
      <c r="F42" s="148" t="s">
        <v>2833</v>
      </c>
      <c r="G42" s="160"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2834</v>
      </c>
      <c r="K42" s="98" t="s">
        <v>2835</v>
      </c>
      <c r="L42" s="59" t="s">
        <v>2836</v>
      </c>
      <c r="M42" s="112" t="str">
        <f>IFERROR(__xludf.DUMMYFUNCTION("GOOGLETRANSLATE(A42,""zh-tw"",""en"")"),"R38")</f>
        <v>R38</v>
      </c>
      <c r="N42" s="148" t="str">
        <f>IFERROR(__xludf.DUMMYFUNCTION("GOOGLETRANSLATE(B42,""zh-tw"",""zh"")"),"神秘商店-3")</f>
        <v>神秘商店-3</v>
      </c>
      <c r="O42" s="93"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2" t="str">
        <f>IFERROR(__xludf.DUMMYFUNCTION("GOOGLETRANSLATE(A42,""zh-tw"",""ja"")"),"R38")</f>
        <v>R38</v>
      </c>
      <c r="R42" s="148" t="s">
        <v>2837</v>
      </c>
      <c r="S42" s="93"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93"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2838</v>
      </c>
      <c r="AE42" s="153" t="s">
        <v>2839</v>
      </c>
      <c r="AF42" s="106" t="s">
        <v>2840</v>
      </c>
      <c r="AG42" s="88" t="s">
        <v>2829</v>
      </c>
      <c r="AH42" s="154" t="s">
        <v>2841</v>
      </c>
      <c r="AI42" s="155" t="s">
        <v>2842</v>
      </c>
      <c r="AJ42" s="57" t="s">
        <v>2843</v>
      </c>
      <c r="AK42" s="156" t="s">
        <v>2829</v>
      </c>
      <c r="AL42" s="157" t="s">
        <v>2844</v>
      </c>
      <c r="AM42" s="158" t="s">
        <v>2845</v>
      </c>
      <c r="AN42" s="159" t="s">
        <v>2846</v>
      </c>
      <c r="AO42" s="159"/>
    </row>
    <row r="43">
      <c r="A43" s="108" t="s">
        <v>2847</v>
      </c>
      <c r="B43" s="148" t="s">
        <v>2848</v>
      </c>
      <c r="C43" s="98" t="s">
        <v>2849</v>
      </c>
      <c r="D43" s="59" t="s">
        <v>2850</v>
      </c>
      <c r="E43" s="108" t="str">
        <f>IFERROR(__xludf.DUMMYFUNCTION("GOOGLETRANSLATE(A43,""zh-tw"",""ja"")"),"R39")</f>
        <v>R39</v>
      </c>
      <c r="F43" s="148" t="s">
        <v>2851</v>
      </c>
      <c r="G43" s="160" t="s">
        <v>2852</v>
      </c>
      <c r="H43" s="59" t="s">
        <v>2853</v>
      </c>
      <c r="I43" s="108" t="str">
        <f>IFERROR(__xludf.DUMMYFUNCTION("GOOGLETRANSLATE(A43,""zh-tw"",""en"")"),"R39")</f>
        <v>R39</v>
      </c>
      <c r="J43" s="148" t="s">
        <v>2854</v>
      </c>
      <c r="K43" s="98" t="s">
        <v>2855</v>
      </c>
      <c r="L43" s="59" t="s">
        <v>2856</v>
      </c>
      <c r="M43" s="112" t="str">
        <f>IFERROR(__xludf.DUMMYFUNCTION("GOOGLETRANSLATE(A43,""zh-tw"",""en"")"),"R39")</f>
        <v>R39</v>
      </c>
      <c r="N43" s="148" t="str">
        <f>IFERROR(__xludf.DUMMYFUNCTION("GOOGLETRANSLATE(B43,""zh-tw"",""zh"")"),"神秘商店-4")</f>
        <v>神秘商店-4</v>
      </c>
      <c r="O43" s="93" t="str">
        <f>IFERROR(__xludf.DUMMYFUNCTION("GOOGLETRANSLATE(C43,""zh-tw"",""zh"")"),"于神秘商店店长对话，并""不给予""鲑鱼。")</f>
        <v>于神秘商店店长对话，并"不给予"鲑鱼。</v>
      </c>
      <c r="P43" s="59" t="s">
        <v>2857</v>
      </c>
      <c r="Q43" s="112" t="str">
        <f>IFERROR(__xludf.DUMMYFUNCTION("GOOGLETRANSLATE(A43,""zh-tw"",""ja"")"),"R39")</f>
        <v>R39</v>
      </c>
      <c r="R43" s="148" t="s">
        <v>2858</v>
      </c>
      <c r="S43" s="93"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93"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2859</v>
      </c>
      <c r="AE43" s="153" t="s">
        <v>2860</v>
      </c>
      <c r="AF43" s="106" t="s">
        <v>2861</v>
      </c>
      <c r="AG43" s="88" t="s">
        <v>2847</v>
      </c>
      <c r="AH43" s="154" t="s">
        <v>2862</v>
      </c>
      <c r="AI43" s="155" t="s">
        <v>2863</v>
      </c>
      <c r="AJ43" s="57" t="s">
        <v>2864</v>
      </c>
      <c r="AK43" s="156" t="s">
        <v>2847</v>
      </c>
      <c r="AL43" s="157" t="s">
        <v>2865</v>
      </c>
      <c r="AM43" s="158" t="s">
        <v>2855</v>
      </c>
      <c r="AN43" s="159" t="s">
        <v>2856</v>
      </c>
      <c r="AO43" s="159"/>
    </row>
    <row r="44">
      <c r="A44" s="108" t="s">
        <v>2866</v>
      </c>
      <c r="B44" s="148" t="s">
        <v>2867</v>
      </c>
      <c r="C44" s="98" t="s">
        <v>2868</v>
      </c>
      <c r="D44" s="59" t="s">
        <v>2869</v>
      </c>
      <c r="E44" s="108" t="str">
        <f>IFERROR(__xludf.DUMMYFUNCTION("GOOGLETRANSLATE(A44,""zh-tw"",""ja"")"),"R40")</f>
        <v>R40</v>
      </c>
      <c r="F44" s="148" t="s">
        <v>2870</v>
      </c>
      <c r="G44" s="160" t="s">
        <v>2871</v>
      </c>
      <c r="H44" s="59" t="s">
        <v>2872</v>
      </c>
      <c r="I44" s="108" t="str">
        <f>IFERROR(__xludf.DUMMYFUNCTION("GOOGLETRANSLATE(A44,""zh-tw"",""en"")"),"R40")</f>
        <v>R40</v>
      </c>
      <c r="J44" s="148" t="s">
        <v>2873</v>
      </c>
      <c r="K44" s="98" t="s">
        <v>2874</v>
      </c>
      <c r="L44" s="59" t="s">
        <v>2875</v>
      </c>
      <c r="M44" s="112" t="str">
        <f>IFERROR(__xludf.DUMMYFUNCTION("GOOGLETRANSLATE(A44,""zh-tw"",""en"")"),"R40")</f>
        <v>R40</v>
      </c>
      <c r="N44" s="148" t="str">
        <f>IFERROR(__xludf.DUMMYFUNCTION("GOOGLETRANSLATE(B44,""zh-tw"",""zh"")"),"神秘商店-5")</f>
        <v>神秘商店-5</v>
      </c>
      <c r="O44" s="93"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2" t="str">
        <f>IFERROR(__xludf.DUMMYFUNCTION("GOOGLETRANSLATE(A44,""zh-tw"",""ja"")"),"R40")</f>
        <v>R40</v>
      </c>
      <c r="R44" s="148" t="s">
        <v>2876</v>
      </c>
      <c r="S44" s="93"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93"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0" t="str">
        <f>IFERROR(__xludf.DUMMYFUNCTION("GOOGLETRANSLATE(I44,""zh-tw"",""en"")"),"R40")</f>
        <v>R40</v>
      </c>
      <c r="AD44" s="148" t="s">
        <v>2877</v>
      </c>
      <c r="AE44" s="153" t="s">
        <v>2878</v>
      </c>
      <c r="AF44" s="106" t="s">
        <v>2879</v>
      </c>
      <c r="AG44" s="88" t="s">
        <v>2866</v>
      </c>
      <c r="AH44" s="154" t="s">
        <v>2880</v>
      </c>
      <c r="AI44" s="155" t="s">
        <v>2881</v>
      </c>
      <c r="AJ44" s="57" t="s">
        <v>2882</v>
      </c>
      <c r="AK44" s="156" t="s">
        <v>2866</v>
      </c>
      <c r="AL44" s="157" t="s">
        <v>2883</v>
      </c>
      <c r="AM44" s="158" t="s">
        <v>2884</v>
      </c>
      <c r="AN44" s="159" t="s">
        <v>2885</v>
      </c>
      <c r="AO44" s="159"/>
    </row>
    <row r="45">
      <c r="A45" s="108" t="s">
        <v>2886</v>
      </c>
      <c r="B45" s="148" t="s">
        <v>2887</v>
      </c>
      <c r="C45" s="98" t="s">
        <v>2888</v>
      </c>
      <c r="D45" s="59" t="s">
        <v>2889</v>
      </c>
      <c r="E45" s="108" t="s">
        <v>2886</v>
      </c>
      <c r="F45" s="148" t="s">
        <v>2890</v>
      </c>
      <c r="G45" s="160" t="s">
        <v>2891</v>
      </c>
      <c r="H45" s="59" t="s">
        <v>2892</v>
      </c>
      <c r="I45" s="108" t="s">
        <v>2886</v>
      </c>
      <c r="J45" s="148" t="s">
        <v>2893</v>
      </c>
      <c r="K45" s="98" t="s">
        <v>2894</v>
      </c>
      <c r="L45" s="59" t="s">
        <v>2895</v>
      </c>
      <c r="M45" s="108" t="s">
        <v>2886</v>
      </c>
      <c r="N45" s="148" t="str">
        <f>IFERROR(__xludf.DUMMYFUNCTION("GOOGLETRANSLATE(B45,""zh-tw"",""zh"")"),"神秘商店-6")</f>
        <v>神秘商店-6</v>
      </c>
      <c r="O45" s="93"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8" t="s">
        <v>2886</v>
      </c>
      <c r="R45" s="149" t="str">
        <f>IFERROR(__xludf.DUMMYFUNCTION("GOOGLETRANSLATE(B45,""zh-tw"",""es-MX"")"),"Tienda Misteriosa - 6")</f>
        <v>Tienda Misteriosa - 6</v>
      </c>
      <c r="S45" s="93"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1" t="s">
        <v>2886</v>
      </c>
      <c r="V45" s="149" t="str">
        <f>IFERROR(__xludf.DUMMYFUNCTION("GOOGLETRANSLATE(B45,""zh-tw"",""KO"")"),"미스터리 샵 - 6")</f>
        <v>미스터리 샵 - 6</v>
      </c>
      <c r="W45" s="93"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1" t="s">
        <v>2886</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1" t="s">
        <v>2886</v>
      </c>
      <c r="AD45" s="148" t="s">
        <v>2896</v>
      </c>
      <c r="AE45" s="153" t="s">
        <v>2897</v>
      </c>
      <c r="AF45" s="106" t="s">
        <v>2898</v>
      </c>
      <c r="AG45" s="88" t="s">
        <v>2886</v>
      </c>
      <c r="AH45" s="154" t="s">
        <v>2899</v>
      </c>
      <c r="AI45" s="155" t="s">
        <v>2900</v>
      </c>
      <c r="AJ45" s="57" t="s">
        <v>2901</v>
      </c>
      <c r="AK45" s="156" t="s">
        <v>2886</v>
      </c>
      <c r="AL45" s="157" t="s">
        <v>2902</v>
      </c>
      <c r="AM45" s="158" t="s">
        <v>2903</v>
      </c>
      <c r="AN45" s="159" t="s">
        <v>2904</v>
      </c>
      <c r="AO45" s="159"/>
    </row>
    <row r="46" ht="113.25" customHeight="1">
      <c r="A46" s="108" t="s">
        <v>2905</v>
      </c>
      <c r="B46" s="148" t="s">
        <v>2906</v>
      </c>
      <c r="C46" s="98" t="s">
        <v>2907</v>
      </c>
      <c r="D46" s="59" t="s">
        <v>2908</v>
      </c>
      <c r="E46" s="108" t="str">
        <f>IFERROR(__xludf.DUMMYFUNCTION("GOOGLETRANSLATE(A46,""zh-tw"",""ja"")"),"R42")</f>
        <v>R42</v>
      </c>
      <c r="F46" s="148" t="s">
        <v>2909</v>
      </c>
      <c r="G46" s="98" t="s">
        <v>2910</v>
      </c>
      <c r="H46" s="59" t="s">
        <v>2911</v>
      </c>
      <c r="I46" s="108" t="str">
        <f>IFERROR(__xludf.DUMMYFUNCTION("GOOGLETRANSLATE(A46,""zh-tw"",""en"")"),"R42")</f>
        <v>R42</v>
      </c>
      <c r="J46" s="148" t="s">
        <v>2912</v>
      </c>
      <c r="K46" s="98" t="s">
        <v>2913</v>
      </c>
      <c r="L46" s="59" t="s">
        <v>2914</v>
      </c>
      <c r="M46" s="112" t="str">
        <f>IFERROR(__xludf.DUMMYFUNCTION("GOOGLETRANSLATE(A46,""zh-tw"",""en"")"),"R42")</f>
        <v>R42</v>
      </c>
      <c r="N46" s="148" t="str">
        <f>IFERROR(__xludf.DUMMYFUNCTION("GOOGLETRANSLATE(B46,""zh-tw"",""zh"")"),"深渊BOSS")</f>
        <v>深渊BOSS</v>
      </c>
      <c r="O46" s="93"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2" t="str">
        <f>IFERROR(__xludf.DUMMYFUNCTION("GOOGLETRANSLATE(A46,""zh-tw"",""ja"")"),"R42")</f>
        <v>R42</v>
      </c>
      <c r="R46" s="149" t="str">
        <f>IFERROR(__xludf.DUMMYFUNCTION("GOOGLETRANSLATE(B46,""zh-tw"",""es-MX"")"),"JEFE del abismo")</f>
        <v>JEFE del abismo</v>
      </c>
      <c r="S46" s="98"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93"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2916</v>
      </c>
      <c r="AE46" s="153" t="s">
        <v>2917</v>
      </c>
      <c r="AF46" s="106" t="s">
        <v>2918</v>
      </c>
      <c r="AG46" s="88" t="s">
        <v>2905</v>
      </c>
      <c r="AH46" s="154" t="s">
        <v>2919</v>
      </c>
      <c r="AI46" s="155" t="s">
        <v>2920</v>
      </c>
      <c r="AJ46" s="57" t="s">
        <v>2921</v>
      </c>
      <c r="AK46" s="156" t="s">
        <v>2905</v>
      </c>
      <c r="AL46" s="157" t="s">
        <v>2922</v>
      </c>
      <c r="AM46" s="158" t="s">
        <v>2923</v>
      </c>
      <c r="AN46" s="159" t="s">
        <v>2924</v>
      </c>
      <c r="AO46" s="159"/>
    </row>
    <row r="47">
      <c r="A47" s="108" t="s">
        <v>2925</v>
      </c>
      <c r="B47" s="148" t="s">
        <v>2926</v>
      </c>
      <c r="C47" s="98" t="s">
        <v>2927</v>
      </c>
      <c r="D47" s="59" t="s">
        <v>2928</v>
      </c>
      <c r="E47" s="108" t="str">
        <f>IFERROR(__xludf.DUMMYFUNCTION("GOOGLETRANSLATE(A47,""zh-tw"",""ja"")"),"R43")</f>
        <v>R43</v>
      </c>
      <c r="F47" s="148" t="s">
        <v>2929</v>
      </c>
      <c r="G47" s="98" t="s">
        <v>2930</v>
      </c>
      <c r="H47" s="59" t="s">
        <v>2931</v>
      </c>
      <c r="I47" s="108" t="str">
        <f>IFERROR(__xludf.DUMMYFUNCTION("GOOGLETRANSLATE(A47,""zh-tw"",""en"")"),"R43")</f>
        <v>R43</v>
      </c>
      <c r="J47" s="148" t="s">
        <v>2932</v>
      </c>
      <c r="K47" s="98" t="s">
        <v>2933</v>
      </c>
      <c r="L47" s="59" t="s">
        <v>2934</v>
      </c>
      <c r="M47" s="112" t="str">
        <f>IFERROR(__xludf.DUMMYFUNCTION("GOOGLETRANSLATE(A47,""zh-tw"",""en"")"),"R43")</f>
        <v>R43</v>
      </c>
      <c r="N47" s="148" t="str">
        <f>IFERROR(__xludf.DUMMYFUNCTION("GOOGLETRANSLATE(B47,""zh-tw"",""zh"")"),"天上之石碎片1")</f>
        <v>天上之石碎片1</v>
      </c>
      <c r="O47" s="93"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2" t="str">
        <f>IFERROR(__xludf.DUMMYFUNCTION("GOOGLETRANSLATE(A47,""zh-tw"",""ja"")"),"R43")</f>
        <v>R43</v>
      </c>
      <c r="R47" s="149" t="str">
        <f>IFERROR(__xludf.DUMMYFUNCTION("GOOGLETRANSLATE(B47,""zh-tw"",""es-MX"")"),"Fragmento de la Piedra Celestial 1")</f>
        <v>Fragmento de la Piedra Celestial 1</v>
      </c>
      <c r="S47" s="93"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93"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2935</v>
      </c>
      <c r="AE47" s="153" t="s">
        <v>2936</v>
      </c>
      <c r="AF47" s="106" t="s">
        <v>2937</v>
      </c>
      <c r="AG47" s="88" t="s">
        <v>2925</v>
      </c>
      <c r="AH47" s="154" t="s">
        <v>2938</v>
      </c>
      <c r="AI47" s="155" t="s">
        <v>2939</v>
      </c>
      <c r="AJ47" s="57" t="s">
        <v>2940</v>
      </c>
      <c r="AK47" s="156" t="s">
        <v>2925</v>
      </c>
      <c r="AL47" s="157" t="s">
        <v>2941</v>
      </c>
      <c r="AM47" s="158" t="s">
        <v>2942</v>
      </c>
      <c r="AN47" s="159" t="s">
        <v>2943</v>
      </c>
      <c r="AO47" s="159"/>
    </row>
    <row r="48">
      <c r="A48" s="108" t="s">
        <v>2944</v>
      </c>
      <c r="B48" s="148" t="s">
        <v>2945</v>
      </c>
      <c r="C48" s="98" t="s">
        <v>2946</v>
      </c>
      <c r="D48" s="59" t="s">
        <v>2947</v>
      </c>
      <c r="E48" s="108" t="str">
        <f>IFERROR(__xludf.DUMMYFUNCTION("GOOGLETRANSLATE(A48,""zh-tw"",""ja"")"),"R44")</f>
        <v>R44</v>
      </c>
      <c r="F48" s="148" t="s">
        <v>2948</v>
      </c>
      <c r="G48" s="98" t="s">
        <v>2949</v>
      </c>
      <c r="H48" s="59" t="s">
        <v>2950</v>
      </c>
      <c r="I48" s="108" t="str">
        <f>IFERROR(__xludf.DUMMYFUNCTION("GOOGLETRANSLATE(A48,""zh-tw"",""en"")"),"R44")</f>
        <v>R44</v>
      </c>
      <c r="J48" s="148" t="s">
        <v>2951</v>
      </c>
      <c r="K48" s="98" t="s">
        <v>2952</v>
      </c>
      <c r="L48" s="59" t="s">
        <v>2953</v>
      </c>
      <c r="M48" s="112" t="str">
        <f>IFERROR(__xludf.DUMMYFUNCTION("GOOGLETRANSLATE(A48,""zh-tw"",""en"")"),"R44")</f>
        <v>R44</v>
      </c>
      <c r="N48" s="148" t="str">
        <f>IFERROR(__xludf.DUMMYFUNCTION("GOOGLETRANSLATE(B48,""zh-tw"",""zh"")"),"天上之石碎片2")</f>
        <v>天上之石碎片2</v>
      </c>
      <c r="O48" s="93"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2" t="str">
        <f>IFERROR(__xludf.DUMMYFUNCTION("GOOGLETRANSLATE(A48,""zh-tw"",""ja"")"),"R44")</f>
        <v>R44</v>
      </c>
      <c r="R48" s="149" t="str">
        <f>IFERROR(__xludf.DUMMYFUNCTION("GOOGLETRANSLATE(B48,""zh-tw"",""es-MX"")"),"Fragmento de piedra celestial 2")</f>
        <v>Fragmento de piedra celestial 2</v>
      </c>
      <c r="S48" s="93" t="str">
        <f>IFERROR(__xludf.DUMMYFUNCTION("GOOGLETRANSLATE(C48,""zh-tw"",""es-MX"")"),"El hermano mayor puede beber este artículo y obtener el efecto de estado.")</f>
        <v>El hermano mayor puede beber este artículo y obtener el efecto de estado.</v>
      </c>
      <c r="T48" s="61"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93" t="str">
        <f>IFERROR(__xludf.DUMMYFUNCTION("GOOGLETRANSLATE(C48,""zh-tw"",""KO"")"),"형은 이 아이템을 마시면 상태 효과를 얻을 수 있습니다.")</f>
        <v>형은 이 아이템을 마시면 상태 효과를 얻을 수 있습니다.</v>
      </c>
      <c r="X48" s="61"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2954</v>
      </c>
      <c r="AE48" s="153" t="s">
        <v>2955</v>
      </c>
      <c r="AF48" s="106" t="s">
        <v>2956</v>
      </c>
      <c r="AG48" s="88" t="s">
        <v>2944</v>
      </c>
      <c r="AH48" s="154" t="s">
        <v>2957</v>
      </c>
      <c r="AI48" s="155" t="s">
        <v>2958</v>
      </c>
      <c r="AJ48" s="57" t="s">
        <v>2959</v>
      </c>
      <c r="AK48" s="156" t="s">
        <v>2944</v>
      </c>
      <c r="AL48" s="157" t="s">
        <v>2960</v>
      </c>
      <c r="AM48" s="158" t="s">
        <v>2961</v>
      </c>
      <c r="AN48" s="159" t="s">
        <v>2962</v>
      </c>
      <c r="AO48" s="159"/>
    </row>
    <row r="49">
      <c r="A49" s="108" t="s">
        <v>2963</v>
      </c>
      <c r="B49" s="148" t="s">
        <v>2964</v>
      </c>
      <c r="C49" s="98" t="s">
        <v>2965</v>
      </c>
      <c r="D49" s="59" t="s">
        <v>2966</v>
      </c>
      <c r="E49" s="108" t="str">
        <f>IFERROR(__xludf.DUMMYFUNCTION("GOOGLETRANSLATE(A49,""zh-tw"",""ja"")"),"R45")</f>
        <v>R45</v>
      </c>
      <c r="F49" s="148" t="s">
        <v>2967</v>
      </c>
      <c r="G49" s="160" t="s">
        <v>2968</v>
      </c>
      <c r="H49" s="59" t="s">
        <v>2969</v>
      </c>
      <c r="I49" s="108" t="str">
        <f>IFERROR(__xludf.DUMMYFUNCTION("GOOGLETRANSLATE(A49,""zh-tw"",""en"")"),"R45")</f>
        <v>R45</v>
      </c>
      <c r="J49" s="148" t="s">
        <v>2970</v>
      </c>
      <c r="K49" s="98" t="s">
        <v>2971</v>
      </c>
      <c r="L49" s="59" t="s">
        <v>2972</v>
      </c>
      <c r="M49" s="112" t="str">
        <f>IFERROR(__xludf.DUMMYFUNCTION("GOOGLETRANSLATE(A49,""zh-tw"",""en"")"),"R45")</f>
        <v>R45</v>
      </c>
      <c r="N49" s="148" t="str">
        <f>IFERROR(__xludf.DUMMYFUNCTION("GOOGLETRANSLATE(B49,""zh-tw"",""zh"")"),"赎罪吧")</f>
        <v>赎罪吧</v>
      </c>
      <c r="O49" s="93"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2" t="str">
        <f>IFERROR(__xludf.DUMMYFUNCTION("GOOGLETRANSLATE(A49,""zh-tw"",""ja"")"),"R45")</f>
        <v>R45</v>
      </c>
      <c r="R49" s="148" t="s">
        <v>2973</v>
      </c>
      <c r="S49" s="93"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93"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(맵 약어: ""교회""; 현재 NPC는 기능이 없으며, 향후 업데이트를 기다리고 있습니다.)")</f>
        <v>새로운 장소 - 몰락한 교회 (모닥불 있음)
(맵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2974</v>
      </c>
      <c r="AE49" s="153" t="s">
        <v>2975</v>
      </c>
      <c r="AF49" s="106" t="s">
        <v>2976</v>
      </c>
      <c r="AG49" s="88" t="s">
        <v>2963</v>
      </c>
      <c r="AH49" s="154" t="s">
        <v>2977</v>
      </c>
      <c r="AI49" s="155" t="s">
        <v>2978</v>
      </c>
      <c r="AJ49" s="57" t="s">
        <v>2979</v>
      </c>
      <c r="AK49" s="156" t="s">
        <v>2963</v>
      </c>
      <c r="AL49" s="157" t="s">
        <v>2980</v>
      </c>
      <c r="AM49" s="158" t="s">
        <v>2981</v>
      </c>
      <c r="AN49" s="159" t="s">
        <v>2982</v>
      </c>
      <c r="AO49" s="159"/>
    </row>
    <row r="50">
      <c r="A50" s="108" t="s">
        <v>2983</v>
      </c>
      <c r="B50" s="148" t="s">
        <v>2984</v>
      </c>
      <c r="C50" s="98" t="s">
        <v>2985</v>
      </c>
      <c r="D50" s="59" t="s">
        <v>2986</v>
      </c>
      <c r="E50" s="108" t="str">
        <f>IFERROR(__xludf.DUMMYFUNCTION("GOOGLETRANSLATE(A50,""zh-tw"",""ja"")"),"R46")</f>
        <v>R46</v>
      </c>
      <c r="F50" s="148" t="s">
        <v>2987</v>
      </c>
      <c r="G50" s="160" t="s">
        <v>2988</v>
      </c>
      <c r="H50" s="59" t="s">
        <v>2989</v>
      </c>
      <c r="I50" s="108" t="str">
        <f>IFERROR(__xludf.DUMMYFUNCTION("GOOGLETRANSLATE(A50,""zh-tw"",""en"")"),"R46")</f>
        <v>R46</v>
      </c>
      <c r="J50" s="148" t="s">
        <v>2990</v>
      </c>
      <c r="K50" s="98" t="s">
        <v>2991</v>
      </c>
      <c r="L50" s="59" t="s">
        <v>2992</v>
      </c>
      <c r="M50" s="112" t="str">
        <f>IFERROR(__xludf.DUMMYFUNCTION("GOOGLETRANSLATE(A50,""zh-tw"",""en"")"),"R46")</f>
        <v>R46</v>
      </c>
      <c r="N50" s="148" t="str">
        <f>IFERROR(__xludf.DUMMYFUNCTION("GOOGLETRANSLATE(B50,""zh-tw"",""zh"")"),"教堂隐藏物品-1")</f>
        <v>教堂隐藏物品-1</v>
      </c>
      <c r="O50" s="93" t="str">
        <f>IFERROR(__xludf.DUMMYFUNCTION("GOOGLETRANSLATE(C50,""zh-tw"",""zh"")"),"教堂NPC后方，石像的背后")</f>
        <v>教堂NPC后方，石像的背后</v>
      </c>
      <c r="P50" s="61" t="str">
        <f>IFERROR(__xludf.DUMMYFUNCTION("GOOGLETRANSLATE(D50,""zh-tw"",""zh"")"),"装备:圣少女的怜悯")</f>
        <v>装备:圣少女的怜悯</v>
      </c>
      <c r="Q50" s="112" t="str">
        <f>IFERROR(__xludf.DUMMYFUNCTION("GOOGLETRANSLATE(A50,""zh-tw"",""ja"")"),"R46")</f>
        <v>R46</v>
      </c>
      <c r="R50" s="149" t="str">
        <f>IFERROR(__xludf.DUMMYFUNCTION("GOOGLETRANSLATE(B50,""zh-tw"",""es-MX"")"),"Objeto oculto de la iglesia - 1")</f>
        <v>Objeto oculto de la iglesia - 1</v>
      </c>
      <c r="S50" s="98" t="s">
        <v>2993</v>
      </c>
      <c r="T50" s="61"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93" t="str">
        <f>IFERROR(__xludf.DUMMYFUNCTION("GOOGLETRANSLATE(C50,""zh-tw"",""KO"")"),"교회 NPC 뒤, 석상 뒤")</f>
        <v>교회 NPC 뒤, 석상 뒤</v>
      </c>
      <c r="X50" s="61"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2994</v>
      </c>
      <c r="AE50" s="153" t="s">
        <v>2995</v>
      </c>
      <c r="AF50" s="106" t="s">
        <v>2996</v>
      </c>
      <c r="AG50" s="88" t="s">
        <v>2983</v>
      </c>
      <c r="AH50" s="154" t="s">
        <v>2997</v>
      </c>
      <c r="AI50" s="155" t="s">
        <v>2998</v>
      </c>
      <c r="AJ50" s="57" t="s">
        <v>2999</v>
      </c>
      <c r="AK50" s="156" t="s">
        <v>2983</v>
      </c>
      <c r="AL50" s="157" t="s">
        <v>3000</v>
      </c>
      <c r="AM50" s="158" t="s">
        <v>3001</v>
      </c>
      <c r="AN50" s="159" t="s">
        <v>3002</v>
      </c>
      <c r="AO50" s="159"/>
    </row>
    <row r="51">
      <c r="A51" s="108" t="s">
        <v>3003</v>
      </c>
      <c r="B51" s="148" t="s">
        <v>3004</v>
      </c>
      <c r="C51" s="98" t="s">
        <v>3005</v>
      </c>
      <c r="D51" s="59" t="s">
        <v>3006</v>
      </c>
      <c r="E51" s="108" t="str">
        <f>IFERROR(__xludf.DUMMYFUNCTION("GOOGLETRANSLATE(A51,""zh-tw"",""ja"")"),"R47")</f>
        <v>R47</v>
      </c>
      <c r="F51" s="148" t="s">
        <v>3007</v>
      </c>
      <c r="G51" s="160" t="s">
        <v>3008</v>
      </c>
      <c r="H51" s="59" t="s">
        <v>3009</v>
      </c>
      <c r="I51" s="108" t="str">
        <f>IFERROR(__xludf.DUMMYFUNCTION("GOOGLETRANSLATE(A51,""zh-tw"",""en"")"),"R47")</f>
        <v>R47</v>
      </c>
      <c r="J51" s="148" t="s">
        <v>3010</v>
      </c>
      <c r="K51" s="98" t="s">
        <v>3011</v>
      </c>
      <c r="L51" s="59" t="s">
        <v>3012</v>
      </c>
      <c r="M51" s="112" t="str">
        <f>IFERROR(__xludf.DUMMYFUNCTION("GOOGLETRANSLATE(A51,""zh-tw"",""en"")"),"R47")</f>
        <v>R47</v>
      </c>
      <c r="N51" s="148" t="str">
        <f>IFERROR(__xludf.DUMMYFUNCTION("GOOGLETRANSLATE(B51,""zh-tw"",""zh"")"),"商店车-1")</f>
        <v>商店车-1</v>
      </c>
      <c r="O51" s="93"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2" t="str">
        <f>IFERROR(__xludf.DUMMYFUNCTION("GOOGLETRANSLATE(A51,""zh-tw"",""ja"")"),"R47")</f>
        <v>R47</v>
      </c>
      <c r="R51" s="149" t="str">
        <f>IFERROR(__xludf.DUMMYFUNCTION("GOOGLETRANSLATE(B51,""zh-tw"",""es-MX"")"),"Coche de tienda-1")</f>
        <v>Coche de tienda-1</v>
      </c>
      <c r="S51" s="98"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93"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3014</v>
      </c>
      <c r="AE51" s="153" t="s">
        <v>3015</v>
      </c>
      <c r="AF51" s="106" t="s">
        <v>3016</v>
      </c>
      <c r="AG51" s="88" t="s">
        <v>3003</v>
      </c>
      <c r="AH51" s="154" t="s">
        <v>3017</v>
      </c>
      <c r="AI51" s="155" t="s">
        <v>3018</v>
      </c>
      <c r="AJ51" s="57" t="s">
        <v>3019</v>
      </c>
      <c r="AK51" s="156" t="s">
        <v>3003</v>
      </c>
      <c r="AL51" s="157" t="s">
        <v>3020</v>
      </c>
      <c r="AM51" s="158" t="s">
        <v>3021</v>
      </c>
      <c r="AN51" s="159" t="s">
        <v>3022</v>
      </c>
      <c r="AO51" s="159"/>
    </row>
    <row r="52">
      <c r="A52" s="108" t="s">
        <v>3023</v>
      </c>
      <c r="B52" s="148" t="s">
        <v>3024</v>
      </c>
      <c r="C52" s="98" t="s">
        <v>3025</v>
      </c>
      <c r="D52" s="59" t="s">
        <v>3026</v>
      </c>
      <c r="E52" s="108" t="str">
        <f>IFERROR(__xludf.DUMMYFUNCTION("GOOGLETRANSLATE(A52,""zh-tw"",""ja"")"),"R48")</f>
        <v>R48</v>
      </c>
      <c r="F52" s="148" t="s">
        <v>3027</v>
      </c>
      <c r="G52" s="160" t="s">
        <v>3028</v>
      </c>
      <c r="H52" s="59" t="s">
        <v>3029</v>
      </c>
      <c r="I52" s="108" t="str">
        <f>IFERROR(__xludf.DUMMYFUNCTION("GOOGLETRANSLATE(A52,""zh-tw"",""en"")"),"R48")</f>
        <v>R48</v>
      </c>
      <c r="J52" s="148" t="s">
        <v>3030</v>
      </c>
      <c r="K52" s="98" t="s">
        <v>3031</v>
      </c>
      <c r="L52" s="59" t="s">
        <v>3032</v>
      </c>
      <c r="M52" s="112" t="str">
        <f>IFERROR(__xludf.DUMMYFUNCTION("GOOGLETRANSLATE(A52,""zh-tw"",""en"")"),"R48")</f>
        <v>R48</v>
      </c>
      <c r="N52" s="148" t="str">
        <f>IFERROR(__xludf.DUMMYFUNCTION("GOOGLETRANSLATE(B52,""zh-tw"",""zh"")"),"商店车-2")</f>
        <v>商店车-2</v>
      </c>
      <c r="O52" s="93"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2" t="str">
        <f>IFERROR(__xludf.DUMMYFUNCTION("GOOGLETRANSLATE(A52,""zh-tw"",""ja"")"),"R48")</f>
        <v>R48</v>
      </c>
      <c r="R52" s="149" t="str">
        <f>IFERROR(__xludf.DUMMYFUNCTION("GOOGLETRANSLATE(B52,""zh-tw"",""es-MX"")"),"Camión de tienda-2")</f>
        <v>Camión de tienda-2</v>
      </c>
      <c r="S52" s="93"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93"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3033</v>
      </c>
      <c r="AE52" s="153" t="s">
        <v>3034</v>
      </c>
      <c r="AF52" s="106" t="s">
        <v>3035</v>
      </c>
      <c r="AG52" s="88" t="s">
        <v>3023</v>
      </c>
      <c r="AH52" s="154" t="s">
        <v>3036</v>
      </c>
      <c r="AI52" s="155" t="s">
        <v>3037</v>
      </c>
      <c r="AJ52" s="57" t="s">
        <v>3038</v>
      </c>
      <c r="AK52" s="156" t="s">
        <v>3023</v>
      </c>
      <c r="AL52" s="157" t="s">
        <v>3039</v>
      </c>
      <c r="AM52" s="158" t="s">
        <v>3040</v>
      </c>
      <c r="AN52" s="159" t="s">
        <v>3041</v>
      </c>
      <c r="AO52" s="159"/>
    </row>
    <row r="53">
      <c r="A53" s="108" t="s">
        <v>3042</v>
      </c>
      <c r="B53" s="148" t="s">
        <v>3043</v>
      </c>
      <c r="C53" s="98" t="s">
        <v>3044</v>
      </c>
      <c r="D53" s="59" t="s">
        <v>3045</v>
      </c>
      <c r="E53" s="108" t="str">
        <f>IFERROR(__xludf.DUMMYFUNCTION("GOOGLETRANSLATE(A53,""zh-tw"",""ja"")"),"R49")</f>
        <v>R49</v>
      </c>
      <c r="F53" s="148" t="s">
        <v>3046</v>
      </c>
      <c r="G53" s="160" t="s">
        <v>3047</v>
      </c>
      <c r="H53" s="59" t="s">
        <v>3048</v>
      </c>
      <c r="I53" s="108" t="str">
        <f>IFERROR(__xludf.DUMMYFUNCTION("GOOGLETRANSLATE(A53,""zh-tw"",""en"")"),"R49")</f>
        <v>R49</v>
      </c>
      <c r="J53" s="148" t="s">
        <v>3049</v>
      </c>
      <c r="K53" s="98" t="s">
        <v>3050</v>
      </c>
      <c r="L53" s="59" t="s">
        <v>3051</v>
      </c>
      <c r="M53" s="112" t="str">
        <f>IFERROR(__xludf.DUMMYFUNCTION("GOOGLETRANSLATE(A53,""zh-tw"",""en"")"),"R49")</f>
        <v>R49</v>
      </c>
      <c r="N53" s="148" t="str">
        <f>IFERROR(__xludf.DUMMYFUNCTION("GOOGLETRANSLATE(B53,""zh-tw"",""zh"")"),"商店车-3")</f>
        <v>商店车-3</v>
      </c>
      <c r="O53" s="93"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2" t="str">
        <f>IFERROR(__xludf.DUMMYFUNCTION("GOOGLETRANSLATE(A53,""zh-tw"",""ja"")"),"R49")</f>
        <v>R49</v>
      </c>
      <c r="R53" s="149" t="str">
        <f>IFERROR(__xludf.DUMMYFUNCTION("GOOGLETRANSLATE(B53,""zh-tw"",""es-MX"")"),"Camión de tienda-3")</f>
        <v>Camión de tienda-3</v>
      </c>
      <c r="S53" s="98"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93"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2" t="str">
        <f>IFERROR(__xludf.DUMMYFUNCTION("GOOGLETRANSLATE(I53,""zh-tw"",""en"")"),"R49")</f>
        <v>R49</v>
      </c>
      <c r="AD53" s="173" t="s">
        <v>3053</v>
      </c>
      <c r="AE53" s="153" t="s">
        <v>3054</v>
      </c>
      <c r="AF53" s="106" t="s">
        <v>3055</v>
      </c>
      <c r="AG53" s="88" t="s">
        <v>3042</v>
      </c>
      <c r="AH53" s="154" t="s">
        <v>3056</v>
      </c>
      <c r="AI53" s="155" t="s">
        <v>3057</v>
      </c>
      <c r="AJ53" s="57" t="s">
        <v>3058</v>
      </c>
      <c r="AK53" s="156" t="s">
        <v>3042</v>
      </c>
      <c r="AL53" s="157" t="s">
        <v>3059</v>
      </c>
      <c r="AM53" s="158" t="s">
        <v>3060</v>
      </c>
      <c r="AN53" s="159" t="s">
        <v>3061</v>
      </c>
      <c r="AO53" s="159"/>
    </row>
    <row r="54">
      <c r="A54" s="108" t="s">
        <v>3062</v>
      </c>
      <c r="B54" s="148" t="s">
        <v>3063</v>
      </c>
      <c r="C54" s="98" t="s">
        <v>3044</v>
      </c>
      <c r="D54" s="59" t="s">
        <v>3064</v>
      </c>
      <c r="E54" s="108" t="str">
        <f>IFERROR(__xludf.DUMMYFUNCTION("GOOGLETRANSLATE(A54,""zh-tw"",""ja"")"),"R50")</f>
        <v>R50</v>
      </c>
      <c r="F54" s="148" t="s">
        <v>3065</v>
      </c>
      <c r="G54" s="160" t="s">
        <v>3066</v>
      </c>
      <c r="H54" s="59" t="s">
        <v>3067</v>
      </c>
      <c r="I54" s="108" t="str">
        <f>IFERROR(__xludf.DUMMYFUNCTION("GOOGLETRANSLATE(A54,""zh-tw"",""en"")"),"R50")</f>
        <v>R50</v>
      </c>
      <c r="J54" s="148" t="s">
        <v>3068</v>
      </c>
      <c r="K54" s="98" t="s">
        <v>3050</v>
      </c>
      <c r="L54" s="59" t="s">
        <v>3069</v>
      </c>
      <c r="M54" s="112" t="str">
        <f>IFERROR(__xludf.DUMMYFUNCTION("GOOGLETRANSLATE(A54,""zh-tw"",""en"")"),"R50")</f>
        <v>R50</v>
      </c>
      <c r="N54" s="148" t="str">
        <f>IFERROR(__xludf.DUMMYFUNCTION("GOOGLETRANSLATE(B54,""zh-tw"",""zh"")"),"商店车-4")</f>
        <v>商店车-4</v>
      </c>
      <c r="O54" s="93"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2" t="str">
        <f>IFERROR(__xludf.DUMMYFUNCTION("GOOGLETRANSLATE(A54,""zh-tw"",""ja"")"),"R50")</f>
        <v>R50</v>
      </c>
      <c r="R54" s="149" t="str">
        <f>IFERROR(__xludf.DUMMYFUNCTION("GOOGLETRANSLATE(B54,""zh-tw"",""es-MX"")"),"Coche de taller-4")</f>
        <v>Coche de taller-4</v>
      </c>
      <c r="S54" s="98"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93"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3" t="s">
        <v>3070</v>
      </c>
      <c r="AE54" s="153" t="s">
        <v>3054</v>
      </c>
      <c r="AF54" s="106" t="s">
        <v>3071</v>
      </c>
      <c r="AG54" s="88" t="s">
        <v>3062</v>
      </c>
      <c r="AH54" s="154" t="s">
        <v>3072</v>
      </c>
      <c r="AI54" s="155" t="s">
        <v>3057</v>
      </c>
      <c r="AJ54" s="57" t="s">
        <v>3073</v>
      </c>
      <c r="AK54" s="156" t="s">
        <v>3062</v>
      </c>
      <c r="AL54" s="157" t="s">
        <v>3074</v>
      </c>
      <c r="AM54" s="158" t="s">
        <v>3060</v>
      </c>
      <c r="AN54" s="159" t="s">
        <v>3075</v>
      </c>
      <c r="AO54" s="159"/>
    </row>
    <row r="55">
      <c r="A55" s="108" t="s">
        <v>3076</v>
      </c>
      <c r="B55" s="148" t="s">
        <v>3077</v>
      </c>
      <c r="C55" s="98" t="s">
        <v>3078</v>
      </c>
      <c r="D55" s="59" t="s">
        <v>3079</v>
      </c>
      <c r="E55" s="108" t="str">
        <f>IFERROR(__xludf.DUMMYFUNCTION("GOOGLETRANSLATE(A55,""zh-tw"",""ja"")"),"R51")</f>
        <v>R51</v>
      </c>
      <c r="F55" s="148" t="s">
        <v>3080</v>
      </c>
      <c r="G55" s="160" t="s">
        <v>3081</v>
      </c>
      <c r="H55" s="59" t="s">
        <v>644</v>
      </c>
      <c r="I55" s="108" t="str">
        <f>IFERROR(__xludf.DUMMYFUNCTION("GOOGLETRANSLATE(A55,""zh-tw"",""en"")"),"R51")</f>
        <v>R51</v>
      </c>
      <c r="J55" s="148" t="s">
        <v>3082</v>
      </c>
      <c r="K55" s="98" t="s">
        <v>3083</v>
      </c>
      <c r="L55" s="59" t="s">
        <v>3084</v>
      </c>
      <c r="M55" s="112" t="str">
        <f>IFERROR(__xludf.DUMMYFUNCTION("GOOGLETRANSLATE(A55,""zh-tw"",""en"")"),"R51")</f>
        <v>R51</v>
      </c>
      <c r="N55" s="148" t="str">
        <f>IFERROR(__xludf.DUMMYFUNCTION("GOOGLETRANSLATE(B55,""zh-tw"",""zh"")"),"商店车-5")</f>
        <v>商店车-5</v>
      </c>
      <c r="O55" s="93"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2" t="str">
        <f>IFERROR(__xludf.DUMMYFUNCTION("GOOGLETRANSLATE(A55,""zh-tw"",""ja"")"),"R51")</f>
        <v>R51</v>
      </c>
      <c r="R55" s="149" t="str">
        <f>IFERROR(__xludf.DUMMYFUNCTION("GOOGLETRANSLATE(B55,""zh-tw"",""es-MX"")"),"Camión de tienda-5")</f>
        <v>Camión de tienda-5</v>
      </c>
      <c r="S55" s="98" t="s">
        <v>3085</v>
      </c>
      <c r="T55" s="61"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93"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0" t="str">
        <f>IFERROR(__xludf.DUMMYFUNCTION("GOOGLETRANSLATE(I55,""zh-tw"",""en"")"),"R51")</f>
        <v>R51</v>
      </c>
      <c r="AD55" s="173" t="s">
        <v>3086</v>
      </c>
      <c r="AE55" s="153" t="s">
        <v>3087</v>
      </c>
      <c r="AF55" s="106" t="s">
        <v>2840</v>
      </c>
      <c r="AG55" s="88" t="s">
        <v>3076</v>
      </c>
      <c r="AH55" s="154" t="s">
        <v>3088</v>
      </c>
      <c r="AI55" s="155" t="s">
        <v>3089</v>
      </c>
      <c r="AJ55" s="57" t="s">
        <v>3090</v>
      </c>
      <c r="AK55" s="156" t="s">
        <v>3076</v>
      </c>
      <c r="AL55" s="157" t="s">
        <v>3091</v>
      </c>
      <c r="AM55" s="158" t="s">
        <v>3092</v>
      </c>
      <c r="AN55" s="159" t="s">
        <v>3093</v>
      </c>
      <c r="AO55" s="159"/>
    </row>
    <row r="56">
      <c r="A56" s="108" t="s">
        <v>3094</v>
      </c>
      <c r="B56" s="154" t="s">
        <v>3095</v>
      </c>
      <c r="C56" s="97" t="s">
        <v>3096</v>
      </c>
      <c r="D56" s="57" t="s">
        <v>3097</v>
      </c>
      <c r="E56" s="88" t="str">
        <f>IFERROR(__xludf.DUMMYFUNCTION("GOOGLETRANSLATE(A56,""zh-tw"",""ja"")"),"R52")</f>
        <v>R52</v>
      </c>
      <c r="F56" s="154" t="s">
        <v>3098</v>
      </c>
      <c r="G56" s="97" t="s">
        <v>3099</v>
      </c>
      <c r="H56" s="57" t="s">
        <v>3100</v>
      </c>
      <c r="I56" s="88" t="str">
        <f>IFERROR(__xludf.DUMMYFUNCTION("GOOGLETRANSLATE(A56,""zh-tw"",""en"")"),"R52")</f>
        <v>R52</v>
      </c>
      <c r="J56" s="154" t="s">
        <v>3101</v>
      </c>
      <c r="K56" s="97" t="s">
        <v>3102</v>
      </c>
      <c r="L56" s="57" t="s">
        <v>3103</v>
      </c>
      <c r="M56" s="112" t="str">
        <f>IFERROR(__xludf.DUMMYFUNCTION("GOOGLETRANSLATE(A56,""zh-tw"",""en"")"),"R52")</f>
        <v>R52</v>
      </c>
      <c r="N56" s="154" t="str">
        <f>IFERROR(__xludf.DUMMYFUNCTION("GOOGLETRANSLATE(B56,""zh-tw"",""zh"")"),"稻草人")</f>
        <v>稻草人</v>
      </c>
      <c r="O56" s="174"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2" t="str">
        <f>IFERROR(__xludf.DUMMYFUNCTION("GOOGLETRANSLATE(A56,""zh-tw"",""ja"")"),"R52")</f>
        <v>R52</v>
      </c>
      <c r="R56" s="149" t="str">
        <f>IFERROR(__xludf.DUMMYFUNCTION("GOOGLETRANSLATE(B56,""zh-tw"",""es-MX"")"),"espantapájaros")</f>
        <v>espantapájaros</v>
      </c>
      <c r="S56" s="93"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7"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93"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7" t="str">
        <f>IFERROR(__xludf.DUMMYFUNCTION("GOOGLETRANSLATE(D56,""zh-tw"",""KO"")"),"획득 아이템: 허수아비의 심장")</f>
        <v>획득 아이템: 허수아비의 심장</v>
      </c>
      <c r="Y56" s="150" t="str">
        <f>IFERROR(__xludf.DUMMYFUNCTION("GOOGLETRANSLATE(E56,""zh-tw"",""en"")"),"R52")</f>
        <v>R52</v>
      </c>
      <c r="Z56" s="154"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5"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54" t="s">
        <v>3104</v>
      </c>
      <c r="AE56" s="97" t="s">
        <v>3105</v>
      </c>
      <c r="AF56" s="57" t="s">
        <v>3106</v>
      </c>
      <c r="AG56" s="88" t="s">
        <v>3094</v>
      </c>
      <c r="AH56" s="154" t="s">
        <v>3107</v>
      </c>
      <c r="AI56" s="155" t="s">
        <v>3108</v>
      </c>
      <c r="AJ56" s="57" t="s">
        <v>3109</v>
      </c>
      <c r="AK56" s="156" t="s">
        <v>3094</v>
      </c>
      <c r="AL56" s="157" t="s">
        <v>3110</v>
      </c>
      <c r="AM56" s="158" t="s">
        <v>3111</v>
      </c>
      <c r="AN56" s="159" t="s">
        <v>3112</v>
      </c>
      <c r="AO56" s="159"/>
    </row>
    <row r="57">
      <c r="A57" s="108" t="s">
        <v>3113</v>
      </c>
      <c r="B57" s="148" t="s">
        <v>3114</v>
      </c>
      <c r="C57" s="98" t="s">
        <v>3115</v>
      </c>
      <c r="D57" s="59" t="s">
        <v>3116</v>
      </c>
      <c r="E57" s="108" t="str">
        <f>IFERROR(__xludf.DUMMYFUNCTION("GOOGLETRANSLATE(A57,""zh-tw"",""ja"")"),"R53")</f>
        <v>R53</v>
      </c>
      <c r="F57" s="148" t="s">
        <v>3114</v>
      </c>
      <c r="G57" s="98" t="s">
        <v>3117</v>
      </c>
      <c r="H57" s="59" t="s">
        <v>3118</v>
      </c>
      <c r="I57" s="108" t="str">
        <f>IFERROR(__xludf.DUMMYFUNCTION("GOOGLETRANSLATE(A57,""zh-tw"",""en"")"),"R53")</f>
        <v>R53</v>
      </c>
      <c r="J57" s="148" t="s">
        <v>3119</v>
      </c>
      <c r="K57" s="98" t="s">
        <v>3120</v>
      </c>
      <c r="L57" s="59" t="s">
        <v>3121</v>
      </c>
      <c r="M57" s="112" t="str">
        <f>IFERROR(__xludf.DUMMYFUNCTION("GOOGLETRANSLATE(A57,""zh-tw"",""en"")"),"R53")</f>
        <v>R53</v>
      </c>
      <c r="N57" s="148" t="str">
        <f>IFERROR(__xludf.DUMMYFUNCTION("GOOGLETRANSLATE(B57,""zh-tw"",""zh"")"),"忍术-1")</f>
        <v>忍术-1</v>
      </c>
      <c r="O57" s="93"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2" t="str">
        <f>IFERROR(__xludf.DUMMYFUNCTION("GOOGLETRANSLATE(A57,""zh-tw"",""ja"")"),"R53")</f>
        <v>R53</v>
      </c>
      <c r="R57" s="148" t="s">
        <v>3122</v>
      </c>
      <c r="S57" s="93"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93"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3" t="s">
        <v>3123</v>
      </c>
      <c r="AE57" s="153" t="s">
        <v>3124</v>
      </c>
      <c r="AF57" s="106" t="s">
        <v>3125</v>
      </c>
      <c r="AG57" s="88" t="s">
        <v>3113</v>
      </c>
      <c r="AH57" s="154" t="s">
        <v>3126</v>
      </c>
      <c r="AI57" s="155" t="s">
        <v>3127</v>
      </c>
      <c r="AJ57" s="57" t="s">
        <v>3128</v>
      </c>
      <c r="AK57" s="156" t="s">
        <v>3113</v>
      </c>
      <c r="AL57" s="157" t="s">
        <v>3119</v>
      </c>
      <c r="AM57" s="158" t="s">
        <v>3129</v>
      </c>
      <c r="AN57" s="159" t="s">
        <v>3130</v>
      </c>
      <c r="AO57" s="159"/>
    </row>
    <row r="58">
      <c r="A58" s="108" t="s">
        <v>3131</v>
      </c>
      <c r="B58" s="148" t="s">
        <v>3132</v>
      </c>
      <c r="C58" s="98" t="s">
        <v>3133</v>
      </c>
      <c r="D58" s="59" t="s">
        <v>3134</v>
      </c>
      <c r="E58" s="108" t="str">
        <f>IFERROR(__xludf.DUMMYFUNCTION("GOOGLETRANSLATE(A58,""zh-tw"",""ja"")"),"R54")</f>
        <v>R54</v>
      </c>
      <c r="F58" s="148" t="s">
        <v>3132</v>
      </c>
      <c r="G58" s="98" t="s">
        <v>3135</v>
      </c>
      <c r="H58" s="59" t="s">
        <v>3136</v>
      </c>
      <c r="I58" s="108" t="str">
        <f>IFERROR(__xludf.DUMMYFUNCTION("GOOGLETRANSLATE(A58,""zh-tw"",""en"")"),"R54")</f>
        <v>R54</v>
      </c>
      <c r="J58" s="148" t="s">
        <v>3137</v>
      </c>
      <c r="K58" s="98" t="s">
        <v>3138</v>
      </c>
      <c r="L58" s="59" t="s">
        <v>3139</v>
      </c>
      <c r="M58" s="112" t="str">
        <f>IFERROR(__xludf.DUMMYFUNCTION("GOOGLETRANSLATE(A58,""zh-tw"",""en"")"),"R54")</f>
        <v>R54</v>
      </c>
      <c r="N58" s="148" t="str">
        <f>IFERROR(__xludf.DUMMYFUNCTION("GOOGLETRANSLATE(B58,""zh-tw"",""zh"")"),"忍术-2")</f>
        <v>忍术-2</v>
      </c>
      <c r="O58" s="93"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2" t="str">
        <f>IFERROR(__xludf.DUMMYFUNCTION("GOOGLETRANSLATE(A58,""zh-tw"",""ja"")"),"R54")</f>
        <v>R54</v>
      </c>
      <c r="R58" s="148" t="s">
        <v>3140</v>
      </c>
      <c r="S58" s="93"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93"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3" t="s">
        <v>3141</v>
      </c>
      <c r="AE58" s="153" t="s">
        <v>3142</v>
      </c>
      <c r="AF58" s="106" t="s">
        <v>3143</v>
      </c>
      <c r="AG58" s="88" t="s">
        <v>3131</v>
      </c>
      <c r="AH58" s="154" t="s">
        <v>3144</v>
      </c>
      <c r="AI58" s="155" t="s">
        <v>3145</v>
      </c>
      <c r="AJ58" s="57" t="s">
        <v>3146</v>
      </c>
      <c r="AK58" s="156" t="s">
        <v>3131</v>
      </c>
      <c r="AL58" s="157" t="s">
        <v>3137</v>
      </c>
      <c r="AM58" s="158" t="s">
        <v>3147</v>
      </c>
      <c r="AN58" s="159" t="s">
        <v>3148</v>
      </c>
      <c r="AO58" s="159"/>
    </row>
    <row r="59">
      <c r="A59" s="108" t="s">
        <v>3149</v>
      </c>
      <c r="B59" s="148" t="s">
        <v>3150</v>
      </c>
      <c r="C59" s="98" t="s">
        <v>3151</v>
      </c>
      <c r="D59" s="59" t="s">
        <v>3152</v>
      </c>
      <c r="E59" s="108" t="str">
        <f>IFERROR(__xludf.DUMMYFUNCTION("GOOGLETRANSLATE(A59,""zh-tw"",""ja"")"),"R55")</f>
        <v>R55</v>
      </c>
      <c r="F59" s="148" t="s">
        <v>3153</v>
      </c>
      <c r="G59" s="98" t="s">
        <v>3154</v>
      </c>
      <c r="H59" s="59" t="s">
        <v>3155</v>
      </c>
      <c r="I59" s="108" t="str">
        <f>IFERROR(__xludf.DUMMYFUNCTION("GOOGLETRANSLATE(A59,""zh-tw"",""en"")"),"R55")</f>
        <v>R55</v>
      </c>
      <c r="J59" s="148" t="s">
        <v>3156</v>
      </c>
      <c r="K59" s="98" t="s">
        <v>3157</v>
      </c>
      <c r="L59" s="59" t="s">
        <v>3158</v>
      </c>
      <c r="M59" s="112" t="str">
        <f>IFERROR(__xludf.DUMMYFUNCTION("GOOGLETRANSLATE(A59,""zh-tw"",""en"")"),"R55")</f>
        <v>R55</v>
      </c>
      <c r="N59" s="148" t="str">
        <f>IFERROR(__xludf.DUMMYFUNCTION("GOOGLETRANSLATE(B59,""zh-tw"",""zh"")"),"大焦热溶岩带")</f>
        <v>大焦热溶岩带</v>
      </c>
      <c r="O59" s="93"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2" t="str">
        <f>IFERROR(__xludf.DUMMYFUNCTION("GOOGLETRANSLATE(A59,""zh-tw"",""ja"")"),"R55")</f>
        <v>R55</v>
      </c>
      <c r="R59" s="148" t="s">
        <v>3159</v>
      </c>
      <c r="S59" s="98"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열 카르스트 벨트")</f>
        <v>다자오 열 카르스트 벨트</v>
      </c>
      <c r="W59" s="93"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3" t="s">
        <v>3161</v>
      </c>
      <c r="AE59" s="153" t="s">
        <v>3162</v>
      </c>
      <c r="AF59" s="106" t="s">
        <v>3163</v>
      </c>
      <c r="AG59" s="88" t="s">
        <v>3149</v>
      </c>
      <c r="AH59" s="154" t="s">
        <v>3164</v>
      </c>
      <c r="AI59" s="155" t="s">
        <v>3165</v>
      </c>
      <c r="AJ59" s="57" t="s">
        <v>3166</v>
      </c>
      <c r="AK59" s="156" t="s">
        <v>3149</v>
      </c>
      <c r="AL59" s="157" t="s">
        <v>3167</v>
      </c>
      <c r="AM59" s="158" t="s">
        <v>3168</v>
      </c>
      <c r="AN59" s="159" t="s">
        <v>3169</v>
      </c>
      <c r="AO59" s="159"/>
    </row>
    <row r="60">
      <c r="A60" s="108" t="s">
        <v>3170</v>
      </c>
      <c r="B60" s="148" t="s">
        <v>3171</v>
      </c>
      <c r="C60" s="98" t="s">
        <v>3172</v>
      </c>
      <c r="D60" s="59" t="s">
        <v>3173</v>
      </c>
      <c r="E60" s="108" t="str">
        <f>IFERROR(__xludf.DUMMYFUNCTION("GOOGLETRANSLATE(A60,""zh-tw"",""ja"")"),"R56")</f>
        <v>R56</v>
      </c>
      <c r="F60" s="148" t="s">
        <v>3174</v>
      </c>
      <c r="G60" s="160" t="s">
        <v>3175</v>
      </c>
      <c r="H60" s="59" t="s">
        <v>3176</v>
      </c>
      <c r="I60" s="108" t="str">
        <f>IFERROR(__xludf.DUMMYFUNCTION("GOOGLETRANSLATE(A60,""zh-tw"",""en"")"),"R56")</f>
        <v>R56</v>
      </c>
      <c r="J60" s="148" t="s">
        <v>3177</v>
      </c>
      <c r="K60" s="160" t="s">
        <v>3178</v>
      </c>
      <c r="L60" s="59" t="s">
        <v>3179</v>
      </c>
      <c r="M60" s="112" t="str">
        <f>IFERROR(__xludf.DUMMYFUNCTION("GOOGLETRANSLATE(A60,""zh-tw"",""en"")"),"R56")</f>
        <v>R56</v>
      </c>
      <c r="N60" s="148" t="str">
        <f>IFERROR(__xludf.DUMMYFUNCTION("GOOGLETRANSLATE(B60,""zh-tw"",""zh"")"),"甲虫")</f>
        <v>甲虫</v>
      </c>
      <c r="O60" s="93"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2" t="str">
        <f>IFERROR(__xludf.DUMMYFUNCTION("GOOGLETRANSLATE(A60,""zh-tw"",""ja"")"),"R56")</f>
        <v>R56</v>
      </c>
      <c r="R60" s="149" t="str">
        <f>IFERROR(__xludf.DUMMYFUNCTION("GOOGLETRANSLATE(B60,""zh-tw"",""es-MX"")"),"escarabajo")</f>
        <v>escarabajo</v>
      </c>
      <c r="S60" s="93"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93"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3" t="s">
        <v>3180</v>
      </c>
      <c r="AE60" s="153" t="s">
        <v>3181</v>
      </c>
      <c r="AF60" s="106" t="s">
        <v>3182</v>
      </c>
      <c r="AG60" s="88" t="s">
        <v>3170</v>
      </c>
      <c r="AH60" s="154" t="s">
        <v>3183</v>
      </c>
      <c r="AI60" s="155" t="s">
        <v>3184</v>
      </c>
      <c r="AJ60" s="57" t="s">
        <v>3185</v>
      </c>
      <c r="AK60" s="156" t="s">
        <v>3170</v>
      </c>
      <c r="AL60" s="157" t="s">
        <v>3186</v>
      </c>
      <c r="AM60" s="162" t="s">
        <v>3187</v>
      </c>
      <c r="AN60" s="159" t="s">
        <v>3188</v>
      </c>
      <c r="AO60" s="159"/>
    </row>
    <row r="61">
      <c r="A61" s="108" t="s">
        <v>3189</v>
      </c>
      <c r="B61" s="148" t="s">
        <v>3190</v>
      </c>
      <c r="C61" s="98" t="s">
        <v>3044</v>
      </c>
      <c r="D61" s="59" t="s">
        <v>3191</v>
      </c>
      <c r="E61" s="108" t="str">
        <f>IFERROR(__xludf.DUMMYFUNCTION("GOOGLETRANSLATE(A61,""zh-tw"",""ja"")"),"R57")</f>
        <v>R57</v>
      </c>
      <c r="F61" s="148" t="s">
        <v>3192</v>
      </c>
      <c r="G61" s="98" t="s">
        <v>3193</v>
      </c>
      <c r="H61" s="59" t="s">
        <v>3194</v>
      </c>
      <c r="I61" s="108" t="str">
        <f>IFERROR(__xludf.DUMMYFUNCTION("GOOGLETRANSLATE(A61,""zh-tw"",""en"")"),"R57")</f>
        <v>R57</v>
      </c>
      <c r="J61" s="148" t="s">
        <v>3195</v>
      </c>
      <c r="K61" s="98" t="s">
        <v>3196</v>
      </c>
      <c r="L61" s="59" t="s">
        <v>3197</v>
      </c>
      <c r="M61" s="112" t="str">
        <f>IFERROR(__xludf.DUMMYFUNCTION("GOOGLETRANSLATE(A61,""zh-tw"",""en"")"),"R57")</f>
        <v>R57</v>
      </c>
      <c r="N61" s="148" t="str">
        <f>IFERROR(__xludf.DUMMYFUNCTION("GOOGLETRANSLATE(B61,""zh-tw"",""zh"")"),"商店车-6")</f>
        <v>商店车-6</v>
      </c>
      <c r="O61" s="93"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2" t="str">
        <f>IFERROR(__xludf.DUMMYFUNCTION("GOOGLETRANSLATE(A61,""zh-tw"",""ja"")"),"R57")</f>
        <v>R57</v>
      </c>
      <c r="R61" s="149" t="str">
        <f>IFERROR(__xludf.DUMMYFUNCTION("GOOGLETRANSLATE(B61,""zh-tw"",""es-MX"")"),"Camión de tienda-6")</f>
        <v>Camión de tienda-6</v>
      </c>
      <c r="S61" s="93"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93"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1" t="s">
        <v>3170</v>
      </c>
      <c r="AD61" s="173" t="s">
        <v>3198</v>
      </c>
      <c r="AE61" s="153" t="s">
        <v>3199</v>
      </c>
      <c r="AF61" s="106" t="s">
        <v>3200</v>
      </c>
      <c r="AG61" s="88" t="s">
        <v>3189</v>
      </c>
      <c r="AH61" s="154" t="s">
        <v>3201</v>
      </c>
      <c r="AI61" s="155" t="s">
        <v>3202</v>
      </c>
      <c r="AJ61" s="57" t="s">
        <v>3203</v>
      </c>
      <c r="AK61" s="156" t="s">
        <v>3189</v>
      </c>
      <c r="AL61" s="157" t="s">
        <v>3204</v>
      </c>
      <c r="AM61" s="158" t="s">
        <v>3205</v>
      </c>
      <c r="AN61" s="159" t="s">
        <v>3206</v>
      </c>
      <c r="AO61" s="159"/>
    </row>
    <row r="62">
      <c r="A62" s="108" t="s">
        <v>3207</v>
      </c>
      <c r="B62" s="148" t="s">
        <v>3208</v>
      </c>
      <c r="C62" s="98" t="s">
        <v>3044</v>
      </c>
      <c r="D62" s="59" t="s">
        <v>3209</v>
      </c>
      <c r="E62" s="108" t="str">
        <f>IFERROR(__xludf.DUMMYFUNCTION("GOOGLETRANSLATE(A62,""zh-tw"",""ja"")"),"R58")</f>
        <v>R58</v>
      </c>
      <c r="F62" s="148" t="s">
        <v>3210</v>
      </c>
      <c r="G62" s="98" t="s">
        <v>3193</v>
      </c>
      <c r="H62" s="59" t="s">
        <v>3211</v>
      </c>
      <c r="I62" s="108" t="str">
        <f>IFERROR(__xludf.DUMMYFUNCTION("GOOGLETRANSLATE(A62,""zh-tw"",""en"")"),"R58")</f>
        <v>R58</v>
      </c>
      <c r="J62" s="148" t="s">
        <v>3212</v>
      </c>
      <c r="K62" s="98" t="s">
        <v>3196</v>
      </c>
      <c r="L62" s="59" t="s">
        <v>3213</v>
      </c>
      <c r="M62" s="112" t="str">
        <f>IFERROR(__xludf.DUMMYFUNCTION("GOOGLETRANSLATE(A62,""zh-tw"",""en"")"),"R58")</f>
        <v>R58</v>
      </c>
      <c r="N62" s="148" t="str">
        <f>IFERROR(__xludf.DUMMYFUNCTION("GOOGLETRANSLATE(B62,""zh-tw"",""zh"")"),"商店车-7")</f>
        <v>商店车-7</v>
      </c>
      <c r="O62" s="93"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2" t="str">
        <f>IFERROR(__xludf.DUMMYFUNCTION("GOOGLETRANSLATE(A62,""zh-tw"",""ja"")"),"R58")</f>
        <v>R58</v>
      </c>
      <c r="R62" s="149" t="str">
        <f>IFERROR(__xludf.DUMMYFUNCTION("GOOGLETRANSLATE(B62,""zh-tw"",""es-MX"")"),"Vehículo de tienda-7")</f>
        <v>Vehículo de tienda-7</v>
      </c>
      <c r="S62" s="93"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2" s="150" t="str">
        <f>IFERROR(__xludf.DUMMYFUNCTION("GOOGLETRANSLATE(A62,""zh-tw"",""en"")"),"R58")</f>
        <v>R58</v>
      </c>
      <c r="V62" s="149" t="str">
        <f>IFERROR(__xludf.DUMMYFUNCTION("GOOGLETRANSLATE(B62,""zh-tw"",""KO"")"),"차량 판매점-7")</f>
        <v>차량 판매점-7</v>
      </c>
      <c r="W62" s="93"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1" t="s">
        <v>3189</v>
      </c>
      <c r="AD62" s="173" t="s">
        <v>3214</v>
      </c>
      <c r="AE62" s="153" t="s">
        <v>3215</v>
      </c>
      <c r="AF62" s="106" t="s">
        <v>3216</v>
      </c>
      <c r="AG62" s="88" t="s">
        <v>3207</v>
      </c>
      <c r="AH62" s="154" t="s">
        <v>3217</v>
      </c>
      <c r="AI62" s="155" t="s">
        <v>3202</v>
      </c>
      <c r="AJ62" s="57" t="s">
        <v>3218</v>
      </c>
      <c r="AK62" s="156" t="s">
        <v>3207</v>
      </c>
      <c r="AL62" s="157" t="s">
        <v>3219</v>
      </c>
      <c r="AM62" s="158" t="s">
        <v>3205</v>
      </c>
      <c r="AN62" s="159" t="s">
        <v>3220</v>
      </c>
      <c r="AO62" s="159"/>
    </row>
    <row r="63">
      <c r="A63" s="88" t="s">
        <v>3221</v>
      </c>
      <c r="B63" s="149" t="s">
        <v>3222</v>
      </c>
      <c r="C63" s="116" t="s">
        <v>3223</v>
      </c>
      <c r="D63" s="117" t="s">
        <v>3224</v>
      </c>
      <c r="E63" s="88" t="s">
        <v>3221</v>
      </c>
      <c r="F63" s="149" t="s">
        <v>3225</v>
      </c>
      <c r="G63" s="174" t="s">
        <v>3226</v>
      </c>
      <c r="H63" s="164" t="s">
        <v>3227</v>
      </c>
      <c r="I63" s="88" t="s">
        <v>3221</v>
      </c>
      <c r="J63" s="149" t="s">
        <v>3228</v>
      </c>
      <c r="K63" s="174" t="s">
        <v>3229</v>
      </c>
      <c r="L63" s="164" t="s">
        <v>3230</v>
      </c>
      <c r="M63" s="88" t="s">
        <v>3221</v>
      </c>
      <c r="N63" s="148" t="str">
        <f>IFERROR(__xludf.DUMMYFUNCTION("GOOGLETRANSLATE(B63,""zh-tw"",""zh"")"),"开发中区域(矿坑)-2")</f>
        <v>开发中区域(矿坑)-2</v>
      </c>
      <c r="O63" s="93"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8" t="s">
        <v>3221</v>
      </c>
      <c r="R63" s="149" t="str">
        <f>IFERROR(__xludf.DUMMYFUNCTION("GOOGLETRANSLATE(B63,""zh-tw"",""es-MX"")"),"Área de desarrollo (pozo minero) -2")</f>
        <v>Área de desarrollo (pozo minero) -2</v>
      </c>
      <c r="S63" s="93"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8" t="s">
        <v>3221</v>
      </c>
      <c r="V63" s="149" t="str">
        <f>IFERROR(__xludf.DUMMYFUNCTION("GOOGLETRANSLATE(B63,""zh-tw"",""KO"")"),"개발 지역(광산) -2")</f>
        <v>개발 지역(광산) -2</v>
      </c>
      <c r="W63" s="93"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8" t="s">
        <v>3221</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2" t="s">
        <v>3221</v>
      </c>
      <c r="AD63" s="149" t="s">
        <v>3231</v>
      </c>
      <c r="AE63" s="116" t="s">
        <v>3232</v>
      </c>
      <c r="AF63" s="117" t="s">
        <v>3233</v>
      </c>
      <c r="AG63" s="88" t="s">
        <v>3221</v>
      </c>
      <c r="AH63" s="149" t="s">
        <v>3234</v>
      </c>
      <c r="AI63" s="176" t="s">
        <v>3235</v>
      </c>
      <c r="AJ63" s="164" t="s">
        <v>3236</v>
      </c>
      <c r="AK63" s="156" t="s">
        <v>3221</v>
      </c>
      <c r="AL63" s="157" t="s">
        <v>3237</v>
      </c>
      <c r="AM63" s="162" t="s">
        <v>3238</v>
      </c>
      <c r="AN63" s="177" t="s">
        <v>3239</v>
      </c>
      <c r="AO63" s="177"/>
    </row>
    <row r="64">
      <c r="A64" s="88" t="s">
        <v>3240</v>
      </c>
      <c r="B64" s="149" t="s">
        <v>3241</v>
      </c>
      <c r="C64" s="116" t="s">
        <v>3242</v>
      </c>
      <c r="D64" s="117" t="s">
        <v>3243</v>
      </c>
      <c r="E64" s="88" t="s">
        <v>3240</v>
      </c>
      <c r="F64" s="149" t="s">
        <v>3244</v>
      </c>
      <c r="G64" s="174" t="s">
        <v>3245</v>
      </c>
      <c r="H64" s="164" t="s">
        <v>3246</v>
      </c>
      <c r="I64" s="88" t="s">
        <v>3240</v>
      </c>
      <c r="J64" s="149" t="s">
        <v>3247</v>
      </c>
      <c r="K64" s="160" t="s">
        <v>3248</v>
      </c>
      <c r="L64" s="164" t="s">
        <v>3249</v>
      </c>
      <c r="M64" s="88" t="s">
        <v>3240</v>
      </c>
      <c r="N64" s="148" t="str">
        <f>IFERROR(__xludf.DUMMYFUNCTION("GOOGLETRANSLATE(B64,""zh-tw"",""zh"")"),"隐藏通道")</f>
        <v>隐藏通道</v>
      </c>
      <c r="O64" s="93"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8" t="s">
        <v>3240</v>
      </c>
      <c r="R64" s="149" t="str">
        <f>IFERROR(__xludf.DUMMYFUNCTION("GOOGLETRANSLATE(B64,""zh-tw"",""es-MX"")"),"Pasaje oculto")</f>
        <v>Pasaje oculto</v>
      </c>
      <c r="S64" s="93"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8" t="s">
        <v>3240</v>
      </c>
      <c r="V64" s="149" t="str">
        <f>IFERROR(__xludf.DUMMYFUNCTION("GOOGLETRANSLATE(B64,""zh-tw"",""KO"")"),"숨겨진 통로")</f>
        <v>숨겨진 통로</v>
      </c>
      <c r="W64" s="93"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연결될 수 있습니다.")</f>
        <v>바위를 치운 후, 산 속 동굴로 연결될 수 있습니다.</v>
      </c>
      <c r="Y64" s="88" t="s">
        <v>3240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камни, можно соединиться с пещерами в горе.")</f>
        <v>Расчистив камни, можно соединиться с пещерами в горе.</v>
      </c>
      <c r="AC64" s="112" t="s">
        <v>3240</v>
      </c>
      <c r="AD64" s="149" t="s">
        <v>3250</v>
      </c>
      <c r="AE64" s="116" t="s">
        <v>3251</v>
      </c>
      <c r="AF64" s="117" t="s">
        <v>3252</v>
      </c>
      <c r="AG64" s="88" t="s">
        <v>3240</v>
      </c>
      <c r="AH64" s="149" t="s">
        <v>3253</v>
      </c>
      <c r="AI64" s="176" t="s">
        <v>3254</v>
      </c>
      <c r="AJ64" s="164" t="s">
        <v>3255</v>
      </c>
      <c r="AK64" s="156" t="s">
        <v>3240</v>
      </c>
      <c r="AL64" s="157" t="s">
        <v>3256</v>
      </c>
      <c r="AM64" s="162" t="s">
        <v>3257</v>
      </c>
      <c r="AN64" s="177" t="s">
        <v>3258</v>
      </c>
      <c r="AO64" s="177"/>
    </row>
    <row r="65">
      <c r="A65" s="88" t="s">
        <v>3259</v>
      </c>
      <c r="B65" s="149" t="s">
        <v>3260</v>
      </c>
      <c r="C65" s="116" t="s">
        <v>3261</v>
      </c>
      <c r="D65" s="117" t="s">
        <v>3262</v>
      </c>
      <c r="E65" s="88" t="s">
        <v>3259</v>
      </c>
      <c r="F65" s="149" t="s">
        <v>3263</v>
      </c>
      <c r="G65" s="174" t="s">
        <v>3264</v>
      </c>
      <c r="H65" s="164" t="s">
        <v>3265</v>
      </c>
      <c r="I65" s="88" t="s">
        <v>3259</v>
      </c>
      <c r="J65" s="149" t="s">
        <v>3266</v>
      </c>
      <c r="K65" s="174" t="s">
        <v>3267</v>
      </c>
      <c r="L65" s="164" t="s">
        <v>3268</v>
      </c>
      <c r="M65" s="88" t="s">
        <v>3259</v>
      </c>
      <c r="N65" s="148" t="str">
        <f>IFERROR(__xludf.DUMMYFUNCTION("GOOGLETRANSLATE(B65,""zh-tw"",""zh"")"),"开发中区域(矿坑)-3")</f>
        <v>开发中区域(矿坑)-3</v>
      </c>
      <c r="O65" s="93"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8" t="s">
        <v>3259</v>
      </c>
      <c r="R65" s="149" t="str">
        <f>IFERROR(__xludf.DUMMYFUNCTION("GOOGLETRANSLATE(B65,""zh-tw"",""es-MX"")"),"Área de desarrollo (pozo minero) -3")</f>
        <v>Área de desarrollo (pozo minero) -3</v>
      </c>
      <c r="S65" s="93"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8" t="s">
        <v>3259</v>
      </c>
      <c r="V65" s="149" t="str">
        <f>IFERROR(__xludf.DUMMYFUNCTION("GOOGLETRANSLATE(B65,""zh-tw"",""KO"")"),"개발 지역(광산) -3")</f>
        <v>개발 지역(광산) -3</v>
      </c>
      <c r="W65" s="93"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8" t="s">
        <v>3259</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2" t="s">
        <v>3259</v>
      </c>
      <c r="AD65" s="149" t="s">
        <v>3269</v>
      </c>
      <c r="AE65" s="116" t="s">
        <v>3270</v>
      </c>
      <c r="AF65" s="117" t="s">
        <v>3271</v>
      </c>
      <c r="AG65" s="88" t="s">
        <v>3259</v>
      </c>
      <c r="AH65" s="149" t="s">
        <v>3272</v>
      </c>
      <c r="AI65" s="176" t="s">
        <v>3273</v>
      </c>
      <c r="AJ65" s="164" t="s">
        <v>3274</v>
      </c>
      <c r="AK65" s="156" t="s">
        <v>3259</v>
      </c>
      <c r="AL65" s="157" t="s">
        <v>3275</v>
      </c>
      <c r="AM65" s="162" t="s">
        <v>3276</v>
      </c>
      <c r="AN65" s="177" t="s">
        <v>3277</v>
      </c>
      <c r="AO65" s="177"/>
    </row>
    <row r="66">
      <c r="A66" s="88" t="s">
        <v>3278</v>
      </c>
      <c r="B66" s="149" t="s">
        <v>3279</v>
      </c>
      <c r="C66" s="116" t="s">
        <v>3280</v>
      </c>
      <c r="D66" s="117" t="s">
        <v>3281</v>
      </c>
      <c r="E66" s="88" t="s">
        <v>3278</v>
      </c>
      <c r="F66" s="149" t="s">
        <v>3282</v>
      </c>
      <c r="G66" s="174" t="s">
        <v>3283</v>
      </c>
      <c r="H66" s="164" t="s">
        <v>3284</v>
      </c>
      <c r="I66" s="88" t="s">
        <v>3278</v>
      </c>
      <c r="J66" s="149" t="s">
        <v>3285</v>
      </c>
      <c r="K66" s="174" t="s">
        <v>3286</v>
      </c>
      <c r="L66" s="164" t="s">
        <v>3287</v>
      </c>
      <c r="M66" s="88" t="s">
        <v>3278</v>
      </c>
      <c r="N66" s="148" t="str">
        <f>IFERROR(__xludf.DUMMYFUNCTION("GOOGLETRANSLATE(B66,""zh-tw"",""zh"")"),"开发中区域(矿坑)-4")</f>
        <v>开发中区域(矿坑)-4</v>
      </c>
      <c r="O66" s="93"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8" t="s">
        <v>3278</v>
      </c>
      <c r="R66" s="149" t="str">
        <f>IFERROR(__xludf.DUMMYFUNCTION("GOOGLETRANSLATE(B66,""zh-tw"",""es-MX"")"),"Área de desarrollo (pozo minero) -4")</f>
        <v>Área de desarrollo (pozo minero) -4</v>
      </c>
      <c r="S66" s="93"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8" t="s">
        <v>3278</v>
      </c>
      <c r="V66" s="149" t="str">
        <f>IFERROR(__xludf.DUMMYFUNCTION("GOOGLETRANSLATE(B66,""zh-tw"",""KO"")"),"개발 지역(광산) -4")</f>
        <v>개발 지역(광산) -4</v>
      </c>
      <c r="W66" s="93"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8" t="s">
        <v>3278</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2" t="s">
        <v>3278</v>
      </c>
      <c r="AD66" s="149" t="s">
        <v>3288</v>
      </c>
      <c r="AE66" s="116" t="s">
        <v>3289</v>
      </c>
      <c r="AF66" s="117" t="s">
        <v>3290</v>
      </c>
      <c r="AG66" s="88" t="s">
        <v>3278</v>
      </c>
      <c r="AH66" s="149" t="s">
        <v>3234</v>
      </c>
      <c r="AI66" s="176" t="s">
        <v>3291</v>
      </c>
      <c r="AJ66" s="164" t="s">
        <v>3292</v>
      </c>
      <c r="AK66" s="156" t="s">
        <v>3278</v>
      </c>
      <c r="AL66" s="157" t="s">
        <v>3293</v>
      </c>
      <c r="AM66" s="162" t="s">
        <v>3294</v>
      </c>
      <c r="AN66" s="177" t="s">
        <v>3295</v>
      </c>
      <c r="AO66" s="177"/>
    </row>
    <row r="67">
      <c r="A67" s="88" t="s">
        <v>3296</v>
      </c>
      <c r="B67" s="149" t="s">
        <v>3241</v>
      </c>
      <c r="C67" s="116" t="s">
        <v>3297</v>
      </c>
      <c r="D67" s="117" t="s">
        <v>3298</v>
      </c>
      <c r="E67" s="88" t="s">
        <v>3296</v>
      </c>
      <c r="F67" s="149" t="s">
        <v>3244</v>
      </c>
      <c r="G67" s="174" t="s">
        <v>3299</v>
      </c>
      <c r="H67" s="164" t="s">
        <v>3300</v>
      </c>
      <c r="I67" s="88" t="s">
        <v>3296</v>
      </c>
      <c r="J67" s="149" t="s">
        <v>3301</v>
      </c>
      <c r="K67" s="174" t="s">
        <v>3302</v>
      </c>
      <c r="L67" s="163" t="s">
        <v>3303</v>
      </c>
      <c r="M67" s="88" t="s">
        <v>3296</v>
      </c>
      <c r="N67" s="148" t="str">
        <f>IFERROR(__xludf.DUMMYFUNCTION("GOOGLETRANSLATE(B67,""zh-tw"",""zh"")"),"隐藏通道")</f>
        <v>隐藏通道</v>
      </c>
      <c r="O67" s="93"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8" t="s">
        <v>3296</v>
      </c>
      <c r="R67" s="149" t="str">
        <f>IFERROR(__xludf.DUMMYFUNCTION("GOOGLETRANSLATE(B67,""zh-tw"",""es-MX"")"),"Pasaje oculto")</f>
        <v>Pasaje oculto</v>
      </c>
      <c r="S67" s="93"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8" t="s">
        <v>3296</v>
      </c>
      <c r="V67" s="149" t="str">
        <f>IFERROR(__xludf.DUMMYFUNCTION("GOOGLETRANSLATE(B67,""zh-tw"",""KO"")"),"숨겨진 통로")</f>
        <v>숨겨진 통로</v>
      </c>
      <c r="W67" s="93"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8" t="s">
        <v>3296</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2" t="s">
        <v>3296</v>
      </c>
      <c r="AD67" s="149" t="s">
        <v>3304</v>
      </c>
      <c r="AE67" s="116" t="s">
        <v>3305</v>
      </c>
      <c r="AF67" s="117" t="s">
        <v>3306</v>
      </c>
      <c r="AG67" s="88" t="s">
        <v>3296</v>
      </c>
      <c r="AH67" s="149" t="s">
        <v>3307</v>
      </c>
      <c r="AI67" s="176" t="s">
        <v>3308</v>
      </c>
      <c r="AJ67" s="164" t="s">
        <v>3309</v>
      </c>
      <c r="AK67" s="156" t="s">
        <v>3296</v>
      </c>
      <c r="AL67" s="157" t="s">
        <v>3310</v>
      </c>
      <c r="AM67" s="162" t="s">
        <v>3311</v>
      </c>
      <c r="AN67" s="177" t="s">
        <v>3312</v>
      </c>
      <c r="AO67" s="177"/>
    </row>
    <row r="68">
      <c r="A68" s="88" t="s">
        <v>3313</v>
      </c>
      <c r="B68" s="149" t="s">
        <v>3314</v>
      </c>
      <c r="C68" s="166" t="s">
        <v>3315</v>
      </c>
      <c r="D68" s="117" t="s">
        <v>3316</v>
      </c>
      <c r="E68" s="88" t="s">
        <v>3313</v>
      </c>
      <c r="F68" s="149" t="s">
        <v>3317</v>
      </c>
      <c r="G68" s="174" t="s">
        <v>3318</v>
      </c>
      <c r="H68" s="164" t="s">
        <v>3319</v>
      </c>
      <c r="I68" s="88" t="s">
        <v>3313</v>
      </c>
      <c r="J68" s="148" t="s">
        <v>3320</v>
      </c>
      <c r="K68" s="160" t="s">
        <v>3321</v>
      </c>
      <c r="L68" s="163" t="s">
        <v>3322</v>
      </c>
      <c r="M68" s="88" t="s">
        <v>3313</v>
      </c>
      <c r="N68" s="148" t="str">
        <f>IFERROR(__xludf.DUMMYFUNCTION("GOOGLETRANSLATE(B68,""zh-tw"",""zh"")"),"前往废墟森林")</f>
        <v>前往废墟森林</v>
      </c>
      <c r="O68" s="93"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8" t="s">
        <v>3313</v>
      </c>
      <c r="R68" s="149" t="str">
        <f>IFERROR(__xludf.DUMMYFUNCTION("GOOGLETRANSLATE(B68,""zh-tw"",""es-MX"")"),"Dirígete al Bosque de las Ruinas")</f>
        <v>Dirígete al Bosque de las Ruinas</v>
      </c>
      <c r="S68" s="93"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8" t="s">
        <v>3313</v>
      </c>
      <c r="V68" s="149" t="str">
        <f>IFERROR(__xludf.DUMMYFUNCTION("GOOGLETRANSLATE(B68,""zh-tw"",""KO"")"),"폐허의 숲으로 가세요")</f>
        <v>폐허의 숲으로 가세요</v>
      </c>
      <c r="W68" s="93"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8" t="s">
        <v>3313</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2" t="s">
        <v>3313</v>
      </c>
      <c r="AD68" s="148" t="s">
        <v>3323</v>
      </c>
      <c r="AE68" s="166" t="s">
        <v>3324</v>
      </c>
      <c r="AF68" s="56" t="s">
        <v>3325</v>
      </c>
      <c r="AG68" s="88" t="s">
        <v>3313</v>
      </c>
      <c r="AH68" s="149" t="s">
        <v>3326</v>
      </c>
      <c r="AI68" s="178" t="s">
        <v>3327</v>
      </c>
      <c r="AJ68" s="164" t="s">
        <v>3328</v>
      </c>
      <c r="AK68" s="156" t="s">
        <v>3313</v>
      </c>
      <c r="AL68" s="179" t="s">
        <v>3320</v>
      </c>
      <c r="AM68" s="162" t="s">
        <v>3329</v>
      </c>
      <c r="AN68" s="177" t="s">
        <v>3330</v>
      </c>
      <c r="AO68" s="177"/>
    </row>
    <row r="69">
      <c r="A69" s="88" t="s">
        <v>3331</v>
      </c>
      <c r="B69" s="149" t="s">
        <v>3332</v>
      </c>
      <c r="C69" s="116" t="s">
        <v>3333</v>
      </c>
      <c r="D69" s="117" t="s">
        <v>3334</v>
      </c>
      <c r="E69" s="88" t="s">
        <v>3331</v>
      </c>
      <c r="F69" s="149" t="s">
        <v>3335</v>
      </c>
      <c r="G69" s="174" t="s">
        <v>3336</v>
      </c>
      <c r="H69" s="164" t="s">
        <v>3337</v>
      </c>
      <c r="I69" s="88" t="s">
        <v>3331</v>
      </c>
      <c r="J69" s="149" t="s">
        <v>3338</v>
      </c>
      <c r="K69" s="174" t="s">
        <v>3339</v>
      </c>
      <c r="L69" s="164" t="s">
        <v>3340</v>
      </c>
      <c r="M69" s="88" t="s">
        <v>3331</v>
      </c>
      <c r="N69" s="148" t="str">
        <f>IFERROR(__xludf.DUMMYFUNCTION("GOOGLETRANSLATE(B69,""zh-tw"",""zh"")"),"女仆兔BOSS区域-1")</f>
        <v>女仆兔BOSS区域-1</v>
      </c>
      <c r="O69" s="93"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8" t="s">
        <v>3331</v>
      </c>
      <c r="R69" s="149" t="str">
        <f>IFERROR(__xludf.DUMMYFUNCTION("GOOGLETRANSLATE(B69,""zh-tw"",""es-MX"")"),"Área BOSS de Maid Bunny -1")</f>
        <v>Área BOSS de Maid Bunny -1</v>
      </c>
      <c r="S69" s="93"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8" t="s">
        <v>3331</v>
      </c>
      <c r="V69" s="149" t="str">
        <f>IFERROR(__xludf.DUMMYFUNCTION("GOOGLETRANSLATE(B69,""zh-tw"",""KO"")"),"메이드 버니 보스 지역 -1")</f>
        <v>메이드 버니 보스 지역 -1</v>
      </c>
      <c r="W69" s="93"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8" t="s">
        <v>3331</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2" t="s">
        <v>3331</v>
      </c>
      <c r="AD69" s="149" t="s">
        <v>3341</v>
      </c>
      <c r="AE69" s="116" t="s">
        <v>3342</v>
      </c>
      <c r="AF69" s="117" t="s">
        <v>3343</v>
      </c>
      <c r="AG69" s="88" t="s">
        <v>3331</v>
      </c>
      <c r="AH69" s="149" t="s">
        <v>3344</v>
      </c>
      <c r="AI69" s="176" t="s">
        <v>3345</v>
      </c>
      <c r="AJ69" s="164" t="s">
        <v>3346</v>
      </c>
      <c r="AK69" s="156" t="s">
        <v>3331</v>
      </c>
      <c r="AL69" s="157" t="s">
        <v>3347</v>
      </c>
      <c r="AM69" s="162" t="s">
        <v>3348</v>
      </c>
      <c r="AN69" s="177" t="s">
        <v>3349</v>
      </c>
      <c r="AO69" s="177"/>
    </row>
    <row r="70">
      <c r="A70" s="88" t="s">
        <v>3350</v>
      </c>
      <c r="B70" s="149" t="s">
        <v>3351</v>
      </c>
      <c r="C70" s="116" t="s">
        <v>3352</v>
      </c>
      <c r="D70" s="56" t="s">
        <v>3353</v>
      </c>
      <c r="E70" s="88" t="s">
        <v>3350</v>
      </c>
      <c r="F70" s="149" t="s">
        <v>3354</v>
      </c>
      <c r="G70" s="174" t="s">
        <v>3355</v>
      </c>
      <c r="H70" s="163" t="s">
        <v>3356</v>
      </c>
      <c r="I70" s="88" t="s">
        <v>3350</v>
      </c>
      <c r="J70" s="149" t="s">
        <v>3357</v>
      </c>
      <c r="K70" s="174" t="s">
        <v>3358</v>
      </c>
      <c r="L70" s="163" t="s">
        <v>3359</v>
      </c>
      <c r="M70" s="88" t="s">
        <v>3350</v>
      </c>
      <c r="N70" s="148" t="str">
        <f>IFERROR(__xludf.DUMMYFUNCTION("GOOGLETRANSLATE(B70,""zh-tw"",""zh"")"),"女仆兔BOSS区域-2")</f>
        <v>女仆兔BOSS区域-2</v>
      </c>
      <c r="O70" s="93"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8" t="s">
        <v>3350</v>
      </c>
      <c r="R70" s="149" t="str">
        <f>IFERROR(__xludf.DUMMYFUNCTION("GOOGLETRANSLATE(B70,""zh-tw"",""es-MX"")"),"Área BOSS de Maid Bunny - 2")</f>
        <v>Área BOSS de Maid Bunny - 2</v>
      </c>
      <c r="S70" s="93"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8" t="s">
        <v>3350</v>
      </c>
      <c r="V70" s="149" t="str">
        <f>IFERROR(__xludf.DUMMYFUNCTION("GOOGLETRANSLATE(B70,""zh-tw"",""KO"")"),"메이드 버니 보스 구역 - 2")</f>
        <v>메이드 버니 보스 구역 - 2</v>
      </c>
      <c r="W70" s="93"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8" t="s">
        <v>3350</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*Сброс невозможен.")</f>
        <v>Открывайте осторожно. *Сброс невозможен.</v>
      </c>
      <c r="AC70" s="112" t="s">
        <v>3350</v>
      </c>
      <c r="AD70" s="149" t="s">
        <v>3360</v>
      </c>
      <c r="AE70" s="116" t="s">
        <v>3361</v>
      </c>
      <c r="AF70" s="117" t="s">
        <v>3362</v>
      </c>
      <c r="AG70" s="88" t="s">
        <v>3350</v>
      </c>
      <c r="AH70" s="149" t="s">
        <v>3363</v>
      </c>
      <c r="AI70" s="176" t="s">
        <v>3364</v>
      </c>
      <c r="AJ70" s="41" t="s">
        <v>3365</v>
      </c>
      <c r="AK70" s="156" t="s">
        <v>3350</v>
      </c>
      <c r="AL70" s="157" t="s">
        <v>3366</v>
      </c>
      <c r="AM70" s="162" t="s">
        <v>3367</v>
      </c>
      <c r="AN70" s="177" t="s">
        <v>3368</v>
      </c>
      <c r="AO70" s="177"/>
    </row>
    <row r="71">
      <c r="A71" s="88" t="s">
        <v>3369</v>
      </c>
      <c r="B71" s="149" t="s">
        <v>3370</v>
      </c>
      <c r="C71" s="166" t="s">
        <v>3371</v>
      </c>
      <c r="D71" s="117" t="s">
        <v>3372</v>
      </c>
      <c r="E71" s="88" t="s">
        <v>3369</v>
      </c>
      <c r="F71" s="149" t="s">
        <v>3373</v>
      </c>
      <c r="G71" s="174" t="s">
        <v>3374</v>
      </c>
      <c r="H71" s="164" t="s">
        <v>3375</v>
      </c>
      <c r="I71" s="88" t="s">
        <v>3369</v>
      </c>
      <c r="J71" s="149" t="s">
        <v>3376</v>
      </c>
      <c r="K71" s="160" t="s">
        <v>3377</v>
      </c>
      <c r="L71" s="163" t="s">
        <v>3378</v>
      </c>
      <c r="M71" s="88" t="s">
        <v>3369</v>
      </c>
      <c r="N71" s="148" t="str">
        <f>IFERROR(__xludf.DUMMYFUNCTION("GOOGLETRANSLATE(B71,""zh-tw"",""zh"")"),"女仆兔BOSS区域-3")</f>
        <v>女仆兔BOSS区域-3</v>
      </c>
      <c r="O71" s="93"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8" t="s">
        <v>3369</v>
      </c>
      <c r="R71" s="149" t="str">
        <f>IFERROR(__xludf.DUMMYFUNCTION("GOOGLETRANSLATE(B71,""zh-tw"",""es-MX"")"),"Área del JEFE de Maid Rabbit - 3")</f>
        <v>Área del JEFE de Maid Rabbit - 3</v>
      </c>
      <c r="S71" s="93"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8" t="s">
        <v>3369</v>
      </c>
      <c r="V71" s="149" t="str">
        <f>IFERROR(__xludf.DUMMYFUNCTION("GOOGLETRANSLATE(B71,""zh-tw"",""KO"")"),"메이드 래빗 보스 지역 - 3")</f>
        <v>메이드 래빗 보스 지역 - 3</v>
      </c>
      <c r="W71" s="93"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8" t="s">
        <v>3369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8" t="s">
        <v>3369</v>
      </c>
      <c r="AD71" s="149" t="s">
        <v>3379</v>
      </c>
      <c r="AE71" s="116" t="s">
        <v>3380</v>
      </c>
      <c r="AF71" s="117" t="s">
        <v>3381</v>
      </c>
      <c r="AG71" s="88" t="s">
        <v>3369</v>
      </c>
      <c r="AH71" s="149" t="s">
        <v>3382</v>
      </c>
      <c r="AI71" s="178" t="s">
        <v>3383</v>
      </c>
      <c r="AJ71" s="164" t="s">
        <v>3384</v>
      </c>
      <c r="AK71" s="156" t="s">
        <v>3369</v>
      </c>
      <c r="AL71" s="157" t="s">
        <v>3385</v>
      </c>
      <c r="AM71" s="162" t="s">
        <v>3386</v>
      </c>
      <c r="AN71" s="177" t="s">
        <v>3387</v>
      </c>
      <c r="AO71" s="177"/>
    </row>
    <row r="72">
      <c r="A72" s="88" t="s">
        <v>3388</v>
      </c>
      <c r="B72" s="149" t="s">
        <v>3389</v>
      </c>
      <c r="C72" s="166" t="s">
        <v>3390</v>
      </c>
      <c r="D72" s="56" t="s">
        <v>3391</v>
      </c>
      <c r="E72" s="88" t="s">
        <v>3388</v>
      </c>
      <c r="F72" s="149" t="s">
        <v>3392</v>
      </c>
      <c r="G72" s="160" t="s">
        <v>3393</v>
      </c>
      <c r="H72" s="163" t="s">
        <v>3394</v>
      </c>
      <c r="I72" s="88" t="s">
        <v>3388</v>
      </c>
      <c r="J72" s="149" t="s">
        <v>3395</v>
      </c>
      <c r="K72" s="160" t="s">
        <v>3396</v>
      </c>
      <c r="L72" s="163" t="s">
        <v>3397</v>
      </c>
      <c r="M72" s="88" t="s">
        <v>3388</v>
      </c>
      <c r="N72" s="148" t="str">
        <f>IFERROR(__xludf.DUMMYFUNCTION("GOOGLETRANSLATE(B72,""zh-tw"",""zh"")"),"女仆兔BOSS区域-4")</f>
        <v>女仆兔BOSS区域-4</v>
      </c>
      <c r="O72" s="93"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8" t="s">
        <v>3388</v>
      </c>
      <c r="R72" s="149" t="str">
        <f>IFERROR(__xludf.DUMMYFUNCTION("GOOGLETRANSLATE(B72,""zh-tw"",""es-MX"")"),"Área del jefe de Maid Rabbit -4")</f>
        <v>Área del jefe de Maid Rabbit -4</v>
      </c>
      <c r="S72" s="93"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72" s="88" t="s">
        <v>3388</v>
      </c>
      <c r="V72" s="149" t="str">
        <f>IFERROR(__xludf.DUMMYFUNCTION("GOOGLETRANSLATE(B72,""zh-tw"",""KO"")"),"메이드 래빗 보스 지역 -4")</f>
        <v>메이드 래빗 보스 지역 -4</v>
      </c>
      <c r="W72" s="93"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8" t="s">
        <v>3388</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8" t="s">
        <v>3388</v>
      </c>
      <c r="AD72" s="149" t="s">
        <v>3398</v>
      </c>
      <c r="AE72" s="116" t="s">
        <v>3399</v>
      </c>
      <c r="AF72" s="117" t="s">
        <v>3400</v>
      </c>
      <c r="AG72" s="88" t="s">
        <v>3388</v>
      </c>
      <c r="AH72" s="149" t="s">
        <v>3401</v>
      </c>
      <c r="AI72" s="178" t="s">
        <v>3402</v>
      </c>
      <c r="AJ72" s="56" t="s">
        <v>3403</v>
      </c>
      <c r="AK72" s="156" t="s">
        <v>3388</v>
      </c>
      <c r="AL72" s="157" t="s">
        <v>3404</v>
      </c>
      <c r="AM72" s="162" t="s">
        <v>3405</v>
      </c>
      <c r="AN72" s="177" t="s">
        <v>3406</v>
      </c>
      <c r="AO72" s="177"/>
    </row>
    <row r="73">
      <c r="A73" s="88" t="s">
        <v>3407</v>
      </c>
      <c r="B73" s="148" t="s">
        <v>3408</v>
      </c>
      <c r="C73" s="98" t="s">
        <v>3409</v>
      </c>
      <c r="D73" s="59" t="s">
        <v>3410</v>
      </c>
      <c r="E73" s="88" t="s">
        <v>3407</v>
      </c>
      <c r="F73" s="148" t="s">
        <v>3411</v>
      </c>
      <c r="G73" s="160" t="s">
        <v>3412</v>
      </c>
      <c r="H73" s="59" t="s">
        <v>3413</v>
      </c>
      <c r="I73" s="88" t="s">
        <v>3407</v>
      </c>
      <c r="J73" s="148" t="s">
        <v>3414</v>
      </c>
      <c r="K73" s="160" t="s">
        <v>3415</v>
      </c>
      <c r="L73" s="163" t="s">
        <v>3416</v>
      </c>
      <c r="M73" s="88" t="s">
        <v>3407</v>
      </c>
      <c r="N73" s="148" t="str">
        <f>IFERROR(__xludf.DUMMYFUNCTION("GOOGLETRANSLATE(B73,""zh-tw"",""zh"")"),"猎人小屋")</f>
        <v>猎人小屋</v>
      </c>
      <c r="O73" s="93"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8" t="s">
        <v>3407</v>
      </c>
      <c r="R73" s="149" t="str">
        <f>IFERROR(__xludf.DUMMYFUNCTION("GOOGLETRANSLATE(B73,""zh-tw"",""es-MX"")"),"Logia del cazador")</f>
        <v>Logia del cazador</v>
      </c>
      <c r="S73" s="93"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8" t="s">
        <v>3407</v>
      </c>
      <c r="V73" s="149" t="str">
        <f>IFERROR(__xludf.DUMMYFUNCTION("GOOGLETRANSLATE(B73,""zh-tw"",""KO"")"),"헌터스 롯지")</f>
        <v>헌터스 롯지</v>
      </c>
      <c r="W73" s="93"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8" t="s">
        <v>3407</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8" t="s">
        <v>3407</v>
      </c>
      <c r="AD73" s="148" t="s">
        <v>3417</v>
      </c>
      <c r="AE73" s="160" t="s">
        <v>3418</v>
      </c>
      <c r="AF73" s="163" t="s">
        <v>3419</v>
      </c>
      <c r="AG73" s="88" t="s">
        <v>3407</v>
      </c>
      <c r="AH73" s="154" t="s">
        <v>3420</v>
      </c>
      <c r="AI73" s="178" t="s">
        <v>3421</v>
      </c>
      <c r="AJ73" s="41" t="s">
        <v>3422</v>
      </c>
      <c r="AK73" s="156" t="s">
        <v>3407</v>
      </c>
      <c r="AL73" s="157" t="s">
        <v>3423</v>
      </c>
      <c r="AM73" s="162" t="s">
        <v>3424</v>
      </c>
      <c r="AN73" s="177" t="s">
        <v>3425</v>
      </c>
      <c r="AO73" s="177"/>
    </row>
    <row r="74">
      <c r="A74" s="88" t="s">
        <v>3426</v>
      </c>
      <c r="B74" s="148" t="s">
        <v>3427</v>
      </c>
      <c r="C74" s="98" t="s">
        <v>3428</v>
      </c>
      <c r="D74" s="59" t="s">
        <v>3429</v>
      </c>
      <c r="E74" s="88" t="s">
        <v>3426</v>
      </c>
      <c r="F74" s="148" t="s">
        <v>3430</v>
      </c>
      <c r="G74" s="160" t="s">
        <v>3431</v>
      </c>
      <c r="H74" s="59" t="s">
        <v>3432</v>
      </c>
      <c r="I74" s="88" t="s">
        <v>3426</v>
      </c>
      <c r="J74" s="148" t="s">
        <v>3433</v>
      </c>
      <c r="K74" s="160" t="s">
        <v>3434</v>
      </c>
      <c r="L74" s="163" t="s">
        <v>3435</v>
      </c>
      <c r="M74" s="88" t="s">
        <v>3426</v>
      </c>
      <c r="N74" s="148" t="str">
        <f>IFERROR(__xludf.DUMMYFUNCTION("GOOGLETRANSLATE(B74,""zh-tw"",""zh"")"),"猎人小屋-地下室")</f>
        <v>猎人小屋-地下室</v>
      </c>
      <c r="O74" s="93"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8" t="s">
        <v>3426</v>
      </c>
      <c r="R74" s="149" t="str">
        <f>IFERROR(__xludf.DUMMYFUNCTION("GOOGLETRANSLATE(B74,""zh-tw"",""es-MX"")"),"Hunter's Lodge - Sótano")</f>
        <v>Hunter's Lodge - Sótano</v>
      </c>
      <c r="S74" s="93"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8" t="s">
        <v>3426</v>
      </c>
      <c r="V74" s="149" t="str">
        <f>IFERROR(__xludf.DUMMYFUNCTION("GOOGLETRANSLATE(B74,""zh-tw"",""KO"")"),"헌터스 롯지 - 지하실")</f>
        <v>헌터스 롯지 - 지하실</v>
      </c>
      <c r="W74" s="93"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8" t="s">
        <v>3426</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8" t="s">
        <v>3426</v>
      </c>
      <c r="AD74" s="148" t="s">
        <v>3436</v>
      </c>
      <c r="AE74" s="160" t="s">
        <v>3437</v>
      </c>
      <c r="AF74" s="163" t="s">
        <v>3438</v>
      </c>
      <c r="AG74" s="88" t="s">
        <v>3426</v>
      </c>
      <c r="AH74" s="154" t="s">
        <v>3439</v>
      </c>
      <c r="AI74" s="155" t="s">
        <v>3440</v>
      </c>
      <c r="AJ74" s="41" t="s">
        <v>3441</v>
      </c>
      <c r="AK74" s="156" t="s">
        <v>3426</v>
      </c>
      <c r="AL74" s="157" t="s">
        <v>3442</v>
      </c>
      <c r="AM74" s="162" t="s">
        <v>3443</v>
      </c>
      <c r="AN74" s="177" t="s">
        <v>3444</v>
      </c>
      <c r="AO74" s="177"/>
    </row>
    <row r="75">
      <c r="A75" s="88" t="s">
        <v>3445</v>
      </c>
      <c r="B75" s="148" t="s">
        <v>3446</v>
      </c>
      <c r="C75" s="98" t="s">
        <v>3447</v>
      </c>
      <c r="D75" s="59" t="s">
        <v>3448</v>
      </c>
      <c r="E75" s="88" t="s">
        <v>3445</v>
      </c>
      <c r="F75" s="148" t="s">
        <v>3449</v>
      </c>
      <c r="G75" s="160" t="s">
        <v>3450</v>
      </c>
      <c r="H75" s="59" t="s">
        <v>3451</v>
      </c>
      <c r="I75" s="88" t="s">
        <v>3445</v>
      </c>
      <c r="J75" s="148" t="s">
        <v>3452</v>
      </c>
      <c r="K75" s="160" t="s">
        <v>3453</v>
      </c>
      <c r="L75" s="163" t="s">
        <v>3454</v>
      </c>
      <c r="M75" s="88" t="s">
        <v>3445</v>
      </c>
      <c r="N75" s="148" t="str">
        <f>IFERROR(__xludf.DUMMYFUNCTION("GOOGLETRANSLATE(B75,""zh-tw"",""zh"")"),"隐藏道具")</f>
        <v>隐藏道具</v>
      </c>
      <c r="O75" s="93"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8" t="s">
        <v>3445</v>
      </c>
      <c r="R75" s="149" t="str">
        <f>IFERROR(__xludf.DUMMYFUNCTION("GOOGLETRANSLATE(B75,""zh-tw"",""es-MX"")"),"Objetos ocultos")</f>
        <v>Objetos ocultos</v>
      </c>
      <c r="S75" s="93"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8" t="s">
        <v>3445</v>
      </c>
      <c r="V75" s="149" t="str">
        <f>IFERROR(__xludf.DUMMYFUNCTION("GOOGLETRANSLATE(B75,""zh-tw"",""KO"")"),"숨겨진 아이템")</f>
        <v>숨겨진 아이템</v>
      </c>
      <c r="W75" s="93"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8" t="s">
        <v>3445</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8" t="s">
        <v>3445</v>
      </c>
      <c r="AD75" s="148" t="s">
        <v>3455</v>
      </c>
      <c r="AE75" s="160" t="str">
        <f>IFERROR(__xludf.DUMMYFUNCTION("GOOGLETRANSLATE(C75,""zh-tw"",""de"")"),"Der leuchtende Fleck befindet sich am Grund der Wasseroberfläche im ""Entwicklungsbereich (Mine)-2"".")</f>
        <v>Der leuchtende Fleck befindet sich am Grund der Wasseroberfläche im "Entwicklungsbereich (Mine)-2".</v>
      </c>
      <c r="AF75" s="163" t="s">
        <v>3456</v>
      </c>
      <c r="AG75" s="88" t="s">
        <v>3445</v>
      </c>
      <c r="AH75" s="154" t="s">
        <v>3457</v>
      </c>
      <c r="AI75" s="178" t="s">
        <v>3458</v>
      </c>
      <c r="AJ75" s="41" t="s">
        <v>3459</v>
      </c>
      <c r="AK75" s="156" t="s">
        <v>3445</v>
      </c>
      <c r="AL75" s="157" t="s">
        <v>3460</v>
      </c>
      <c r="AM75" s="162" t="s">
        <v>3461</v>
      </c>
      <c r="AN75" s="177" t="s">
        <v>3462</v>
      </c>
      <c r="AO75" s="177"/>
    </row>
    <row r="76">
      <c r="A76" s="88" t="s">
        <v>3463</v>
      </c>
      <c r="B76" s="148" t="s">
        <v>3446</v>
      </c>
      <c r="C76" s="98" t="s">
        <v>3464</v>
      </c>
      <c r="D76" s="59" t="s">
        <v>3465</v>
      </c>
      <c r="E76" s="88" t="s">
        <v>3463</v>
      </c>
      <c r="F76" s="148" t="s">
        <v>3449</v>
      </c>
      <c r="G76" s="160" t="str">
        <f>IFERROR(__xludf.DUMMYFUNCTION("GOOGLETRANSLATE(C76,""zh-tw"",""ja"")"),"光る木箱は「開発区（鉱山）-3」に入って左側にあります。")</f>
        <v>光る木箱は「開発区（鉱山）-3」に入って左側にあります。</v>
      </c>
      <c r="H76" s="59" t="s">
        <v>3466</v>
      </c>
      <c r="I76" s="88" t="s">
        <v>3463</v>
      </c>
      <c r="J76" s="148" t="s">
        <v>3452</v>
      </c>
      <c r="K76" s="160" t="s">
        <v>3467</v>
      </c>
      <c r="L76" s="163" t="s">
        <v>3468</v>
      </c>
      <c r="M76" s="88" t="s">
        <v>3463</v>
      </c>
      <c r="N76" s="148" t="str">
        <f>IFERROR(__xludf.DUMMYFUNCTION("GOOGLETRANSLATE(B76,""zh-tw"",""zh"")"),"隐藏道具")</f>
        <v>隐藏道具</v>
      </c>
      <c r="O76" s="93"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8" t="s">
        <v>3463</v>
      </c>
      <c r="R76" s="149" t="str">
        <f>IFERROR(__xludf.DUMMYFUNCTION("GOOGLETRANSLATE(B76,""zh-tw"",""es-MX"")"),"Objetos ocultos")</f>
        <v>Objetos ocultos</v>
      </c>
      <c r="S76" s="93"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8" t="s">
        <v>3463</v>
      </c>
      <c r="V76" s="149" t="str">
        <f>IFERROR(__xludf.DUMMYFUNCTION("GOOGLETRANSLATE(B76,""zh-tw"",""KO"")"),"숨겨진 아이템")</f>
        <v>숨겨진 아이템</v>
      </c>
      <c r="W76" s="93"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8" t="s">
        <v>3463</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8" t="s">
        <v>3463</v>
      </c>
      <c r="AD76" s="148" t="s">
        <v>3455</v>
      </c>
      <c r="AE76" s="160"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3469</v>
      </c>
      <c r="AG76" s="88" t="s">
        <v>3463</v>
      </c>
      <c r="AH76" s="154" t="s">
        <v>3457</v>
      </c>
      <c r="AI76" s="178" t="s">
        <v>3470</v>
      </c>
      <c r="AJ76" s="41" t="s">
        <v>3471</v>
      </c>
      <c r="AK76" s="156" t="s">
        <v>3463</v>
      </c>
      <c r="AL76" s="157" t="s">
        <v>3460</v>
      </c>
      <c r="AM76" s="162" t="s">
        <v>3472</v>
      </c>
      <c r="AN76" s="177" t="s">
        <v>3473</v>
      </c>
      <c r="AO76" s="177"/>
    </row>
    <row r="77">
      <c r="A77" s="88" t="s">
        <v>3474</v>
      </c>
      <c r="B77" s="148" t="s">
        <v>3446</v>
      </c>
      <c r="C77" s="98" t="s">
        <v>3475</v>
      </c>
      <c r="D77" s="59" t="s">
        <v>3476</v>
      </c>
      <c r="E77" s="88" t="s">
        <v>3474</v>
      </c>
      <c r="F77" s="148" t="s">
        <v>3449</v>
      </c>
      <c r="G77" s="160" t="s">
        <v>3477</v>
      </c>
      <c r="H77" s="59" t="s">
        <v>3478</v>
      </c>
      <c r="I77" s="88" t="s">
        <v>3474</v>
      </c>
      <c r="J77" s="148" t="s">
        <v>3452</v>
      </c>
      <c r="K77" s="160" t="s">
        <v>3479</v>
      </c>
      <c r="L77" s="163" t="s">
        <v>3480</v>
      </c>
      <c r="M77" s="88" t="s">
        <v>3474</v>
      </c>
      <c r="N77" s="148" t="str">
        <f>IFERROR(__xludf.DUMMYFUNCTION("GOOGLETRANSLATE(B77,""zh-tw"",""zh"")"),"隐藏道具")</f>
        <v>隐藏道具</v>
      </c>
      <c r="O77" s="93"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8" t="s">
        <v>3474</v>
      </c>
      <c r="R77" s="149" t="str">
        <f>IFERROR(__xludf.DUMMYFUNCTION("GOOGLETRANSLATE(B77,""zh-tw"",""es-MX"")"),"Objetos ocultos")</f>
        <v>Objetos ocultos</v>
      </c>
      <c r="S77" s="93"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8" t="s">
        <v>3474</v>
      </c>
      <c r="V77" s="149" t="str">
        <f>IFERROR(__xludf.DUMMYFUNCTION("GOOGLETRANSLATE(B77,""zh-tw"",""KO"")"),"숨겨진 아이템")</f>
        <v>숨겨진 아이템</v>
      </c>
      <c r="W77" s="93"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8" t="s">
        <v>3474</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8" t="s">
        <v>3474</v>
      </c>
      <c r="AD77" s="148" t="s">
        <v>3455</v>
      </c>
      <c r="AE77" s="160"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3481</v>
      </c>
      <c r="AG77" s="88" t="s">
        <v>3474</v>
      </c>
      <c r="AH77" s="154" t="s">
        <v>3457</v>
      </c>
      <c r="AI77" s="178" t="s">
        <v>3482</v>
      </c>
      <c r="AJ77" s="41" t="s">
        <v>3483</v>
      </c>
      <c r="AK77" s="156" t="s">
        <v>3474</v>
      </c>
      <c r="AL77" s="157" t="s">
        <v>3460</v>
      </c>
      <c r="AM77" s="162" t="s">
        <v>3484</v>
      </c>
      <c r="AN77" s="177" t="s">
        <v>3485</v>
      </c>
      <c r="AO77" s="177"/>
    </row>
    <row r="78">
      <c r="A78" s="88" t="s">
        <v>3486</v>
      </c>
      <c r="B78" s="148" t="s">
        <v>3446</v>
      </c>
      <c r="C78" s="98" t="s">
        <v>3487</v>
      </c>
      <c r="D78" s="59" t="s">
        <v>3488</v>
      </c>
      <c r="E78" s="88" t="s">
        <v>3486</v>
      </c>
      <c r="F78" s="148" t="s">
        <v>3449</v>
      </c>
      <c r="G78" s="160" t="s">
        <v>3489</v>
      </c>
      <c r="H78" s="59" t="s">
        <v>3490</v>
      </c>
      <c r="I78" s="88" t="s">
        <v>3486</v>
      </c>
      <c r="J78" s="148" t="s">
        <v>3452</v>
      </c>
      <c r="K78" s="160" t="s">
        <v>3491</v>
      </c>
      <c r="L78" s="163" t="s">
        <v>3492</v>
      </c>
      <c r="M78" s="88" t="s">
        <v>3486</v>
      </c>
      <c r="N78" s="148" t="str">
        <f>IFERROR(__xludf.DUMMYFUNCTION("GOOGLETRANSLATE(B78,""zh-tw"",""zh"")"),"隐藏道具")</f>
        <v>隐藏道具</v>
      </c>
      <c r="O78" s="93"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8" t="s">
        <v>3486</v>
      </c>
      <c r="R78" s="149" t="str">
        <f>IFERROR(__xludf.DUMMYFUNCTION("GOOGLETRANSLATE(B78,""zh-tw"",""es-MX"")"),"Objetos ocultos")</f>
        <v>Objetos ocultos</v>
      </c>
      <c r="S78" s="93"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8" t="s">
        <v>3486</v>
      </c>
      <c r="V78" s="149" t="str">
        <f>IFERROR(__xludf.DUMMYFUNCTION("GOOGLETRANSLATE(B78,""zh-tw"",""KO"")"),"숨겨진 아이템")</f>
        <v>숨겨진 아이템</v>
      </c>
      <c r="W78" s="93"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8" t="s">
        <v>3486</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8" t="s">
        <v>3486</v>
      </c>
      <c r="AD78" s="148" t="s">
        <v>3455</v>
      </c>
      <c r="AE78" s="160" t="str">
        <f>IFERROR(__xludf.DUMMYFUNCTION("GOOGLETRANSLATE(C78,""zh-tw"",""de"")"),"Im Entwicklungsgebiet (Mine)-4, oberhalb der zentralen Treppe, befindet sich ein leuchtender Fleck.")</f>
        <v>Im Entwicklungsgebiet (Mine)-4, oberhalb der zentralen Treppe, befindet sich ein leuchtender Fleck.</v>
      </c>
      <c r="AF78" s="163" t="s">
        <v>3493</v>
      </c>
      <c r="AG78" s="88" t="s">
        <v>3486</v>
      </c>
      <c r="AH78" s="154" t="s">
        <v>3457</v>
      </c>
      <c r="AI78" s="178" t="s">
        <v>3494</v>
      </c>
      <c r="AJ78" s="41" t="s">
        <v>3495</v>
      </c>
      <c r="AK78" s="156" t="s">
        <v>3486</v>
      </c>
      <c r="AL78" s="157" t="s">
        <v>3460</v>
      </c>
      <c r="AM78" s="162" t="s">
        <v>3496</v>
      </c>
      <c r="AN78" s="177" t="s">
        <v>3497</v>
      </c>
      <c r="AO78" s="177"/>
    </row>
    <row r="79">
      <c r="A79" s="88" t="s">
        <v>3498</v>
      </c>
      <c r="B79" s="148" t="s">
        <v>3446</v>
      </c>
      <c r="C79" s="98" t="s">
        <v>3499</v>
      </c>
      <c r="D79" s="59" t="s">
        <v>3500</v>
      </c>
      <c r="E79" s="88" t="s">
        <v>3498</v>
      </c>
      <c r="F79" s="148" t="s">
        <v>3449</v>
      </c>
      <c r="G79" s="160" t="s">
        <v>3501</v>
      </c>
      <c r="H79" s="59" t="s">
        <v>3502</v>
      </c>
      <c r="I79" s="88" t="s">
        <v>3498</v>
      </c>
      <c r="J79" s="148" t="s">
        <v>3452</v>
      </c>
      <c r="K79" s="160" t="s">
        <v>3503</v>
      </c>
      <c r="L79" s="163" t="s">
        <v>3504</v>
      </c>
      <c r="M79" s="88" t="s">
        <v>3498</v>
      </c>
      <c r="N79" s="148" t="str">
        <f>IFERROR(__xludf.DUMMYFUNCTION("GOOGLETRANSLATE(B79,""zh-tw"",""zh"")"),"隐藏道具")</f>
        <v>隐藏道具</v>
      </c>
      <c r="O79" s="93"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8" t="s">
        <v>3498</v>
      </c>
      <c r="R79" s="149" t="str">
        <f>IFERROR(__xludf.DUMMYFUNCTION("GOOGLETRANSLATE(B79,""zh-tw"",""es-MX"")"),"Objetos ocultos")</f>
        <v>Objetos ocultos</v>
      </c>
      <c r="S79" s="93"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8" t="s">
        <v>3498</v>
      </c>
      <c r="V79" s="149" t="str">
        <f>IFERROR(__xludf.DUMMYFUNCTION("GOOGLETRANSLATE(B79,""zh-tw"",""KO"")"),"숨겨진 아이템")</f>
        <v>숨겨진 아이템</v>
      </c>
      <c r="W79" s="93"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8" t="s">
        <v>3498</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8" t="s">
        <v>3498</v>
      </c>
      <c r="AD79" s="148" t="s">
        <v>3455</v>
      </c>
      <c r="AE79" s="160" t="str">
        <f>IFERROR(__xludf.DUMMYFUNCTION("GOOGLETRANSLATE(C79,""zh-tw"",""de"")"),"Im Erschließungsbereich (Schacht) -4, links nach dem Abstieg über die zentrale Treppe.")</f>
        <v>Im Erschließungsbereich (Schacht) -4, links nach dem Abstieg über die zentrale Treppe.</v>
      </c>
      <c r="AF79" s="163" t="s">
        <v>3505</v>
      </c>
      <c r="AG79" s="88" t="s">
        <v>3498</v>
      </c>
      <c r="AH79" s="154" t="s">
        <v>3457</v>
      </c>
      <c r="AI79" s="178" t="s">
        <v>3506</v>
      </c>
      <c r="AJ79" s="41" t="s">
        <v>3507</v>
      </c>
      <c r="AK79" s="156" t="s">
        <v>3498</v>
      </c>
      <c r="AL79" s="157" t="s">
        <v>3460</v>
      </c>
      <c r="AM79" s="162" t="s">
        <v>3508</v>
      </c>
      <c r="AN79" s="177" t="s">
        <v>3509</v>
      </c>
      <c r="AO79" s="177"/>
    </row>
    <row r="80">
      <c r="A80" s="88" t="s">
        <v>3510</v>
      </c>
      <c r="B80" s="148" t="s">
        <v>3446</v>
      </c>
      <c r="C80" s="98" t="s">
        <v>3511</v>
      </c>
      <c r="D80" s="59" t="s">
        <v>3512</v>
      </c>
      <c r="E80" s="88" t="s">
        <v>3510</v>
      </c>
      <c r="F80" s="148" t="s">
        <v>3449</v>
      </c>
      <c r="G80" s="160" t="s">
        <v>3513</v>
      </c>
      <c r="H80" s="59" t="s">
        <v>3514</v>
      </c>
      <c r="I80" s="88" t="s">
        <v>3510</v>
      </c>
      <c r="J80" s="148" t="s">
        <v>3452</v>
      </c>
      <c r="K80" s="160" t="s">
        <v>3515</v>
      </c>
      <c r="L80" s="163" t="s">
        <v>3516</v>
      </c>
      <c r="M80" s="88" t="s">
        <v>3510</v>
      </c>
      <c r="N80" s="148" t="str">
        <f>IFERROR(__xludf.DUMMYFUNCTION("GOOGLETRANSLATE(B80,""zh-tw"",""zh"")"),"隐藏道具")</f>
        <v>隐藏道具</v>
      </c>
      <c r="O80" s="93"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8" t="s">
        <v>3510</v>
      </c>
      <c r="R80" s="149" t="str">
        <f>IFERROR(__xludf.DUMMYFUNCTION("GOOGLETRANSLATE(B80,""zh-tw"",""es-MX"")"),"Objetos ocultos")</f>
        <v>Objetos ocultos</v>
      </c>
      <c r="S80" s="93"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8" t="s">
        <v>3510</v>
      </c>
      <c r="V80" s="149" t="str">
        <f>IFERROR(__xludf.DUMMYFUNCTION("GOOGLETRANSLATE(B80,""zh-tw"",""KO"")"),"숨겨진 아이템")</f>
        <v>숨겨진 아이템</v>
      </c>
      <c r="W80" s="93"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8" t="s">
        <v>3510</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8" t="s">
        <v>3510</v>
      </c>
      <c r="AD80" s="148" t="s">
        <v>3455</v>
      </c>
      <c r="AE80" s="160"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3517</v>
      </c>
      <c r="AG80" s="88" t="s">
        <v>3510</v>
      </c>
      <c r="AH80" s="154" t="s">
        <v>3457</v>
      </c>
      <c r="AI80" s="178" t="s">
        <v>3518</v>
      </c>
      <c r="AJ80" s="41" t="s">
        <v>3519</v>
      </c>
      <c r="AK80" s="156" t="s">
        <v>3510</v>
      </c>
      <c r="AL80" s="157" t="s">
        <v>3460</v>
      </c>
      <c r="AM80" s="162" t="s">
        <v>3520</v>
      </c>
      <c r="AN80" s="177" t="s">
        <v>3521</v>
      </c>
      <c r="AO80" s="177"/>
    </row>
    <row r="81">
      <c r="A81" s="88" t="s">
        <v>3522</v>
      </c>
      <c r="B81" s="148" t="s">
        <v>3523</v>
      </c>
      <c r="C81" s="98" t="s">
        <v>3524</v>
      </c>
      <c r="D81" s="59" t="s">
        <v>3525</v>
      </c>
      <c r="E81" s="88" t="s">
        <v>3522</v>
      </c>
      <c r="F81" s="148" t="s">
        <v>3526</v>
      </c>
      <c r="G81" s="160" t="s">
        <v>3527</v>
      </c>
      <c r="H81" s="59" t="s">
        <v>3528</v>
      </c>
      <c r="I81" s="88" t="s">
        <v>3522</v>
      </c>
      <c r="J81" s="148" t="s">
        <v>3529</v>
      </c>
      <c r="K81" s="160" t="s">
        <v>3530</v>
      </c>
      <c r="L81" s="163" t="s">
        <v>3531</v>
      </c>
      <c r="M81" s="88" t="s">
        <v>3522</v>
      </c>
      <c r="N81" s="148" t="str">
        <f>IFERROR(__xludf.DUMMYFUNCTION("GOOGLETRANSLATE(B81,""zh-tw"",""zh"")"),"ASABA-1")</f>
        <v>ASABA-1</v>
      </c>
      <c r="O81" s="93" t="str">
        <f>IFERROR(__xludf.DUMMYFUNCTION("GOOGLETRANSLATE(C81,""zh-tw"",""zh"")"),"喂食ASABA-""一般食物""")</f>
        <v>喂食ASABA-"一般食物"</v>
      </c>
      <c r="P81" s="61" t="str">
        <f>IFERROR(__xludf.DUMMYFUNCTION("GOOGLETRANSLATE(D81,""zh-tw"",""zh"")"),"毫无反应，次数多了还会产生厌恶")</f>
        <v>毫无反应，次数多了还会产生厌恶</v>
      </c>
      <c r="Q81" s="88" t="s">
        <v>3522</v>
      </c>
      <c r="R81" s="149" t="str">
        <f>IFERROR(__xludf.DUMMYFUNCTION("GOOGLETRANSLATE(B81,""zh-tw"",""es-MX"")"),"ASABA-1")</f>
        <v>ASABA-1</v>
      </c>
      <c r="S81" s="93"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8" t="s">
        <v>3522</v>
      </c>
      <c r="V81" s="149" t="str">
        <f>IFERROR(__xludf.DUMMYFUNCTION("GOOGLETRANSLATE(B81,""zh-tw"",""KO"")"),"아사바-1")</f>
        <v>아사바-1</v>
      </c>
      <c r="W81" s="93"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8" t="s">
        <v>3522</v>
      </c>
      <c r="Z81" s="148" t="str">
        <f>IFERROR(__xludf.DUMMYFUNCTION("GOOGLETRANSLATE(B81,""zh-tw"",""ru"")"),"АСАБА-1")</f>
        <v>АСАБА-1</v>
      </c>
      <c r="AA81" s="151"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8" t="s">
        <v>3522</v>
      </c>
      <c r="AD81" s="148" t="str">
        <f>IFERROR(__xludf.DUMMYFUNCTION("GOOGLETRANSLATE(B81,""zh-tw"",""de"")"),"ASABA-1")</f>
        <v>ASABA-1</v>
      </c>
      <c r="AE81" s="160" t="str">
        <f>IFERROR(__xludf.DUMMYFUNCTION("GOOGLETRANSLATE(C81,""zh-tw"",""de"")"),"ASABA füttern – „normales Futter“")</f>
        <v>ASABA füttern – „normales Futter“</v>
      </c>
      <c r="AF81" s="163" t="s">
        <v>3532</v>
      </c>
      <c r="AG81" s="88" t="s">
        <v>3522</v>
      </c>
      <c r="AH81" s="154" t="s">
        <v>3529</v>
      </c>
      <c r="AI81" s="178" t="s">
        <v>3533</v>
      </c>
      <c r="AJ81" s="41" t="s">
        <v>3534</v>
      </c>
      <c r="AK81" s="156" t="s">
        <v>3522</v>
      </c>
      <c r="AL81" s="157" t="s">
        <v>3529</v>
      </c>
      <c r="AM81" s="162" t="s">
        <v>3535</v>
      </c>
      <c r="AN81" s="177" t="s">
        <v>3536</v>
      </c>
      <c r="AO81" s="177"/>
    </row>
    <row r="82">
      <c r="A82" s="88" t="s">
        <v>3537</v>
      </c>
      <c r="B82" s="148" t="s">
        <v>3538</v>
      </c>
      <c r="C82" s="98" t="s">
        <v>3539</v>
      </c>
      <c r="D82" s="59" t="s">
        <v>3540</v>
      </c>
      <c r="E82" s="88" t="s">
        <v>3537</v>
      </c>
      <c r="F82" s="148" t="s">
        <v>3541</v>
      </c>
      <c r="G82" s="160" t="s">
        <v>3542</v>
      </c>
      <c r="H82" s="59" t="s">
        <v>3543</v>
      </c>
      <c r="I82" s="88" t="s">
        <v>3537</v>
      </c>
      <c r="J82" s="148" t="s">
        <v>3544</v>
      </c>
      <c r="K82" s="160" t="s">
        <v>3545</v>
      </c>
      <c r="L82" s="163" t="s">
        <v>3546</v>
      </c>
      <c r="M82" s="88" t="s">
        <v>3537</v>
      </c>
      <c r="N82" s="148" t="str">
        <f>IFERROR(__xludf.DUMMYFUNCTION("GOOGLETRANSLATE(B82,""zh-tw"",""zh"")"),"ASABA-2")</f>
        <v>ASABA-2</v>
      </c>
      <c r="O82" s="93" t="str">
        <f>IFERROR(__xludf.DUMMYFUNCTION("GOOGLETRANSLATE(C82,""zh-tw"",""zh"")"),"喂食ASABA-""妹妹的呆毛""")</f>
        <v>喂食ASABA-"妹妹的呆毛"</v>
      </c>
      <c r="P82" s="61" t="str">
        <f>IFERROR(__xludf.DUMMYFUNCTION("GOOGLETRANSLATE(D82,""zh-tw"",""zh"")"),"让ASABA的大脑当机")</f>
        <v>让ASABA的大脑当机</v>
      </c>
      <c r="Q82" s="88" t="s">
        <v>3537</v>
      </c>
      <c r="R82" s="149" t="str">
        <f>IFERROR(__xludf.DUMMYFUNCTION("GOOGLETRANSLATE(B82,""zh-tw"",""es-MX"")"),"ASABA-2")</f>
        <v>ASABA-2</v>
      </c>
      <c r="S82" s="93"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8" t="s">
        <v>3537</v>
      </c>
      <c r="V82" s="149" t="str">
        <f>IFERROR(__xludf.DUMMYFUNCTION("GOOGLETRANSLATE(B82,""zh-tw"",""KO"")"),"아사바-2")</f>
        <v>아사바-2</v>
      </c>
      <c r="W82" s="93"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8" t="s">
        <v>3537</v>
      </c>
      <c r="Z82" s="148" t="str">
        <f>IFERROR(__xludf.DUMMYFUNCTION("GOOGLETRANSLATE(B82,""zh-tw"",""ru"")"),"АСАБА-2")</f>
        <v>АСАБА-2</v>
      </c>
      <c r="AA82" s="151"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8" t="s">
        <v>3537</v>
      </c>
      <c r="AD82" s="148" t="str">
        <f>IFERROR(__xludf.DUMMYFUNCTION("GOOGLETRANSLATE(B82,""zh-tw"",""de"")"),"ASABA-2")</f>
        <v>ASABA-2</v>
      </c>
      <c r="AE82" s="160" t="str">
        <f>IFERROR(__xludf.DUMMYFUNCTION("GOOGLETRANSLATE(C82,""zh-tw"",""de"")"),"Fütterung von ASABA – „Schwesters Ahoge“")</f>
        <v>Fütterung von ASABA – „Schwesters Ahoge“</v>
      </c>
      <c r="AF82" s="163" t="s">
        <v>3547</v>
      </c>
      <c r="AG82" s="88" t="s">
        <v>3537</v>
      </c>
      <c r="AH82" s="154" t="s">
        <v>3544</v>
      </c>
      <c r="AI82" s="178" t="s">
        <v>3548</v>
      </c>
      <c r="AJ82" s="41" t="s">
        <v>3549</v>
      </c>
      <c r="AK82" s="156" t="s">
        <v>3537</v>
      </c>
      <c r="AL82" s="157" t="s">
        <v>3544</v>
      </c>
      <c r="AM82" s="162" t="s">
        <v>3550</v>
      </c>
      <c r="AN82" s="177" t="s">
        <v>3551</v>
      </c>
      <c r="AO82" s="177"/>
    </row>
    <row r="83">
      <c r="A83" s="88" t="s">
        <v>3552</v>
      </c>
      <c r="B83" s="148" t="s">
        <v>3553</v>
      </c>
      <c r="C83" s="98" t="s">
        <v>3554</v>
      </c>
      <c r="D83" s="59" t="s">
        <v>3555</v>
      </c>
      <c r="E83" s="88" t="s">
        <v>3552</v>
      </c>
      <c r="F83" s="148" t="s">
        <v>3556</v>
      </c>
      <c r="G83" s="160" t="s">
        <v>3557</v>
      </c>
      <c r="H83" s="59" t="str">
        <f>IFERROR(__xludf.DUMMYFUNCTION("GOOGLETRANSLATE(D83,""zh-tw"",""ja"")"),"BUFFを取得")</f>
        <v>BUFFを取得</v>
      </c>
      <c r="I83" s="88" t="s">
        <v>3552</v>
      </c>
      <c r="J83" s="148" t="s">
        <v>3558</v>
      </c>
      <c r="K83" s="160" t="s">
        <v>3559</v>
      </c>
      <c r="L83" s="163" t="s">
        <v>3560</v>
      </c>
      <c r="M83" s="88" t="s">
        <v>3552</v>
      </c>
      <c r="N83" s="148" t="str">
        <f>IFERROR(__xludf.DUMMYFUNCTION("GOOGLETRANSLATE(B83,""zh-tw"",""zh"")"),"ASABA-3")</f>
        <v>ASABA-3</v>
      </c>
      <c r="O83" s="93" t="str">
        <f>IFERROR(__xludf.DUMMYFUNCTION("GOOGLETRANSLATE(C83,""zh-tw"",""zh"")"),"喂食ASABA-""草莓""，可以获得BUFF")</f>
        <v>喂食ASABA-"草莓"，可以获得BUFF</v>
      </c>
      <c r="P83" s="61" t="str">
        <f>IFERROR(__xludf.DUMMYFUNCTION("GOOGLETRANSLATE(D83,""zh-tw"",""zh"")"),"获得BUFF")</f>
        <v>获得BUFF</v>
      </c>
      <c r="Q83" s="88" t="s">
        <v>3552</v>
      </c>
      <c r="R83" s="149" t="str">
        <f>IFERROR(__xludf.DUMMYFUNCTION("GOOGLETRANSLATE(B83,""zh-tw"",""es-MX"")"),"ASABA-3")</f>
        <v>ASABA-3</v>
      </c>
      <c r="S83" s="93" t="str">
        <f>IFERROR(__xludf.DUMMYFUNCTION("GOOGLETRANSLATE(C83,""zh-tw"",""es-MX"")"),"Alimentar a ASABA ""Fresa"" te otorgará un beneficio.")</f>
        <v>Alimentar a ASABA "Fresa" te otorgará un beneficio.</v>
      </c>
      <c r="T83" s="61" t="str">
        <f>IFERROR(__xludf.DUMMYFUNCTION("GOOGLETRANSLATE(D83,""zh-tw"",""es-MX"")"),"Obtener BUFF")</f>
        <v>Obtener BUFF</v>
      </c>
      <c r="U83" s="88" t="s">
        <v>3552</v>
      </c>
      <c r="V83" s="149" t="str">
        <f>IFERROR(__xludf.DUMMYFUNCTION("GOOGLETRANSLATE(B83,""zh-tw"",""KO"")"),"아사바-3")</f>
        <v>아사바-3</v>
      </c>
      <c r="W83" s="93"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8" t="s">
        <v>3552</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8" t="s">
        <v>3552</v>
      </c>
      <c r="AD83" s="148" t="str">
        <f>IFERROR(__xludf.DUMMYFUNCTION("GOOGLETRANSLATE(B83,""zh-tw"",""de"")"),"ASABA-3")</f>
        <v>ASABA-3</v>
      </c>
      <c r="AE83" s="160" t="str">
        <f>IFERROR(__xludf.DUMMYFUNCTION("GOOGLETRANSLATE(C83,""zh-tw"",""de"")"),"Wenn du ASABA mit ""Erdbeeren"" fütterst, erhältst du einen Buff.")</f>
        <v>Wenn du ASABA mit "Erdbeeren" fütterst, erhältst du einen Buff.</v>
      </c>
      <c r="AF83" s="163" t="s">
        <v>3561</v>
      </c>
      <c r="AG83" s="88" t="s">
        <v>3552</v>
      </c>
      <c r="AH83" s="154" t="s">
        <v>3558</v>
      </c>
      <c r="AI83" s="178" t="s">
        <v>3562</v>
      </c>
      <c r="AJ83" s="41" t="s">
        <v>3563</v>
      </c>
      <c r="AK83" s="156" t="s">
        <v>3552</v>
      </c>
      <c r="AL83" s="157" t="s">
        <v>3558</v>
      </c>
      <c r="AM83" s="162" t="s">
        <v>3564</v>
      </c>
      <c r="AN83" s="177" t="s">
        <v>3565</v>
      </c>
      <c r="AO83" s="177"/>
    </row>
    <row r="84">
      <c r="A84" s="88" t="s">
        <v>3566</v>
      </c>
      <c r="B84" s="148" t="s">
        <v>3567</v>
      </c>
      <c r="C84" s="98" t="s">
        <v>3568</v>
      </c>
      <c r="D84" s="59" t="s">
        <v>3569</v>
      </c>
      <c r="E84" s="88" t="s">
        <v>3566</v>
      </c>
      <c r="F84" s="148" t="s">
        <v>3570</v>
      </c>
      <c r="G84" s="160" t="str">
        <f>IFERROR(__xludf.DUMMYFUNCTION("GOOGLETRANSLATE(C84,""zh-tw"",""ja"")"),"通常のアサバを倒すと「アサバのイチゴ」が報酬としてもらえます。")</f>
        <v>通常のアサバを倒すと「アサバのイチゴ」が報酬としてもらえます。</v>
      </c>
      <c r="H84" s="59" t="s">
        <v>3571</v>
      </c>
      <c r="I84" s="88" t="s">
        <v>3566</v>
      </c>
      <c r="J84" s="148" t="s">
        <v>3572</v>
      </c>
      <c r="K84" s="160" t="s">
        <v>3573</v>
      </c>
      <c r="L84" s="163" t="s">
        <v>3574</v>
      </c>
      <c r="M84" s="88" t="s">
        <v>3566</v>
      </c>
      <c r="N84" s="148" t="str">
        <f>IFERROR(__xludf.DUMMYFUNCTION("GOOGLETRANSLATE(B84,""zh-tw"",""zh"")"),"ASABA-4")</f>
        <v>ASABA-4</v>
      </c>
      <c r="O84" s="93"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8" t="s">
        <v>3566</v>
      </c>
      <c r="R84" s="149" t="str">
        <f>IFERROR(__xludf.DUMMYFUNCTION("GOOGLETRANSLATE(B84,""zh-tw"",""es-MX"")"),"ASABA-4")</f>
        <v>ASABA-4</v>
      </c>
      <c r="S84" s="93"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8" t="s">
        <v>3566</v>
      </c>
      <c r="V84" s="149" t="str">
        <f>IFERROR(__xludf.DUMMYFUNCTION("GOOGLETRANSLATE(B84,""zh-tw"",""KO"")"),"아사바-4")</f>
        <v>아사바-4</v>
      </c>
      <c r="W84" s="93"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8" t="s">
        <v>3566</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8" t="s">
        <v>3566</v>
      </c>
      <c r="AD84" s="148" t="str">
        <f>IFERROR(__xludf.DUMMYFUNCTION("GOOGLETRANSLATE(B84,""zh-tw"",""de"")"),"ASABA-4")</f>
        <v>ASABA-4</v>
      </c>
      <c r="AE84" s="160" t="str">
        <f>IFERROR(__xludf.DUMMYFUNCTION("GOOGLETRANSLATE(C84,""zh-tw"",""de"")"),"Wenn du den normalen ASABA besiegst, erhältst du als Belohnung ""ASABAs Erdbeere"".")</f>
        <v>Wenn du den normalen ASABA besiegst, erhältst du als Belohnung "ASABAs Erdbeere".</v>
      </c>
      <c r="AF84" s="163" t="s">
        <v>3575</v>
      </c>
      <c r="AG84" s="88" t="s">
        <v>3566</v>
      </c>
      <c r="AH84" s="154" t="s">
        <v>3572</v>
      </c>
      <c r="AI84" s="178" t="s">
        <v>3576</v>
      </c>
      <c r="AJ84" s="41" t="s">
        <v>3577</v>
      </c>
      <c r="AK84" s="156" t="s">
        <v>3566</v>
      </c>
      <c r="AL84" s="157" t="s">
        <v>3572</v>
      </c>
      <c r="AM84" s="162" t="s">
        <v>3578</v>
      </c>
      <c r="AN84" s="177" t="s">
        <v>3579</v>
      </c>
      <c r="AO84" s="177"/>
    </row>
    <row r="85">
      <c r="A85" s="88" t="s">
        <v>3580</v>
      </c>
      <c r="B85" s="148" t="s">
        <v>3581</v>
      </c>
      <c r="C85" s="98" t="s">
        <v>3582</v>
      </c>
      <c r="D85" s="59" t="s">
        <v>3583</v>
      </c>
      <c r="E85" s="88" t="s">
        <v>3580</v>
      </c>
      <c r="F85" s="148" t="s">
        <v>3584</v>
      </c>
      <c r="G85" s="160" t="s">
        <v>3585</v>
      </c>
      <c r="H85" s="59" t="s">
        <v>3586</v>
      </c>
      <c r="I85" s="88" t="s">
        <v>3580</v>
      </c>
      <c r="J85" s="148" t="s">
        <v>3587</v>
      </c>
      <c r="K85" s="160" t="s">
        <v>3588</v>
      </c>
      <c r="L85" s="163" t="s">
        <v>3589</v>
      </c>
      <c r="M85" s="88" t="s">
        <v>3580</v>
      </c>
      <c r="N85" s="148" t="str">
        <f>IFERROR(__xludf.DUMMYFUNCTION("GOOGLETRANSLATE(B85,""zh-tw"",""zh"")"),"ASABA-5")</f>
        <v>ASABA-5</v>
      </c>
      <c r="O85" s="93"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8" t="s">
        <v>3580</v>
      </c>
      <c r="R85" s="149" t="str">
        <f>IFERROR(__xludf.DUMMYFUNCTION("GOOGLETRANSLATE(B85,""zh-tw"",""es-MX"")"),"ASABA-5")</f>
        <v>ASABA-5</v>
      </c>
      <c r="S85" s="93"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8" t="s">
        <v>3580</v>
      </c>
      <c r="V85" s="149" t="str">
        <f>IFERROR(__xludf.DUMMYFUNCTION("GOOGLETRANSLATE(B85,""zh-tw"",""KO"")"),"아사바-5")</f>
        <v>아사바-5</v>
      </c>
      <c r="W85" s="93"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8" t="s">
        <v>3580</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в награду «Клубнику ASABA».")</f>
        <v>Победив врага, вы получите в награду «Клубнику ASABA».</v>
      </c>
      <c r="AC85" s="88" t="s">
        <v>3580</v>
      </c>
      <c r="AD85" s="148" t="str">
        <f>IFERROR(__xludf.DUMMYFUNCTION("GOOGLETRANSLATE(B85,""zh-tw"",""de"")"),"ASABA-5")</f>
        <v>ASABA-5</v>
      </c>
      <c r="AE85" s="160" t="str">
        <f>IFERROR(__xludf.DUMMYFUNCTION("GOOGLETRANSLATE(C85,""zh-tw"",""de"")"),"Wenn man ASABA mit „ASABAs Erdbeere“ füttert, wird ein Bosskampf ausgelöst.")</f>
        <v>Wenn man ASABA mit „ASABAs Erdbeere“ füttert, wird ein Bosskampf ausgelöst.</v>
      </c>
      <c r="AF85" s="163" t="s">
        <v>3590</v>
      </c>
      <c r="AG85" s="88" t="s">
        <v>3580</v>
      </c>
      <c r="AH85" s="154" t="s">
        <v>3587</v>
      </c>
      <c r="AI85" s="178" t="s">
        <v>3591</v>
      </c>
      <c r="AJ85" s="41" t="s">
        <v>3592</v>
      </c>
      <c r="AK85" s="156" t="s">
        <v>3580</v>
      </c>
      <c r="AL85" s="157" t="s">
        <v>3587</v>
      </c>
      <c r="AM85" s="162" t="s">
        <v>3593</v>
      </c>
      <c r="AN85" s="177" t="s">
        <v>3594</v>
      </c>
      <c r="AO85" s="177"/>
    </row>
    <row r="86">
      <c r="A86" s="88" t="s">
        <v>3595</v>
      </c>
      <c r="B86" s="148" t="s">
        <v>3596</v>
      </c>
      <c r="C86" s="98" t="s">
        <v>3597</v>
      </c>
      <c r="D86" s="59" t="s">
        <v>3598</v>
      </c>
      <c r="E86" s="88" t="s">
        <v>3595</v>
      </c>
      <c r="F86" s="148" t="s">
        <v>3599</v>
      </c>
      <c r="G86" s="160" t="s">
        <v>3600</v>
      </c>
      <c r="H86" s="59" t="str">
        <f>IFERROR(__xludf.DUMMYFUNCTION("GOOGLETRANSLATE(D86,""zh-tw"",""ja"")"),"装備「イチゴを取り戻せ！！」を入手
（コマンドはスキルバーで確認できます）")</f>
        <v>装備「イチゴを取り戻せ！！」を入手
（コマンドはスキルバーで確認できます）</v>
      </c>
      <c r="I86" s="88" t="s">
        <v>3595</v>
      </c>
      <c r="J86" s="148" t="s">
        <v>3601</v>
      </c>
      <c r="K86" s="160" t="s">
        <v>3602</v>
      </c>
      <c r="L86" s="163" t="s">
        <v>3603</v>
      </c>
      <c r="M86" s="88" t="s">
        <v>3595</v>
      </c>
      <c r="N86" s="148" t="str">
        <f>IFERROR(__xludf.DUMMYFUNCTION("GOOGLETRANSLATE(B86,""zh-tw"",""zh"")"),"ASABA-6")</f>
        <v>ASABA-6</v>
      </c>
      <c r="O86" s="93"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8" t="s">
        <v>3595</v>
      </c>
      <c r="R86" s="149" t="str">
        <f>IFERROR(__xludf.DUMMYFUNCTION("GOOGLETRANSLATE(B86,""zh-tw"",""es-MX"")"),"ASABA-6")</f>
        <v>ASABA-6</v>
      </c>
      <c r="S86" s="93"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8" t="s">
        <v>3595</v>
      </c>
      <c r="V86" s="149" t="str">
        <f>IFERROR(__xludf.DUMMYFUNCTION("GOOGLETRANSLATE(B86,""zh-tw"",""KO"")"),"아사바-6")</f>
        <v>아사바-6</v>
      </c>
      <c r="W86" s="93"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8" t="s">
        <v>3595</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8" t="s">
        <v>3595</v>
      </c>
      <c r="AD86" s="148" t="str">
        <f>IFERROR(__xludf.DUMMYFUNCTION("GOOGLETRANSLATE(B86,""zh-tw"",""de"")"),"ASABA-6")</f>
        <v>ASABA-6</v>
      </c>
      <c r="AE86" s="160"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88" t="s">
        <v>3595</v>
      </c>
      <c r="AH86" s="154" t="s">
        <v>3601</v>
      </c>
      <c r="AI86" s="178" t="s">
        <v>3604</v>
      </c>
      <c r="AJ86" s="41" t="s">
        <v>3605</v>
      </c>
      <c r="AK86" s="156" t="s">
        <v>3595</v>
      </c>
      <c r="AL86" s="157" t="s">
        <v>3601</v>
      </c>
      <c r="AM86" s="162" t="s">
        <v>3606</v>
      </c>
      <c r="AN86" s="177" t="s">
        <v>3607</v>
      </c>
      <c r="AO86" s="177"/>
    </row>
    <row r="87">
      <c r="A87" s="88" t="s">
        <v>3608</v>
      </c>
      <c r="B87" s="148" t="s">
        <v>3609</v>
      </c>
      <c r="C87" s="98" t="s">
        <v>3610</v>
      </c>
      <c r="D87" s="59" t="s">
        <v>3611</v>
      </c>
      <c r="E87" s="88" t="s">
        <v>3608</v>
      </c>
      <c r="F87" s="148" t="s">
        <v>3609</v>
      </c>
      <c r="G87" s="98" t="s">
        <v>3612</v>
      </c>
      <c r="H87" s="59" t="s">
        <v>3613</v>
      </c>
      <c r="I87" s="88" t="s">
        <v>3608</v>
      </c>
      <c r="J87" s="148" t="s">
        <v>3609</v>
      </c>
      <c r="K87" s="98" t="s">
        <v>3614</v>
      </c>
      <c r="L87" s="59" t="s">
        <v>3615</v>
      </c>
      <c r="M87" s="88" t="s">
        <v>3608</v>
      </c>
      <c r="N87" s="148" t="str">
        <f>IFERROR(__xludf.DUMMYFUNCTION("GOOGLETRANSLATE(B87,""zh-tw"",""zh"")"),"◉▽◉?")</f>
        <v>◉▽◉?</v>
      </c>
      <c r="O87" s="93"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8" t="s">
        <v>3608</v>
      </c>
      <c r="R87" s="149" t="str">
        <f>IFERROR(__xludf.DUMMYFUNCTION("GOOGLETRANSLATE(B87,""zh-tw"",""es-MX"")"),"◉▽◉?")</f>
        <v>◉▽◉?</v>
      </c>
      <c r="S87" s="93"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8" t="s">
        <v>3608</v>
      </c>
      <c r="V87" s="149" t="str">
        <f>IFERROR(__xludf.DUMMYFUNCTION("GOOGLETRANSLATE(B87,""zh-tw"",""KO"")"),"◉▽◉?")</f>
        <v>◉▽◉?</v>
      </c>
      <c r="W87" s="93"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8" t="s">
        <v>3608</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8" t="s">
        <v>3608</v>
      </c>
      <c r="AD87" s="148" t="str">
        <f>IFERROR(__xludf.DUMMYFUNCTION("GOOGLETRANSLATE(B87,""zh-tw"",""de"")"),"◉▽◉?")</f>
        <v>◉▽◉?</v>
      </c>
      <c r="AE87" s="160"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88" t="s">
        <v>3608</v>
      </c>
      <c r="AH87" s="154" t="s">
        <v>3609</v>
      </c>
      <c r="AI87" s="155" t="s">
        <v>3616</v>
      </c>
      <c r="AJ87" s="41" t="s">
        <v>3617</v>
      </c>
      <c r="AK87" s="156" t="s">
        <v>3608</v>
      </c>
      <c r="AL87" s="157" t="s">
        <v>3609</v>
      </c>
      <c r="AM87" s="158" t="s">
        <v>3618</v>
      </c>
      <c r="AN87" s="159" t="s">
        <v>3619</v>
      </c>
      <c r="AO87" s="159"/>
    </row>
    <row r="88">
      <c r="A88" s="88" t="s">
        <v>3620</v>
      </c>
      <c r="B88" s="148" t="s">
        <v>3621</v>
      </c>
      <c r="C88" s="98" t="s">
        <v>3622</v>
      </c>
      <c r="D88" s="59" t="s">
        <v>3623</v>
      </c>
      <c r="E88" s="88" t="s">
        <v>3620</v>
      </c>
      <c r="F88" s="148" t="s">
        <v>3621</v>
      </c>
      <c r="G88" s="98" t="s">
        <v>3624</v>
      </c>
      <c r="H88" s="59" t="s">
        <v>3625</v>
      </c>
      <c r="I88" s="88" t="s">
        <v>3620</v>
      </c>
      <c r="J88" s="148" t="s">
        <v>3621</v>
      </c>
      <c r="K88" s="98" t="s">
        <v>3626</v>
      </c>
      <c r="L88" s="59" t="s">
        <v>3627</v>
      </c>
      <c r="M88" s="88" t="s">
        <v>3620</v>
      </c>
      <c r="N88" s="148" t="str">
        <f>IFERROR(__xludf.DUMMYFUNCTION("GOOGLETRANSLATE(B88,""zh-tw"",""zh"")"),"◉▽◉!?")</f>
        <v>◉▽◉!?</v>
      </c>
      <c r="O88" s="93"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8" t="s">
        <v>3620</v>
      </c>
      <c r="R88" s="149" t="str">
        <f>IFERROR(__xludf.DUMMYFUNCTION("GOOGLETRANSLATE(B88,""zh-tw"",""es-MX"")"),"◉▽◉!?")</f>
        <v>◉▽◉!?</v>
      </c>
      <c r="S88" s="93"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8" t="s">
        <v>3620</v>
      </c>
      <c r="V88" s="149" t="str">
        <f>IFERROR(__xludf.DUMMYFUNCTION("GOOGLETRANSLATE(B88,""zh-tw"",""KO"")"),"◉▽◉!?")</f>
        <v>◉▽◉!?</v>
      </c>
      <c r="W88" s="93"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8" t="s">
        <v>3620</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8" t="s">
        <v>3620</v>
      </c>
      <c r="AD88" s="148" t="str">
        <f>IFERROR(__xludf.DUMMYFUNCTION("GOOGLETRANSLATE(B88,""zh-tw"",""de"")"),"◉▽◉!?")</f>
        <v>◉▽◉!?</v>
      </c>
      <c r="AE88" s="160"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88" t="s">
        <v>3620</v>
      </c>
      <c r="AH88" s="154" t="s">
        <v>3621</v>
      </c>
      <c r="AI88" s="155" t="s">
        <v>3628</v>
      </c>
      <c r="AJ88" s="41" t="s">
        <v>3629</v>
      </c>
      <c r="AK88" s="156" t="s">
        <v>3620</v>
      </c>
      <c r="AL88" s="157" t="s">
        <v>3621</v>
      </c>
      <c r="AM88" s="158" t="s">
        <v>3630</v>
      </c>
      <c r="AN88" s="159" t="s">
        <v>3631</v>
      </c>
      <c r="AO88" s="159"/>
    </row>
    <row r="89">
      <c r="A89" s="88" t="s">
        <v>3632</v>
      </c>
      <c r="B89" s="148" t="s">
        <v>3633</v>
      </c>
      <c r="C89" s="98" t="s">
        <v>3634</v>
      </c>
      <c r="D89" s="59" t="s">
        <v>3635</v>
      </c>
      <c r="E89" s="88" t="s">
        <v>3632</v>
      </c>
      <c r="F89" s="148" t="s">
        <v>3633</v>
      </c>
      <c r="G89" s="98" t="s">
        <v>3636</v>
      </c>
      <c r="H89" s="59" t="s">
        <v>3637</v>
      </c>
      <c r="I89" s="88" t="s">
        <v>3632</v>
      </c>
      <c r="J89" s="148" t="s">
        <v>3633</v>
      </c>
      <c r="K89" s="98" t="s">
        <v>3638</v>
      </c>
      <c r="L89" s="59" t="s">
        <v>3639</v>
      </c>
      <c r="M89" s="88" t="s">
        <v>3632</v>
      </c>
      <c r="N89" s="148" t="str">
        <f>IFERROR(__xludf.DUMMYFUNCTION("GOOGLETRANSLATE(B89,""zh-tw"",""zh"")"),"♔
◉▽◉")</f>
        <v>♔
◉▽◉</v>
      </c>
      <c r="O89" s="93"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8" t="s">
        <v>3632</v>
      </c>
      <c r="R89" s="149" t="str">
        <f>IFERROR(__xludf.DUMMYFUNCTION("GOOGLETRANSLATE(B89,""zh-tw"",""es-MX"")"),"♔
◉▽◉")</f>
        <v>♔
◉▽◉</v>
      </c>
      <c r="S89" s="93"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8" t="s">
        <v>3632</v>
      </c>
      <c r="V89" s="149" t="str">
        <f>IFERROR(__xludf.DUMMYFUNCTION("GOOGLETRANSLATE(B89,""zh-tw"",""KO"")"),"♔
◉▽◉")</f>
        <v>♔
◉▽◉</v>
      </c>
      <c r="W89" s="93"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8" t="s">
        <v>3632</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8" t="s">
        <v>3632</v>
      </c>
      <c r="AD89" s="148" t="str">
        <f>IFERROR(__xludf.DUMMYFUNCTION("GOOGLETRANSLATE(B89,""zh-tw"",""de"")"),"♔
◉▽◉")</f>
        <v>♔
◉▽◉</v>
      </c>
      <c r="AE89" s="160"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8" t="s">
        <v>3632</v>
      </c>
      <c r="AH89" s="154" t="s">
        <v>3633</v>
      </c>
      <c r="AI89" s="155" t="s">
        <v>3640</v>
      </c>
      <c r="AJ89" s="163" t="s">
        <v>3641</v>
      </c>
      <c r="AK89" s="156" t="s">
        <v>3632</v>
      </c>
      <c r="AL89" s="157" t="s">
        <v>3633</v>
      </c>
      <c r="AM89" s="158" t="s">
        <v>3642</v>
      </c>
      <c r="AN89" s="159" t="s">
        <v>3643</v>
      </c>
      <c r="AO89" s="159"/>
    </row>
    <row r="90">
      <c r="A90" s="88" t="s">
        <v>3644</v>
      </c>
      <c r="B90" s="148" t="s">
        <v>3645</v>
      </c>
      <c r="C90" s="98" t="s">
        <v>3646</v>
      </c>
      <c r="D90" s="59" t="s">
        <v>3647</v>
      </c>
      <c r="E90" s="88" t="s">
        <v>3644</v>
      </c>
      <c r="F90" s="148" t="s">
        <v>3648</v>
      </c>
      <c r="G90" s="98" t="s">
        <v>3649</v>
      </c>
      <c r="H90" s="59" t="s">
        <v>3650</v>
      </c>
      <c r="I90" s="88" t="s">
        <v>3644</v>
      </c>
      <c r="J90" s="148" t="s">
        <v>3651</v>
      </c>
      <c r="K90" s="98" t="s">
        <v>3652</v>
      </c>
      <c r="L90" s="59" t="s">
        <v>3653</v>
      </c>
      <c r="M90" s="88" t="s">
        <v>3644</v>
      </c>
      <c r="N90" s="148" t="str">
        <f>IFERROR(__xludf.DUMMYFUNCTION("GOOGLETRANSLATE(B90,""zh-tw"",""zh"")"),"回归水中")</f>
        <v>回归水中</v>
      </c>
      <c r="O90" s="93"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8" t="s">
        <v>3644</v>
      </c>
      <c r="R90" s="149" t="str">
        <f>IFERROR(__xludf.DUMMYFUNCTION("GOOGLETRANSLATE(B90,""zh-tw"",""es-MX"")"),"Regresar al agua")</f>
        <v>Regresar al agua</v>
      </c>
      <c r="S90" s="93"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8" t="s">
        <v>3644</v>
      </c>
      <c r="V90" s="149" t="str">
        <f>IFERROR(__xludf.DUMMYFUNCTION("GOOGLETRANSLATE(B90,""zh-tw"",""KO"")"),"물로 돌아가다")</f>
        <v>물로 돌아가다</v>
      </c>
      <c r="W90" s="93"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8" t="s">
        <v>3644</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8" t="s">
        <v>3644</v>
      </c>
      <c r="AD90" s="148" t="s">
        <v>3654</v>
      </c>
      <c r="AE90" s="160"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3655</v>
      </c>
      <c r="AG90" s="88" t="s">
        <v>3644</v>
      </c>
      <c r="AH90" s="154" t="s">
        <v>3656</v>
      </c>
      <c r="AI90" s="155" t="s">
        <v>3657</v>
      </c>
      <c r="AJ90" s="41" t="s">
        <v>3658</v>
      </c>
      <c r="AK90" s="156" t="s">
        <v>3644</v>
      </c>
      <c r="AL90" s="157" t="s">
        <v>3659</v>
      </c>
      <c r="AM90" s="158" t="s">
        <v>3660</v>
      </c>
      <c r="AN90" s="159" t="s">
        <v>3661</v>
      </c>
      <c r="AO90" s="159"/>
    </row>
    <row r="91">
      <c r="A91" s="88" t="s">
        <v>3662</v>
      </c>
      <c r="B91" s="148" t="s">
        <v>3663</v>
      </c>
      <c r="C91" s="98" t="s">
        <v>3664</v>
      </c>
      <c r="D91" s="59" t="s">
        <v>3665</v>
      </c>
      <c r="E91" s="88" t="s">
        <v>3662</v>
      </c>
      <c r="F91" s="148" t="s">
        <v>3666</v>
      </c>
      <c r="G91" s="98" t="s">
        <v>3667</v>
      </c>
      <c r="H91" s="59" t="s">
        <v>3668</v>
      </c>
      <c r="I91" s="88" t="s">
        <v>3662</v>
      </c>
      <c r="J91" s="148" t="s">
        <v>3669</v>
      </c>
      <c r="K91" s="98" t="s">
        <v>3670</v>
      </c>
      <c r="L91" s="59" t="s">
        <v>3671</v>
      </c>
      <c r="M91" s="88" t="s">
        <v>3662</v>
      </c>
      <c r="N91" s="148" t="str">
        <f>IFERROR(__xludf.DUMMYFUNCTION("GOOGLETRANSLATE(B91,""zh-tw"",""zh"")"),"发光的胡萝卜")</f>
        <v>发光的胡萝卜</v>
      </c>
      <c r="O91" s="93"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8" t="s">
        <v>3662</v>
      </c>
      <c r="R91" s="149" t="str">
        <f>IFERROR(__xludf.DUMMYFUNCTION("GOOGLETRANSLATE(B91,""zh-tw"",""es-MX"")"),"Zanahorias brillantes")</f>
        <v>Zanahorias brillantes</v>
      </c>
      <c r="S91" s="93"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8" t="s">
        <v>3662</v>
      </c>
      <c r="V91" s="149" t="str">
        <f>IFERROR(__xludf.DUMMYFUNCTION("GOOGLETRANSLATE(B91,""zh-tw"",""KO"")"),"빛나는 당근")</f>
        <v>빛나는 당근</v>
      </c>
      <c r="W91" s="93"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8" t="s">
        <v>3662</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8" t="s">
        <v>3662</v>
      </c>
      <c r="AD91" s="148" t="s">
        <v>3672</v>
      </c>
      <c r="AE91" s="160"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3673</v>
      </c>
      <c r="AG91" s="88" t="s">
        <v>3662</v>
      </c>
      <c r="AH91" s="154" t="s">
        <v>3674</v>
      </c>
      <c r="AI91" s="155" t="s">
        <v>3675</v>
      </c>
      <c r="AJ91" s="163" t="s">
        <v>3676</v>
      </c>
      <c r="AK91" s="156" t="s">
        <v>3662</v>
      </c>
      <c r="AL91" s="157" t="s">
        <v>3677</v>
      </c>
      <c r="AM91" s="158" t="s">
        <v>3678</v>
      </c>
      <c r="AN91" s="159" t="s">
        <v>3679</v>
      </c>
      <c r="AO91" s="159"/>
    </row>
    <row r="92">
      <c r="A92" s="88" t="s">
        <v>3680</v>
      </c>
      <c r="B92" s="148" t="s">
        <v>3681</v>
      </c>
      <c r="C92" s="98" t="s">
        <v>3682</v>
      </c>
      <c r="D92" s="59" t="s">
        <v>641</v>
      </c>
      <c r="E92" s="88" t="s">
        <v>3680</v>
      </c>
      <c r="F92" s="148" t="s">
        <v>3683</v>
      </c>
      <c r="G92" s="98" t="s">
        <v>3684</v>
      </c>
      <c r="H92" s="59" t="s">
        <v>644</v>
      </c>
      <c r="I92" s="88" t="s">
        <v>3680</v>
      </c>
      <c r="J92" s="148" t="s">
        <v>3685</v>
      </c>
      <c r="K92" s="98" t="s">
        <v>3686</v>
      </c>
      <c r="L92" s="59" t="s">
        <v>3084</v>
      </c>
      <c r="M92" s="88" t="s">
        <v>3680</v>
      </c>
      <c r="N92" s="148" t="str">
        <f>IFERROR(__xludf.DUMMYFUNCTION("GOOGLETRANSLATE(B92,""zh-tw"",""zh"")"),"萝卜大剑")</f>
        <v>萝卜大剑</v>
      </c>
      <c r="O92" s="93"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8" t="s">
        <v>3680</v>
      </c>
      <c r="R92" s="149" t="str">
        <f>IFERROR(__xludf.DUMMYFUNCTION("GOOGLETRANSLATE(B92,""zh-tw"",""es-MX"")"),"Espada grande")</f>
        <v>Espada grande</v>
      </c>
      <c r="S92" s="93"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8" t="s">
        <v>3680</v>
      </c>
      <c r="V92" s="149" t="str">
        <f>IFERROR(__xludf.DUMMYFUNCTION("GOOGLETRANSLATE(B92,""zh-tw"",""KO"")"),"큰 검")</f>
        <v>큰 검</v>
      </c>
      <c r="W92" s="93"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8" t="s">
        <v>3680</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8" t="s">
        <v>3680</v>
      </c>
      <c r="AD92" s="148" t="s">
        <v>3687</v>
      </c>
      <c r="AE92" s="160"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659</v>
      </c>
      <c r="AG92" s="88" t="s">
        <v>3680</v>
      </c>
      <c r="AH92" s="154" t="s">
        <v>3688</v>
      </c>
      <c r="AI92" s="155" t="s">
        <v>3689</v>
      </c>
      <c r="AJ92" s="41" t="s">
        <v>3690</v>
      </c>
      <c r="AK92" s="156" t="s">
        <v>3680</v>
      </c>
      <c r="AL92" s="157" t="s">
        <v>3691</v>
      </c>
      <c r="AM92" s="158" t="s">
        <v>3692</v>
      </c>
      <c r="AN92" s="159" t="s">
        <v>3093</v>
      </c>
      <c r="AO92" s="159"/>
    </row>
    <row r="93">
      <c r="A93" s="88" t="s">
        <v>3693</v>
      </c>
      <c r="B93" s="148" t="s">
        <v>3694</v>
      </c>
      <c r="C93" s="98" t="s">
        <v>3695</v>
      </c>
      <c r="D93" s="59" t="s">
        <v>641</v>
      </c>
      <c r="E93" s="88" t="s">
        <v>3693</v>
      </c>
      <c r="F93" s="148" t="s">
        <v>3696</v>
      </c>
      <c r="G93" s="98" t="s">
        <v>3697</v>
      </c>
      <c r="H93" s="59" t="s">
        <v>644</v>
      </c>
      <c r="I93" s="88" t="s">
        <v>3693</v>
      </c>
      <c r="J93" s="148" t="s">
        <v>3698</v>
      </c>
      <c r="K93" s="98" t="s">
        <v>3699</v>
      </c>
      <c r="L93" s="59" t="s">
        <v>3084</v>
      </c>
      <c r="M93" s="88" t="s">
        <v>3693</v>
      </c>
      <c r="N93" s="148" t="str">
        <f>IFERROR(__xludf.DUMMYFUNCTION("GOOGLETRANSLATE(B93,""zh-tw"",""zh"")"),"萝卜大剑-1")</f>
        <v>萝卜大剑-1</v>
      </c>
      <c r="O93" s="93"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8" t="s">
        <v>3693</v>
      </c>
      <c r="R93" s="149" t="str">
        <f>IFERROR(__xludf.DUMMYFUNCTION("GOOGLETRANSLATE(B93,""zh-tw"",""es-MX"")"),"Espada larga de zanahoria - 1")</f>
        <v>Espada larga de zanahoria - 1</v>
      </c>
      <c r="S93" s="93"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8" t="s">
        <v>3693</v>
      </c>
      <c r="V93" s="149" t="str">
        <f>IFERROR(__xludf.DUMMYFUNCTION("GOOGLETRANSLATE(B93,""zh-tw"",""KO"")"),"당근 대검 - 1")</f>
        <v>당근 대검 - 1</v>
      </c>
      <c r="W93" s="93"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8" t="s">
        <v>3693</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8" t="s">
        <v>3693</v>
      </c>
      <c r="AD93" s="148" t="s">
        <v>3700</v>
      </c>
      <c r="AE93" s="160"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659</v>
      </c>
      <c r="AG93" s="88" t="s">
        <v>3693</v>
      </c>
      <c r="AH93" s="154" t="s">
        <v>3701</v>
      </c>
      <c r="AI93" s="155" t="s">
        <v>3702</v>
      </c>
      <c r="AJ93" s="41" t="s">
        <v>3690</v>
      </c>
      <c r="AK93" s="156" t="s">
        <v>3693</v>
      </c>
      <c r="AL93" s="157" t="s">
        <v>3703</v>
      </c>
      <c r="AM93" s="158" t="s">
        <v>3704</v>
      </c>
      <c r="AN93" s="159" t="s">
        <v>3093</v>
      </c>
      <c r="AO93" s="159"/>
    </row>
    <row r="94">
      <c r="A94" s="112"/>
      <c r="B94" s="149"/>
      <c r="C94" s="98"/>
      <c r="D94" s="59"/>
      <c r="E94" s="112"/>
      <c r="F94" s="149"/>
      <c r="G94" s="93"/>
      <c r="H94" s="61"/>
      <c r="I94" s="112"/>
      <c r="J94" s="149"/>
      <c r="K94" s="93"/>
      <c r="L94" s="61"/>
      <c r="M94" s="112"/>
      <c r="N94" s="115"/>
      <c r="O94" s="93"/>
      <c r="P94" s="61"/>
      <c r="Q94" s="180"/>
      <c r="R94" s="115"/>
      <c r="S94" s="93"/>
      <c r="T94" s="61"/>
      <c r="U94" s="180"/>
      <c r="V94" s="115"/>
      <c r="W94" s="93"/>
      <c r="X94" s="61"/>
      <c r="Y94" s="112"/>
      <c r="Z94" s="181"/>
      <c r="AA94" s="182"/>
      <c r="AB94" s="183"/>
      <c r="AC94" s="112"/>
      <c r="AD94" s="115"/>
      <c r="AE94" s="151"/>
      <c r="AF94" s="184"/>
      <c r="AG94" s="185"/>
      <c r="AH94" s="186"/>
      <c r="AI94" s="187"/>
      <c r="AJ94" s="61"/>
      <c r="AK94" s="61"/>
      <c r="AL94" s="61"/>
      <c r="AM94" s="61"/>
      <c r="AN94" s="61"/>
      <c r="AO94" s="61"/>
    </row>
    <row r="95">
      <c r="A95" s="112"/>
      <c r="B95" s="149"/>
      <c r="C95" s="93"/>
      <c r="D95" s="61"/>
      <c r="E95" s="112"/>
      <c r="F95" s="149"/>
      <c r="G95" s="93"/>
      <c r="H95" s="61"/>
      <c r="I95" s="112"/>
      <c r="J95" s="149"/>
      <c r="K95" s="93"/>
      <c r="L95" s="61"/>
      <c r="M95" s="112"/>
      <c r="N95" s="115"/>
      <c r="O95" s="93"/>
      <c r="P95" s="61"/>
      <c r="Q95" s="180"/>
      <c r="R95" s="115"/>
      <c r="S95" s="93"/>
      <c r="T95" s="61"/>
      <c r="U95" s="180"/>
      <c r="V95" s="115"/>
      <c r="W95" s="93"/>
      <c r="X95" s="61"/>
      <c r="Y95" s="112"/>
      <c r="Z95" s="181"/>
      <c r="AA95" s="182"/>
      <c r="AB95" s="183"/>
      <c r="AC95" s="112"/>
      <c r="AD95" s="115"/>
      <c r="AE95" s="151"/>
      <c r="AF95" s="184"/>
      <c r="AG95" s="185"/>
      <c r="AH95" s="186"/>
      <c r="AI95" s="187"/>
      <c r="AJ95" s="61"/>
      <c r="AK95" s="61"/>
      <c r="AL95" s="61"/>
      <c r="AM95" s="61"/>
      <c r="AN95" s="61"/>
      <c r="AO95" s="61"/>
    </row>
    <row r="96">
      <c r="A96" s="112"/>
      <c r="B96" s="149"/>
      <c r="C96" s="93"/>
      <c r="D96" s="61"/>
      <c r="E96" s="112"/>
      <c r="F96" s="149"/>
      <c r="G96" s="93"/>
      <c r="H96" s="61"/>
      <c r="I96" s="112"/>
      <c r="J96" s="149"/>
      <c r="K96" s="93"/>
      <c r="L96" s="61"/>
      <c r="M96" s="112"/>
      <c r="N96" s="115"/>
      <c r="O96" s="93"/>
      <c r="P96" s="61"/>
      <c r="Q96" s="180"/>
      <c r="R96" s="115"/>
      <c r="S96" s="93"/>
      <c r="T96" s="61"/>
      <c r="U96" s="180"/>
      <c r="V96" s="115"/>
      <c r="W96" s="93"/>
      <c r="X96" s="61"/>
      <c r="Y96" s="112"/>
      <c r="Z96" s="181"/>
      <c r="AA96" s="182"/>
      <c r="AB96" s="183"/>
      <c r="AC96" s="112"/>
      <c r="AD96" s="115"/>
      <c r="AE96" s="151"/>
      <c r="AF96" s="184"/>
      <c r="AG96" s="185"/>
      <c r="AH96" s="186"/>
      <c r="AI96" s="187"/>
      <c r="AJ96" s="61"/>
      <c r="AK96" s="61"/>
      <c r="AL96" s="61"/>
      <c r="AM96" s="61"/>
      <c r="AN96" s="61"/>
      <c r="AO96" s="61"/>
    </row>
    <row r="97">
      <c r="A97" s="112"/>
      <c r="B97" s="149"/>
      <c r="C97" s="93"/>
      <c r="D97" s="61"/>
      <c r="E97" s="112"/>
      <c r="F97" s="149"/>
      <c r="G97" s="93"/>
      <c r="H97" s="61"/>
      <c r="I97" s="112"/>
      <c r="J97" s="149"/>
      <c r="K97" s="93"/>
      <c r="L97" s="61"/>
      <c r="M97" s="112"/>
      <c r="N97" s="115"/>
      <c r="O97" s="93"/>
      <c r="P97" s="61"/>
      <c r="Q97" s="180"/>
      <c r="R97" s="115"/>
      <c r="S97" s="93"/>
      <c r="T97" s="61"/>
      <c r="U97" s="180"/>
      <c r="V97" s="115"/>
      <c r="W97" s="93"/>
      <c r="X97" s="61"/>
      <c r="Y97" s="112"/>
      <c r="Z97" s="181"/>
      <c r="AA97" s="182"/>
      <c r="AB97" s="183"/>
      <c r="AC97" s="112"/>
      <c r="AD97" s="115"/>
      <c r="AE97" s="151"/>
      <c r="AF97" s="184"/>
      <c r="AG97" s="185"/>
      <c r="AH97" s="186"/>
      <c r="AI97" s="187"/>
      <c r="AJ97" s="61"/>
      <c r="AK97" s="61"/>
      <c r="AL97" s="61"/>
      <c r="AM97" s="61"/>
      <c r="AN97" s="61"/>
      <c r="AO97" s="61"/>
    </row>
    <row r="98">
      <c r="A98" s="112"/>
      <c r="B98" s="149"/>
      <c r="C98" s="93"/>
      <c r="D98" s="61"/>
      <c r="E98" s="112"/>
      <c r="F98" s="149"/>
      <c r="G98" s="93"/>
      <c r="H98" s="61"/>
      <c r="I98" s="112"/>
      <c r="J98" s="149"/>
      <c r="K98" s="93"/>
      <c r="L98" s="61"/>
      <c r="M98" s="112"/>
      <c r="N98" s="115"/>
      <c r="O98" s="93"/>
      <c r="P98" s="61"/>
      <c r="Q98" s="180"/>
      <c r="R98" s="115"/>
      <c r="S98" s="93"/>
      <c r="T98" s="61"/>
      <c r="U98" s="180"/>
      <c r="V98" s="115"/>
      <c r="W98" s="93"/>
      <c r="X98" s="61"/>
      <c r="Y98" s="112"/>
      <c r="Z98" s="181"/>
      <c r="AA98" s="182"/>
      <c r="AB98" s="183"/>
      <c r="AC98" s="112"/>
      <c r="AD98" s="115"/>
      <c r="AE98" s="151"/>
      <c r="AF98" s="184"/>
      <c r="AG98" s="185"/>
      <c r="AH98" s="186"/>
      <c r="AI98" s="187"/>
      <c r="AJ98" s="61"/>
      <c r="AK98" s="61"/>
      <c r="AL98" s="61"/>
      <c r="AM98" s="61"/>
      <c r="AN98" s="61"/>
      <c r="AO98" s="61"/>
    </row>
    <row r="99">
      <c r="A99" s="112"/>
      <c r="B99" s="149"/>
      <c r="C99" s="93"/>
      <c r="D99" s="61"/>
      <c r="E99" s="112"/>
      <c r="F99" s="149"/>
      <c r="G99" s="93"/>
      <c r="H99" s="61"/>
      <c r="I99" s="112"/>
      <c r="J99" s="149"/>
      <c r="K99" s="93"/>
      <c r="L99" s="61"/>
      <c r="M99" s="112"/>
      <c r="N99" s="115"/>
      <c r="O99" s="93"/>
      <c r="P99" s="61"/>
      <c r="Q99" s="180"/>
      <c r="R99" s="115"/>
      <c r="S99" s="93"/>
      <c r="T99" s="61"/>
      <c r="U99" s="180"/>
      <c r="V99" s="115"/>
      <c r="W99" s="93"/>
      <c r="X99" s="61"/>
      <c r="Y99" s="112"/>
      <c r="Z99" s="181"/>
      <c r="AA99" s="182"/>
      <c r="AB99" s="183"/>
      <c r="AC99" s="112"/>
      <c r="AD99" s="115"/>
      <c r="AE99" s="151"/>
      <c r="AF99" s="184"/>
      <c r="AG99" s="185"/>
      <c r="AH99" s="186"/>
      <c r="AI99" s="187"/>
      <c r="AJ99" s="61"/>
      <c r="AK99" s="61"/>
      <c r="AL99" s="61"/>
      <c r="AM99" s="61"/>
      <c r="AN99" s="61"/>
      <c r="AO99" s="61"/>
    </row>
    <row r="100">
      <c r="A100" s="112"/>
      <c r="B100" s="149"/>
      <c r="C100" s="93"/>
      <c r="D100" s="61"/>
      <c r="E100" s="112"/>
      <c r="F100" s="149"/>
      <c r="G100" s="93"/>
      <c r="H100" s="61"/>
      <c r="I100" s="112"/>
      <c r="J100" s="149"/>
      <c r="K100" s="93"/>
      <c r="L100" s="61"/>
      <c r="M100" s="112"/>
      <c r="N100" s="115"/>
      <c r="O100" s="93"/>
      <c r="P100" s="61"/>
      <c r="Q100" s="180"/>
      <c r="R100" s="115"/>
      <c r="S100" s="93"/>
      <c r="T100" s="61"/>
      <c r="U100" s="180"/>
      <c r="V100" s="115"/>
      <c r="W100" s="93"/>
      <c r="X100" s="61"/>
      <c r="Y100" s="112"/>
      <c r="Z100" s="181"/>
      <c r="AA100" s="182"/>
      <c r="AB100" s="183"/>
      <c r="AC100" s="112"/>
      <c r="AD100" s="115"/>
      <c r="AE100" s="151"/>
      <c r="AF100" s="184"/>
      <c r="AG100" s="185"/>
      <c r="AH100" s="186"/>
      <c r="AI100" s="187"/>
      <c r="AJ100" s="61"/>
      <c r="AK100" s="61"/>
      <c r="AL100" s="61"/>
      <c r="AM100" s="61"/>
      <c r="AN100" s="61"/>
      <c r="AO100" s="61"/>
    </row>
    <row r="101">
      <c r="A101" s="112"/>
      <c r="B101" s="149"/>
      <c r="C101" s="93"/>
      <c r="D101" s="61"/>
      <c r="E101" s="112"/>
      <c r="F101" s="149"/>
      <c r="G101" s="93"/>
      <c r="H101" s="61"/>
      <c r="I101" s="112"/>
      <c r="J101" s="149"/>
      <c r="K101" s="93"/>
      <c r="L101" s="61"/>
      <c r="M101" s="112"/>
      <c r="N101" s="115"/>
      <c r="O101" s="93"/>
      <c r="P101" s="61"/>
      <c r="Q101" s="180"/>
      <c r="R101" s="115"/>
      <c r="S101" s="93"/>
      <c r="T101" s="61"/>
      <c r="U101" s="180"/>
      <c r="V101" s="115"/>
      <c r="W101" s="93"/>
      <c r="X101" s="61"/>
      <c r="Y101" s="112"/>
      <c r="Z101" s="181"/>
      <c r="AA101" s="182"/>
      <c r="AB101" s="183"/>
      <c r="AC101" s="112"/>
      <c r="AD101" s="115"/>
      <c r="AE101" s="151"/>
      <c r="AF101" s="184"/>
      <c r="AG101" s="185"/>
      <c r="AH101" s="186"/>
      <c r="AI101" s="187"/>
      <c r="AJ101" s="61"/>
      <c r="AK101" s="61"/>
      <c r="AL101" s="61"/>
      <c r="AM101" s="61"/>
      <c r="AN101" s="61"/>
      <c r="AO101" s="61"/>
    </row>
    <row r="102">
      <c r="A102" s="112"/>
      <c r="B102" s="149"/>
      <c r="C102" s="93"/>
      <c r="D102" s="61"/>
      <c r="E102" s="112"/>
      <c r="F102" s="149"/>
      <c r="G102" s="93"/>
      <c r="H102" s="61"/>
      <c r="I102" s="112"/>
      <c r="J102" s="149"/>
      <c r="K102" s="93"/>
      <c r="L102" s="61"/>
      <c r="M102" s="112"/>
      <c r="N102" s="115"/>
      <c r="O102" s="93"/>
      <c r="P102" s="61"/>
      <c r="Q102" s="180"/>
      <c r="R102" s="115"/>
      <c r="S102" s="93"/>
      <c r="T102" s="61"/>
      <c r="U102" s="180"/>
      <c r="V102" s="115"/>
      <c r="W102" s="93"/>
      <c r="X102" s="61"/>
      <c r="Y102" s="112"/>
      <c r="Z102" s="181"/>
      <c r="AA102" s="182"/>
      <c r="AB102" s="183"/>
      <c r="AC102" s="112"/>
      <c r="AD102" s="115"/>
      <c r="AE102" s="151"/>
      <c r="AF102" s="184"/>
      <c r="AG102" s="185"/>
      <c r="AH102" s="186"/>
      <c r="AI102" s="187"/>
      <c r="AJ102" s="61"/>
      <c r="AK102" s="61"/>
      <c r="AL102" s="61"/>
      <c r="AM102" s="61"/>
      <c r="AN102" s="61"/>
      <c r="AO102" s="61"/>
    </row>
    <row r="103">
      <c r="A103" s="112"/>
      <c r="B103" s="149"/>
      <c r="C103" s="93"/>
      <c r="D103" s="61"/>
      <c r="E103" s="112"/>
      <c r="F103" s="149"/>
      <c r="G103" s="93"/>
      <c r="H103" s="61"/>
      <c r="I103" s="112"/>
      <c r="J103" s="149"/>
      <c r="K103" s="93"/>
      <c r="L103" s="61"/>
      <c r="M103" s="112"/>
      <c r="N103" s="115"/>
      <c r="O103" s="93"/>
      <c r="P103" s="61"/>
      <c r="Q103" s="180"/>
      <c r="R103" s="115"/>
      <c r="S103" s="93"/>
      <c r="T103" s="61"/>
      <c r="U103" s="180"/>
      <c r="V103" s="115"/>
      <c r="W103" s="93"/>
      <c r="X103" s="61"/>
      <c r="Y103" s="112"/>
      <c r="Z103" s="181"/>
      <c r="AA103" s="182"/>
      <c r="AB103" s="183"/>
      <c r="AC103" s="112"/>
      <c r="AD103" s="115"/>
      <c r="AE103" s="151"/>
      <c r="AF103" s="184"/>
      <c r="AG103" s="185"/>
      <c r="AH103" s="186"/>
      <c r="AI103" s="187"/>
      <c r="AJ103" s="61"/>
      <c r="AK103" s="61"/>
      <c r="AL103" s="61"/>
      <c r="AM103" s="61"/>
      <c r="AN103" s="61"/>
      <c r="AO103" s="61"/>
    </row>
    <row r="104">
      <c r="A104" s="112"/>
      <c r="B104" s="149"/>
      <c r="C104" s="93"/>
      <c r="D104" s="61"/>
      <c r="E104" s="112"/>
      <c r="F104" s="149"/>
      <c r="G104" s="93"/>
      <c r="H104" s="61"/>
      <c r="I104" s="112"/>
      <c r="J104" s="149"/>
      <c r="K104" s="93"/>
      <c r="L104" s="61"/>
      <c r="M104" s="112"/>
      <c r="N104" s="115"/>
      <c r="O104" s="93"/>
      <c r="P104" s="61"/>
      <c r="Q104" s="180"/>
      <c r="R104" s="115"/>
      <c r="S104" s="93"/>
      <c r="T104" s="61"/>
      <c r="U104" s="180"/>
      <c r="V104" s="115"/>
      <c r="W104" s="93"/>
      <c r="X104" s="61"/>
      <c r="Y104" s="112"/>
      <c r="Z104" s="181"/>
      <c r="AA104" s="182"/>
      <c r="AB104" s="183"/>
      <c r="AC104" s="112"/>
      <c r="AD104" s="115"/>
      <c r="AE104" s="151"/>
      <c r="AF104" s="184"/>
      <c r="AG104" s="185"/>
      <c r="AH104" s="186"/>
      <c r="AI104" s="187"/>
      <c r="AJ104" s="61"/>
      <c r="AK104" s="61"/>
      <c r="AL104" s="61"/>
      <c r="AM104" s="61"/>
      <c r="AN104" s="61"/>
      <c r="AO104" s="61"/>
    </row>
    <row r="105">
      <c r="A105" s="112"/>
      <c r="B105" s="149"/>
      <c r="C105" s="93"/>
      <c r="D105" s="61"/>
      <c r="E105" s="112"/>
      <c r="F105" s="149"/>
      <c r="G105" s="93"/>
      <c r="H105" s="61"/>
      <c r="I105" s="112"/>
      <c r="J105" s="149"/>
      <c r="K105" s="93"/>
      <c r="L105" s="61"/>
      <c r="M105" s="112"/>
      <c r="N105" s="115"/>
      <c r="O105" s="93"/>
      <c r="P105" s="61"/>
      <c r="Q105" s="180"/>
      <c r="R105" s="115"/>
      <c r="S105" s="93"/>
      <c r="T105" s="61"/>
      <c r="U105" s="180"/>
      <c r="V105" s="115"/>
      <c r="W105" s="93"/>
      <c r="X105" s="61"/>
      <c r="Y105" s="112"/>
      <c r="Z105" s="181"/>
      <c r="AA105" s="182"/>
      <c r="AB105" s="183"/>
      <c r="AC105" s="112"/>
      <c r="AD105" s="115"/>
      <c r="AE105" s="151"/>
      <c r="AF105" s="184"/>
      <c r="AG105" s="185"/>
      <c r="AH105" s="186"/>
      <c r="AI105" s="187"/>
      <c r="AJ105" s="61"/>
      <c r="AK105" s="61"/>
      <c r="AL105" s="61"/>
      <c r="AM105" s="61"/>
      <c r="AN105" s="61"/>
      <c r="AO105" s="61"/>
    </row>
    <row r="106">
      <c r="A106" s="112"/>
      <c r="B106" s="149"/>
      <c r="C106" s="93"/>
      <c r="D106" s="61"/>
      <c r="E106" s="112"/>
      <c r="F106" s="149"/>
      <c r="G106" s="93"/>
      <c r="H106" s="61"/>
      <c r="I106" s="112"/>
      <c r="J106" s="149"/>
      <c r="K106" s="93"/>
      <c r="L106" s="61"/>
      <c r="M106" s="112"/>
      <c r="N106" s="115"/>
      <c r="O106" s="93"/>
      <c r="P106" s="61"/>
      <c r="Q106" s="180"/>
      <c r="R106" s="115"/>
      <c r="S106" s="93"/>
      <c r="T106" s="61"/>
      <c r="U106" s="180"/>
      <c r="V106" s="115"/>
      <c r="W106" s="93"/>
      <c r="X106" s="61"/>
      <c r="Y106" s="112"/>
      <c r="Z106" s="181"/>
      <c r="AA106" s="182"/>
      <c r="AB106" s="183"/>
      <c r="AC106" s="112"/>
      <c r="AD106" s="115"/>
      <c r="AE106" s="151"/>
      <c r="AF106" s="184"/>
      <c r="AG106" s="185"/>
      <c r="AH106" s="186"/>
      <c r="AI106" s="187"/>
      <c r="AJ106" s="61"/>
      <c r="AK106" s="61"/>
      <c r="AL106" s="61"/>
      <c r="AM106" s="61"/>
      <c r="AN106" s="61"/>
      <c r="AO106" s="61"/>
    </row>
    <row r="107">
      <c r="A107" s="112"/>
      <c r="B107" s="149"/>
      <c r="C107" s="93"/>
      <c r="D107" s="61"/>
      <c r="E107" s="112"/>
      <c r="F107" s="149"/>
      <c r="G107" s="93"/>
      <c r="H107" s="61"/>
      <c r="I107" s="112"/>
      <c r="J107" s="149"/>
      <c r="K107" s="93"/>
      <c r="L107" s="61"/>
      <c r="M107" s="112"/>
      <c r="N107" s="115"/>
      <c r="O107" s="93"/>
      <c r="P107" s="61"/>
      <c r="Q107" s="180"/>
      <c r="R107" s="115"/>
      <c r="S107" s="93"/>
      <c r="T107" s="61"/>
      <c r="U107" s="180"/>
      <c r="V107" s="115"/>
      <c r="W107" s="93"/>
      <c r="X107" s="61"/>
      <c r="Y107" s="112"/>
      <c r="Z107" s="181"/>
      <c r="AA107" s="182"/>
      <c r="AB107" s="183"/>
      <c r="AC107" s="112"/>
      <c r="AD107" s="115"/>
      <c r="AE107" s="151"/>
      <c r="AF107" s="184"/>
      <c r="AG107" s="185"/>
      <c r="AH107" s="186"/>
      <c r="AI107" s="187"/>
      <c r="AJ107" s="61"/>
      <c r="AK107" s="61"/>
      <c r="AL107" s="61"/>
      <c r="AM107" s="61"/>
      <c r="AN107" s="61"/>
      <c r="AO107" s="61"/>
    </row>
    <row r="108">
      <c r="A108" s="112"/>
      <c r="B108" s="149"/>
      <c r="C108" s="93"/>
      <c r="D108" s="61"/>
      <c r="E108" s="112"/>
      <c r="F108" s="149"/>
      <c r="G108" s="93"/>
      <c r="H108" s="61"/>
      <c r="I108" s="112"/>
      <c r="J108" s="149"/>
      <c r="K108" s="93"/>
      <c r="L108" s="61"/>
      <c r="M108" s="112"/>
      <c r="N108" s="115"/>
      <c r="O108" s="93"/>
      <c r="P108" s="61"/>
      <c r="Q108" s="180"/>
      <c r="R108" s="115"/>
      <c r="S108" s="93"/>
      <c r="T108" s="61"/>
      <c r="U108" s="180"/>
      <c r="V108" s="115"/>
      <c r="W108" s="93"/>
      <c r="X108" s="61"/>
      <c r="Y108" s="112"/>
      <c r="Z108" s="181"/>
      <c r="AA108" s="182"/>
      <c r="AB108" s="183"/>
      <c r="AC108" s="112"/>
      <c r="AD108" s="115"/>
      <c r="AE108" s="151"/>
      <c r="AF108" s="184"/>
      <c r="AG108" s="185"/>
      <c r="AH108" s="186"/>
      <c r="AI108" s="187"/>
      <c r="AJ108" s="61"/>
      <c r="AK108" s="61"/>
      <c r="AL108" s="61"/>
      <c r="AM108" s="61"/>
      <c r="AN108" s="61"/>
      <c r="AO108" s="61"/>
    </row>
    <row r="109">
      <c r="A109" s="112"/>
      <c r="B109" s="149"/>
      <c r="C109" s="93"/>
      <c r="D109" s="61"/>
      <c r="E109" s="112"/>
      <c r="F109" s="149"/>
      <c r="G109" s="93"/>
      <c r="H109" s="61"/>
      <c r="I109" s="112"/>
      <c r="J109" s="149"/>
      <c r="K109" s="93"/>
      <c r="L109" s="61"/>
      <c r="M109" s="112"/>
      <c r="N109" s="115"/>
      <c r="O109" s="93"/>
      <c r="P109" s="61"/>
      <c r="Q109" s="180"/>
      <c r="R109" s="115"/>
      <c r="S109" s="93"/>
      <c r="T109" s="61"/>
      <c r="U109" s="180"/>
      <c r="V109" s="115"/>
      <c r="W109" s="93"/>
      <c r="X109" s="61"/>
      <c r="Y109" s="112"/>
      <c r="Z109" s="181"/>
      <c r="AA109" s="182"/>
      <c r="AB109" s="183"/>
      <c r="AC109" s="112"/>
      <c r="AD109" s="115"/>
      <c r="AE109" s="151"/>
      <c r="AF109" s="184"/>
      <c r="AG109" s="185"/>
      <c r="AH109" s="186"/>
      <c r="AI109" s="187"/>
      <c r="AJ109" s="61"/>
      <c r="AK109" s="61"/>
      <c r="AL109" s="61"/>
      <c r="AM109" s="61"/>
      <c r="AN109" s="61"/>
      <c r="AO109" s="61"/>
    </row>
    <row r="110">
      <c r="A110" s="112"/>
      <c r="B110" s="149"/>
      <c r="C110" s="93"/>
      <c r="D110" s="61"/>
      <c r="E110" s="112"/>
      <c r="F110" s="149"/>
      <c r="G110" s="93"/>
      <c r="H110" s="61"/>
      <c r="I110" s="112"/>
      <c r="J110" s="149"/>
      <c r="K110" s="93"/>
      <c r="L110" s="61"/>
      <c r="M110" s="112"/>
      <c r="N110" s="115"/>
      <c r="O110" s="93"/>
      <c r="P110" s="61"/>
      <c r="Q110" s="180"/>
      <c r="R110" s="115"/>
      <c r="S110" s="93"/>
      <c r="T110" s="61"/>
      <c r="U110" s="180"/>
      <c r="V110" s="115"/>
      <c r="W110" s="93"/>
      <c r="X110" s="61"/>
      <c r="Y110" s="112"/>
      <c r="Z110" s="181"/>
      <c r="AA110" s="182"/>
      <c r="AB110" s="183"/>
      <c r="AC110" s="112"/>
      <c r="AD110" s="115"/>
      <c r="AE110" s="151"/>
      <c r="AF110" s="184"/>
      <c r="AG110" s="185"/>
      <c r="AH110" s="186"/>
      <c r="AI110" s="187"/>
      <c r="AJ110" s="61"/>
      <c r="AK110" s="61"/>
      <c r="AL110" s="61"/>
      <c r="AM110" s="61"/>
      <c r="AN110" s="61"/>
      <c r="AO110" s="61"/>
    </row>
    <row r="111">
      <c r="A111" s="112"/>
      <c r="B111" s="149"/>
      <c r="C111" s="93"/>
      <c r="D111" s="61"/>
      <c r="E111" s="112"/>
      <c r="F111" s="149"/>
      <c r="G111" s="93"/>
      <c r="H111" s="61"/>
      <c r="I111" s="112"/>
      <c r="J111" s="149"/>
      <c r="K111" s="93"/>
      <c r="L111" s="61"/>
      <c r="M111" s="112"/>
      <c r="N111" s="115"/>
      <c r="O111" s="93"/>
      <c r="P111" s="61"/>
      <c r="Q111" s="180"/>
      <c r="R111" s="115"/>
      <c r="S111" s="93"/>
      <c r="T111" s="61"/>
      <c r="U111" s="180"/>
      <c r="V111" s="115"/>
      <c r="W111" s="93"/>
      <c r="X111" s="61"/>
      <c r="Y111" s="112"/>
      <c r="Z111" s="181"/>
      <c r="AA111" s="182"/>
      <c r="AB111" s="183"/>
      <c r="AC111" s="112"/>
      <c r="AD111" s="115"/>
      <c r="AE111" s="151"/>
      <c r="AF111" s="184"/>
      <c r="AG111" s="185"/>
      <c r="AH111" s="186"/>
      <c r="AI111" s="187"/>
      <c r="AJ111" s="61"/>
      <c r="AK111" s="61"/>
      <c r="AL111" s="61"/>
      <c r="AM111" s="61"/>
      <c r="AN111" s="61"/>
      <c r="AO111" s="61"/>
    </row>
    <row r="112">
      <c r="A112" s="112"/>
      <c r="B112" s="149"/>
      <c r="C112" s="93"/>
      <c r="D112" s="61"/>
      <c r="E112" s="112"/>
      <c r="F112" s="149"/>
      <c r="G112" s="93"/>
      <c r="H112" s="61"/>
      <c r="I112" s="112"/>
      <c r="J112" s="149"/>
      <c r="K112" s="93"/>
      <c r="L112" s="61"/>
      <c r="M112" s="112"/>
      <c r="N112" s="115"/>
      <c r="O112" s="93"/>
      <c r="P112" s="61"/>
      <c r="Q112" s="180"/>
      <c r="R112" s="115"/>
      <c r="S112" s="93"/>
      <c r="T112" s="61"/>
      <c r="U112" s="180"/>
      <c r="V112" s="115"/>
      <c r="W112" s="93"/>
      <c r="X112" s="61"/>
      <c r="Y112" s="112"/>
      <c r="Z112" s="181"/>
      <c r="AA112" s="182"/>
      <c r="AB112" s="183"/>
      <c r="AC112" s="112"/>
      <c r="AD112" s="115"/>
      <c r="AE112" s="151"/>
      <c r="AF112" s="184"/>
      <c r="AG112" s="185"/>
      <c r="AH112" s="186"/>
      <c r="AI112" s="187"/>
      <c r="AJ112" s="61"/>
      <c r="AK112" s="61"/>
      <c r="AL112" s="61"/>
      <c r="AM112" s="61"/>
      <c r="AN112" s="61"/>
      <c r="AO112" s="61"/>
    </row>
    <row r="113">
      <c r="A113" s="112"/>
      <c r="B113" s="149"/>
      <c r="C113" s="93"/>
      <c r="D113" s="61"/>
      <c r="E113" s="112"/>
      <c r="F113" s="149"/>
      <c r="G113" s="93"/>
      <c r="H113" s="61"/>
      <c r="I113" s="112"/>
      <c r="J113" s="149"/>
      <c r="K113" s="93"/>
      <c r="L113" s="61"/>
      <c r="M113" s="112"/>
      <c r="N113" s="115"/>
      <c r="O113" s="93"/>
      <c r="P113" s="61"/>
      <c r="Q113" s="180"/>
      <c r="R113" s="115"/>
      <c r="S113" s="93"/>
      <c r="T113" s="61"/>
      <c r="U113" s="180"/>
      <c r="V113" s="115"/>
      <c r="W113" s="93"/>
      <c r="X113" s="61"/>
      <c r="Y113" s="112"/>
      <c r="Z113" s="181"/>
      <c r="AA113" s="182"/>
      <c r="AB113" s="183"/>
      <c r="AC113" s="112"/>
      <c r="AD113" s="115"/>
      <c r="AE113" s="151"/>
      <c r="AF113" s="184"/>
      <c r="AG113" s="185"/>
      <c r="AH113" s="186"/>
      <c r="AI113" s="187"/>
      <c r="AJ113" s="61"/>
      <c r="AK113" s="61"/>
      <c r="AL113" s="61"/>
      <c r="AM113" s="61"/>
      <c r="AN113" s="61"/>
      <c r="AO113" s="61"/>
    </row>
    <row r="114">
      <c r="A114" s="112"/>
      <c r="B114" s="149"/>
      <c r="C114" s="93"/>
      <c r="D114" s="61"/>
      <c r="E114" s="112"/>
      <c r="F114" s="149"/>
      <c r="G114" s="93"/>
      <c r="H114" s="61"/>
      <c r="I114" s="112"/>
      <c r="J114" s="149"/>
      <c r="K114" s="93"/>
      <c r="L114" s="61"/>
      <c r="M114" s="112"/>
      <c r="N114" s="115"/>
      <c r="O114" s="93"/>
      <c r="P114" s="61"/>
      <c r="Q114" s="180"/>
      <c r="R114" s="115"/>
      <c r="S114" s="93"/>
      <c r="T114" s="61"/>
      <c r="U114" s="180"/>
      <c r="V114" s="115"/>
      <c r="W114" s="93"/>
      <c r="X114" s="61"/>
      <c r="Y114" s="112"/>
      <c r="Z114" s="181"/>
      <c r="AA114" s="182"/>
      <c r="AB114" s="183"/>
      <c r="AC114" s="112"/>
      <c r="AD114" s="115"/>
      <c r="AE114" s="151"/>
      <c r="AF114" s="184"/>
      <c r="AG114" s="185"/>
      <c r="AH114" s="186"/>
      <c r="AI114" s="187"/>
      <c r="AJ114" s="61"/>
      <c r="AK114" s="61"/>
      <c r="AL114" s="61"/>
      <c r="AM114" s="61"/>
      <c r="AN114" s="61"/>
      <c r="AO114" s="61"/>
    </row>
    <row r="115">
      <c r="A115" s="112"/>
      <c r="B115" s="149"/>
      <c r="C115" s="93"/>
      <c r="D115" s="61"/>
      <c r="E115" s="112"/>
      <c r="F115" s="149"/>
      <c r="G115" s="93"/>
      <c r="H115" s="61"/>
      <c r="I115" s="112"/>
      <c r="J115" s="149"/>
      <c r="K115" s="93"/>
      <c r="L115" s="61"/>
      <c r="M115" s="112"/>
      <c r="N115" s="115"/>
      <c r="O115" s="93"/>
      <c r="P115" s="61"/>
      <c r="Q115" s="180"/>
      <c r="R115" s="115"/>
      <c r="S115" s="93"/>
      <c r="T115" s="61"/>
      <c r="U115" s="180"/>
      <c r="V115" s="115"/>
      <c r="W115" s="93"/>
      <c r="X115" s="61"/>
      <c r="Y115" s="112"/>
      <c r="Z115" s="181"/>
      <c r="AA115" s="182"/>
      <c r="AB115" s="183"/>
      <c r="AC115" s="112"/>
      <c r="AD115" s="115"/>
      <c r="AE115" s="151"/>
      <c r="AF115" s="184"/>
      <c r="AG115" s="185"/>
      <c r="AH115" s="186"/>
      <c r="AI115" s="187"/>
      <c r="AJ115" s="61"/>
      <c r="AK115" s="61"/>
      <c r="AL115" s="61"/>
      <c r="AM115" s="61"/>
      <c r="AN115" s="61"/>
      <c r="AO115" s="61"/>
    </row>
    <row r="116">
      <c r="A116" s="112"/>
      <c r="B116" s="149"/>
      <c r="C116" s="93"/>
      <c r="D116" s="61"/>
      <c r="E116" s="112"/>
      <c r="F116" s="149"/>
      <c r="G116" s="93"/>
      <c r="H116" s="61"/>
      <c r="I116" s="112"/>
      <c r="J116" s="149"/>
      <c r="K116" s="93"/>
      <c r="L116" s="61"/>
      <c r="M116" s="112"/>
      <c r="N116" s="115"/>
      <c r="O116" s="93"/>
      <c r="P116" s="61"/>
      <c r="Q116" s="180"/>
      <c r="R116" s="115"/>
      <c r="S116" s="93"/>
      <c r="T116" s="61"/>
      <c r="U116" s="180"/>
      <c r="V116" s="115"/>
      <c r="W116" s="93"/>
      <c r="X116" s="61"/>
      <c r="Y116" s="112"/>
      <c r="Z116" s="181"/>
      <c r="AA116" s="182"/>
      <c r="AB116" s="183"/>
      <c r="AC116" s="112"/>
      <c r="AD116" s="115"/>
      <c r="AE116" s="151"/>
      <c r="AF116" s="184"/>
      <c r="AG116" s="185"/>
      <c r="AH116" s="186"/>
      <c r="AI116" s="187"/>
      <c r="AJ116" s="61"/>
      <c r="AK116" s="61"/>
      <c r="AL116" s="61"/>
      <c r="AM116" s="61"/>
      <c r="AN116" s="61"/>
      <c r="AO116" s="61"/>
    </row>
    <row r="117">
      <c r="A117" s="112"/>
      <c r="B117" s="149"/>
      <c r="C117" s="93"/>
      <c r="D117" s="61"/>
      <c r="E117" s="112"/>
      <c r="F117" s="149"/>
      <c r="G117" s="93"/>
      <c r="H117" s="61"/>
      <c r="I117" s="112"/>
      <c r="J117" s="149"/>
      <c r="K117" s="93"/>
      <c r="L117" s="61"/>
      <c r="M117" s="112"/>
      <c r="N117" s="115"/>
      <c r="O117" s="93"/>
      <c r="P117" s="61"/>
      <c r="Q117" s="180"/>
      <c r="R117" s="115"/>
      <c r="S117" s="93"/>
      <c r="T117" s="61"/>
      <c r="U117" s="180"/>
      <c r="V117" s="115"/>
      <c r="W117" s="93"/>
      <c r="X117" s="61"/>
      <c r="Y117" s="112"/>
      <c r="Z117" s="181"/>
      <c r="AA117" s="182"/>
      <c r="AB117" s="183"/>
      <c r="AC117" s="112"/>
      <c r="AD117" s="115"/>
      <c r="AE117" s="151"/>
      <c r="AF117" s="184"/>
      <c r="AG117" s="185"/>
      <c r="AH117" s="186"/>
      <c r="AI117" s="187"/>
      <c r="AJ117" s="61"/>
      <c r="AK117" s="61"/>
      <c r="AL117" s="61"/>
      <c r="AM117" s="61"/>
      <c r="AN117" s="61"/>
      <c r="AO117" s="61"/>
    </row>
    <row r="118">
      <c r="A118" s="112"/>
      <c r="B118" s="149"/>
      <c r="C118" s="93"/>
      <c r="D118" s="61"/>
      <c r="E118" s="112"/>
      <c r="F118" s="149"/>
      <c r="G118" s="93"/>
      <c r="H118" s="61"/>
      <c r="I118" s="112"/>
      <c r="J118" s="149"/>
      <c r="K118" s="93"/>
      <c r="L118" s="61"/>
      <c r="M118" s="112"/>
      <c r="N118" s="115"/>
      <c r="O118" s="93"/>
      <c r="P118" s="61"/>
      <c r="Q118" s="180"/>
      <c r="R118" s="115"/>
      <c r="S118" s="93"/>
      <c r="T118" s="61"/>
      <c r="U118" s="180"/>
      <c r="V118" s="115"/>
      <c r="W118" s="93"/>
      <c r="X118" s="61"/>
      <c r="Y118" s="112"/>
      <c r="Z118" s="181"/>
      <c r="AA118" s="182"/>
      <c r="AB118" s="183"/>
      <c r="AC118" s="112"/>
      <c r="AD118" s="115"/>
      <c r="AE118" s="151"/>
      <c r="AF118" s="184"/>
      <c r="AG118" s="185"/>
      <c r="AH118" s="186"/>
      <c r="AI118" s="187"/>
      <c r="AJ118" s="61"/>
      <c r="AK118" s="61"/>
      <c r="AL118" s="61"/>
      <c r="AM118" s="61"/>
      <c r="AN118" s="61"/>
      <c r="AO118" s="61"/>
    </row>
    <row r="119">
      <c r="A119" s="112"/>
      <c r="B119" s="149"/>
      <c r="C119" s="93"/>
      <c r="D119" s="61"/>
      <c r="E119" s="112"/>
      <c r="F119" s="149"/>
      <c r="G119" s="93"/>
      <c r="H119" s="61"/>
      <c r="I119" s="112"/>
      <c r="J119" s="149"/>
      <c r="K119" s="93"/>
      <c r="L119" s="61"/>
      <c r="M119" s="112"/>
      <c r="N119" s="115"/>
      <c r="O119" s="93"/>
      <c r="P119" s="61"/>
      <c r="Q119" s="180"/>
      <c r="R119" s="115"/>
      <c r="S119" s="93"/>
      <c r="T119" s="61"/>
      <c r="U119" s="180"/>
      <c r="V119" s="115"/>
      <c r="W119" s="93"/>
      <c r="X119" s="61"/>
      <c r="Y119" s="112"/>
      <c r="Z119" s="181"/>
      <c r="AA119" s="182"/>
      <c r="AB119" s="183"/>
      <c r="AC119" s="112"/>
      <c r="AD119" s="115"/>
      <c r="AE119" s="151"/>
      <c r="AF119" s="184"/>
      <c r="AG119" s="185"/>
      <c r="AH119" s="186"/>
      <c r="AI119" s="187"/>
      <c r="AJ119" s="61"/>
      <c r="AK119" s="61"/>
      <c r="AL119" s="61"/>
      <c r="AM119" s="61"/>
      <c r="AN119" s="61"/>
      <c r="AO119" s="61"/>
    </row>
    <row r="120">
      <c r="A120" s="112"/>
      <c r="B120" s="149"/>
      <c r="C120" s="93"/>
      <c r="D120" s="61"/>
      <c r="E120" s="112"/>
      <c r="F120" s="149"/>
      <c r="G120" s="93"/>
      <c r="H120" s="61"/>
      <c r="I120" s="112"/>
      <c r="J120" s="149"/>
      <c r="K120" s="93"/>
      <c r="L120" s="61"/>
      <c r="M120" s="112"/>
      <c r="N120" s="115"/>
      <c r="O120" s="93"/>
      <c r="P120" s="61"/>
      <c r="Q120" s="180"/>
      <c r="R120" s="115"/>
      <c r="S120" s="93"/>
      <c r="T120" s="61"/>
      <c r="U120" s="180"/>
      <c r="V120" s="115"/>
      <c r="W120" s="93"/>
      <c r="X120" s="61"/>
      <c r="Y120" s="112"/>
      <c r="Z120" s="181"/>
      <c r="AA120" s="182"/>
      <c r="AB120" s="183"/>
      <c r="AC120" s="112"/>
      <c r="AD120" s="115"/>
      <c r="AE120" s="151"/>
      <c r="AF120" s="184"/>
      <c r="AG120" s="185"/>
      <c r="AH120" s="186"/>
      <c r="AI120" s="187"/>
      <c r="AJ120" s="61"/>
      <c r="AK120" s="61"/>
      <c r="AL120" s="61"/>
      <c r="AM120" s="61"/>
      <c r="AN120" s="61"/>
      <c r="AO120" s="61"/>
    </row>
    <row r="121">
      <c r="A121" s="112"/>
      <c r="B121" s="149"/>
      <c r="C121" s="93"/>
      <c r="D121" s="61"/>
      <c r="E121" s="112"/>
      <c r="F121" s="149"/>
      <c r="G121" s="93"/>
      <c r="H121" s="61"/>
      <c r="I121" s="112"/>
      <c r="J121" s="149"/>
      <c r="K121" s="93"/>
      <c r="L121" s="61"/>
      <c r="M121" s="112"/>
      <c r="N121" s="115"/>
      <c r="O121" s="93"/>
      <c r="P121" s="61"/>
      <c r="Q121" s="180"/>
      <c r="R121" s="115"/>
      <c r="S121" s="93"/>
      <c r="T121" s="61"/>
      <c r="U121" s="180"/>
      <c r="V121" s="115"/>
      <c r="W121" s="93"/>
      <c r="X121" s="61"/>
      <c r="Y121" s="112"/>
      <c r="Z121" s="181"/>
      <c r="AA121" s="182"/>
      <c r="AB121" s="183"/>
      <c r="AC121" s="112"/>
      <c r="AD121" s="115"/>
      <c r="AE121" s="151"/>
      <c r="AF121" s="184"/>
      <c r="AG121" s="185"/>
      <c r="AH121" s="186"/>
      <c r="AI121" s="187"/>
      <c r="AJ121" s="61"/>
      <c r="AK121" s="61"/>
      <c r="AL121" s="61"/>
      <c r="AM121" s="61"/>
      <c r="AN121" s="61"/>
      <c r="AO121" s="61"/>
    </row>
    <row r="122">
      <c r="A122" s="112"/>
      <c r="B122" s="149"/>
      <c r="C122" s="93"/>
      <c r="D122" s="61"/>
      <c r="E122" s="112"/>
      <c r="F122" s="149"/>
      <c r="G122" s="93"/>
      <c r="H122" s="61"/>
      <c r="I122" s="112"/>
      <c r="J122" s="149"/>
      <c r="K122" s="93"/>
      <c r="L122" s="61"/>
      <c r="M122" s="112"/>
      <c r="N122" s="115"/>
      <c r="O122" s="93"/>
      <c r="P122" s="61"/>
      <c r="Q122" s="180"/>
      <c r="R122" s="115"/>
      <c r="S122" s="93"/>
      <c r="T122" s="61"/>
      <c r="U122" s="180"/>
      <c r="V122" s="115"/>
      <c r="W122" s="93"/>
      <c r="X122" s="61"/>
      <c r="Y122" s="112"/>
      <c r="Z122" s="181"/>
      <c r="AA122" s="182"/>
      <c r="AB122" s="183"/>
      <c r="AC122" s="112"/>
      <c r="AD122" s="115"/>
      <c r="AE122" s="151"/>
      <c r="AF122" s="184"/>
      <c r="AG122" s="185"/>
      <c r="AH122" s="186"/>
      <c r="AI122" s="187"/>
      <c r="AJ122" s="61"/>
      <c r="AK122" s="61"/>
      <c r="AL122" s="61"/>
      <c r="AM122" s="61"/>
      <c r="AN122" s="61"/>
      <c r="AO122" s="61"/>
    </row>
    <row r="123">
      <c r="A123" s="112"/>
      <c r="B123" s="149"/>
      <c r="C123" s="93"/>
      <c r="D123" s="61"/>
      <c r="E123" s="112"/>
      <c r="F123" s="149"/>
      <c r="G123" s="93"/>
      <c r="H123" s="61"/>
      <c r="I123" s="112"/>
      <c r="J123" s="149"/>
      <c r="K123" s="93"/>
      <c r="L123" s="61"/>
      <c r="M123" s="112"/>
      <c r="N123" s="115"/>
      <c r="O123" s="93"/>
      <c r="P123" s="61"/>
      <c r="Q123" s="180"/>
      <c r="R123" s="115"/>
      <c r="S123" s="93"/>
      <c r="T123" s="61"/>
      <c r="U123" s="180"/>
      <c r="V123" s="115"/>
      <c r="W123" s="93"/>
      <c r="X123" s="61"/>
      <c r="Y123" s="112"/>
      <c r="Z123" s="181"/>
      <c r="AA123" s="182"/>
      <c r="AB123" s="183"/>
      <c r="AC123" s="112"/>
      <c r="AD123" s="115"/>
      <c r="AE123" s="151"/>
      <c r="AF123" s="184"/>
      <c r="AG123" s="185"/>
      <c r="AH123" s="186"/>
      <c r="AI123" s="187"/>
      <c r="AJ123" s="61"/>
      <c r="AK123" s="61"/>
      <c r="AL123" s="61"/>
      <c r="AM123" s="61"/>
      <c r="AN123" s="61"/>
      <c r="AO123" s="61"/>
    </row>
    <row r="124">
      <c r="A124" s="112"/>
      <c r="B124" s="149"/>
      <c r="C124" s="93"/>
      <c r="D124" s="61"/>
      <c r="E124" s="112"/>
      <c r="F124" s="149"/>
      <c r="G124" s="93"/>
      <c r="H124" s="61"/>
      <c r="I124" s="112"/>
      <c r="J124" s="149"/>
      <c r="K124" s="93"/>
      <c r="L124" s="61"/>
      <c r="M124" s="112"/>
      <c r="N124" s="115"/>
      <c r="O124" s="93"/>
      <c r="P124" s="61"/>
      <c r="Q124" s="180"/>
      <c r="R124" s="115"/>
      <c r="S124" s="93"/>
      <c r="T124" s="61"/>
      <c r="U124" s="180"/>
      <c r="V124" s="115"/>
      <c r="W124" s="93"/>
      <c r="X124" s="61"/>
      <c r="Y124" s="112"/>
      <c r="Z124" s="181"/>
      <c r="AA124" s="182"/>
      <c r="AB124" s="183"/>
      <c r="AC124" s="112"/>
      <c r="AD124" s="115"/>
      <c r="AE124" s="151"/>
      <c r="AF124" s="184"/>
      <c r="AG124" s="185"/>
      <c r="AH124" s="186"/>
      <c r="AI124" s="187"/>
      <c r="AJ124" s="61"/>
      <c r="AK124" s="61"/>
      <c r="AL124" s="61"/>
      <c r="AM124" s="61"/>
      <c r="AN124" s="61"/>
      <c r="AO124" s="61"/>
    </row>
    <row r="125">
      <c r="A125" s="112"/>
      <c r="B125" s="149"/>
      <c r="C125" s="93"/>
      <c r="D125" s="61"/>
      <c r="E125" s="112"/>
      <c r="F125" s="149"/>
      <c r="G125" s="93"/>
      <c r="H125" s="61"/>
      <c r="I125" s="112"/>
      <c r="J125" s="149"/>
      <c r="K125" s="93"/>
      <c r="L125" s="61"/>
      <c r="M125" s="112"/>
      <c r="N125" s="115"/>
      <c r="O125" s="93"/>
      <c r="P125" s="61"/>
      <c r="Q125" s="180"/>
      <c r="R125" s="115"/>
      <c r="S125" s="93"/>
      <c r="T125" s="61"/>
      <c r="U125" s="180"/>
      <c r="V125" s="115"/>
      <c r="W125" s="93"/>
      <c r="X125" s="61"/>
      <c r="Y125" s="112"/>
      <c r="Z125" s="181"/>
      <c r="AA125" s="182"/>
      <c r="AB125" s="183"/>
      <c r="AC125" s="112"/>
      <c r="AD125" s="115"/>
      <c r="AE125" s="151"/>
      <c r="AF125" s="184"/>
      <c r="AG125" s="185"/>
      <c r="AH125" s="186"/>
      <c r="AI125" s="187"/>
      <c r="AJ125" s="61"/>
      <c r="AK125" s="61"/>
      <c r="AL125" s="61"/>
      <c r="AM125" s="61"/>
      <c r="AN125" s="61"/>
      <c r="AO125" s="61"/>
    </row>
    <row r="126">
      <c r="A126" s="112"/>
      <c r="B126" s="149"/>
      <c r="C126" s="93"/>
      <c r="D126" s="61"/>
      <c r="E126" s="112"/>
      <c r="F126" s="149"/>
      <c r="G126" s="93"/>
      <c r="H126" s="61"/>
      <c r="I126" s="112"/>
      <c r="J126" s="149"/>
      <c r="K126" s="93"/>
      <c r="L126" s="61"/>
      <c r="M126" s="112"/>
      <c r="N126" s="115"/>
      <c r="O126" s="93"/>
      <c r="P126" s="61"/>
      <c r="Q126" s="180"/>
      <c r="R126" s="115"/>
      <c r="S126" s="93"/>
      <c r="T126" s="61"/>
      <c r="U126" s="180"/>
      <c r="V126" s="115"/>
      <c r="W126" s="93"/>
      <c r="X126" s="61"/>
      <c r="Y126" s="112"/>
      <c r="Z126" s="181"/>
      <c r="AA126" s="182"/>
      <c r="AB126" s="183"/>
      <c r="AC126" s="112"/>
      <c r="AD126" s="115"/>
      <c r="AE126" s="151"/>
      <c r="AF126" s="184"/>
      <c r="AG126" s="185"/>
      <c r="AH126" s="186"/>
      <c r="AI126" s="187"/>
      <c r="AJ126" s="61"/>
      <c r="AK126" s="61"/>
      <c r="AL126" s="61"/>
      <c r="AM126" s="61"/>
      <c r="AN126" s="61"/>
      <c r="AO126" s="61"/>
    </row>
    <row r="127">
      <c r="A127" s="112"/>
      <c r="B127" s="149"/>
      <c r="C127" s="93"/>
      <c r="D127" s="61"/>
      <c r="E127" s="112"/>
      <c r="F127" s="149"/>
      <c r="G127" s="93"/>
      <c r="H127" s="61"/>
      <c r="I127" s="112"/>
      <c r="J127" s="149"/>
      <c r="K127" s="93"/>
      <c r="L127" s="61"/>
      <c r="M127" s="112"/>
      <c r="N127" s="115"/>
      <c r="O127" s="93"/>
      <c r="P127" s="61"/>
      <c r="Q127" s="180"/>
      <c r="R127" s="115"/>
      <c r="S127" s="93"/>
      <c r="T127" s="61"/>
      <c r="U127" s="180"/>
      <c r="V127" s="115"/>
      <c r="W127" s="93"/>
      <c r="X127" s="61"/>
      <c r="Y127" s="112"/>
      <c r="Z127" s="181"/>
      <c r="AA127" s="182"/>
      <c r="AB127" s="183"/>
      <c r="AC127" s="112"/>
      <c r="AD127" s="115"/>
      <c r="AE127" s="151"/>
      <c r="AF127" s="184"/>
      <c r="AG127" s="185"/>
      <c r="AH127" s="186"/>
      <c r="AI127" s="187"/>
      <c r="AJ127" s="61"/>
      <c r="AK127" s="61"/>
      <c r="AL127" s="61"/>
      <c r="AM127" s="61"/>
      <c r="AN127" s="61"/>
      <c r="AO127" s="61"/>
    </row>
    <row r="128">
      <c r="A128" s="112"/>
      <c r="B128" s="149"/>
      <c r="C128" s="93"/>
      <c r="D128" s="61"/>
      <c r="E128" s="112"/>
      <c r="F128" s="149"/>
      <c r="G128" s="93"/>
      <c r="H128" s="61"/>
      <c r="I128" s="112"/>
      <c r="J128" s="149"/>
      <c r="K128" s="93"/>
      <c r="L128" s="61"/>
      <c r="M128" s="112"/>
      <c r="N128" s="115"/>
      <c r="O128" s="93"/>
      <c r="P128" s="61"/>
      <c r="Q128" s="180"/>
      <c r="R128" s="115"/>
      <c r="S128" s="93"/>
      <c r="T128" s="61"/>
      <c r="U128" s="180"/>
      <c r="V128" s="115"/>
      <c r="W128" s="93"/>
      <c r="X128" s="61"/>
      <c r="Y128" s="112"/>
      <c r="Z128" s="181"/>
      <c r="AA128" s="182"/>
      <c r="AB128" s="183"/>
      <c r="AC128" s="112"/>
      <c r="AD128" s="115"/>
      <c r="AE128" s="151"/>
      <c r="AF128" s="184"/>
      <c r="AG128" s="185"/>
      <c r="AH128" s="186"/>
      <c r="AI128" s="187"/>
      <c r="AJ128" s="61"/>
      <c r="AK128" s="61"/>
      <c r="AL128" s="61"/>
      <c r="AM128" s="61"/>
      <c r="AN128" s="61"/>
      <c r="AO128" s="61"/>
    </row>
    <row r="129">
      <c r="A129" s="112"/>
      <c r="B129" s="149"/>
      <c r="C129" s="93"/>
      <c r="D129" s="61"/>
      <c r="E129" s="112"/>
      <c r="F129" s="149"/>
      <c r="G129" s="93"/>
      <c r="H129" s="61"/>
      <c r="I129" s="112"/>
      <c r="J129" s="149"/>
      <c r="K129" s="93"/>
      <c r="L129" s="61"/>
      <c r="M129" s="112"/>
      <c r="N129" s="115"/>
      <c r="O129" s="93"/>
      <c r="P129" s="61"/>
      <c r="Q129" s="180"/>
      <c r="R129" s="115"/>
      <c r="S129" s="93"/>
      <c r="T129" s="61"/>
      <c r="U129" s="180"/>
      <c r="V129" s="115"/>
      <c r="W129" s="93"/>
      <c r="X129" s="61"/>
      <c r="Y129" s="112"/>
      <c r="Z129" s="181"/>
      <c r="AA129" s="182"/>
      <c r="AB129" s="183"/>
      <c r="AC129" s="112"/>
      <c r="AD129" s="115"/>
      <c r="AE129" s="151"/>
      <c r="AF129" s="184"/>
      <c r="AG129" s="185"/>
      <c r="AH129" s="186"/>
      <c r="AI129" s="187"/>
      <c r="AJ129" s="61"/>
      <c r="AK129" s="61"/>
      <c r="AL129" s="61"/>
      <c r="AM129" s="61"/>
      <c r="AN129" s="61"/>
      <c r="AO129" s="61"/>
    </row>
    <row r="130">
      <c r="A130" s="112"/>
      <c r="B130" s="149"/>
      <c r="C130" s="93"/>
      <c r="D130" s="61"/>
      <c r="E130" s="112"/>
      <c r="F130" s="149"/>
      <c r="G130" s="93"/>
      <c r="H130" s="61"/>
      <c r="I130" s="112"/>
      <c r="J130" s="149"/>
      <c r="K130" s="93"/>
      <c r="L130" s="61"/>
      <c r="M130" s="112"/>
      <c r="N130" s="115"/>
      <c r="O130" s="93"/>
      <c r="P130" s="61"/>
      <c r="Q130" s="180"/>
      <c r="R130" s="115"/>
      <c r="S130" s="93"/>
      <c r="T130" s="61"/>
      <c r="U130" s="180"/>
      <c r="V130" s="115"/>
      <c r="W130" s="93"/>
      <c r="X130" s="61"/>
      <c r="Y130" s="112"/>
      <c r="Z130" s="181"/>
      <c r="AA130" s="182"/>
      <c r="AB130" s="183"/>
      <c r="AC130" s="112"/>
      <c r="AD130" s="115"/>
      <c r="AE130" s="151"/>
      <c r="AF130" s="184"/>
      <c r="AG130" s="185"/>
      <c r="AH130" s="186"/>
      <c r="AI130" s="187"/>
      <c r="AJ130" s="61"/>
      <c r="AK130" s="61"/>
      <c r="AL130" s="61"/>
      <c r="AM130" s="61"/>
      <c r="AN130" s="61"/>
      <c r="AO130" s="61"/>
    </row>
    <row r="131">
      <c r="A131" s="112"/>
      <c r="B131" s="149"/>
      <c r="C131" s="93"/>
      <c r="D131" s="61"/>
      <c r="E131" s="112"/>
      <c r="F131" s="149"/>
      <c r="G131" s="93"/>
      <c r="H131" s="61"/>
      <c r="I131" s="112"/>
      <c r="J131" s="149"/>
      <c r="K131" s="93"/>
      <c r="L131" s="61"/>
      <c r="M131" s="112"/>
      <c r="N131" s="115"/>
      <c r="O131" s="93"/>
      <c r="P131" s="61"/>
      <c r="Q131" s="180"/>
      <c r="R131" s="115"/>
      <c r="S131" s="93"/>
      <c r="T131" s="61"/>
      <c r="U131" s="180"/>
      <c r="V131" s="115"/>
      <c r="W131" s="93"/>
      <c r="X131" s="61"/>
      <c r="Y131" s="112"/>
      <c r="Z131" s="181"/>
      <c r="AA131" s="182"/>
      <c r="AB131" s="183"/>
      <c r="AC131" s="112"/>
      <c r="AD131" s="115"/>
      <c r="AE131" s="151"/>
      <c r="AF131" s="184"/>
      <c r="AG131" s="185"/>
      <c r="AH131" s="186"/>
      <c r="AI131" s="187"/>
      <c r="AJ131" s="61"/>
      <c r="AK131" s="61"/>
      <c r="AL131" s="61"/>
      <c r="AM131" s="61"/>
      <c r="AN131" s="61"/>
      <c r="AO131" s="61"/>
    </row>
    <row r="132">
      <c r="A132" s="112"/>
      <c r="B132" s="149"/>
      <c r="C132" s="93"/>
      <c r="D132" s="61"/>
      <c r="E132" s="112"/>
      <c r="F132" s="149"/>
      <c r="G132" s="93"/>
      <c r="H132" s="61"/>
      <c r="I132" s="112"/>
      <c r="J132" s="149"/>
      <c r="K132" s="93"/>
      <c r="L132" s="61"/>
      <c r="M132" s="112"/>
      <c r="N132" s="115"/>
      <c r="O132" s="93"/>
      <c r="P132" s="61"/>
      <c r="Q132" s="180"/>
      <c r="R132" s="115"/>
      <c r="S132" s="93"/>
      <c r="T132" s="61"/>
      <c r="U132" s="180"/>
      <c r="V132" s="115"/>
      <c r="W132" s="93"/>
      <c r="X132" s="61"/>
      <c r="Y132" s="112"/>
      <c r="Z132" s="181"/>
      <c r="AA132" s="182"/>
      <c r="AB132" s="183"/>
      <c r="AC132" s="112"/>
      <c r="AD132" s="115"/>
      <c r="AE132" s="151"/>
      <c r="AF132" s="184"/>
      <c r="AG132" s="185"/>
      <c r="AH132" s="186"/>
      <c r="AI132" s="187"/>
      <c r="AJ132" s="61"/>
      <c r="AK132" s="61"/>
      <c r="AL132" s="61"/>
      <c r="AM132" s="61"/>
      <c r="AN132" s="61"/>
      <c r="AO132" s="61"/>
    </row>
    <row r="133">
      <c r="A133" s="112"/>
      <c r="B133" s="149"/>
      <c r="C133" s="93"/>
      <c r="D133" s="61"/>
      <c r="E133" s="112"/>
      <c r="F133" s="149"/>
      <c r="G133" s="93"/>
      <c r="H133" s="61"/>
      <c r="I133" s="112"/>
      <c r="J133" s="149"/>
      <c r="K133" s="93"/>
      <c r="L133" s="61"/>
      <c r="M133" s="112"/>
      <c r="N133" s="115"/>
      <c r="O133" s="93"/>
      <c r="P133" s="61"/>
      <c r="Q133" s="180"/>
      <c r="R133" s="115"/>
      <c r="S133" s="93"/>
      <c r="T133" s="61"/>
      <c r="U133" s="180"/>
      <c r="V133" s="115"/>
      <c r="W133" s="93"/>
      <c r="X133" s="61"/>
      <c r="Y133" s="112"/>
      <c r="Z133" s="181"/>
      <c r="AA133" s="182"/>
      <c r="AB133" s="183"/>
      <c r="AC133" s="112"/>
      <c r="AD133" s="115"/>
      <c r="AE133" s="151"/>
      <c r="AF133" s="184"/>
      <c r="AG133" s="185"/>
      <c r="AH133" s="186"/>
      <c r="AI133" s="187"/>
      <c r="AJ133" s="61"/>
      <c r="AK133" s="61"/>
      <c r="AL133" s="61"/>
      <c r="AM133" s="61"/>
      <c r="AN133" s="61"/>
      <c r="AO133" s="61"/>
    </row>
    <row r="134">
      <c r="A134" s="112"/>
      <c r="B134" s="149"/>
      <c r="C134" s="93"/>
      <c r="D134" s="61"/>
      <c r="E134" s="112"/>
      <c r="F134" s="149"/>
      <c r="G134" s="93"/>
      <c r="H134" s="61"/>
      <c r="I134" s="112"/>
      <c r="J134" s="149"/>
      <c r="K134" s="93"/>
      <c r="L134" s="61"/>
      <c r="M134" s="112"/>
      <c r="N134" s="115"/>
      <c r="O134" s="93"/>
      <c r="P134" s="61"/>
      <c r="Q134" s="180"/>
      <c r="R134" s="115"/>
      <c r="S134" s="93"/>
      <c r="T134" s="61"/>
      <c r="U134" s="180"/>
      <c r="V134" s="115"/>
      <c r="W134" s="93"/>
      <c r="X134" s="61"/>
      <c r="Y134" s="112"/>
      <c r="Z134" s="181"/>
      <c r="AA134" s="182"/>
      <c r="AB134" s="183"/>
      <c r="AC134" s="112"/>
      <c r="AD134" s="115"/>
      <c r="AE134" s="151"/>
      <c r="AF134" s="184"/>
      <c r="AG134" s="185"/>
      <c r="AH134" s="186"/>
      <c r="AI134" s="187"/>
      <c r="AJ134" s="61"/>
      <c r="AK134" s="61"/>
      <c r="AL134" s="61"/>
      <c r="AM134" s="61"/>
      <c r="AN134" s="61"/>
      <c r="AO134" s="61"/>
    </row>
    <row r="135">
      <c r="A135" s="112"/>
      <c r="B135" s="149"/>
      <c r="C135" s="93"/>
      <c r="D135" s="61"/>
      <c r="E135" s="112"/>
      <c r="F135" s="149"/>
      <c r="G135" s="93"/>
      <c r="H135" s="61"/>
      <c r="I135" s="112"/>
      <c r="J135" s="149"/>
      <c r="K135" s="93"/>
      <c r="L135" s="61"/>
      <c r="M135" s="112"/>
      <c r="N135" s="115"/>
      <c r="O135" s="93"/>
      <c r="P135" s="61"/>
      <c r="Q135" s="180"/>
      <c r="R135" s="115"/>
      <c r="S135" s="93"/>
      <c r="T135" s="61"/>
      <c r="U135" s="180"/>
      <c r="V135" s="115"/>
      <c r="W135" s="93"/>
      <c r="X135" s="61"/>
      <c r="Y135" s="112"/>
      <c r="Z135" s="181"/>
      <c r="AA135" s="182"/>
      <c r="AB135" s="183"/>
      <c r="AC135" s="112"/>
      <c r="AD135" s="115"/>
      <c r="AE135" s="151"/>
      <c r="AF135" s="184"/>
      <c r="AG135" s="185"/>
      <c r="AH135" s="186"/>
      <c r="AI135" s="187"/>
      <c r="AJ135" s="61"/>
      <c r="AK135" s="61"/>
      <c r="AL135" s="61"/>
      <c r="AM135" s="61"/>
      <c r="AN135" s="61"/>
      <c r="AO135" s="61"/>
    </row>
    <row r="136">
      <c r="A136" s="112"/>
      <c r="B136" s="149"/>
      <c r="C136" s="93"/>
      <c r="D136" s="61"/>
      <c r="E136" s="112"/>
      <c r="F136" s="149"/>
      <c r="G136" s="93"/>
      <c r="H136" s="61"/>
      <c r="I136" s="112"/>
      <c r="J136" s="149"/>
      <c r="K136" s="93"/>
      <c r="L136" s="61"/>
      <c r="M136" s="112"/>
      <c r="N136" s="115"/>
      <c r="O136" s="93"/>
      <c r="P136" s="61"/>
      <c r="Q136" s="180"/>
      <c r="R136" s="115"/>
      <c r="S136" s="93"/>
      <c r="T136" s="61"/>
      <c r="U136" s="180"/>
      <c r="V136" s="115"/>
      <c r="W136" s="93"/>
      <c r="X136" s="61"/>
      <c r="Y136" s="112"/>
      <c r="Z136" s="181"/>
      <c r="AA136" s="182"/>
      <c r="AB136" s="183"/>
      <c r="AC136" s="112"/>
      <c r="AD136" s="115"/>
      <c r="AE136" s="151"/>
      <c r="AF136" s="184"/>
      <c r="AG136" s="185"/>
      <c r="AH136" s="186"/>
      <c r="AI136" s="187"/>
      <c r="AJ136" s="61"/>
      <c r="AK136" s="61"/>
      <c r="AL136" s="61"/>
      <c r="AM136" s="61"/>
      <c r="AN136" s="61"/>
      <c r="AO136" s="61"/>
    </row>
    <row r="137">
      <c r="A137" s="112"/>
      <c r="B137" s="149"/>
      <c r="C137" s="93"/>
      <c r="D137" s="61"/>
      <c r="E137" s="112"/>
      <c r="F137" s="149"/>
      <c r="G137" s="93"/>
      <c r="H137" s="61"/>
      <c r="I137" s="112"/>
      <c r="J137" s="149"/>
      <c r="K137" s="93"/>
      <c r="L137" s="61"/>
      <c r="M137" s="112"/>
      <c r="N137" s="115"/>
      <c r="O137" s="93"/>
      <c r="P137" s="61"/>
      <c r="Q137" s="180"/>
      <c r="R137" s="115"/>
      <c r="S137" s="93"/>
      <c r="T137" s="61"/>
      <c r="U137" s="180"/>
      <c r="V137" s="115"/>
      <c r="W137" s="93"/>
      <c r="X137" s="61"/>
      <c r="Y137" s="112"/>
      <c r="Z137" s="181"/>
      <c r="AA137" s="182"/>
      <c r="AB137" s="183"/>
      <c r="AC137" s="112"/>
      <c r="AD137" s="115"/>
      <c r="AE137" s="151"/>
      <c r="AF137" s="184"/>
      <c r="AG137" s="185"/>
      <c r="AH137" s="186"/>
      <c r="AI137" s="187"/>
      <c r="AJ137" s="61"/>
      <c r="AK137" s="61"/>
      <c r="AL137" s="61"/>
      <c r="AM137" s="61"/>
      <c r="AN137" s="61"/>
      <c r="AO137" s="61"/>
    </row>
    <row r="138">
      <c r="A138" s="112"/>
      <c r="B138" s="149"/>
      <c r="C138" s="93"/>
      <c r="D138" s="61"/>
      <c r="E138" s="112"/>
      <c r="F138" s="149"/>
      <c r="G138" s="93"/>
      <c r="H138" s="61"/>
      <c r="I138" s="112"/>
      <c r="J138" s="149"/>
      <c r="K138" s="93"/>
      <c r="L138" s="61"/>
      <c r="M138" s="112"/>
      <c r="N138" s="115"/>
      <c r="O138" s="93"/>
      <c r="P138" s="61"/>
      <c r="Q138" s="180"/>
      <c r="R138" s="115"/>
      <c r="S138" s="93"/>
      <c r="T138" s="61"/>
      <c r="U138" s="180"/>
      <c r="V138" s="115"/>
      <c r="W138" s="93"/>
      <c r="X138" s="61"/>
      <c r="Y138" s="112"/>
      <c r="Z138" s="181"/>
      <c r="AA138" s="182"/>
      <c r="AB138" s="183"/>
      <c r="AC138" s="112"/>
      <c r="AD138" s="115"/>
      <c r="AE138" s="151"/>
      <c r="AF138" s="184"/>
      <c r="AG138" s="185"/>
      <c r="AH138" s="186"/>
      <c r="AI138" s="187"/>
      <c r="AJ138" s="61"/>
      <c r="AK138" s="61"/>
      <c r="AL138" s="61"/>
      <c r="AM138" s="61"/>
      <c r="AN138" s="61"/>
      <c r="AO138" s="61"/>
    </row>
    <row r="139">
      <c r="A139" s="112"/>
      <c r="B139" s="149"/>
      <c r="C139" s="93"/>
      <c r="D139" s="61"/>
      <c r="E139" s="112"/>
      <c r="F139" s="149"/>
      <c r="G139" s="93"/>
      <c r="H139" s="61"/>
      <c r="I139" s="112"/>
      <c r="J139" s="149"/>
      <c r="K139" s="93"/>
      <c r="L139" s="61"/>
      <c r="M139" s="112"/>
      <c r="N139" s="115"/>
      <c r="O139" s="93"/>
      <c r="P139" s="61"/>
      <c r="Q139" s="180"/>
      <c r="R139" s="115"/>
      <c r="S139" s="93"/>
      <c r="T139" s="61"/>
      <c r="U139" s="180"/>
      <c r="V139" s="115"/>
      <c r="W139" s="93"/>
      <c r="X139" s="61"/>
      <c r="Y139" s="112"/>
      <c r="Z139" s="181"/>
      <c r="AA139" s="182"/>
      <c r="AB139" s="183"/>
      <c r="AC139" s="112"/>
      <c r="AD139" s="115"/>
      <c r="AE139" s="151"/>
      <c r="AF139" s="184"/>
      <c r="AG139" s="185"/>
      <c r="AH139" s="186"/>
      <c r="AI139" s="187"/>
      <c r="AJ139" s="61"/>
      <c r="AK139" s="61"/>
      <c r="AL139" s="61"/>
      <c r="AM139" s="61"/>
      <c r="AN139" s="61"/>
      <c r="AO139" s="61"/>
    </row>
    <row r="140">
      <c r="A140" s="112"/>
      <c r="B140" s="149"/>
      <c r="C140" s="93"/>
      <c r="D140" s="61"/>
      <c r="E140" s="112"/>
      <c r="F140" s="149"/>
      <c r="G140" s="93"/>
      <c r="H140" s="61"/>
      <c r="I140" s="112"/>
      <c r="J140" s="149"/>
      <c r="K140" s="93"/>
      <c r="L140" s="61"/>
      <c r="M140" s="112"/>
      <c r="N140" s="115"/>
      <c r="O140" s="93"/>
      <c r="P140" s="61"/>
      <c r="Q140" s="180"/>
      <c r="R140" s="115"/>
      <c r="S140" s="93"/>
      <c r="T140" s="61"/>
      <c r="U140" s="180"/>
      <c r="V140" s="115"/>
      <c r="W140" s="93"/>
      <c r="X140" s="61"/>
      <c r="Y140" s="112"/>
      <c r="Z140" s="181"/>
      <c r="AA140" s="182"/>
      <c r="AB140" s="183"/>
      <c r="AC140" s="112"/>
      <c r="AD140" s="115"/>
      <c r="AE140" s="151"/>
      <c r="AF140" s="184"/>
      <c r="AG140" s="185"/>
      <c r="AH140" s="186"/>
      <c r="AI140" s="187"/>
      <c r="AJ140" s="61"/>
      <c r="AK140" s="61"/>
      <c r="AL140" s="61"/>
      <c r="AM140" s="61"/>
      <c r="AN140" s="61"/>
      <c r="AO140" s="61"/>
    </row>
    <row r="141">
      <c r="A141" s="112"/>
      <c r="B141" s="149"/>
      <c r="C141" s="93"/>
      <c r="D141" s="61"/>
      <c r="E141" s="112"/>
      <c r="F141" s="149"/>
      <c r="G141" s="93"/>
      <c r="H141" s="61"/>
      <c r="I141" s="112"/>
      <c r="J141" s="149"/>
      <c r="K141" s="93"/>
      <c r="L141" s="61"/>
      <c r="M141" s="112"/>
      <c r="N141" s="115"/>
      <c r="O141" s="93"/>
      <c r="P141" s="61"/>
      <c r="Q141" s="180"/>
      <c r="R141" s="115"/>
      <c r="S141" s="93"/>
      <c r="T141" s="61"/>
      <c r="U141" s="180"/>
      <c r="V141" s="115"/>
      <c r="W141" s="93"/>
      <c r="X141" s="61"/>
      <c r="Y141" s="112"/>
      <c r="Z141" s="181"/>
      <c r="AA141" s="182"/>
      <c r="AB141" s="183"/>
      <c r="AC141" s="112"/>
      <c r="AD141" s="115"/>
      <c r="AE141" s="151"/>
      <c r="AF141" s="184"/>
      <c r="AG141" s="185"/>
      <c r="AH141" s="186"/>
      <c r="AI141" s="187"/>
      <c r="AJ141" s="61"/>
      <c r="AK141" s="61"/>
      <c r="AL141" s="61"/>
      <c r="AM141" s="61"/>
      <c r="AN141" s="61"/>
      <c r="AO141" s="61"/>
    </row>
    <row r="142">
      <c r="A142" s="112"/>
      <c r="B142" s="149"/>
      <c r="C142" s="93"/>
      <c r="D142" s="61"/>
      <c r="E142" s="112"/>
      <c r="F142" s="149"/>
      <c r="G142" s="93"/>
      <c r="H142" s="61"/>
      <c r="I142" s="112"/>
      <c r="J142" s="149"/>
      <c r="K142" s="93"/>
      <c r="L142" s="61"/>
      <c r="M142" s="112"/>
      <c r="N142" s="115"/>
      <c r="O142" s="93"/>
      <c r="P142" s="61"/>
      <c r="Q142" s="180"/>
      <c r="R142" s="115"/>
      <c r="S142" s="93"/>
      <c r="T142" s="61"/>
      <c r="U142" s="180"/>
      <c r="V142" s="115"/>
      <c r="W142" s="93"/>
      <c r="X142" s="61"/>
      <c r="Y142" s="112"/>
      <c r="Z142" s="181"/>
      <c r="AA142" s="182"/>
      <c r="AB142" s="183"/>
      <c r="AC142" s="112"/>
      <c r="AD142" s="115"/>
      <c r="AE142" s="151"/>
      <c r="AF142" s="184"/>
      <c r="AG142" s="185"/>
      <c r="AH142" s="186"/>
      <c r="AI142" s="187"/>
      <c r="AJ142" s="61"/>
      <c r="AK142" s="61"/>
      <c r="AL142" s="61"/>
      <c r="AM142" s="61"/>
      <c r="AN142" s="61"/>
      <c r="AO142" s="61"/>
    </row>
    <row r="143">
      <c r="A143" s="112"/>
      <c r="B143" s="149"/>
      <c r="C143" s="93"/>
      <c r="D143" s="61"/>
      <c r="E143" s="112"/>
      <c r="F143" s="149"/>
      <c r="G143" s="93"/>
      <c r="H143" s="61"/>
      <c r="I143" s="112"/>
      <c r="J143" s="149"/>
      <c r="K143" s="93"/>
      <c r="L143" s="61"/>
      <c r="M143" s="112"/>
      <c r="N143" s="115"/>
      <c r="O143" s="93"/>
      <c r="P143" s="61"/>
      <c r="Q143" s="180"/>
      <c r="R143" s="115"/>
      <c r="S143" s="93"/>
      <c r="T143" s="61"/>
      <c r="U143" s="180"/>
      <c r="V143" s="115"/>
      <c r="W143" s="93"/>
      <c r="X143" s="61"/>
      <c r="Y143" s="112"/>
      <c r="Z143" s="181"/>
      <c r="AA143" s="182"/>
      <c r="AB143" s="183"/>
      <c r="AC143" s="112"/>
      <c r="AD143" s="115"/>
      <c r="AE143" s="151"/>
      <c r="AF143" s="184"/>
      <c r="AG143" s="185"/>
      <c r="AH143" s="186"/>
      <c r="AI143" s="187"/>
      <c r="AJ143" s="61"/>
      <c r="AK143" s="61"/>
      <c r="AL143" s="61"/>
      <c r="AM143" s="61"/>
      <c r="AN143" s="61"/>
      <c r="AO143" s="61"/>
    </row>
    <row r="144">
      <c r="A144" s="112"/>
      <c r="B144" s="149"/>
      <c r="C144" s="93"/>
      <c r="D144" s="61"/>
      <c r="E144" s="112"/>
      <c r="F144" s="149"/>
      <c r="G144" s="93"/>
      <c r="H144" s="61"/>
      <c r="I144" s="112"/>
      <c r="J144" s="149"/>
      <c r="K144" s="93"/>
      <c r="L144" s="61"/>
      <c r="M144" s="112"/>
      <c r="N144" s="115"/>
      <c r="O144" s="93"/>
      <c r="P144" s="61"/>
      <c r="Q144" s="180"/>
      <c r="R144" s="115"/>
      <c r="S144" s="93"/>
      <c r="T144" s="61"/>
      <c r="U144" s="180"/>
      <c r="V144" s="115"/>
      <c r="W144" s="93"/>
      <c r="X144" s="61"/>
      <c r="Y144" s="112"/>
      <c r="Z144" s="181"/>
      <c r="AA144" s="182"/>
      <c r="AB144" s="183"/>
      <c r="AC144" s="112"/>
      <c r="AD144" s="115"/>
      <c r="AE144" s="151"/>
      <c r="AF144" s="184"/>
      <c r="AG144" s="185"/>
      <c r="AH144" s="186"/>
      <c r="AI144" s="187"/>
      <c r="AJ144" s="61"/>
      <c r="AK144" s="61"/>
      <c r="AL144" s="61"/>
      <c r="AM144" s="61"/>
      <c r="AN144" s="61"/>
      <c r="AO144" s="61"/>
    </row>
    <row r="145">
      <c r="A145" s="112"/>
      <c r="B145" s="149"/>
      <c r="C145" s="93"/>
      <c r="D145" s="61"/>
      <c r="E145" s="112"/>
      <c r="F145" s="149"/>
      <c r="G145" s="93"/>
      <c r="H145" s="61"/>
      <c r="I145" s="112"/>
      <c r="J145" s="149"/>
      <c r="K145" s="93"/>
      <c r="L145" s="61"/>
      <c r="M145" s="112"/>
      <c r="N145" s="115"/>
      <c r="O145" s="93"/>
      <c r="P145" s="61"/>
      <c r="Q145" s="180"/>
      <c r="R145" s="115"/>
      <c r="S145" s="93"/>
      <c r="T145" s="61"/>
      <c r="U145" s="180"/>
      <c r="V145" s="115"/>
      <c r="W145" s="93"/>
      <c r="X145" s="61"/>
      <c r="Y145" s="112"/>
      <c r="Z145" s="181"/>
      <c r="AA145" s="182"/>
      <c r="AB145" s="183"/>
      <c r="AC145" s="112"/>
      <c r="AD145" s="115"/>
      <c r="AE145" s="151"/>
      <c r="AF145" s="184"/>
      <c r="AG145" s="185"/>
      <c r="AH145" s="186"/>
      <c r="AI145" s="187"/>
      <c r="AJ145" s="61"/>
      <c r="AK145" s="61"/>
      <c r="AL145" s="61"/>
      <c r="AM145" s="61"/>
      <c r="AN145" s="61"/>
      <c r="AO145" s="61"/>
    </row>
    <row r="146">
      <c r="A146" s="112"/>
      <c r="B146" s="149"/>
      <c r="C146" s="93"/>
      <c r="D146" s="61"/>
      <c r="E146" s="112"/>
      <c r="F146" s="149"/>
      <c r="G146" s="93"/>
      <c r="H146" s="61"/>
      <c r="I146" s="112"/>
      <c r="J146" s="149"/>
      <c r="K146" s="93"/>
      <c r="L146" s="61"/>
      <c r="M146" s="112"/>
      <c r="N146" s="115"/>
      <c r="O146" s="93"/>
      <c r="P146" s="61"/>
      <c r="Q146" s="180"/>
      <c r="R146" s="115"/>
      <c r="S146" s="93"/>
      <c r="T146" s="61"/>
      <c r="U146" s="180"/>
      <c r="V146" s="115"/>
      <c r="W146" s="93"/>
      <c r="X146" s="61"/>
      <c r="Y146" s="112"/>
      <c r="Z146" s="181"/>
      <c r="AA146" s="182"/>
      <c r="AB146" s="183"/>
      <c r="AC146" s="112"/>
      <c r="AD146" s="115"/>
      <c r="AE146" s="151"/>
      <c r="AF146" s="184"/>
      <c r="AG146" s="185"/>
      <c r="AH146" s="186"/>
      <c r="AI146" s="187"/>
      <c r="AJ146" s="61"/>
      <c r="AK146" s="61"/>
      <c r="AL146" s="61"/>
      <c r="AM146" s="61"/>
      <c r="AN146" s="61"/>
      <c r="AO146" s="61"/>
    </row>
    <row r="147">
      <c r="A147" s="112"/>
      <c r="B147" s="149"/>
      <c r="C147" s="93"/>
      <c r="D147" s="61"/>
      <c r="E147" s="112"/>
      <c r="F147" s="149"/>
      <c r="G147" s="93"/>
      <c r="H147" s="61"/>
      <c r="I147" s="112"/>
      <c r="J147" s="149"/>
      <c r="K147" s="93"/>
      <c r="L147" s="61"/>
      <c r="M147" s="112"/>
      <c r="N147" s="115"/>
      <c r="O147" s="93"/>
      <c r="P147" s="61"/>
      <c r="Q147" s="180"/>
      <c r="R147" s="115"/>
      <c r="S147" s="93"/>
      <c r="T147" s="61"/>
      <c r="U147" s="180"/>
      <c r="V147" s="115"/>
      <c r="W147" s="93"/>
      <c r="X147" s="61"/>
      <c r="Y147" s="112"/>
      <c r="Z147" s="181"/>
      <c r="AA147" s="182"/>
      <c r="AB147" s="183"/>
      <c r="AC147" s="112"/>
      <c r="AD147" s="115"/>
      <c r="AE147" s="151"/>
      <c r="AF147" s="184"/>
      <c r="AG147" s="185"/>
      <c r="AH147" s="186"/>
      <c r="AI147" s="187"/>
      <c r="AJ147" s="61"/>
      <c r="AK147" s="61"/>
      <c r="AL147" s="61"/>
      <c r="AM147" s="61"/>
      <c r="AN147" s="61"/>
      <c r="AO147" s="61"/>
    </row>
    <row r="148">
      <c r="A148" s="112"/>
      <c r="B148" s="149"/>
      <c r="C148" s="93"/>
      <c r="D148" s="61"/>
      <c r="E148" s="112"/>
      <c r="F148" s="149"/>
      <c r="G148" s="93"/>
      <c r="H148" s="61"/>
      <c r="I148" s="112"/>
      <c r="J148" s="149"/>
      <c r="K148" s="93"/>
      <c r="L148" s="61"/>
      <c r="M148" s="112"/>
      <c r="N148" s="115"/>
      <c r="O148" s="93"/>
      <c r="P148" s="61"/>
      <c r="Q148" s="180"/>
      <c r="R148" s="115"/>
      <c r="S148" s="93"/>
      <c r="T148" s="61"/>
      <c r="U148" s="180"/>
      <c r="V148" s="115"/>
      <c r="W148" s="93"/>
      <c r="X148" s="61"/>
      <c r="Y148" s="112"/>
      <c r="Z148" s="181"/>
      <c r="AA148" s="182"/>
      <c r="AB148" s="183"/>
      <c r="AC148" s="112"/>
      <c r="AD148" s="115"/>
      <c r="AE148" s="151"/>
      <c r="AF148" s="184"/>
      <c r="AG148" s="185"/>
      <c r="AH148" s="186"/>
      <c r="AI148" s="187"/>
      <c r="AJ148" s="61"/>
      <c r="AK148" s="61"/>
      <c r="AL148" s="61"/>
      <c r="AM148" s="61"/>
      <c r="AN148" s="61"/>
      <c r="AO148" s="61"/>
    </row>
    <row r="149">
      <c r="A149" s="112"/>
      <c r="B149" s="149"/>
      <c r="C149" s="93"/>
      <c r="D149" s="61"/>
      <c r="E149" s="112"/>
      <c r="F149" s="149"/>
      <c r="G149" s="93"/>
      <c r="H149" s="61"/>
      <c r="I149" s="112"/>
      <c r="J149" s="149"/>
      <c r="K149" s="93"/>
      <c r="L149" s="61"/>
      <c r="M149" s="112"/>
      <c r="N149" s="115"/>
      <c r="O149" s="93"/>
      <c r="P149" s="61"/>
      <c r="Q149" s="180"/>
      <c r="R149" s="115"/>
      <c r="S149" s="93"/>
      <c r="T149" s="61"/>
      <c r="U149" s="180"/>
      <c r="V149" s="115"/>
      <c r="W149" s="93"/>
      <c r="X149" s="61"/>
      <c r="Y149" s="112"/>
      <c r="Z149" s="181"/>
      <c r="AA149" s="182"/>
      <c r="AB149" s="183"/>
      <c r="AC149" s="112"/>
      <c r="AD149" s="115"/>
      <c r="AE149" s="151"/>
      <c r="AF149" s="184"/>
      <c r="AG149" s="185"/>
      <c r="AH149" s="186"/>
      <c r="AI149" s="187"/>
      <c r="AJ149" s="61"/>
      <c r="AK149" s="61"/>
      <c r="AL149" s="61"/>
      <c r="AM149" s="61"/>
      <c r="AN149" s="61"/>
      <c r="AO149" s="61"/>
    </row>
    <row r="150">
      <c r="A150" s="112"/>
      <c r="B150" s="149"/>
      <c r="C150" s="93"/>
      <c r="D150" s="61"/>
      <c r="E150" s="112"/>
      <c r="F150" s="149"/>
      <c r="G150" s="93"/>
      <c r="H150" s="61"/>
      <c r="I150" s="112"/>
      <c r="J150" s="149"/>
      <c r="K150" s="93"/>
      <c r="L150" s="61"/>
      <c r="M150" s="112"/>
      <c r="N150" s="115"/>
      <c r="O150" s="93"/>
      <c r="P150" s="61"/>
      <c r="Q150" s="180"/>
      <c r="R150" s="115"/>
      <c r="S150" s="93"/>
      <c r="T150" s="61"/>
      <c r="U150" s="180"/>
      <c r="V150" s="115"/>
      <c r="W150" s="93"/>
      <c r="X150" s="61"/>
      <c r="Y150" s="112"/>
      <c r="Z150" s="181"/>
      <c r="AA150" s="182"/>
      <c r="AB150" s="183"/>
      <c r="AC150" s="112"/>
      <c r="AD150" s="115"/>
      <c r="AE150" s="151"/>
      <c r="AF150" s="184"/>
      <c r="AG150" s="185"/>
      <c r="AH150" s="186"/>
      <c r="AI150" s="187"/>
      <c r="AJ150" s="61"/>
      <c r="AK150" s="61"/>
      <c r="AL150" s="61"/>
      <c r="AM150" s="61"/>
      <c r="AN150" s="61"/>
      <c r="AO150" s="61"/>
    </row>
    <row r="151">
      <c r="A151" s="112"/>
      <c r="B151" s="149"/>
      <c r="C151" s="93"/>
      <c r="D151" s="61"/>
      <c r="E151" s="112"/>
      <c r="F151" s="149"/>
      <c r="G151" s="93"/>
      <c r="H151" s="61"/>
      <c r="I151" s="112"/>
      <c r="J151" s="149"/>
      <c r="K151" s="93"/>
      <c r="L151" s="61"/>
      <c r="M151" s="112"/>
      <c r="N151" s="115"/>
      <c r="O151" s="93"/>
      <c r="P151" s="61"/>
      <c r="Q151" s="180"/>
      <c r="R151" s="115"/>
      <c r="S151" s="93"/>
      <c r="T151" s="61"/>
      <c r="U151" s="180"/>
      <c r="V151" s="115"/>
      <c r="W151" s="93"/>
      <c r="X151" s="61"/>
      <c r="Y151" s="112"/>
      <c r="Z151" s="181"/>
      <c r="AA151" s="182"/>
      <c r="AB151" s="183"/>
      <c r="AC151" s="112"/>
      <c r="AD151" s="115"/>
      <c r="AE151" s="151"/>
      <c r="AF151" s="184"/>
      <c r="AG151" s="185"/>
      <c r="AH151" s="186"/>
      <c r="AI151" s="187"/>
      <c r="AJ151" s="61"/>
      <c r="AK151" s="61"/>
      <c r="AL151" s="61"/>
      <c r="AM151" s="61"/>
      <c r="AN151" s="61"/>
      <c r="AO151" s="61"/>
    </row>
    <row r="152">
      <c r="A152" s="112"/>
      <c r="B152" s="149"/>
      <c r="C152" s="93"/>
      <c r="D152" s="61"/>
      <c r="E152" s="112"/>
      <c r="F152" s="149"/>
      <c r="G152" s="93"/>
      <c r="H152" s="61"/>
      <c r="I152" s="112"/>
      <c r="J152" s="149"/>
      <c r="K152" s="93"/>
      <c r="L152" s="61"/>
      <c r="M152" s="112"/>
      <c r="N152" s="115"/>
      <c r="O152" s="93"/>
      <c r="P152" s="61"/>
      <c r="Q152" s="180"/>
      <c r="R152" s="115"/>
      <c r="S152" s="93"/>
      <c r="T152" s="61"/>
      <c r="U152" s="180"/>
      <c r="V152" s="115"/>
      <c r="W152" s="93"/>
      <c r="X152" s="61"/>
      <c r="Y152" s="112"/>
      <c r="Z152" s="181"/>
      <c r="AA152" s="182"/>
      <c r="AB152" s="183"/>
      <c r="AC152" s="112"/>
      <c r="AD152" s="115"/>
      <c r="AE152" s="151"/>
      <c r="AF152" s="184"/>
      <c r="AG152" s="185"/>
      <c r="AH152" s="186"/>
      <c r="AI152" s="187"/>
      <c r="AJ152" s="61"/>
      <c r="AK152" s="61"/>
      <c r="AL152" s="61"/>
      <c r="AM152" s="61"/>
      <c r="AN152" s="61"/>
      <c r="AO152" s="61"/>
    </row>
    <row r="153">
      <c r="A153" s="112"/>
      <c r="B153" s="149"/>
      <c r="C153" s="93"/>
      <c r="D153" s="61"/>
      <c r="E153" s="112"/>
      <c r="F153" s="149"/>
      <c r="G153" s="93"/>
      <c r="H153" s="61"/>
      <c r="I153" s="112"/>
      <c r="J153" s="149"/>
      <c r="K153" s="93"/>
      <c r="L153" s="61"/>
      <c r="M153" s="112"/>
      <c r="N153" s="115"/>
      <c r="O153" s="93"/>
      <c r="P153" s="61"/>
      <c r="Q153" s="180"/>
      <c r="R153" s="115"/>
      <c r="S153" s="93"/>
      <c r="T153" s="61"/>
      <c r="U153" s="180"/>
      <c r="V153" s="115"/>
      <c r="W153" s="93"/>
      <c r="X153" s="61"/>
      <c r="Y153" s="112"/>
      <c r="Z153" s="181"/>
      <c r="AA153" s="182"/>
      <c r="AB153" s="183"/>
      <c r="AC153" s="112"/>
      <c r="AD153" s="115"/>
      <c r="AE153" s="151"/>
      <c r="AF153" s="184"/>
      <c r="AG153" s="185"/>
      <c r="AH153" s="186"/>
      <c r="AI153" s="187"/>
      <c r="AJ153" s="61"/>
      <c r="AK153" s="61"/>
      <c r="AL153" s="61"/>
      <c r="AM153" s="61"/>
      <c r="AN153" s="61"/>
      <c r="AO153" s="61"/>
    </row>
    <row r="154">
      <c r="A154" s="112"/>
      <c r="B154" s="149"/>
      <c r="C154" s="93"/>
      <c r="D154" s="61"/>
      <c r="E154" s="112"/>
      <c r="F154" s="149"/>
      <c r="G154" s="93"/>
      <c r="H154" s="61"/>
      <c r="I154" s="112"/>
      <c r="J154" s="149"/>
      <c r="K154" s="93"/>
      <c r="L154" s="61"/>
      <c r="M154" s="112"/>
      <c r="N154" s="115"/>
      <c r="O154" s="93"/>
      <c r="P154" s="61"/>
      <c r="Q154" s="180"/>
      <c r="R154" s="115"/>
      <c r="S154" s="93"/>
      <c r="T154" s="61"/>
      <c r="U154" s="180"/>
      <c r="V154" s="115"/>
      <c r="W154" s="93"/>
      <c r="X154" s="61"/>
      <c r="Y154" s="112"/>
      <c r="Z154" s="181"/>
      <c r="AA154" s="182"/>
      <c r="AB154" s="183"/>
      <c r="AC154" s="112"/>
      <c r="AD154" s="115"/>
      <c r="AE154" s="151"/>
      <c r="AF154" s="184"/>
      <c r="AG154" s="185"/>
      <c r="AH154" s="186"/>
      <c r="AI154" s="187"/>
      <c r="AJ154" s="61"/>
      <c r="AK154" s="61"/>
      <c r="AL154" s="61"/>
      <c r="AM154" s="61"/>
      <c r="AN154" s="61"/>
      <c r="AO154" s="61"/>
    </row>
    <row r="155">
      <c r="A155" s="112"/>
      <c r="B155" s="149"/>
      <c r="C155" s="93"/>
      <c r="D155" s="61"/>
      <c r="E155" s="112"/>
      <c r="F155" s="149"/>
      <c r="G155" s="93"/>
      <c r="H155" s="61"/>
      <c r="I155" s="112"/>
      <c r="J155" s="149"/>
      <c r="K155" s="93"/>
      <c r="L155" s="61"/>
      <c r="M155" s="112"/>
      <c r="N155" s="115"/>
      <c r="O155" s="93"/>
      <c r="P155" s="61"/>
      <c r="Q155" s="180"/>
      <c r="R155" s="115"/>
      <c r="S155" s="93"/>
      <c r="T155" s="61"/>
      <c r="U155" s="180"/>
      <c r="V155" s="115"/>
      <c r="W155" s="93"/>
      <c r="X155" s="61"/>
      <c r="Y155" s="112"/>
      <c r="Z155" s="181"/>
      <c r="AA155" s="182"/>
      <c r="AB155" s="183"/>
      <c r="AC155" s="112"/>
      <c r="AD155" s="115"/>
      <c r="AE155" s="151"/>
      <c r="AF155" s="184"/>
      <c r="AG155" s="185"/>
      <c r="AH155" s="186"/>
      <c r="AI155" s="187"/>
      <c r="AJ155" s="61"/>
      <c r="AK155" s="61"/>
      <c r="AL155" s="61"/>
      <c r="AM155" s="61"/>
      <c r="AN155" s="61"/>
      <c r="AO155" s="61"/>
    </row>
    <row r="156">
      <c r="A156" s="112"/>
      <c r="B156" s="149"/>
      <c r="C156" s="93"/>
      <c r="D156" s="61"/>
      <c r="E156" s="112"/>
      <c r="F156" s="149"/>
      <c r="G156" s="93"/>
      <c r="H156" s="61"/>
      <c r="I156" s="112"/>
      <c r="J156" s="149"/>
      <c r="K156" s="93"/>
      <c r="L156" s="61"/>
      <c r="M156" s="112"/>
      <c r="N156" s="115"/>
      <c r="O156" s="93"/>
      <c r="P156" s="61"/>
      <c r="Q156" s="180"/>
      <c r="R156" s="115"/>
      <c r="S156" s="93"/>
      <c r="T156" s="61"/>
      <c r="U156" s="180"/>
      <c r="V156" s="115"/>
      <c r="W156" s="93"/>
      <c r="X156" s="61"/>
      <c r="Y156" s="112"/>
      <c r="Z156" s="181"/>
      <c r="AA156" s="182"/>
      <c r="AB156" s="183"/>
      <c r="AC156" s="112"/>
      <c r="AD156" s="115"/>
      <c r="AE156" s="151"/>
      <c r="AF156" s="184"/>
      <c r="AG156" s="185"/>
      <c r="AH156" s="186"/>
      <c r="AI156" s="187"/>
      <c r="AJ156" s="61"/>
      <c r="AK156" s="61"/>
      <c r="AL156" s="61"/>
      <c r="AM156" s="61"/>
      <c r="AN156" s="61"/>
      <c r="AO156" s="61"/>
    </row>
    <row r="157">
      <c r="A157" s="112"/>
      <c r="B157" s="149"/>
      <c r="C157" s="93"/>
      <c r="D157" s="61"/>
      <c r="E157" s="112"/>
      <c r="F157" s="149"/>
      <c r="G157" s="93"/>
      <c r="H157" s="61"/>
      <c r="I157" s="112"/>
      <c r="J157" s="149"/>
      <c r="K157" s="93"/>
      <c r="L157" s="61"/>
      <c r="M157" s="112"/>
      <c r="N157" s="115"/>
      <c r="O157" s="93"/>
      <c r="P157" s="61"/>
      <c r="Q157" s="180"/>
      <c r="R157" s="115"/>
      <c r="S157" s="93"/>
      <c r="T157" s="61"/>
      <c r="U157" s="180"/>
      <c r="V157" s="115"/>
      <c r="W157" s="93"/>
      <c r="X157" s="61"/>
      <c r="Y157" s="112"/>
      <c r="Z157" s="181"/>
      <c r="AA157" s="182"/>
      <c r="AB157" s="183"/>
      <c r="AC157" s="112"/>
      <c r="AD157" s="115"/>
      <c r="AE157" s="151"/>
      <c r="AF157" s="184"/>
      <c r="AG157" s="185"/>
      <c r="AH157" s="186"/>
      <c r="AI157" s="187"/>
      <c r="AJ157" s="61"/>
      <c r="AK157" s="61"/>
      <c r="AL157" s="61"/>
      <c r="AM157" s="61"/>
      <c r="AN157" s="61"/>
      <c r="AO157" s="61"/>
    </row>
    <row r="158">
      <c r="A158" s="112"/>
      <c r="B158" s="149"/>
      <c r="C158" s="93"/>
      <c r="D158" s="61"/>
      <c r="E158" s="112"/>
      <c r="F158" s="149"/>
      <c r="G158" s="93"/>
      <c r="H158" s="61"/>
      <c r="I158" s="112"/>
      <c r="J158" s="149"/>
      <c r="K158" s="93"/>
      <c r="L158" s="61"/>
      <c r="M158" s="112"/>
      <c r="N158" s="115"/>
      <c r="O158" s="93"/>
      <c r="P158" s="61"/>
      <c r="Q158" s="180"/>
      <c r="R158" s="115"/>
      <c r="S158" s="93"/>
      <c r="T158" s="61"/>
      <c r="U158" s="180"/>
      <c r="V158" s="115"/>
      <c r="W158" s="93"/>
      <c r="X158" s="61"/>
      <c r="Y158" s="112"/>
      <c r="Z158" s="181"/>
      <c r="AA158" s="182"/>
      <c r="AB158" s="183"/>
      <c r="AC158" s="112"/>
      <c r="AD158" s="115"/>
      <c r="AE158" s="151"/>
      <c r="AF158" s="184"/>
      <c r="AG158" s="185"/>
      <c r="AH158" s="186"/>
      <c r="AI158" s="187"/>
      <c r="AJ158" s="61"/>
      <c r="AK158" s="61"/>
      <c r="AL158" s="61"/>
      <c r="AM158" s="61"/>
      <c r="AN158" s="61"/>
      <c r="AO158" s="61"/>
    </row>
    <row r="159">
      <c r="A159" s="112"/>
      <c r="B159" s="149"/>
      <c r="C159" s="93"/>
      <c r="D159" s="61"/>
      <c r="E159" s="112"/>
      <c r="F159" s="149"/>
      <c r="G159" s="93"/>
      <c r="H159" s="61"/>
      <c r="I159" s="112"/>
      <c r="J159" s="149"/>
      <c r="K159" s="93"/>
      <c r="L159" s="61"/>
      <c r="M159" s="112"/>
      <c r="N159" s="115"/>
      <c r="O159" s="93"/>
      <c r="P159" s="61"/>
      <c r="Q159" s="180"/>
      <c r="R159" s="115"/>
      <c r="S159" s="93"/>
      <c r="T159" s="61"/>
      <c r="U159" s="180"/>
      <c r="V159" s="115"/>
      <c r="W159" s="93"/>
      <c r="X159" s="61"/>
      <c r="Y159" s="112"/>
      <c r="Z159" s="181"/>
      <c r="AA159" s="182"/>
      <c r="AB159" s="183"/>
      <c r="AC159" s="112"/>
      <c r="AD159" s="115"/>
      <c r="AE159" s="151"/>
      <c r="AF159" s="184"/>
      <c r="AG159" s="185"/>
      <c r="AH159" s="186"/>
      <c r="AI159" s="187"/>
      <c r="AJ159" s="61"/>
      <c r="AK159" s="61"/>
      <c r="AL159" s="61"/>
      <c r="AM159" s="61"/>
      <c r="AN159" s="61"/>
      <c r="AO159" s="61"/>
    </row>
    <row r="160">
      <c r="A160" s="112"/>
      <c r="B160" s="149"/>
      <c r="C160" s="93"/>
      <c r="D160" s="61"/>
      <c r="E160" s="112"/>
      <c r="F160" s="149"/>
      <c r="G160" s="93"/>
      <c r="H160" s="61"/>
      <c r="I160" s="112"/>
      <c r="J160" s="149"/>
      <c r="K160" s="93"/>
      <c r="L160" s="61"/>
      <c r="M160" s="112"/>
      <c r="N160" s="115"/>
      <c r="O160" s="93"/>
      <c r="P160" s="61"/>
      <c r="Q160" s="180"/>
      <c r="R160" s="115"/>
      <c r="S160" s="93"/>
      <c r="T160" s="61"/>
      <c r="U160" s="180"/>
      <c r="V160" s="115"/>
      <c r="W160" s="93"/>
      <c r="X160" s="61"/>
      <c r="Y160" s="112"/>
      <c r="Z160" s="181"/>
      <c r="AA160" s="182"/>
      <c r="AB160" s="183"/>
      <c r="AC160" s="112"/>
      <c r="AD160" s="115"/>
      <c r="AE160" s="151"/>
      <c r="AF160" s="184"/>
      <c r="AG160" s="185"/>
      <c r="AH160" s="186"/>
      <c r="AI160" s="187"/>
      <c r="AJ160" s="61"/>
      <c r="AK160" s="61"/>
      <c r="AL160" s="61"/>
      <c r="AM160" s="61"/>
      <c r="AN160" s="61"/>
      <c r="AO160" s="61"/>
    </row>
    <row r="161">
      <c r="A161" s="112"/>
      <c r="B161" s="149"/>
      <c r="C161" s="93"/>
      <c r="D161" s="61"/>
      <c r="E161" s="112"/>
      <c r="F161" s="149"/>
      <c r="G161" s="93"/>
      <c r="H161" s="61"/>
      <c r="I161" s="112"/>
      <c r="J161" s="149"/>
      <c r="K161" s="93"/>
      <c r="L161" s="61"/>
      <c r="M161" s="112"/>
      <c r="N161" s="115"/>
      <c r="O161" s="93"/>
      <c r="P161" s="61"/>
      <c r="Q161" s="180"/>
      <c r="R161" s="115"/>
      <c r="S161" s="93"/>
      <c r="T161" s="61"/>
      <c r="U161" s="180"/>
      <c r="V161" s="115"/>
      <c r="W161" s="93"/>
      <c r="X161" s="61"/>
      <c r="Y161" s="112"/>
      <c r="Z161" s="181"/>
      <c r="AA161" s="182"/>
      <c r="AB161" s="183"/>
      <c r="AC161" s="112"/>
      <c r="AD161" s="115"/>
      <c r="AE161" s="151"/>
      <c r="AF161" s="184"/>
      <c r="AG161" s="185"/>
      <c r="AH161" s="186"/>
      <c r="AI161" s="187"/>
      <c r="AJ161" s="61"/>
      <c r="AK161" s="61"/>
      <c r="AL161" s="61"/>
      <c r="AM161" s="61"/>
      <c r="AN161" s="61"/>
      <c r="AO161" s="61"/>
    </row>
    <row r="162">
      <c r="A162" s="112"/>
      <c r="B162" s="149"/>
      <c r="C162" s="93"/>
      <c r="D162" s="61"/>
      <c r="E162" s="112"/>
      <c r="F162" s="149"/>
      <c r="G162" s="93"/>
      <c r="H162" s="61"/>
      <c r="I162" s="112"/>
      <c r="J162" s="149"/>
      <c r="K162" s="93"/>
      <c r="L162" s="61"/>
      <c r="M162" s="112"/>
      <c r="N162" s="115"/>
      <c r="O162" s="93"/>
      <c r="P162" s="61"/>
      <c r="Q162" s="180"/>
      <c r="R162" s="115"/>
      <c r="S162" s="93"/>
      <c r="T162" s="61"/>
      <c r="U162" s="180"/>
      <c r="V162" s="115"/>
      <c r="W162" s="93"/>
      <c r="X162" s="61"/>
      <c r="Y162" s="112"/>
      <c r="Z162" s="181"/>
      <c r="AA162" s="182"/>
      <c r="AB162" s="183"/>
      <c r="AC162" s="112"/>
      <c r="AD162" s="115"/>
      <c r="AE162" s="151"/>
      <c r="AF162" s="184"/>
      <c r="AG162" s="185"/>
      <c r="AH162" s="186"/>
      <c r="AI162" s="187"/>
      <c r="AJ162" s="61"/>
      <c r="AK162" s="61"/>
      <c r="AL162" s="61"/>
      <c r="AM162" s="61"/>
      <c r="AN162" s="61"/>
      <c r="AO162" s="61"/>
    </row>
    <row r="163">
      <c r="A163" s="112"/>
      <c r="B163" s="149"/>
      <c r="C163" s="93"/>
      <c r="D163" s="61"/>
      <c r="E163" s="112"/>
      <c r="F163" s="149"/>
      <c r="G163" s="93"/>
      <c r="H163" s="61"/>
      <c r="I163" s="112"/>
      <c r="J163" s="149"/>
      <c r="K163" s="93"/>
      <c r="L163" s="61"/>
      <c r="M163" s="112"/>
      <c r="N163" s="115"/>
      <c r="O163" s="93"/>
      <c r="P163" s="61"/>
      <c r="Q163" s="180"/>
      <c r="R163" s="115"/>
      <c r="S163" s="93"/>
      <c r="T163" s="61"/>
      <c r="U163" s="180"/>
      <c r="V163" s="115"/>
      <c r="W163" s="93"/>
      <c r="X163" s="61"/>
      <c r="Y163" s="112"/>
      <c r="Z163" s="181"/>
      <c r="AA163" s="182"/>
      <c r="AB163" s="183"/>
      <c r="AC163" s="112"/>
      <c r="AD163" s="115"/>
      <c r="AE163" s="151"/>
      <c r="AF163" s="184"/>
      <c r="AG163" s="185"/>
      <c r="AH163" s="186"/>
      <c r="AI163" s="187"/>
      <c r="AJ163" s="61"/>
      <c r="AK163" s="61"/>
      <c r="AL163" s="61"/>
      <c r="AM163" s="61"/>
      <c r="AN163" s="61"/>
      <c r="AO163" s="61"/>
    </row>
    <row r="164">
      <c r="A164" s="112"/>
      <c r="B164" s="149"/>
      <c r="C164" s="93"/>
      <c r="D164" s="61"/>
      <c r="E164" s="112"/>
      <c r="F164" s="149"/>
      <c r="G164" s="93"/>
      <c r="H164" s="61"/>
      <c r="I164" s="112"/>
      <c r="J164" s="149"/>
      <c r="K164" s="93"/>
      <c r="L164" s="61"/>
      <c r="M164" s="112"/>
      <c r="N164" s="115"/>
      <c r="O164" s="93"/>
      <c r="P164" s="61"/>
      <c r="Q164" s="180"/>
      <c r="R164" s="115"/>
      <c r="S164" s="93"/>
      <c r="T164" s="61"/>
      <c r="U164" s="180"/>
      <c r="V164" s="115"/>
      <c r="W164" s="93"/>
      <c r="X164" s="61"/>
      <c r="Y164" s="112"/>
      <c r="Z164" s="181"/>
      <c r="AA164" s="182"/>
      <c r="AB164" s="183"/>
      <c r="AC164" s="112"/>
      <c r="AD164" s="115"/>
      <c r="AE164" s="151"/>
      <c r="AF164" s="184"/>
      <c r="AG164" s="185"/>
      <c r="AH164" s="186"/>
      <c r="AI164" s="187"/>
      <c r="AJ164" s="61"/>
      <c r="AK164" s="61"/>
      <c r="AL164" s="61"/>
      <c r="AM164" s="61"/>
      <c r="AN164" s="61"/>
      <c r="AO164" s="61"/>
    </row>
    <row r="165">
      <c r="A165" s="112"/>
      <c r="B165" s="149"/>
      <c r="C165" s="93"/>
      <c r="D165" s="61"/>
      <c r="E165" s="112"/>
      <c r="F165" s="149"/>
      <c r="G165" s="93"/>
      <c r="H165" s="61"/>
      <c r="I165" s="112"/>
      <c r="J165" s="149"/>
      <c r="K165" s="93"/>
      <c r="L165" s="61"/>
      <c r="M165" s="112"/>
      <c r="N165" s="115"/>
      <c r="O165" s="93"/>
      <c r="P165" s="61"/>
      <c r="Q165" s="180"/>
      <c r="R165" s="115"/>
      <c r="S165" s="93"/>
      <c r="T165" s="61"/>
      <c r="U165" s="180"/>
      <c r="V165" s="115"/>
      <c r="W165" s="93"/>
      <c r="X165" s="61"/>
      <c r="Y165" s="112"/>
      <c r="Z165" s="181"/>
      <c r="AA165" s="182"/>
      <c r="AB165" s="183"/>
      <c r="AC165" s="112"/>
      <c r="AD165" s="115"/>
      <c r="AE165" s="151"/>
      <c r="AF165" s="184"/>
      <c r="AG165" s="185"/>
      <c r="AH165" s="186"/>
      <c r="AI165" s="187"/>
      <c r="AJ165" s="61"/>
      <c r="AK165" s="61"/>
      <c r="AL165" s="61"/>
      <c r="AM165" s="61"/>
      <c r="AN165" s="61"/>
      <c r="AO165" s="61"/>
    </row>
    <row r="166">
      <c r="A166" s="112"/>
      <c r="B166" s="149"/>
      <c r="C166" s="93"/>
      <c r="D166" s="61"/>
      <c r="E166" s="112"/>
      <c r="F166" s="149"/>
      <c r="G166" s="93"/>
      <c r="H166" s="61"/>
      <c r="I166" s="112"/>
      <c r="J166" s="149"/>
      <c r="K166" s="93"/>
      <c r="L166" s="61"/>
      <c r="M166" s="112"/>
      <c r="N166" s="115"/>
      <c r="O166" s="93"/>
      <c r="P166" s="61"/>
      <c r="Q166" s="180"/>
      <c r="R166" s="115"/>
      <c r="S166" s="93"/>
      <c r="T166" s="61"/>
      <c r="U166" s="180"/>
      <c r="V166" s="115"/>
      <c r="W166" s="93"/>
      <c r="X166" s="61"/>
      <c r="Y166" s="112"/>
      <c r="Z166" s="181"/>
      <c r="AA166" s="182"/>
      <c r="AB166" s="183"/>
      <c r="AC166" s="112"/>
      <c r="AD166" s="115"/>
      <c r="AE166" s="151"/>
      <c r="AF166" s="184"/>
      <c r="AG166" s="185"/>
      <c r="AH166" s="186"/>
      <c r="AI166" s="187"/>
      <c r="AJ166" s="61"/>
      <c r="AK166" s="61"/>
      <c r="AL166" s="61"/>
      <c r="AM166" s="61"/>
      <c r="AN166" s="61"/>
      <c r="AO166" s="61"/>
    </row>
    <row r="167">
      <c r="A167" s="112"/>
      <c r="B167" s="149"/>
      <c r="C167" s="93"/>
      <c r="D167" s="61"/>
      <c r="E167" s="112"/>
      <c r="F167" s="149"/>
      <c r="G167" s="93"/>
      <c r="H167" s="61"/>
      <c r="I167" s="112"/>
      <c r="J167" s="149"/>
      <c r="K167" s="93"/>
      <c r="L167" s="61"/>
      <c r="M167" s="112"/>
      <c r="N167" s="115"/>
      <c r="O167" s="93"/>
      <c r="P167" s="61"/>
      <c r="Q167" s="180"/>
      <c r="R167" s="115"/>
      <c r="S167" s="93"/>
      <c r="T167" s="61"/>
      <c r="U167" s="180"/>
      <c r="V167" s="115"/>
      <c r="W167" s="93"/>
      <c r="X167" s="61"/>
      <c r="Y167" s="112"/>
      <c r="Z167" s="181"/>
      <c r="AA167" s="182"/>
      <c r="AB167" s="183"/>
      <c r="AC167" s="112"/>
      <c r="AD167" s="115"/>
      <c r="AE167" s="151"/>
      <c r="AF167" s="184"/>
      <c r="AG167" s="185"/>
      <c r="AH167" s="186"/>
      <c r="AI167" s="187"/>
      <c r="AJ167" s="61"/>
      <c r="AK167" s="61"/>
      <c r="AL167" s="61"/>
      <c r="AM167" s="61"/>
      <c r="AN167" s="61"/>
      <c r="AO167" s="61"/>
    </row>
    <row r="168">
      <c r="A168" s="112"/>
      <c r="B168" s="149"/>
      <c r="C168" s="93"/>
      <c r="D168" s="61"/>
      <c r="E168" s="112"/>
      <c r="F168" s="149"/>
      <c r="G168" s="93"/>
      <c r="H168" s="61"/>
      <c r="I168" s="112"/>
      <c r="J168" s="149"/>
      <c r="K168" s="93"/>
      <c r="L168" s="61"/>
      <c r="M168" s="112"/>
      <c r="N168" s="115"/>
      <c r="O168" s="93"/>
      <c r="P168" s="61"/>
      <c r="Q168" s="180"/>
      <c r="R168" s="115"/>
      <c r="S168" s="93"/>
      <c r="T168" s="61"/>
      <c r="U168" s="180"/>
      <c r="V168" s="115"/>
      <c r="W168" s="93"/>
      <c r="X168" s="61"/>
      <c r="Y168" s="112"/>
      <c r="Z168" s="181"/>
      <c r="AA168" s="182"/>
      <c r="AB168" s="183"/>
      <c r="AC168" s="112"/>
      <c r="AD168" s="115"/>
      <c r="AE168" s="151"/>
      <c r="AF168" s="184"/>
      <c r="AG168" s="185"/>
      <c r="AH168" s="186"/>
      <c r="AI168" s="187"/>
      <c r="AJ168" s="61"/>
      <c r="AK168" s="61"/>
      <c r="AL168" s="61"/>
      <c r="AM168" s="61"/>
      <c r="AN168" s="61"/>
      <c r="AO168" s="61"/>
    </row>
    <row r="169">
      <c r="A169" s="112"/>
      <c r="B169" s="149"/>
      <c r="C169" s="93"/>
      <c r="D169" s="61"/>
      <c r="E169" s="112"/>
      <c r="F169" s="149"/>
      <c r="G169" s="93"/>
      <c r="H169" s="61"/>
      <c r="I169" s="112"/>
      <c r="J169" s="149"/>
      <c r="K169" s="93"/>
      <c r="L169" s="61"/>
      <c r="M169" s="112"/>
      <c r="N169" s="115"/>
      <c r="O169" s="93"/>
      <c r="P169" s="61"/>
      <c r="Q169" s="180"/>
      <c r="R169" s="115"/>
      <c r="S169" s="93"/>
      <c r="T169" s="61"/>
      <c r="U169" s="180"/>
      <c r="V169" s="115"/>
      <c r="W169" s="93"/>
      <c r="X169" s="61"/>
      <c r="Y169" s="112"/>
      <c r="Z169" s="181"/>
      <c r="AA169" s="182"/>
      <c r="AB169" s="183"/>
      <c r="AC169" s="112"/>
      <c r="AD169" s="115"/>
      <c r="AE169" s="151"/>
      <c r="AF169" s="184"/>
      <c r="AG169" s="185"/>
      <c r="AH169" s="186"/>
      <c r="AI169" s="187"/>
      <c r="AJ169" s="61"/>
      <c r="AK169" s="61"/>
      <c r="AL169" s="61"/>
      <c r="AM169" s="61"/>
      <c r="AN169" s="61"/>
      <c r="AO169" s="61"/>
    </row>
    <row r="170">
      <c r="A170" s="112"/>
      <c r="B170" s="149"/>
      <c r="C170" s="93"/>
      <c r="D170" s="61"/>
      <c r="E170" s="112"/>
      <c r="F170" s="149"/>
      <c r="G170" s="93"/>
      <c r="H170" s="61"/>
      <c r="I170" s="112"/>
      <c r="J170" s="149"/>
      <c r="K170" s="93"/>
      <c r="L170" s="61"/>
      <c r="M170" s="112"/>
      <c r="N170" s="115"/>
      <c r="O170" s="93"/>
      <c r="P170" s="61"/>
      <c r="Q170" s="180"/>
      <c r="R170" s="115"/>
      <c r="S170" s="93"/>
      <c r="T170" s="61"/>
      <c r="U170" s="180"/>
      <c r="V170" s="115"/>
      <c r="W170" s="93"/>
      <c r="X170" s="61"/>
      <c r="Y170" s="112"/>
      <c r="Z170" s="181"/>
      <c r="AA170" s="182"/>
      <c r="AB170" s="183"/>
      <c r="AC170" s="112"/>
      <c r="AD170" s="115"/>
      <c r="AE170" s="151"/>
      <c r="AF170" s="184"/>
      <c r="AG170" s="185"/>
      <c r="AH170" s="186"/>
      <c r="AI170" s="187"/>
      <c r="AJ170" s="61"/>
      <c r="AK170" s="61"/>
      <c r="AL170" s="61"/>
      <c r="AM170" s="61"/>
      <c r="AN170" s="61"/>
      <c r="AO170" s="61"/>
    </row>
    <row r="171">
      <c r="A171" s="112"/>
      <c r="B171" s="149"/>
      <c r="C171" s="93"/>
      <c r="D171" s="61"/>
      <c r="E171" s="112"/>
      <c r="F171" s="149"/>
      <c r="G171" s="93"/>
      <c r="H171" s="61"/>
      <c r="I171" s="112"/>
      <c r="J171" s="149"/>
      <c r="K171" s="93"/>
      <c r="L171" s="61"/>
      <c r="M171" s="112"/>
      <c r="N171" s="115"/>
      <c r="O171" s="93"/>
      <c r="P171" s="61"/>
      <c r="Q171" s="180"/>
      <c r="R171" s="115"/>
      <c r="S171" s="93"/>
      <c r="T171" s="61"/>
      <c r="U171" s="180"/>
      <c r="V171" s="115"/>
      <c r="W171" s="93"/>
      <c r="X171" s="61"/>
      <c r="Y171" s="112"/>
      <c r="Z171" s="181"/>
      <c r="AA171" s="182"/>
      <c r="AB171" s="183"/>
      <c r="AC171" s="112"/>
      <c r="AD171" s="115"/>
      <c r="AE171" s="151"/>
      <c r="AF171" s="184"/>
      <c r="AG171" s="185"/>
      <c r="AH171" s="186"/>
      <c r="AI171" s="187"/>
      <c r="AJ171" s="61"/>
      <c r="AK171" s="61"/>
      <c r="AL171" s="61"/>
      <c r="AM171" s="61"/>
      <c r="AN171" s="61"/>
      <c r="AO171" s="61"/>
    </row>
    <row r="172">
      <c r="A172" s="112"/>
      <c r="B172" s="149"/>
      <c r="C172" s="93"/>
      <c r="D172" s="61"/>
      <c r="E172" s="112"/>
      <c r="F172" s="149"/>
      <c r="G172" s="93"/>
      <c r="H172" s="61"/>
      <c r="I172" s="112"/>
      <c r="J172" s="149"/>
      <c r="K172" s="93"/>
      <c r="L172" s="61"/>
      <c r="M172" s="112"/>
      <c r="N172" s="115"/>
      <c r="O172" s="93"/>
      <c r="P172" s="61"/>
      <c r="Q172" s="180"/>
      <c r="R172" s="115"/>
      <c r="S172" s="93"/>
      <c r="T172" s="61"/>
      <c r="U172" s="180"/>
      <c r="V172" s="115"/>
      <c r="W172" s="93"/>
      <c r="X172" s="61"/>
      <c r="Y172" s="112"/>
      <c r="Z172" s="181"/>
      <c r="AA172" s="182"/>
      <c r="AB172" s="183"/>
      <c r="AC172" s="112"/>
      <c r="AD172" s="115"/>
      <c r="AE172" s="151"/>
      <c r="AF172" s="184"/>
      <c r="AG172" s="185"/>
      <c r="AH172" s="186"/>
      <c r="AI172" s="187"/>
      <c r="AJ172" s="61"/>
      <c r="AK172" s="61"/>
      <c r="AL172" s="61"/>
      <c r="AM172" s="61"/>
      <c r="AN172" s="61"/>
      <c r="AO172" s="61"/>
    </row>
    <row r="173">
      <c r="A173" s="112"/>
      <c r="B173" s="149"/>
      <c r="C173" s="93"/>
      <c r="D173" s="61"/>
      <c r="E173" s="112"/>
      <c r="F173" s="149"/>
      <c r="G173" s="93"/>
      <c r="H173" s="61"/>
      <c r="I173" s="112"/>
      <c r="J173" s="149"/>
      <c r="K173" s="93"/>
      <c r="L173" s="61"/>
      <c r="M173" s="112"/>
      <c r="N173" s="115"/>
      <c r="O173" s="93"/>
      <c r="P173" s="61"/>
      <c r="Q173" s="180"/>
      <c r="R173" s="115"/>
      <c r="S173" s="93"/>
      <c r="T173" s="61"/>
      <c r="U173" s="180"/>
      <c r="V173" s="115"/>
      <c r="W173" s="93"/>
      <c r="X173" s="61"/>
      <c r="Y173" s="112"/>
      <c r="Z173" s="181"/>
      <c r="AA173" s="182"/>
      <c r="AB173" s="183"/>
      <c r="AC173" s="112"/>
      <c r="AD173" s="115"/>
      <c r="AE173" s="151"/>
      <c r="AF173" s="184"/>
      <c r="AG173" s="185"/>
      <c r="AH173" s="186"/>
      <c r="AI173" s="187"/>
      <c r="AJ173" s="61"/>
      <c r="AK173" s="61"/>
      <c r="AL173" s="61"/>
      <c r="AM173" s="61"/>
      <c r="AN173" s="61"/>
      <c r="AO173" s="61"/>
    </row>
    <row r="174">
      <c r="A174" s="112"/>
      <c r="B174" s="149"/>
      <c r="C174" s="93"/>
      <c r="D174" s="61"/>
      <c r="E174" s="112"/>
      <c r="F174" s="149"/>
      <c r="G174" s="93"/>
      <c r="H174" s="61"/>
      <c r="I174" s="112"/>
      <c r="J174" s="149"/>
      <c r="K174" s="93"/>
      <c r="L174" s="61"/>
      <c r="M174" s="112"/>
      <c r="N174" s="115"/>
      <c r="O174" s="93"/>
      <c r="P174" s="61"/>
      <c r="Q174" s="180"/>
      <c r="R174" s="115"/>
      <c r="S174" s="93"/>
      <c r="T174" s="61"/>
      <c r="U174" s="180"/>
      <c r="V174" s="115"/>
      <c r="W174" s="93"/>
      <c r="X174" s="61"/>
      <c r="Y174" s="112"/>
      <c r="Z174" s="181"/>
      <c r="AA174" s="182"/>
      <c r="AB174" s="183"/>
      <c r="AC174" s="112"/>
      <c r="AD174" s="115"/>
      <c r="AE174" s="151"/>
      <c r="AF174" s="184"/>
      <c r="AG174" s="185"/>
      <c r="AH174" s="186"/>
      <c r="AI174" s="187"/>
      <c r="AJ174" s="61"/>
      <c r="AK174" s="61"/>
      <c r="AL174" s="61"/>
      <c r="AM174" s="61"/>
      <c r="AN174" s="61"/>
      <c r="AO174" s="61"/>
    </row>
    <row r="175">
      <c r="A175" s="112"/>
      <c r="B175" s="149"/>
      <c r="C175" s="93"/>
      <c r="D175" s="61"/>
      <c r="E175" s="112"/>
      <c r="F175" s="149"/>
      <c r="G175" s="93"/>
      <c r="H175" s="61"/>
      <c r="I175" s="112"/>
      <c r="J175" s="149"/>
      <c r="K175" s="93"/>
      <c r="L175" s="61"/>
      <c r="M175" s="112"/>
      <c r="N175" s="115"/>
      <c r="O175" s="93"/>
      <c r="P175" s="61"/>
      <c r="Q175" s="180"/>
      <c r="R175" s="115"/>
      <c r="S175" s="93"/>
      <c r="T175" s="61"/>
      <c r="U175" s="180"/>
      <c r="V175" s="115"/>
      <c r="W175" s="93"/>
      <c r="X175" s="61"/>
      <c r="Y175" s="112"/>
      <c r="Z175" s="181"/>
      <c r="AA175" s="182"/>
      <c r="AB175" s="183"/>
      <c r="AC175" s="112"/>
      <c r="AD175" s="115"/>
      <c r="AE175" s="151"/>
      <c r="AF175" s="184"/>
      <c r="AG175" s="185"/>
      <c r="AH175" s="186"/>
      <c r="AI175" s="187"/>
      <c r="AJ175" s="61"/>
      <c r="AK175" s="61"/>
      <c r="AL175" s="61"/>
      <c r="AM175" s="61"/>
      <c r="AN175" s="61"/>
      <c r="AO175" s="61"/>
    </row>
    <row r="176">
      <c r="A176" s="112"/>
      <c r="B176" s="149"/>
      <c r="C176" s="93"/>
      <c r="D176" s="61"/>
      <c r="E176" s="112"/>
      <c r="F176" s="149"/>
      <c r="G176" s="93"/>
      <c r="H176" s="61"/>
      <c r="I176" s="112"/>
      <c r="J176" s="149"/>
      <c r="K176" s="93"/>
      <c r="L176" s="61"/>
      <c r="M176" s="112"/>
      <c r="N176" s="115"/>
      <c r="O176" s="93"/>
      <c r="P176" s="61"/>
      <c r="Q176" s="180"/>
      <c r="R176" s="115"/>
      <c r="S176" s="93"/>
      <c r="T176" s="61"/>
      <c r="U176" s="180"/>
      <c r="V176" s="115"/>
      <c r="W176" s="93"/>
      <c r="X176" s="61"/>
      <c r="Y176" s="112"/>
      <c r="Z176" s="181"/>
      <c r="AA176" s="182"/>
      <c r="AB176" s="183"/>
      <c r="AC176" s="112"/>
      <c r="AD176" s="115"/>
      <c r="AE176" s="151"/>
      <c r="AF176" s="184"/>
      <c r="AG176" s="185"/>
      <c r="AH176" s="186"/>
      <c r="AI176" s="187"/>
      <c r="AJ176" s="61"/>
      <c r="AK176" s="61"/>
      <c r="AL176" s="61"/>
      <c r="AM176" s="61"/>
      <c r="AN176" s="61"/>
      <c r="AO176" s="61"/>
    </row>
    <row r="177">
      <c r="A177" s="112"/>
      <c r="B177" s="149"/>
      <c r="C177" s="93"/>
      <c r="D177" s="61"/>
      <c r="E177" s="112"/>
      <c r="F177" s="149"/>
      <c r="G177" s="93"/>
      <c r="H177" s="61"/>
      <c r="I177" s="112"/>
      <c r="J177" s="149"/>
      <c r="K177" s="93"/>
      <c r="L177" s="61"/>
      <c r="M177" s="112"/>
      <c r="N177" s="115"/>
      <c r="O177" s="93"/>
      <c r="P177" s="61"/>
      <c r="Q177" s="180"/>
      <c r="R177" s="115"/>
      <c r="S177" s="93"/>
      <c r="T177" s="61"/>
      <c r="U177" s="180"/>
      <c r="V177" s="115"/>
      <c r="W177" s="93"/>
      <c r="X177" s="61"/>
      <c r="Y177" s="112"/>
      <c r="Z177" s="181"/>
      <c r="AA177" s="182"/>
      <c r="AB177" s="183"/>
      <c r="AC177" s="112"/>
      <c r="AD177" s="115"/>
      <c r="AE177" s="151"/>
      <c r="AF177" s="184"/>
      <c r="AG177" s="185"/>
      <c r="AH177" s="186"/>
      <c r="AI177" s="187"/>
      <c r="AJ177" s="61"/>
      <c r="AK177" s="61"/>
      <c r="AL177" s="61"/>
      <c r="AM177" s="61"/>
      <c r="AN177" s="61"/>
      <c r="AO177" s="61"/>
    </row>
    <row r="178">
      <c r="A178" s="112"/>
      <c r="B178" s="149"/>
      <c r="C178" s="93"/>
      <c r="D178" s="61"/>
      <c r="E178" s="112"/>
      <c r="F178" s="149"/>
      <c r="G178" s="93"/>
      <c r="H178" s="61"/>
      <c r="I178" s="112"/>
      <c r="J178" s="149"/>
      <c r="K178" s="93"/>
      <c r="L178" s="61"/>
      <c r="M178" s="112"/>
      <c r="N178" s="115"/>
      <c r="O178" s="93"/>
      <c r="P178" s="61"/>
      <c r="Q178" s="180"/>
      <c r="R178" s="115"/>
      <c r="S178" s="93"/>
      <c r="T178" s="61"/>
      <c r="U178" s="180"/>
      <c r="V178" s="115"/>
      <c r="W178" s="93"/>
      <c r="X178" s="61"/>
      <c r="Y178" s="112"/>
      <c r="Z178" s="181"/>
      <c r="AA178" s="182"/>
      <c r="AB178" s="183"/>
      <c r="AC178" s="112"/>
      <c r="AD178" s="115"/>
      <c r="AE178" s="151"/>
      <c r="AF178" s="184"/>
      <c r="AG178" s="185"/>
      <c r="AH178" s="186"/>
      <c r="AI178" s="187"/>
      <c r="AJ178" s="61"/>
      <c r="AK178" s="61"/>
      <c r="AL178" s="61"/>
      <c r="AM178" s="61"/>
      <c r="AN178" s="61"/>
      <c r="AO178" s="61"/>
    </row>
    <row r="179">
      <c r="A179" s="112"/>
      <c r="B179" s="149"/>
      <c r="C179" s="93"/>
      <c r="D179" s="61"/>
      <c r="E179" s="112"/>
      <c r="F179" s="149"/>
      <c r="G179" s="93"/>
      <c r="H179" s="61"/>
      <c r="I179" s="112"/>
      <c r="J179" s="149"/>
      <c r="K179" s="93"/>
      <c r="L179" s="61"/>
      <c r="M179" s="112"/>
      <c r="N179" s="115"/>
      <c r="O179" s="93"/>
      <c r="P179" s="61"/>
      <c r="Q179" s="180"/>
      <c r="R179" s="115"/>
      <c r="S179" s="93"/>
      <c r="T179" s="61"/>
      <c r="U179" s="180"/>
      <c r="V179" s="115"/>
      <c r="W179" s="93"/>
      <c r="X179" s="61"/>
      <c r="Y179" s="112"/>
      <c r="Z179" s="181"/>
      <c r="AA179" s="182"/>
      <c r="AB179" s="183"/>
      <c r="AC179" s="112"/>
      <c r="AD179" s="115"/>
      <c r="AE179" s="151"/>
      <c r="AF179" s="184"/>
      <c r="AG179" s="185"/>
      <c r="AH179" s="186"/>
      <c r="AI179" s="187"/>
      <c r="AJ179" s="61"/>
      <c r="AK179" s="61"/>
      <c r="AL179" s="61"/>
      <c r="AM179" s="61"/>
      <c r="AN179" s="61"/>
      <c r="AO179" s="61"/>
    </row>
    <row r="180">
      <c r="A180" s="112"/>
      <c r="B180" s="149"/>
      <c r="C180" s="93"/>
      <c r="D180" s="61"/>
      <c r="E180" s="112"/>
      <c r="F180" s="149"/>
      <c r="G180" s="93"/>
      <c r="H180" s="61"/>
      <c r="I180" s="112"/>
      <c r="J180" s="149"/>
      <c r="K180" s="93"/>
      <c r="L180" s="61"/>
      <c r="M180" s="112"/>
      <c r="N180" s="115"/>
      <c r="O180" s="93"/>
      <c r="P180" s="61"/>
      <c r="Q180" s="180"/>
      <c r="R180" s="115"/>
      <c r="S180" s="93"/>
      <c r="T180" s="61"/>
      <c r="U180" s="180"/>
      <c r="V180" s="115"/>
      <c r="W180" s="93"/>
      <c r="X180" s="61"/>
      <c r="Y180" s="112"/>
      <c r="Z180" s="181"/>
      <c r="AA180" s="182"/>
      <c r="AB180" s="183"/>
      <c r="AC180" s="112"/>
      <c r="AD180" s="115"/>
      <c r="AE180" s="151"/>
      <c r="AF180" s="184"/>
      <c r="AG180" s="185"/>
      <c r="AH180" s="186"/>
      <c r="AI180" s="187"/>
      <c r="AJ180" s="61"/>
      <c r="AK180" s="61"/>
      <c r="AL180" s="61"/>
      <c r="AM180" s="61"/>
      <c r="AN180" s="61"/>
      <c r="AO180" s="61"/>
    </row>
    <row r="181">
      <c r="A181" s="112"/>
      <c r="B181" s="149"/>
      <c r="C181" s="93"/>
      <c r="D181" s="61"/>
      <c r="E181" s="112"/>
      <c r="F181" s="149"/>
      <c r="G181" s="93"/>
      <c r="H181" s="61"/>
      <c r="I181" s="112"/>
      <c r="J181" s="149"/>
      <c r="K181" s="93"/>
      <c r="L181" s="61"/>
      <c r="M181" s="112"/>
      <c r="N181" s="115"/>
      <c r="O181" s="93"/>
      <c r="P181" s="61"/>
      <c r="Q181" s="180"/>
      <c r="R181" s="115"/>
      <c r="S181" s="93"/>
      <c r="T181" s="61"/>
      <c r="U181" s="180"/>
      <c r="V181" s="115"/>
      <c r="W181" s="93"/>
      <c r="X181" s="61"/>
      <c r="Y181" s="112"/>
      <c r="Z181" s="181"/>
      <c r="AA181" s="182"/>
      <c r="AB181" s="183"/>
      <c r="AC181" s="112"/>
      <c r="AD181" s="115"/>
      <c r="AE181" s="151"/>
      <c r="AF181" s="184"/>
      <c r="AG181" s="185"/>
      <c r="AH181" s="186"/>
      <c r="AI181" s="187"/>
      <c r="AJ181" s="61"/>
      <c r="AK181" s="61"/>
      <c r="AL181" s="61"/>
      <c r="AM181" s="61"/>
      <c r="AN181" s="61"/>
      <c r="AO181" s="61"/>
    </row>
    <row r="182">
      <c r="A182" s="112"/>
      <c r="B182" s="149"/>
      <c r="C182" s="93"/>
      <c r="D182" s="61"/>
      <c r="E182" s="112"/>
      <c r="F182" s="149"/>
      <c r="G182" s="93"/>
      <c r="H182" s="61"/>
      <c r="I182" s="112"/>
      <c r="J182" s="149"/>
      <c r="K182" s="93"/>
      <c r="L182" s="61"/>
      <c r="M182" s="112"/>
      <c r="N182" s="115"/>
      <c r="O182" s="93"/>
      <c r="P182" s="61"/>
      <c r="Q182" s="180"/>
      <c r="R182" s="115"/>
      <c r="S182" s="93"/>
      <c r="T182" s="61"/>
      <c r="U182" s="180"/>
      <c r="V182" s="115"/>
      <c r="W182" s="93"/>
      <c r="X182" s="61"/>
      <c r="Y182" s="112"/>
      <c r="Z182" s="181"/>
      <c r="AA182" s="182"/>
      <c r="AB182" s="183"/>
      <c r="AC182" s="112"/>
      <c r="AD182" s="115"/>
      <c r="AE182" s="151"/>
      <c r="AF182" s="184"/>
      <c r="AG182" s="185"/>
      <c r="AH182" s="186"/>
      <c r="AI182" s="187"/>
      <c r="AJ182" s="61"/>
      <c r="AK182" s="61"/>
      <c r="AL182" s="61"/>
      <c r="AM182" s="61"/>
      <c r="AN182" s="61"/>
      <c r="AO182" s="61"/>
    </row>
    <row r="183">
      <c r="A183" s="112"/>
      <c r="B183" s="149"/>
      <c r="C183" s="93"/>
      <c r="D183" s="61"/>
      <c r="E183" s="112"/>
      <c r="F183" s="149"/>
      <c r="G183" s="93"/>
      <c r="H183" s="61"/>
      <c r="I183" s="112"/>
      <c r="J183" s="149"/>
      <c r="K183" s="93"/>
      <c r="L183" s="61"/>
      <c r="M183" s="112"/>
      <c r="N183" s="115"/>
      <c r="O183" s="93"/>
      <c r="P183" s="61"/>
      <c r="Q183" s="180"/>
      <c r="R183" s="115"/>
      <c r="S183" s="93"/>
      <c r="T183" s="61"/>
      <c r="U183" s="180"/>
      <c r="V183" s="115"/>
      <c r="W183" s="93"/>
      <c r="X183" s="61"/>
      <c r="Y183" s="112"/>
      <c r="Z183" s="181"/>
      <c r="AA183" s="182"/>
      <c r="AB183" s="183"/>
      <c r="AC183" s="112"/>
      <c r="AD183" s="115"/>
      <c r="AE183" s="151"/>
      <c r="AF183" s="184"/>
      <c r="AG183" s="185"/>
      <c r="AH183" s="186"/>
      <c r="AI183" s="187"/>
      <c r="AJ183" s="61"/>
      <c r="AK183" s="61"/>
      <c r="AL183" s="61"/>
      <c r="AM183" s="61"/>
      <c r="AN183" s="61"/>
      <c r="AO183" s="61"/>
    </row>
    <row r="184">
      <c r="A184" s="112"/>
      <c r="B184" s="149"/>
      <c r="C184" s="93"/>
      <c r="D184" s="61"/>
      <c r="E184" s="112"/>
      <c r="F184" s="149"/>
      <c r="G184" s="93"/>
      <c r="H184" s="61"/>
      <c r="I184" s="112"/>
      <c r="J184" s="149"/>
      <c r="K184" s="93"/>
      <c r="L184" s="61"/>
      <c r="M184" s="112"/>
      <c r="N184" s="115"/>
      <c r="O184" s="93"/>
      <c r="P184" s="61"/>
      <c r="Q184" s="180"/>
      <c r="R184" s="115"/>
      <c r="S184" s="93"/>
      <c r="T184" s="61"/>
      <c r="U184" s="180"/>
      <c r="V184" s="115"/>
      <c r="W184" s="93"/>
      <c r="X184" s="61"/>
      <c r="Y184" s="112"/>
      <c r="Z184" s="181"/>
      <c r="AA184" s="182"/>
      <c r="AB184" s="183"/>
      <c r="AC184" s="112"/>
      <c r="AD184" s="115"/>
      <c r="AE184" s="151"/>
      <c r="AF184" s="184"/>
      <c r="AG184" s="185"/>
      <c r="AH184" s="186"/>
      <c r="AI184" s="187"/>
      <c r="AJ184" s="61"/>
      <c r="AK184" s="61"/>
      <c r="AL184" s="61"/>
      <c r="AM184" s="61"/>
      <c r="AN184" s="61"/>
      <c r="AO184" s="61"/>
    </row>
    <row r="185">
      <c r="A185" s="112"/>
      <c r="B185" s="149"/>
      <c r="C185" s="93"/>
      <c r="D185" s="61"/>
      <c r="E185" s="112"/>
      <c r="F185" s="149"/>
      <c r="G185" s="93"/>
      <c r="H185" s="61"/>
      <c r="I185" s="112"/>
      <c r="J185" s="149"/>
      <c r="K185" s="93"/>
      <c r="L185" s="61"/>
      <c r="M185" s="112"/>
      <c r="N185" s="115"/>
      <c r="O185" s="93"/>
      <c r="P185" s="61"/>
      <c r="Q185" s="180"/>
      <c r="R185" s="115"/>
      <c r="S185" s="93"/>
      <c r="T185" s="61"/>
      <c r="U185" s="180"/>
      <c r="V185" s="115"/>
      <c r="W185" s="93"/>
      <c r="X185" s="61"/>
      <c r="Y185" s="112"/>
      <c r="Z185" s="181"/>
      <c r="AA185" s="182"/>
      <c r="AB185" s="183"/>
      <c r="AC185" s="112"/>
      <c r="AD185" s="115"/>
      <c r="AE185" s="151"/>
      <c r="AF185" s="184"/>
      <c r="AG185" s="185"/>
      <c r="AH185" s="186"/>
      <c r="AI185" s="187"/>
      <c r="AJ185" s="61"/>
      <c r="AK185" s="61"/>
      <c r="AL185" s="61"/>
      <c r="AM185" s="61"/>
      <c r="AN185" s="61"/>
      <c r="AO185" s="61"/>
    </row>
    <row r="186">
      <c r="A186" s="112"/>
      <c r="B186" s="149"/>
      <c r="C186" s="93"/>
      <c r="D186" s="61"/>
      <c r="E186" s="112"/>
      <c r="F186" s="149"/>
      <c r="G186" s="93"/>
      <c r="H186" s="61"/>
      <c r="I186" s="112"/>
      <c r="J186" s="149"/>
      <c r="K186" s="93"/>
      <c r="L186" s="61"/>
      <c r="M186" s="112"/>
      <c r="N186" s="115"/>
      <c r="O186" s="93"/>
      <c r="P186" s="61"/>
      <c r="Q186" s="180"/>
      <c r="R186" s="115"/>
      <c r="S186" s="93"/>
      <c r="T186" s="61"/>
      <c r="U186" s="180"/>
      <c r="V186" s="115"/>
      <c r="W186" s="93"/>
      <c r="X186" s="61"/>
      <c r="Y186" s="112"/>
      <c r="Z186" s="181"/>
      <c r="AA186" s="182"/>
      <c r="AB186" s="183"/>
      <c r="AC186" s="112"/>
      <c r="AD186" s="115"/>
      <c r="AE186" s="151"/>
      <c r="AF186" s="184"/>
      <c r="AG186" s="185"/>
      <c r="AH186" s="186"/>
      <c r="AI186" s="187"/>
      <c r="AJ186" s="61"/>
      <c r="AK186" s="61"/>
      <c r="AL186" s="61"/>
      <c r="AM186" s="61"/>
      <c r="AN186" s="61"/>
      <c r="AO186" s="61"/>
    </row>
    <row r="187">
      <c r="A187" s="112"/>
      <c r="B187" s="149"/>
      <c r="C187" s="93"/>
      <c r="D187" s="61"/>
      <c r="E187" s="112"/>
      <c r="F187" s="149"/>
      <c r="G187" s="93"/>
      <c r="H187" s="61"/>
      <c r="I187" s="112"/>
      <c r="J187" s="149"/>
      <c r="K187" s="93"/>
      <c r="L187" s="61"/>
      <c r="M187" s="112"/>
      <c r="N187" s="115"/>
      <c r="O187" s="93"/>
      <c r="P187" s="61"/>
      <c r="Q187" s="180"/>
      <c r="R187" s="115"/>
      <c r="S187" s="93"/>
      <c r="T187" s="61"/>
      <c r="U187" s="180"/>
      <c r="V187" s="115"/>
      <c r="W187" s="93"/>
      <c r="X187" s="61"/>
      <c r="Y187" s="112"/>
      <c r="Z187" s="181"/>
      <c r="AA187" s="182"/>
      <c r="AB187" s="183"/>
      <c r="AC187" s="112"/>
      <c r="AD187" s="115"/>
      <c r="AE187" s="151"/>
      <c r="AF187" s="184"/>
      <c r="AG187" s="185"/>
      <c r="AH187" s="186"/>
      <c r="AI187" s="187"/>
      <c r="AJ187" s="61"/>
      <c r="AK187" s="61"/>
      <c r="AL187" s="61"/>
      <c r="AM187" s="61"/>
      <c r="AN187" s="61"/>
      <c r="AO187" s="61"/>
    </row>
    <row r="188">
      <c r="A188" s="112"/>
      <c r="B188" s="149"/>
      <c r="C188" s="93"/>
      <c r="D188" s="61"/>
      <c r="E188" s="112"/>
      <c r="F188" s="149"/>
      <c r="G188" s="93"/>
      <c r="H188" s="61"/>
      <c r="I188" s="112"/>
      <c r="J188" s="149"/>
      <c r="K188" s="93"/>
      <c r="L188" s="61"/>
      <c r="M188" s="112"/>
      <c r="N188" s="115"/>
      <c r="O188" s="93"/>
      <c r="P188" s="61"/>
      <c r="Q188" s="180"/>
      <c r="R188" s="115"/>
      <c r="S188" s="93"/>
      <c r="T188" s="61"/>
      <c r="U188" s="180"/>
      <c r="V188" s="115"/>
      <c r="W188" s="93"/>
      <c r="X188" s="61"/>
      <c r="Y188" s="112"/>
      <c r="Z188" s="181"/>
      <c r="AA188" s="182"/>
      <c r="AB188" s="183"/>
      <c r="AC188" s="112"/>
      <c r="AD188" s="115"/>
      <c r="AE188" s="151"/>
      <c r="AF188" s="184"/>
      <c r="AG188" s="185"/>
      <c r="AH188" s="186"/>
      <c r="AI188" s="187"/>
      <c r="AJ188" s="61"/>
      <c r="AK188" s="61"/>
      <c r="AL188" s="61"/>
      <c r="AM188" s="61"/>
      <c r="AN188" s="61"/>
      <c r="AO188" s="61"/>
    </row>
    <row r="189">
      <c r="A189" s="112"/>
      <c r="B189" s="149"/>
      <c r="C189" s="93"/>
      <c r="D189" s="61"/>
      <c r="E189" s="112"/>
      <c r="F189" s="149"/>
      <c r="G189" s="93"/>
      <c r="H189" s="61"/>
      <c r="I189" s="112"/>
      <c r="J189" s="149"/>
      <c r="K189" s="93"/>
      <c r="L189" s="61"/>
      <c r="M189" s="112"/>
      <c r="N189" s="115"/>
      <c r="O189" s="93"/>
      <c r="P189" s="61"/>
      <c r="Q189" s="180"/>
      <c r="R189" s="115"/>
      <c r="S189" s="93"/>
      <c r="T189" s="61"/>
      <c r="U189" s="180"/>
      <c r="V189" s="115"/>
      <c r="W189" s="93"/>
      <c r="X189" s="61"/>
      <c r="Y189" s="112"/>
      <c r="Z189" s="181"/>
      <c r="AA189" s="182"/>
      <c r="AB189" s="183"/>
      <c r="AC189" s="112"/>
      <c r="AD189" s="115"/>
      <c r="AE189" s="151"/>
      <c r="AF189" s="184"/>
      <c r="AG189" s="185"/>
      <c r="AH189" s="186"/>
      <c r="AI189" s="187"/>
      <c r="AJ189" s="61"/>
      <c r="AK189" s="61"/>
      <c r="AL189" s="61"/>
      <c r="AM189" s="61"/>
      <c r="AN189" s="61"/>
      <c r="AO189" s="61"/>
    </row>
    <row r="190">
      <c r="A190" s="112"/>
      <c r="B190" s="149"/>
      <c r="C190" s="93"/>
      <c r="D190" s="61"/>
      <c r="E190" s="112"/>
      <c r="F190" s="149"/>
      <c r="G190" s="93"/>
      <c r="H190" s="61"/>
      <c r="I190" s="112"/>
      <c r="J190" s="149"/>
      <c r="K190" s="93"/>
      <c r="L190" s="61"/>
      <c r="M190" s="112"/>
      <c r="N190" s="115"/>
      <c r="O190" s="93"/>
      <c r="P190" s="61"/>
      <c r="Q190" s="180"/>
      <c r="R190" s="115"/>
      <c r="S190" s="93"/>
      <c r="T190" s="61"/>
      <c r="U190" s="180"/>
      <c r="V190" s="115"/>
      <c r="W190" s="93"/>
      <c r="X190" s="61"/>
      <c r="Y190" s="112"/>
      <c r="Z190" s="181"/>
      <c r="AA190" s="182"/>
      <c r="AB190" s="183"/>
      <c r="AC190" s="112"/>
      <c r="AD190" s="115"/>
      <c r="AE190" s="151"/>
      <c r="AF190" s="184"/>
      <c r="AG190" s="185"/>
      <c r="AH190" s="186"/>
      <c r="AI190" s="187"/>
      <c r="AJ190" s="61"/>
      <c r="AK190" s="61"/>
      <c r="AL190" s="61"/>
      <c r="AM190" s="61"/>
      <c r="AN190" s="61"/>
      <c r="AO190" s="61"/>
    </row>
    <row r="191">
      <c r="A191" s="112"/>
      <c r="B191" s="149"/>
      <c r="C191" s="93"/>
      <c r="D191" s="61"/>
      <c r="E191" s="112"/>
      <c r="F191" s="149"/>
      <c r="G191" s="93"/>
      <c r="H191" s="61"/>
      <c r="I191" s="112"/>
      <c r="J191" s="149"/>
      <c r="K191" s="93"/>
      <c r="L191" s="61"/>
      <c r="M191" s="112"/>
      <c r="N191" s="115"/>
      <c r="O191" s="93"/>
      <c r="P191" s="61"/>
      <c r="Q191" s="180"/>
      <c r="R191" s="115"/>
      <c r="S191" s="93"/>
      <c r="T191" s="61"/>
      <c r="U191" s="180"/>
      <c r="V191" s="115"/>
      <c r="W191" s="93"/>
      <c r="X191" s="61"/>
      <c r="Y191" s="112"/>
      <c r="Z191" s="181"/>
      <c r="AA191" s="182"/>
      <c r="AB191" s="183"/>
      <c r="AC191" s="112"/>
      <c r="AD191" s="115"/>
      <c r="AE191" s="151"/>
      <c r="AF191" s="184"/>
      <c r="AG191" s="185"/>
      <c r="AH191" s="186"/>
      <c r="AI191" s="187"/>
      <c r="AJ191" s="61"/>
      <c r="AK191" s="61"/>
      <c r="AL191" s="61"/>
      <c r="AM191" s="61"/>
      <c r="AN191" s="61"/>
      <c r="AO191" s="61"/>
    </row>
    <row r="192">
      <c r="A192" s="112"/>
      <c r="B192" s="149"/>
      <c r="C192" s="93"/>
      <c r="D192" s="61"/>
      <c r="E192" s="112"/>
      <c r="F192" s="149"/>
      <c r="G192" s="93"/>
      <c r="H192" s="61"/>
      <c r="I192" s="112"/>
      <c r="J192" s="149"/>
      <c r="K192" s="93"/>
      <c r="L192" s="61"/>
      <c r="M192" s="112"/>
      <c r="N192" s="115"/>
      <c r="O192" s="93"/>
      <c r="P192" s="61"/>
      <c r="Q192" s="180"/>
      <c r="R192" s="115"/>
      <c r="S192" s="93"/>
      <c r="T192" s="61"/>
      <c r="U192" s="180"/>
      <c r="V192" s="115"/>
      <c r="W192" s="93"/>
      <c r="X192" s="61"/>
      <c r="Y192" s="112"/>
      <c r="Z192" s="181"/>
      <c r="AA192" s="182"/>
      <c r="AB192" s="183"/>
      <c r="AC192" s="112"/>
      <c r="AD192" s="115"/>
      <c r="AE192" s="151"/>
      <c r="AF192" s="184"/>
      <c r="AG192" s="185"/>
      <c r="AH192" s="186"/>
      <c r="AI192" s="187"/>
      <c r="AJ192" s="61"/>
      <c r="AK192" s="61"/>
      <c r="AL192" s="61"/>
      <c r="AM192" s="61"/>
      <c r="AN192" s="61"/>
      <c r="AO192" s="61"/>
    </row>
    <row r="193">
      <c r="A193" s="112"/>
      <c r="B193" s="149"/>
      <c r="C193" s="93"/>
      <c r="D193" s="61"/>
      <c r="E193" s="112"/>
      <c r="F193" s="149"/>
      <c r="G193" s="93"/>
      <c r="H193" s="61"/>
      <c r="I193" s="112"/>
      <c r="J193" s="149"/>
      <c r="K193" s="93"/>
      <c r="L193" s="61"/>
      <c r="M193" s="112"/>
      <c r="N193" s="115"/>
      <c r="O193" s="93"/>
      <c r="P193" s="61"/>
      <c r="Q193" s="180"/>
      <c r="R193" s="115"/>
      <c r="S193" s="93"/>
      <c r="T193" s="61"/>
      <c r="U193" s="180"/>
      <c r="V193" s="115"/>
      <c r="W193" s="93"/>
      <c r="X193" s="61"/>
      <c r="Y193" s="112"/>
      <c r="Z193" s="181"/>
      <c r="AA193" s="182"/>
      <c r="AB193" s="183"/>
      <c r="AC193" s="112"/>
      <c r="AD193" s="115"/>
      <c r="AE193" s="151"/>
      <c r="AF193" s="184"/>
      <c r="AG193" s="185"/>
      <c r="AH193" s="186"/>
      <c r="AI193" s="187"/>
      <c r="AJ193" s="61"/>
      <c r="AK193" s="61"/>
      <c r="AL193" s="61"/>
      <c r="AM193" s="61"/>
      <c r="AN193" s="61"/>
      <c r="AO193" s="61"/>
    </row>
    <row r="194">
      <c r="A194" s="112"/>
      <c r="B194" s="149"/>
      <c r="C194" s="93"/>
      <c r="D194" s="61"/>
      <c r="E194" s="112"/>
      <c r="F194" s="149"/>
      <c r="G194" s="93"/>
      <c r="H194" s="61"/>
      <c r="I194" s="112"/>
      <c r="J194" s="149"/>
      <c r="K194" s="93"/>
      <c r="L194" s="61"/>
      <c r="M194" s="112"/>
      <c r="N194" s="115"/>
      <c r="O194" s="93"/>
      <c r="P194" s="61"/>
      <c r="Q194" s="180"/>
      <c r="R194" s="115"/>
      <c r="S194" s="93"/>
      <c r="T194" s="61"/>
      <c r="U194" s="180"/>
      <c r="V194" s="115"/>
      <c r="W194" s="93"/>
      <c r="X194" s="61"/>
      <c r="Y194" s="112"/>
      <c r="Z194" s="181"/>
      <c r="AA194" s="182"/>
      <c r="AB194" s="183"/>
      <c r="AC194" s="112"/>
      <c r="AD194" s="115"/>
      <c r="AE194" s="151"/>
      <c r="AF194" s="184"/>
      <c r="AG194" s="185"/>
      <c r="AH194" s="186"/>
      <c r="AI194" s="187"/>
      <c r="AJ194" s="61"/>
      <c r="AK194" s="61"/>
      <c r="AL194" s="61"/>
      <c r="AM194" s="61"/>
      <c r="AN194" s="61"/>
      <c r="AO194" s="61"/>
    </row>
    <row r="195">
      <c r="A195" s="112"/>
      <c r="B195" s="149"/>
      <c r="C195" s="93"/>
      <c r="D195" s="61"/>
      <c r="E195" s="112"/>
      <c r="F195" s="149"/>
      <c r="G195" s="93"/>
      <c r="H195" s="61"/>
      <c r="I195" s="112"/>
      <c r="J195" s="149"/>
      <c r="K195" s="93"/>
      <c r="L195" s="61"/>
      <c r="M195" s="112"/>
      <c r="N195" s="115"/>
      <c r="O195" s="93"/>
      <c r="P195" s="61"/>
      <c r="Q195" s="180"/>
      <c r="R195" s="115"/>
      <c r="S195" s="93"/>
      <c r="T195" s="61"/>
      <c r="U195" s="180"/>
      <c r="V195" s="115"/>
      <c r="W195" s="93"/>
      <c r="X195" s="61"/>
      <c r="Y195" s="112"/>
      <c r="Z195" s="181"/>
      <c r="AA195" s="182"/>
      <c r="AB195" s="183"/>
      <c r="AC195" s="112"/>
      <c r="AD195" s="115"/>
      <c r="AE195" s="151"/>
      <c r="AF195" s="184"/>
      <c r="AG195" s="185"/>
      <c r="AH195" s="186"/>
      <c r="AI195" s="187"/>
      <c r="AJ195" s="61"/>
      <c r="AK195" s="61"/>
      <c r="AL195" s="61"/>
      <c r="AM195" s="61"/>
      <c r="AN195" s="61"/>
      <c r="AO195" s="61"/>
    </row>
    <row r="196">
      <c r="A196" s="112"/>
      <c r="B196" s="149"/>
      <c r="C196" s="93"/>
      <c r="D196" s="61"/>
      <c r="E196" s="112"/>
      <c r="F196" s="149"/>
      <c r="G196" s="93"/>
      <c r="H196" s="61"/>
      <c r="I196" s="112"/>
      <c r="J196" s="149"/>
      <c r="K196" s="93"/>
      <c r="L196" s="61"/>
      <c r="M196" s="112"/>
      <c r="N196" s="115"/>
      <c r="O196" s="93"/>
      <c r="P196" s="61"/>
      <c r="Q196" s="180"/>
      <c r="R196" s="115"/>
      <c r="S196" s="93"/>
      <c r="T196" s="61"/>
      <c r="U196" s="180"/>
      <c r="V196" s="115"/>
      <c r="W196" s="93"/>
      <c r="X196" s="61"/>
      <c r="Y196" s="112"/>
      <c r="Z196" s="181"/>
      <c r="AA196" s="182"/>
      <c r="AB196" s="183"/>
      <c r="AC196" s="112"/>
      <c r="AD196" s="115"/>
      <c r="AE196" s="151"/>
      <c r="AF196" s="184"/>
      <c r="AG196" s="185"/>
      <c r="AH196" s="186"/>
      <c r="AI196" s="187"/>
      <c r="AJ196" s="61"/>
      <c r="AK196" s="61"/>
      <c r="AL196" s="61"/>
      <c r="AM196" s="61"/>
      <c r="AN196" s="61"/>
      <c r="AO196" s="61"/>
    </row>
    <row r="197">
      <c r="A197" s="112"/>
      <c r="B197" s="149"/>
      <c r="C197" s="93"/>
      <c r="D197" s="61"/>
      <c r="E197" s="112"/>
      <c r="F197" s="149"/>
      <c r="G197" s="93"/>
      <c r="H197" s="61"/>
      <c r="I197" s="112"/>
      <c r="J197" s="149"/>
      <c r="K197" s="93"/>
      <c r="L197" s="61"/>
      <c r="M197" s="112"/>
      <c r="N197" s="115"/>
      <c r="O197" s="93"/>
      <c r="P197" s="61"/>
      <c r="Q197" s="180"/>
      <c r="R197" s="115"/>
      <c r="S197" s="93"/>
      <c r="T197" s="61"/>
      <c r="U197" s="180"/>
      <c r="V197" s="115"/>
      <c r="W197" s="93"/>
      <c r="X197" s="61"/>
      <c r="Y197" s="112"/>
      <c r="Z197" s="181"/>
      <c r="AA197" s="182"/>
      <c r="AB197" s="183"/>
      <c r="AC197" s="112"/>
      <c r="AD197" s="115"/>
      <c r="AE197" s="151"/>
      <c r="AF197" s="184"/>
      <c r="AG197" s="185"/>
      <c r="AH197" s="186"/>
      <c r="AI197" s="187"/>
      <c r="AJ197" s="61"/>
      <c r="AK197" s="61"/>
      <c r="AL197" s="61"/>
      <c r="AM197" s="61"/>
      <c r="AN197" s="61"/>
      <c r="AO197" s="61"/>
    </row>
    <row r="198">
      <c r="A198" s="112"/>
      <c r="B198" s="149"/>
      <c r="C198" s="93"/>
      <c r="D198" s="61"/>
      <c r="E198" s="112"/>
      <c r="F198" s="149"/>
      <c r="G198" s="93"/>
      <c r="H198" s="61"/>
      <c r="I198" s="112"/>
      <c r="J198" s="149"/>
      <c r="K198" s="93"/>
      <c r="L198" s="61"/>
      <c r="M198" s="112"/>
      <c r="N198" s="115"/>
      <c r="O198" s="93"/>
      <c r="P198" s="61"/>
      <c r="Q198" s="180"/>
      <c r="R198" s="115"/>
      <c r="S198" s="93"/>
      <c r="T198" s="61"/>
      <c r="U198" s="180"/>
      <c r="V198" s="115"/>
      <c r="W198" s="93"/>
      <c r="X198" s="61"/>
      <c r="Y198" s="112"/>
      <c r="Z198" s="181"/>
      <c r="AA198" s="182"/>
      <c r="AB198" s="183"/>
      <c r="AC198" s="112"/>
      <c r="AD198" s="115"/>
      <c r="AE198" s="151"/>
      <c r="AF198" s="184"/>
      <c r="AG198" s="185"/>
      <c r="AH198" s="186"/>
      <c r="AI198" s="187"/>
      <c r="AJ198" s="61"/>
      <c r="AK198" s="61"/>
      <c r="AL198" s="61"/>
      <c r="AM198" s="61"/>
      <c r="AN198" s="61"/>
      <c r="AO198" s="61"/>
    </row>
    <row r="199">
      <c r="A199" s="112"/>
      <c r="B199" s="149"/>
      <c r="C199" s="93"/>
      <c r="D199" s="61"/>
      <c r="E199" s="112"/>
      <c r="F199" s="149"/>
      <c r="G199" s="93"/>
      <c r="H199" s="61"/>
      <c r="I199" s="112"/>
      <c r="J199" s="149"/>
      <c r="K199" s="93"/>
      <c r="L199" s="61"/>
      <c r="M199" s="112"/>
      <c r="N199" s="115"/>
      <c r="O199" s="93"/>
      <c r="P199" s="61"/>
      <c r="Q199" s="180"/>
      <c r="R199" s="115"/>
      <c r="S199" s="93"/>
      <c r="T199" s="61"/>
      <c r="U199" s="180"/>
      <c r="V199" s="115"/>
      <c r="W199" s="93"/>
      <c r="X199" s="61"/>
      <c r="Y199" s="112"/>
      <c r="Z199" s="181"/>
      <c r="AA199" s="182"/>
      <c r="AB199" s="183"/>
      <c r="AC199" s="112"/>
      <c r="AD199" s="115"/>
      <c r="AE199" s="151"/>
      <c r="AF199" s="184"/>
      <c r="AG199" s="185"/>
      <c r="AH199" s="186"/>
      <c r="AI199" s="187"/>
      <c r="AJ199" s="61"/>
      <c r="AK199" s="61"/>
      <c r="AL199" s="61"/>
      <c r="AM199" s="61"/>
      <c r="AN199" s="61"/>
      <c r="AO199" s="61"/>
    </row>
    <row r="200">
      <c r="A200" s="112"/>
      <c r="B200" s="149"/>
      <c r="C200" s="93"/>
      <c r="D200" s="61"/>
      <c r="E200" s="112"/>
      <c r="F200" s="149"/>
      <c r="G200" s="93"/>
      <c r="H200" s="61"/>
      <c r="I200" s="112"/>
      <c r="J200" s="149"/>
      <c r="K200" s="93"/>
      <c r="L200" s="61"/>
      <c r="M200" s="112"/>
      <c r="N200" s="115"/>
      <c r="O200" s="93"/>
      <c r="P200" s="61"/>
      <c r="Q200" s="180"/>
      <c r="R200" s="115"/>
      <c r="S200" s="93"/>
      <c r="T200" s="61"/>
      <c r="U200" s="180"/>
      <c r="V200" s="115"/>
      <c r="W200" s="93"/>
      <c r="X200" s="61"/>
      <c r="Y200" s="112"/>
      <c r="Z200" s="181"/>
      <c r="AA200" s="182"/>
      <c r="AB200" s="183"/>
      <c r="AC200" s="112"/>
      <c r="AD200" s="115"/>
      <c r="AE200" s="151"/>
      <c r="AF200" s="184"/>
      <c r="AG200" s="185"/>
      <c r="AH200" s="186"/>
      <c r="AI200" s="187"/>
      <c r="AJ200" s="61"/>
      <c r="AK200" s="61"/>
      <c r="AL200" s="61"/>
      <c r="AM200" s="61"/>
      <c r="AN200" s="61"/>
      <c r="AO200" s="61"/>
    </row>
    <row r="201">
      <c r="A201" s="112"/>
      <c r="B201" s="149"/>
      <c r="C201" s="93"/>
      <c r="D201" s="61"/>
      <c r="E201" s="112"/>
      <c r="F201" s="149"/>
      <c r="G201" s="93"/>
      <c r="H201" s="61"/>
      <c r="I201" s="112"/>
      <c r="J201" s="149"/>
      <c r="K201" s="93"/>
      <c r="L201" s="61"/>
      <c r="M201" s="112"/>
      <c r="N201" s="115"/>
      <c r="O201" s="93"/>
      <c r="P201" s="61"/>
      <c r="Q201" s="180"/>
      <c r="R201" s="115"/>
      <c r="S201" s="93"/>
      <c r="T201" s="61"/>
      <c r="U201" s="180"/>
      <c r="V201" s="115"/>
      <c r="W201" s="93"/>
      <c r="X201" s="61"/>
      <c r="Y201" s="112"/>
      <c r="Z201" s="181"/>
      <c r="AA201" s="182"/>
      <c r="AB201" s="183"/>
      <c r="AC201" s="112"/>
      <c r="AD201" s="115"/>
      <c r="AE201" s="151"/>
      <c r="AF201" s="184"/>
      <c r="AG201" s="185"/>
      <c r="AH201" s="186"/>
      <c r="AI201" s="187"/>
      <c r="AJ201" s="61"/>
      <c r="AK201" s="61"/>
      <c r="AL201" s="61"/>
      <c r="AM201" s="61"/>
      <c r="AN201" s="61"/>
      <c r="AO201" s="61"/>
    </row>
    <row r="202">
      <c r="A202" s="112"/>
      <c r="B202" s="149"/>
      <c r="C202" s="93"/>
      <c r="D202" s="61"/>
      <c r="E202" s="112"/>
      <c r="F202" s="149"/>
      <c r="G202" s="93"/>
      <c r="H202" s="61"/>
      <c r="I202" s="112"/>
      <c r="J202" s="149"/>
      <c r="K202" s="93"/>
      <c r="L202" s="61"/>
      <c r="M202" s="112"/>
      <c r="N202" s="115"/>
      <c r="O202" s="93"/>
      <c r="P202" s="61"/>
      <c r="Q202" s="180"/>
      <c r="R202" s="115"/>
      <c r="S202" s="93"/>
      <c r="T202" s="61"/>
      <c r="U202" s="180"/>
      <c r="V202" s="115"/>
      <c r="W202" s="93"/>
      <c r="X202" s="61"/>
      <c r="Y202" s="112"/>
      <c r="Z202" s="181"/>
      <c r="AA202" s="182"/>
      <c r="AB202" s="183"/>
      <c r="AC202" s="112"/>
      <c r="AD202" s="115"/>
      <c r="AE202" s="151"/>
      <c r="AF202" s="184"/>
      <c r="AG202" s="185"/>
      <c r="AH202" s="186"/>
      <c r="AI202" s="187"/>
      <c r="AJ202" s="61"/>
      <c r="AK202" s="61"/>
      <c r="AL202" s="61"/>
      <c r="AM202" s="61"/>
      <c r="AN202" s="61"/>
      <c r="AO202" s="61"/>
    </row>
    <row r="203">
      <c r="A203" s="112"/>
      <c r="B203" s="149"/>
      <c r="C203" s="93"/>
      <c r="D203" s="61"/>
      <c r="E203" s="112"/>
      <c r="F203" s="149"/>
      <c r="G203" s="93"/>
      <c r="H203" s="61"/>
      <c r="I203" s="112"/>
      <c r="J203" s="149"/>
      <c r="K203" s="93"/>
      <c r="L203" s="61"/>
      <c r="M203" s="112"/>
      <c r="N203" s="115"/>
      <c r="O203" s="93"/>
      <c r="P203" s="61"/>
      <c r="Q203" s="180"/>
      <c r="R203" s="115"/>
      <c r="S203" s="93"/>
      <c r="T203" s="61"/>
      <c r="U203" s="180"/>
      <c r="V203" s="115"/>
      <c r="W203" s="93"/>
      <c r="X203" s="61"/>
      <c r="Y203" s="112"/>
      <c r="Z203" s="181"/>
      <c r="AA203" s="182"/>
      <c r="AB203" s="183"/>
      <c r="AC203" s="112"/>
      <c r="AD203" s="115"/>
      <c r="AE203" s="151"/>
      <c r="AF203" s="184"/>
      <c r="AG203" s="185"/>
      <c r="AH203" s="186"/>
      <c r="AI203" s="187"/>
      <c r="AJ203" s="61"/>
      <c r="AK203" s="61"/>
      <c r="AL203" s="61"/>
      <c r="AM203" s="61"/>
      <c r="AN203" s="61"/>
      <c r="AO203" s="61"/>
    </row>
    <row r="204">
      <c r="A204" s="112"/>
      <c r="B204" s="149"/>
      <c r="C204" s="93"/>
      <c r="D204" s="61"/>
      <c r="E204" s="112"/>
      <c r="F204" s="149"/>
      <c r="G204" s="93"/>
      <c r="H204" s="61"/>
      <c r="I204" s="112"/>
      <c r="J204" s="149"/>
      <c r="K204" s="93"/>
      <c r="L204" s="61"/>
      <c r="M204" s="112"/>
      <c r="N204" s="115"/>
      <c r="O204" s="93"/>
      <c r="P204" s="61"/>
      <c r="Q204" s="180"/>
      <c r="R204" s="115"/>
      <c r="S204" s="93"/>
      <c r="T204" s="61"/>
      <c r="U204" s="180"/>
      <c r="V204" s="115"/>
      <c r="W204" s="93"/>
      <c r="X204" s="61"/>
      <c r="Y204" s="112"/>
      <c r="Z204" s="181"/>
      <c r="AA204" s="182"/>
      <c r="AB204" s="183"/>
      <c r="AC204" s="112"/>
      <c r="AD204" s="115"/>
      <c r="AE204" s="151"/>
      <c r="AF204" s="184"/>
      <c r="AG204" s="185"/>
      <c r="AH204" s="186"/>
      <c r="AI204" s="187"/>
      <c r="AJ204" s="61"/>
      <c r="AK204" s="61"/>
      <c r="AL204" s="61"/>
      <c r="AM204" s="61"/>
      <c r="AN204" s="61"/>
      <c r="AO204" s="61"/>
    </row>
    <row r="205">
      <c r="A205" s="112"/>
      <c r="B205" s="149"/>
      <c r="C205" s="93"/>
      <c r="D205" s="61"/>
      <c r="E205" s="112"/>
      <c r="F205" s="149"/>
      <c r="G205" s="93"/>
      <c r="H205" s="61"/>
      <c r="I205" s="112"/>
      <c r="J205" s="149"/>
      <c r="K205" s="93"/>
      <c r="L205" s="61"/>
      <c r="M205" s="112"/>
      <c r="N205" s="115"/>
      <c r="O205" s="93"/>
      <c r="P205" s="61"/>
      <c r="Q205" s="180"/>
      <c r="R205" s="115"/>
      <c r="S205" s="93"/>
      <c r="T205" s="61"/>
      <c r="U205" s="180"/>
      <c r="V205" s="115"/>
      <c r="W205" s="93"/>
      <c r="X205" s="61"/>
      <c r="Y205" s="112"/>
      <c r="Z205" s="181"/>
      <c r="AA205" s="182"/>
      <c r="AB205" s="183"/>
      <c r="AC205" s="112"/>
      <c r="AD205" s="115"/>
      <c r="AE205" s="151"/>
      <c r="AF205" s="184"/>
      <c r="AG205" s="185"/>
      <c r="AH205" s="186"/>
      <c r="AI205" s="187"/>
      <c r="AJ205" s="61"/>
      <c r="AK205" s="61"/>
      <c r="AL205" s="61"/>
      <c r="AM205" s="61"/>
      <c r="AN205" s="61"/>
      <c r="AO205" s="61"/>
    </row>
    <row r="206">
      <c r="A206" s="112"/>
      <c r="B206" s="149"/>
      <c r="C206" s="93"/>
      <c r="D206" s="61"/>
      <c r="E206" s="112"/>
      <c r="F206" s="149"/>
      <c r="G206" s="93"/>
      <c r="H206" s="61"/>
      <c r="I206" s="112"/>
      <c r="J206" s="149"/>
      <c r="K206" s="93"/>
      <c r="L206" s="61"/>
      <c r="M206" s="112"/>
      <c r="N206" s="115"/>
      <c r="O206" s="93"/>
      <c r="P206" s="61"/>
      <c r="Q206" s="180"/>
      <c r="R206" s="115"/>
      <c r="S206" s="93"/>
      <c r="T206" s="61"/>
      <c r="U206" s="180"/>
      <c r="V206" s="115"/>
      <c r="W206" s="93"/>
      <c r="X206" s="61"/>
      <c r="Y206" s="112"/>
      <c r="Z206" s="181"/>
      <c r="AA206" s="182"/>
      <c r="AB206" s="183"/>
      <c r="AC206" s="112"/>
      <c r="AD206" s="115"/>
      <c r="AE206" s="151"/>
      <c r="AF206" s="184"/>
      <c r="AG206" s="185"/>
      <c r="AH206" s="186"/>
      <c r="AI206" s="187"/>
      <c r="AJ206" s="61"/>
      <c r="AK206" s="61"/>
      <c r="AL206" s="61"/>
      <c r="AM206" s="61"/>
      <c r="AN206" s="61"/>
      <c r="AO206" s="61"/>
    </row>
    <row r="207">
      <c r="A207" s="112"/>
      <c r="B207" s="149"/>
      <c r="C207" s="93"/>
      <c r="D207" s="61"/>
      <c r="E207" s="112"/>
      <c r="F207" s="149"/>
      <c r="G207" s="93"/>
      <c r="H207" s="61"/>
      <c r="I207" s="112"/>
      <c r="J207" s="149"/>
      <c r="K207" s="93"/>
      <c r="L207" s="61"/>
      <c r="M207" s="112"/>
      <c r="N207" s="115"/>
      <c r="O207" s="93"/>
      <c r="P207" s="61"/>
      <c r="Q207" s="180"/>
      <c r="R207" s="115"/>
      <c r="S207" s="93"/>
      <c r="T207" s="61"/>
      <c r="U207" s="180"/>
      <c r="V207" s="115"/>
      <c r="W207" s="93"/>
      <c r="X207" s="61"/>
      <c r="Y207" s="112"/>
      <c r="Z207" s="181"/>
      <c r="AA207" s="182"/>
      <c r="AB207" s="183"/>
      <c r="AC207" s="112"/>
      <c r="AD207" s="115"/>
      <c r="AE207" s="151"/>
      <c r="AF207" s="184"/>
      <c r="AG207" s="185"/>
      <c r="AH207" s="186"/>
      <c r="AI207" s="187"/>
      <c r="AJ207" s="61"/>
      <c r="AK207" s="61"/>
      <c r="AL207" s="61"/>
      <c r="AM207" s="61"/>
      <c r="AN207" s="61"/>
      <c r="AO207" s="61"/>
    </row>
    <row r="208">
      <c r="A208" s="112"/>
      <c r="B208" s="149"/>
      <c r="C208" s="93"/>
      <c r="D208" s="61"/>
      <c r="E208" s="112"/>
      <c r="F208" s="149"/>
      <c r="G208" s="93"/>
      <c r="H208" s="61"/>
      <c r="I208" s="112"/>
      <c r="J208" s="149"/>
      <c r="K208" s="93"/>
      <c r="L208" s="61"/>
      <c r="M208" s="112"/>
      <c r="N208" s="115"/>
      <c r="O208" s="93"/>
      <c r="P208" s="61"/>
      <c r="Q208" s="180"/>
      <c r="R208" s="115"/>
      <c r="S208" s="93"/>
      <c r="T208" s="61"/>
      <c r="U208" s="180"/>
      <c r="V208" s="115"/>
      <c r="W208" s="93"/>
      <c r="X208" s="61"/>
      <c r="Y208" s="112"/>
      <c r="Z208" s="181"/>
      <c r="AA208" s="182"/>
      <c r="AB208" s="183"/>
      <c r="AC208" s="112"/>
      <c r="AD208" s="115"/>
      <c r="AE208" s="151"/>
      <c r="AF208" s="184"/>
      <c r="AG208" s="185"/>
      <c r="AH208" s="186"/>
      <c r="AI208" s="187"/>
      <c r="AJ208" s="61"/>
      <c r="AK208" s="61"/>
      <c r="AL208" s="61"/>
      <c r="AM208" s="61"/>
      <c r="AN208" s="61"/>
      <c r="AO208" s="61"/>
    </row>
    <row r="209">
      <c r="A209" s="112"/>
      <c r="B209" s="149"/>
      <c r="C209" s="93"/>
      <c r="D209" s="61"/>
      <c r="E209" s="112"/>
      <c r="F209" s="149"/>
      <c r="G209" s="93"/>
      <c r="H209" s="61"/>
      <c r="I209" s="112"/>
      <c r="J209" s="149"/>
      <c r="K209" s="93"/>
      <c r="L209" s="61"/>
      <c r="M209" s="112"/>
      <c r="N209" s="115"/>
      <c r="O209" s="93"/>
      <c r="P209" s="61"/>
      <c r="Q209" s="180"/>
      <c r="R209" s="115"/>
      <c r="S209" s="93"/>
      <c r="T209" s="61"/>
      <c r="U209" s="180"/>
      <c r="V209" s="115"/>
      <c r="W209" s="93"/>
      <c r="X209" s="61"/>
      <c r="Y209" s="112"/>
      <c r="Z209" s="181"/>
      <c r="AA209" s="182"/>
      <c r="AB209" s="183"/>
      <c r="AC209" s="112"/>
      <c r="AD209" s="115"/>
      <c r="AE209" s="151"/>
      <c r="AF209" s="184"/>
      <c r="AG209" s="185"/>
      <c r="AH209" s="186"/>
      <c r="AI209" s="187"/>
      <c r="AJ209" s="61"/>
      <c r="AK209" s="61"/>
      <c r="AL209" s="61"/>
      <c r="AM209" s="61"/>
      <c r="AN209" s="61"/>
      <c r="AO209" s="61"/>
    </row>
    <row r="210">
      <c r="A210" s="112"/>
      <c r="B210" s="149"/>
      <c r="C210" s="93"/>
      <c r="D210" s="61"/>
      <c r="E210" s="112"/>
      <c r="F210" s="149"/>
      <c r="G210" s="93"/>
      <c r="H210" s="61"/>
      <c r="I210" s="112"/>
      <c r="J210" s="149"/>
      <c r="K210" s="93"/>
      <c r="L210" s="61"/>
      <c r="M210" s="112"/>
      <c r="N210" s="115"/>
      <c r="O210" s="93"/>
      <c r="P210" s="61"/>
      <c r="Q210" s="180"/>
      <c r="R210" s="115"/>
      <c r="S210" s="93"/>
      <c r="T210" s="61"/>
      <c r="U210" s="180"/>
      <c r="V210" s="115"/>
      <c r="W210" s="93"/>
      <c r="X210" s="61"/>
      <c r="Y210" s="112"/>
      <c r="Z210" s="181"/>
      <c r="AA210" s="182"/>
      <c r="AB210" s="183"/>
      <c r="AC210" s="112"/>
      <c r="AD210" s="115"/>
      <c r="AE210" s="151"/>
      <c r="AF210" s="184"/>
      <c r="AG210" s="185"/>
      <c r="AH210" s="186"/>
      <c r="AI210" s="187"/>
      <c r="AJ210" s="61"/>
      <c r="AK210" s="61"/>
      <c r="AL210" s="61"/>
      <c r="AM210" s="61"/>
      <c r="AN210" s="61"/>
      <c r="AO210" s="61"/>
    </row>
    <row r="211">
      <c r="A211" s="112"/>
      <c r="B211" s="149"/>
      <c r="C211" s="93"/>
      <c r="D211" s="61"/>
      <c r="E211" s="112"/>
      <c r="F211" s="149"/>
      <c r="G211" s="93"/>
      <c r="H211" s="61"/>
      <c r="I211" s="112"/>
      <c r="J211" s="149"/>
      <c r="K211" s="93"/>
      <c r="L211" s="61"/>
      <c r="M211" s="112"/>
      <c r="N211" s="115"/>
      <c r="O211" s="93"/>
      <c r="P211" s="61"/>
      <c r="Q211" s="180"/>
      <c r="R211" s="115"/>
      <c r="S211" s="93"/>
      <c r="T211" s="61"/>
      <c r="U211" s="180"/>
      <c r="V211" s="115"/>
      <c r="W211" s="93"/>
      <c r="X211" s="61"/>
      <c r="Y211" s="112"/>
      <c r="Z211" s="181"/>
      <c r="AA211" s="182"/>
      <c r="AB211" s="183"/>
      <c r="AC211" s="112"/>
      <c r="AD211" s="115"/>
      <c r="AE211" s="151"/>
      <c r="AF211" s="184"/>
      <c r="AG211" s="185"/>
      <c r="AH211" s="186"/>
      <c r="AI211" s="187"/>
      <c r="AJ211" s="61"/>
      <c r="AK211" s="61"/>
      <c r="AL211" s="61"/>
      <c r="AM211" s="61"/>
      <c r="AN211" s="61"/>
      <c r="AO211" s="61"/>
    </row>
    <row r="212">
      <c r="A212" s="112"/>
      <c r="B212" s="149"/>
      <c r="C212" s="93"/>
      <c r="D212" s="61"/>
      <c r="E212" s="112"/>
      <c r="F212" s="149"/>
      <c r="G212" s="93"/>
      <c r="H212" s="61"/>
      <c r="I212" s="112"/>
      <c r="J212" s="149"/>
      <c r="K212" s="93"/>
      <c r="L212" s="61"/>
      <c r="M212" s="112"/>
      <c r="N212" s="115"/>
      <c r="O212" s="93"/>
      <c r="P212" s="61"/>
      <c r="Q212" s="180"/>
      <c r="R212" s="115"/>
      <c r="S212" s="93"/>
      <c r="T212" s="61"/>
      <c r="U212" s="180"/>
      <c r="V212" s="115"/>
      <c r="W212" s="93"/>
      <c r="X212" s="61"/>
      <c r="Y212" s="112"/>
      <c r="Z212" s="181"/>
      <c r="AA212" s="182"/>
      <c r="AB212" s="183"/>
      <c r="AC212" s="112"/>
      <c r="AD212" s="115"/>
      <c r="AE212" s="151"/>
      <c r="AF212" s="184"/>
      <c r="AG212" s="185"/>
      <c r="AH212" s="186"/>
      <c r="AI212" s="187"/>
      <c r="AJ212" s="61"/>
      <c r="AK212" s="61"/>
      <c r="AL212" s="61"/>
      <c r="AM212" s="61"/>
      <c r="AN212" s="61"/>
      <c r="AO212" s="61"/>
    </row>
    <row r="213">
      <c r="A213" s="112"/>
      <c r="B213" s="149"/>
      <c r="C213" s="93"/>
      <c r="D213" s="61"/>
      <c r="E213" s="112"/>
      <c r="F213" s="149"/>
      <c r="G213" s="93"/>
      <c r="H213" s="61"/>
      <c r="I213" s="112"/>
      <c r="J213" s="149"/>
      <c r="K213" s="93"/>
      <c r="L213" s="61"/>
      <c r="M213" s="112"/>
      <c r="N213" s="115"/>
      <c r="O213" s="93"/>
      <c r="P213" s="61"/>
      <c r="Q213" s="180"/>
      <c r="R213" s="115"/>
      <c r="S213" s="93"/>
      <c r="T213" s="61"/>
      <c r="U213" s="180"/>
      <c r="V213" s="115"/>
      <c r="W213" s="93"/>
      <c r="X213" s="61"/>
      <c r="Y213" s="112"/>
      <c r="Z213" s="181"/>
      <c r="AA213" s="182"/>
      <c r="AB213" s="183"/>
      <c r="AC213" s="112"/>
      <c r="AD213" s="115"/>
      <c r="AE213" s="151"/>
      <c r="AF213" s="184"/>
      <c r="AG213" s="185"/>
      <c r="AH213" s="186"/>
      <c r="AI213" s="187"/>
      <c r="AJ213" s="61"/>
      <c r="AK213" s="61"/>
      <c r="AL213" s="61"/>
      <c r="AM213" s="61"/>
      <c r="AN213" s="61"/>
      <c r="AO213" s="61"/>
    </row>
    <row r="214">
      <c r="A214" s="112"/>
      <c r="B214" s="149"/>
      <c r="C214" s="93"/>
      <c r="D214" s="61"/>
      <c r="E214" s="112"/>
      <c r="F214" s="149"/>
      <c r="G214" s="93"/>
      <c r="H214" s="61"/>
      <c r="I214" s="112"/>
      <c r="J214" s="149"/>
      <c r="K214" s="93"/>
      <c r="L214" s="61"/>
      <c r="M214" s="112"/>
      <c r="N214" s="115"/>
      <c r="O214" s="93"/>
      <c r="P214" s="61"/>
      <c r="Q214" s="180"/>
      <c r="R214" s="115"/>
      <c r="S214" s="93"/>
      <c r="T214" s="61"/>
      <c r="U214" s="180"/>
      <c r="V214" s="115"/>
      <c r="W214" s="93"/>
      <c r="X214" s="61"/>
      <c r="Y214" s="112"/>
      <c r="Z214" s="181"/>
      <c r="AA214" s="182"/>
      <c r="AB214" s="183"/>
      <c r="AC214" s="112"/>
      <c r="AD214" s="115"/>
      <c r="AE214" s="151"/>
      <c r="AF214" s="184"/>
      <c r="AG214" s="185"/>
      <c r="AH214" s="186"/>
      <c r="AI214" s="187"/>
      <c r="AJ214" s="61"/>
      <c r="AK214" s="61"/>
      <c r="AL214" s="61"/>
      <c r="AM214" s="61"/>
      <c r="AN214" s="61"/>
      <c r="AO214" s="61"/>
    </row>
    <row r="215">
      <c r="A215" s="112"/>
      <c r="B215" s="149"/>
      <c r="C215" s="93"/>
      <c r="D215" s="61"/>
      <c r="E215" s="112"/>
      <c r="F215" s="149"/>
      <c r="G215" s="93"/>
      <c r="H215" s="61"/>
      <c r="I215" s="112"/>
      <c r="J215" s="149"/>
      <c r="K215" s="93"/>
      <c r="L215" s="61"/>
      <c r="M215" s="112"/>
      <c r="N215" s="115"/>
      <c r="O215" s="93"/>
      <c r="P215" s="61"/>
      <c r="Q215" s="180"/>
      <c r="R215" s="115"/>
      <c r="S215" s="93"/>
      <c r="T215" s="61"/>
      <c r="U215" s="180"/>
      <c r="V215" s="115"/>
      <c r="W215" s="93"/>
      <c r="X215" s="61"/>
      <c r="Y215" s="112"/>
      <c r="Z215" s="181"/>
      <c r="AA215" s="182"/>
      <c r="AB215" s="183"/>
      <c r="AC215" s="112"/>
      <c r="AD215" s="115"/>
      <c r="AE215" s="151"/>
      <c r="AF215" s="184"/>
      <c r="AG215" s="185"/>
      <c r="AH215" s="186"/>
      <c r="AI215" s="187"/>
      <c r="AJ215" s="61"/>
      <c r="AK215" s="61"/>
      <c r="AL215" s="61"/>
      <c r="AM215" s="61"/>
      <c r="AN215" s="61"/>
      <c r="AO215" s="61"/>
    </row>
    <row r="216">
      <c r="A216" s="112"/>
      <c r="B216" s="149"/>
      <c r="C216" s="93"/>
      <c r="D216" s="61"/>
      <c r="E216" s="112"/>
      <c r="F216" s="149"/>
      <c r="G216" s="93"/>
      <c r="H216" s="61"/>
      <c r="I216" s="112"/>
      <c r="J216" s="149"/>
      <c r="K216" s="93"/>
      <c r="L216" s="61"/>
      <c r="M216" s="112"/>
      <c r="N216" s="115"/>
      <c r="O216" s="93"/>
      <c r="P216" s="61"/>
      <c r="Q216" s="180"/>
      <c r="R216" s="115"/>
      <c r="S216" s="93"/>
      <c r="T216" s="61"/>
      <c r="U216" s="180"/>
      <c r="V216" s="115"/>
      <c r="W216" s="93"/>
      <c r="X216" s="61"/>
      <c r="Y216" s="112"/>
      <c r="Z216" s="181"/>
      <c r="AA216" s="182"/>
      <c r="AB216" s="183"/>
      <c r="AC216" s="112"/>
      <c r="AD216" s="115"/>
      <c r="AE216" s="151"/>
      <c r="AF216" s="184"/>
      <c r="AG216" s="185"/>
      <c r="AH216" s="186"/>
      <c r="AI216" s="187"/>
      <c r="AJ216" s="61"/>
      <c r="AK216" s="61"/>
      <c r="AL216" s="61"/>
      <c r="AM216" s="61"/>
      <c r="AN216" s="61"/>
      <c r="AO216" s="61"/>
    </row>
    <row r="217">
      <c r="A217" s="112"/>
      <c r="B217" s="149"/>
      <c r="C217" s="93"/>
      <c r="D217" s="61"/>
      <c r="E217" s="112"/>
      <c r="F217" s="149"/>
      <c r="G217" s="93"/>
      <c r="H217" s="61"/>
      <c r="I217" s="112"/>
      <c r="J217" s="149"/>
      <c r="K217" s="93"/>
      <c r="L217" s="61"/>
      <c r="M217" s="112"/>
      <c r="N217" s="115"/>
      <c r="O217" s="93"/>
      <c r="P217" s="61"/>
      <c r="Q217" s="180"/>
      <c r="R217" s="115"/>
      <c r="S217" s="93"/>
      <c r="T217" s="61"/>
      <c r="U217" s="180"/>
      <c r="V217" s="115"/>
      <c r="W217" s="93"/>
      <c r="X217" s="61"/>
      <c r="Y217" s="112"/>
      <c r="Z217" s="181"/>
      <c r="AA217" s="182"/>
      <c r="AB217" s="183"/>
      <c r="AC217" s="112"/>
      <c r="AD217" s="115"/>
      <c r="AE217" s="151"/>
      <c r="AF217" s="184"/>
      <c r="AG217" s="185"/>
      <c r="AH217" s="186"/>
      <c r="AI217" s="187"/>
      <c r="AJ217" s="61"/>
      <c r="AK217" s="61"/>
      <c r="AL217" s="61"/>
      <c r="AM217" s="61"/>
      <c r="AN217" s="61"/>
      <c r="AO217" s="61"/>
    </row>
    <row r="218">
      <c r="A218" s="112"/>
      <c r="B218" s="149"/>
      <c r="C218" s="93"/>
      <c r="D218" s="61"/>
      <c r="E218" s="112"/>
      <c r="F218" s="149"/>
      <c r="G218" s="93"/>
      <c r="H218" s="61"/>
      <c r="I218" s="112"/>
      <c r="J218" s="149"/>
      <c r="K218" s="93"/>
      <c r="L218" s="61"/>
      <c r="M218" s="112"/>
      <c r="N218" s="115"/>
      <c r="O218" s="93"/>
      <c r="P218" s="61"/>
      <c r="Q218" s="180"/>
      <c r="R218" s="115"/>
      <c r="S218" s="93"/>
      <c r="T218" s="61"/>
      <c r="U218" s="180"/>
      <c r="V218" s="115"/>
      <c r="W218" s="93"/>
      <c r="X218" s="61"/>
      <c r="Y218" s="112"/>
      <c r="Z218" s="181"/>
      <c r="AA218" s="182"/>
      <c r="AB218" s="183"/>
      <c r="AC218" s="112"/>
      <c r="AD218" s="115"/>
      <c r="AE218" s="151"/>
      <c r="AF218" s="184"/>
      <c r="AG218" s="185"/>
      <c r="AH218" s="186"/>
      <c r="AI218" s="187"/>
      <c r="AJ218" s="61"/>
      <c r="AK218" s="61"/>
      <c r="AL218" s="61"/>
      <c r="AM218" s="61"/>
      <c r="AN218" s="61"/>
      <c r="AO218" s="61"/>
    </row>
    <row r="219">
      <c r="A219" s="112"/>
      <c r="B219" s="149"/>
      <c r="C219" s="93"/>
      <c r="D219" s="61"/>
      <c r="E219" s="112"/>
      <c r="F219" s="149"/>
      <c r="G219" s="93"/>
      <c r="H219" s="61"/>
      <c r="I219" s="112"/>
      <c r="J219" s="149"/>
      <c r="K219" s="93"/>
      <c r="L219" s="61"/>
      <c r="M219" s="112"/>
      <c r="N219" s="115"/>
      <c r="O219" s="93"/>
      <c r="P219" s="61"/>
      <c r="Q219" s="180"/>
      <c r="R219" s="115"/>
      <c r="S219" s="93"/>
      <c r="T219" s="61"/>
      <c r="U219" s="180"/>
      <c r="V219" s="115"/>
      <c r="W219" s="93"/>
      <c r="X219" s="61"/>
      <c r="Y219" s="112"/>
      <c r="Z219" s="181"/>
      <c r="AA219" s="182"/>
      <c r="AB219" s="183"/>
      <c r="AC219" s="112"/>
      <c r="AD219" s="115"/>
      <c r="AE219" s="151"/>
      <c r="AF219" s="184"/>
      <c r="AG219" s="185"/>
      <c r="AH219" s="186"/>
      <c r="AI219" s="187"/>
      <c r="AJ219" s="61"/>
      <c r="AK219" s="61"/>
      <c r="AL219" s="61"/>
      <c r="AM219" s="61"/>
      <c r="AN219" s="61"/>
      <c r="AO219" s="61"/>
    </row>
    <row r="220">
      <c r="A220" s="112"/>
      <c r="B220" s="149"/>
      <c r="C220" s="93"/>
      <c r="D220" s="61"/>
      <c r="E220" s="112"/>
      <c r="F220" s="149"/>
      <c r="G220" s="93"/>
      <c r="H220" s="61"/>
      <c r="I220" s="112"/>
      <c r="J220" s="149"/>
      <c r="K220" s="93"/>
      <c r="L220" s="61"/>
      <c r="M220" s="112"/>
      <c r="N220" s="115"/>
      <c r="O220" s="93"/>
      <c r="P220" s="61"/>
      <c r="Q220" s="180"/>
      <c r="R220" s="115"/>
      <c r="S220" s="93"/>
      <c r="T220" s="61"/>
      <c r="U220" s="180"/>
      <c r="V220" s="115"/>
      <c r="W220" s="93"/>
      <c r="X220" s="61"/>
      <c r="Y220" s="112"/>
      <c r="Z220" s="181"/>
      <c r="AA220" s="182"/>
      <c r="AB220" s="183"/>
      <c r="AC220" s="112"/>
      <c r="AD220" s="115"/>
      <c r="AE220" s="151"/>
      <c r="AF220" s="184"/>
      <c r="AG220" s="185"/>
      <c r="AH220" s="186"/>
      <c r="AI220" s="187"/>
      <c r="AJ220" s="61"/>
      <c r="AK220" s="61"/>
      <c r="AL220" s="61"/>
      <c r="AM220" s="61"/>
      <c r="AN220" s="61"/>
      <c r="AO220" s="61"/>
    </row>
    <row r="221">
      <c r="A221" s="112"/>
      <c r="B221" s="149"/>
      <c r="C221" s="93"/>
      <c r="D221" s="61"/>
      <c r="E221" s="112"/>
      <c r="F221" s="149"/>
      <c r="G221" s="93"/>
      <c r="H221" s="61"/>
      <c r="I221" s="112"/>
      <c r="J221" s="149"/>
      <c r="K221" s="93"/>
      <c r="L221" s="61"/>
      <c r="M221" s="112"/>
      <c r="N221" s="115"/>
      <c r="O221" s="93"/>
      <c r="P221" s="61"/>
      <c r="Q221" s="180"/>
      <c r="R221" s="115"/>
      <c r="S221" s="93"/>
      <c r="T221" s="61"/>
      <c r="U221" s="180"/>
      <c r="V221" s="115"/>
      <c r="W221" s="93"/>
      <c r="X221" s="61"/>
      <c r="Y221" s="112"/>
      <c r="Z221" s="181"/>
      <c r="AA221" s="182"/>
      <c r="AB221" s="183"/>
      <c r="AC221" s="112"/>
      <c r="AD221" s="115"/>
      <c r="AE221" s="151"/>
      <c r="AF221" s="184"/>
      <c r="AG221" s="185"/>
      <c r="AH221" s="186"/>
      <c r="AI221" s="187"/>
      <c r="AJ221" s="61"/>
      <c r="AK221" s="61"/>
      <c r="AL221" s="61"/>
      <c r="AM221" s="61"/>
      <c r="AN221" s="61"/>
      <c r="AO221" s="61"/>
    </row>
    <row r="222">
      <c r="A222" s="112"/>
      <c r="B222" s="149"/>
      <c r="C222" s="93"/>
      <c r="D222" s="61"/>
      <c r="E222" s="112"/>
      <c r="F222" s="149"/>
      <c r="G222" s="93"/>
      <c r="H222" s="61"/>
      <c r="I222" s="112"/>
      <c r="J222" s="149"/>
      <c r="K222" s="93"/>
      <c r="L222" s="61"/>
      <c r="M222" s="112"/>
      <c r="N222" s="115"/>
      <c r="O222" s="93"/>
      <c r="P222" s="61"/>
      <c r="Q222" s="180"/>
      <c r="R222" s="115"/>
      <c r="S222" s="93"/>
      <c r="T222" s="61"/>
      <c r="U222" s="180"/>
      <c r="V222" s="115"/>
      <c r="W222" s="93"/>
      <c r="X222" s="61"/>
      <c r="Y222" s="112"/>
      <c r="Z222" s="181"/>
      <c r="AA222" s="182"/>
      <c r="AB222" s="183"/>
      <c r="AC222" s="112"/>
      <c r="AD222" s="115"/>
      <c r="AE222" s="151"/>
      <c r="AF222" s="184"/>
      <c r="AG222" s="185"/>
      <c r="AH222" s="186"/>
      <c r="AI222" s="187"/>
      <c r="AJ222" s="61"/>
      <c r="AK222" s="61"/>
      <c r="AL222" s="61"/>
      <c r="AM222" s="61"/>
      <c r="AN222" s="61"/>
      <c r="AO222" s="61"/>
    </row>
    <row r="223">
      <c r="A223" s="112"/>
      <c r="B223" s="149"/>
      <c r="C223" s="93"/>
      <c r="D223" s="61"/>
      <c r="E223" s="112"/>
      <c r="F223" s="149"/>
      <c r="G223" s="93"/>
      <c r="H223" s="61"/>
      <c r="I223" s="112"/>
      <c r="J223" s="149"/>
      <c r="K223" s="93"/>
      <c r="L223" s="61"/>
      <c r="M223" s="112"/>
      <c r="N223" s="115"/>
      <c r="O223" s="93"/>
      <c r="P223" s="61"/>
      <c r="Q223" s="180"/>
      <c r="R223" s="115"/>
      <c r="S223" s="93"/>
      <c r="T223" s="61"/>
      <c r="U223" s="180"/>
      <c r="V223" s="115"/>
      <c r="W223" s="93"/>
      <c r="X223" s="61"/>
      <c r="Y223" s="112"/>
      <c r="Z223" s="181"/>
      <c r="AA223" s="182"/>
      <c r="AB223" s="183"/>
      <c r="AC223" s="112"/>
      <c r="AD223" s="115"/>
      <c r="AE223" s="151"/>
      <c r="AF223" s="184"/>
      <c r="AG223" s="185"/>
      <c r="AH223" s="186"/>
      <c r="AI223" s="187"/>
      <c r="AJ223" s="61"/>
      <c r="AK223" s="61"/>
      <c r="AL223" s="61"/>
      <c r="AM223" s="61"/>
      <c r="AN223" s="61"/>
      <c r="AO223" s="61"/>
    </row>
    <row r="224">
      <c r="A224" s="112"/>
      <c r="B224" s="149"/>
      <c r="C224" s="93"/>
      <c r="D224" s="61"/>
      <c r="E224" s="112"/>
      <c r="F224" s="149"/>
      <c r="G224" s="93"/>
      <c r="H224" s="61"/>
      <c r="I224" s="112"/>
      <c r="J224" s="149"/>
      <c r="K224" s="93"/>
      <c r="L224" s="61"/>
      <c r="M224" s="112"/>
      <c r="N224" s="115"/>
      <c r="O224" s="93"/>
      <c r="P224" s="61"/>
      <c r="Q224" s="180"/>
      <c r="R224" s="115"/>
      <c r="S224" s="93"/>
      <c r="T224" s="61"/>
      <c r="U224" s="180"/>
      <c r="V224" s="115"/>
      <c r="W224" s="93"/>
      <c r="X224" s="61"/>
      <c r="Y224" s="112"/>
      <c r="Z224" s="181"/>
      <c r="AA224" s="182"/>
      <c r="AB224" s="183"/>
      <c r="AC224" s="112"/>
      <c r="AD224" s="115"/>
      <c r="AE224" s="151"/>
      <c r="AF224" s="184"/>
      <c r="AG224" s="185"/>
      <c r="AH224" s="186"/>
      <c r="AI224" s="187"/>
      <c r="AJ224" s="61"/>
      <c r="AK224" s="61"/>
      <c r="AL224" s="61"/>
      <c r="AM224" s="61"/>
      <c r="AN224" s="61"/>
      <c r="AO224" s="61"/>
    </row>
    <row r="225">
      <c r="A225" s="112"/>
      <c r="B225" s="149"/>
      <c r="C225" s="93"/>
      <c r="D225" s="61"/>
      <c r="E225" s="112"/>
      <c r="F225" s="149"/>
      <c r="G225" s="93"/>
      <c r="H225" s="61"/>
      <c r="I225" s="112"/>
      <c r="J225" s="149"/>
      <c r="K225" s="93"/>
      <c r="L225" s="61"/>
      <c r="M225" s="112"/>
      <c r="N225" s="115"/>
      <c r="O225" s="93"/>
      <c r="P225" s="61"/>
      <c r="Q225" s="180"/>
      <c r="R225" s="115"/>
      <c r="S225" s="93"/>
      <c r="T225" s="61"/>
      <c r="U225" s="180"/>
      <c r="V225" s="115"/>
      <c r="W225" s="93"/>
      <c r="X225" s="61"/>
      <c r="Y225" s="112"/>
      <c r="Z225" s="181"/>
      <c r="AA225" s="182"/>
      <c r="AB225" s="183"/>
      <c r="AC225" s="112"/>
      <c r="AD225" s="115"/>
      <c r="AE225" s="151"/>
      <c r="AF225" s="184"/>
      <c r="AG225" s="185"/>
      <c r="AH225" s="186"/>
      <c r="AI225" s="187"/>
      <c r="AJ225" s="61"/>
      <c r="AK225" s="61"/>
      <c r="AL225" s="61"/>
      <c r="AM225" s="61"/>
      <c r="AN225" s="61"/>
      <c r="AO225" s="61"/>
    </row>
    <row r="226">
      <c r="A226" s="112"/>
      <c r="B226" s="149"/>
      <c r="C226" s="93"/>
      <c r="D226" s="61"/>
      <c r="E226" s="112"/>
      <c r="F226" s="149"/>
      <c r="G226" s="93"/>
      <c r="H226" s="61"/>
      <c r="I226" s="112"/>
      <c r="J226" s="149"/>
      <c r="K226" s="93"/>
      <c r="L226" s="61"/>
      <c r="M226" s="112"/>
      <c r="N226" s="115"/>
      <c r="O226" s="93"/>
      <c r="P226" s="61"/>
      <c r="Q226" s="180"/>
      <c r="R226" s="115"/>
      <c r="S226" s="93"/>
      <c r="T226" s="61"/>
      <c r="U226" s="180"/>
      <c r="V226" s="115"/>
      <c r="W226" s="93"/>
      <c r="X226" s="61"/>
      <c r="Y226" s="112"/>
      <c r="Z226" s="181"/>
      <c r="AA226" s="182"/>
      <c r="AB226" s="183"/>
      <c r="AC226" s="112"/>
      <c r="AD226" s="115"/>
      <c r="AE226" s="151"/>
      <c r="AF226" s="184"/>
      <c r="AG226" s="185"/>
      <c r="AH226" s="186"/>
      <c r="AI226" s="187"/>
      <c r="AJ226" s="61"/>
      <c r="AK226" s="61"/>
      <c r="AL226" s="61"/>
      <c r="AM226" s="61"/>
      <c r="AN226" s="61"/>
      <c r="AO226" s="61"/>
    </row>
    <row r="227">
      <c r="A227" s="112"/>
      <c r="B227" s="149"/>
      <c r="C227" s="93"/>
      <c r="D227" s="61"/>
      <c r="E227" s="112"/>
      <c r="F227" s="149"/>
      <c r="G227" s="93"/>
      <c r="H227" s="61"/>
      <c r="I227" s="112"/>
      <c r="J227" s="149"/>
      <c r="K227" s="93"/>
      <c r="L227" s="61"/>
      <c r="M227" s="112"/>
      <c r="N227" s="115"/>
      <c r="O227" s="93"/>
      <c r="P227" s="61"/>
      <c r="Q227" s="180"/>
      <c r="R227" s="115"/>
      <c r="S227" s="93"/>
      <c r="T227" s="61"/>
      <c r="U227" s="180"/>
      <c r="V227" s="115"/>
      <c r="W227" s="93"/>
      <c r="X227" s="61"/>
      <c r="Y227" s="112"/>
      <c r="Z227" s="181"/>
      <c r="AA227" s="182"/>
      <c r="AB227" s="183"/>
      <c r="AC227" s="112"/>
      <c r="AD227" s="115"/>
      <c r="AE227" s="151"/>
      <c r="AF227" s="184"/>
      <c r="AG227" s="185"/>
      <c r="AH227" s="186"/>
      <c r="AI227" s="187"/>
      <c r="AJ227" s="61"/>
      <c r="AK227" s="61"/>
      <c r="AL227" s="61"/>
      <c r="AM227" s="61"/>
      <c r="AN227" s="61"/>
      <c r="AO227" s="61"/>
    </row>
    <row r="228">
      <c r="A228" s="112"/>
      <c r="B228" s="149"/>
      <c r="C228" s="93"/>
      <c r="D228" s="61"/>
      <c r="E228" s="112"/>
      <c r="F228" s="149"/>
      <c r="G228" s="93"/>
      <c r="H228" s="61"/>
      <c r="I228" s="112"/>
      <c r="J228" s="149"/>
      <c r="K228" s="93"/>
      <c r="L228" s="61"/>
      <c r="M228" s="112"/>
      <c r="N228" s="115"/>
      <c r="O228" s="93"/>
      <c r="P228" s="61"/>
      <c r="Q228" s="180"/>
      <c r="R228" s="115"/>
      <c r="S228" s="93"/>
      <c r="T228" s="61"/>
      <c r="U228" s="180"/>
      <c r="V228" s="115"/>
      <c r="W228" s="93"/>
      <c r="X228" s="61"/>
      <c r="Y228" s="112"/>
      <c r="Z228" s="181"/>
      <c r="AA228" s="182"/>
      <c r="AB228" s="183"/>
      <c r="AC228" s="112"/>
      <c r="AD228" s="115"/>
      <c r="AE228" s="151"/>
      <c r="AF228" s="184"/>
      <c r="AG228" s="185"/>
      <c r="AH228" s="186"/>
      <c r="AI228" s="187"/>
      <c r="AJ228" s="61"/>
      <c r="AK228" s="61"/>
      <c r="AL228" s="61"/>
      <c r="AM228" s="61"/>
      <c r="AN228" s="61"/>
      <c r="AO228" s="61"/>
    </row>
    <row r="229">
      <c r="A229" s="112"/>
      <c r="B229" s="149"/>
      <c r="C229" s="93"/>
      <c r="D229" s="61"/>
      <c r="E229" s="112"/>
      <c r="F229" s="149"/>
      <c r="G229" s="93"/>
      <c r="H229" s="61"/>
      <c r="I229" s="112"/>
      <c r="J229" s="149"/>
      <c r="K229" s="93"/>
      <c r="L229" s="61"/>
      <c r="M229" s="112"/>
      <c r="N229" s="115"/>
      <c r="O229" s="93"/>
      <c r="P229" s="61"/>
      <c r="Q229" s="180"/>
      <c r="R229" s="115"/>
      <c r="S229" s="93"/>
      <c r="T229" s="61"/>
      <c r="U229" s="180"/>
      <c r="V229" s="115"/>
      <c r="W229" s="93"/>
      <c r="X229" s="61"/>
      <c r="Y229" s="112"/>
      <c r="Z229" s="181"/>
      <c r="AA229" s="182"/>
      <c r="AB229" s="183"/>
      <c r="AC229" s="112"/>
      <c r="AD229" s="115"/>
      <c r="AE229" s="151"/>
      <c r="AF229" s="184"/>
      <c r="AG229" s="185"/>
      <c r="AH229" s="186"/>
      <c r="AI229" s="187"/>
      <c r="AJ229" s="61"/>
      <c r="AK229" s="61"/>
      <c r="AL229" s="61"/>
      <c r="AM229" s="61"/>
      <c r="AN229" s="61"/>
      <c r="AO229" s="61"/>
    </row>
    <row r="230">
      <c r="A230" s="112"/>
      <c r="B230" s="149"/>
      <c r="C230" s="93"/>
      <c r="D230" s="61"/>
      <c r="E230" s="112"/>
      <c r="F230" s="149"/>
      <c r="G230" s="93"/>
      <c r="H230" s="61"/>
      <c r="I230" s="112"/>
      <c r="J230" s="149"/>
      <c r="K230" s="93"/>
      <c r="L230" s="61"/>
      <c r="M230" s="112"/>
      <c r="N230" s="115"/>
      <c r="O230" s="93"/>
      <c r="P230" s="61"/>
      <c r="Q230" s="180"/>
      <c r="R230" s="115"/>
      <c r="S230" s="93"/>
      <c r="T230" s="61"/>
      <c r="U230" s="180"/>
      <c r="V230" s="115"/>
      <c r="W230" s="93"/>
      <c r="X230" s="61"/>
      <c r="Y230" s="112"/>
      <c r="Z230" s="181"/>
      <c r="AA230" s="182"/>
      <c r="AB230" s="183"/>
      <c r="AC230" s="112"/>
      <c r="AD230" s="115"/>
      <c r="AE230" s="151"/>
      <c r="AF230" s="184"/>
      <c r="AG230" s="185"/>
      <c r="AH230" s="186"/>
      <c r="AI230" s="187"/>
      <c r="AJ230" s="61"/>
      <c r="AK230" s="61"/>
      <c r="AL230" s="61"/>
      <c r="AM230" s="61"/>
      <c r="AN230" s="61"/>
      <c r="AO230" s="61"/>
    </row>
    <row r="231">
      <c r="A231" s="112"/>
      <c r="B231" s="149"/>
      <c r="C231" s="93"/>
      <c r="D231" s="61"/>
      <c r="E231" s="112"/>
      <c r="F231" s="149"/>
      <c r="G231" s="93"/>
      <c r="H231" s="61"/>
      <c r="I231" s="112"/>
      <c r="J231" s="149"/>
      <c r="K231" s="93"/>
      <c r="L231" s="61"/>
      <c r="M231" s="112"/>
      <c r="N231" s="115"/>
      <c r="O231" s="93"/>
      <c r="P231" s="61"/>
      <c r="Q231" s="180"/>
      <c r="R231" s="115"/>
      <c r="S231" s="93"/>
      <c r="T231" s="61"/>
      <c r="U231" s="180"/>
      <c r="V231" s="115"/>
      <c r="W231" s="93"/>
      <c r="X231" s="61"/>
      <c r="Y231" s="112"/>
      <c r="Z231" s="181"/>
      <c r="AA231" s="182"/>
      <c r="AB231" s="183"/>
      <c r="AC231" s="112"/>
      <c r="AD231" s="115"/>
      <c r="AE231" s="151"/>
      <c r="AF231" s="184"/>
      <c r="AG231" s="188"/>
      <c r="AH231" s="188"/>
      <c r="AI231" s="188"/>
      <c r="AJ231" s="188"/>
      <c r="AK231" s="61"/>
      <c r="AL231" s="61"/>
      <c r="AM231" s="61"/>
      <c r="AN231" s="61"/>
      <c r="AO231" s="61"/>
    </row>
    <row r="232">
      <c r="A232" s="112"/>
      <c r="B232" s="149"/>
      <c r="C232" s="93"/>
      <c r="D232" s="61"/>
      <c r="E232" s="112"/>
      <c r="F232" s="149"/>
      <c r="G232" s="93"/>
      <c r="H232" s="61"/>
      <c r="I232" s="112"/>
      <c r="J232" s="149"/>
      <c r="K232" s="93"/>
      <c r="L232" s="61"/>
      <c r="M232" s="112"/>
      <c r="N232" s="115"/>
      <c r="O232" s="93"/>
      <c r="P232" s="61"/>
      <c r="Q232" s="180"/>
      <c r="R232" s="115"/>
      <c r="S232" s="93"/>
      <c r="T232" s="61"/>
      <c r="U232" s="180"/>
      <c r="V232" s="115"/>
      <c r="W232" s="93"/>
      <c r="X232" s="61"/>
      <c r="Y232" s="112"/>
      <c r="Z232" s="181"/>
      <c r="AA232" s="182"/>
      <c r="AB232" s="183"/>
      <c r="AC232" s="112"/>
      <c r="AD232" s="115"/>
      <c r="AE232" s="151"/>
      <c r="AF232" s="184"/>
      <c r="AG232" s="188"/>
      <c r="AH232" s="188"/>
      <c r="AI232" s="188"/>
      <c r="AJ232" s="188"/>
      <c r="AK232" s="61"/>
      <c r="AL232" s="61"/>
      <c r="AM232" s="61"/>
      <c r="AN232" s="61"/>
      <c r="AO232" s="61"/>
    </row>
    <row r="233">
      <c r="A233" s="112"/>
      <c r="B233" s="149"/>
      <c r="C233" s="93"/>
      <c r="D233" s="61"/>
      <c r="E233" s="112"/>
      <c r="F233" s="149"/>
      <c r="G233" s="93"/>
      <c r="H233" s="61"/>
      <c r="I233" s="112"/>
      <c r="J233" s="149"/>
      <c r="K233" s="93"/>
      <c r="L233" s="61"/>
      <c r="M233" s="112"/>
      <c r="N233" s="115"/>
      <c r="O233" s="93"/>
      <c r="P233" s="61"/>
      <c r="Q233" s="180"/>
      <c r="R233" s="115"/>
      <c r="S233" s="93"/>
      <c r="T233" s="61"/>
      <c r="U233" s="180"/>
      <c r="V233" s="115"/>
      <c r="W233" s="93"/>
      <c r="X233" s="61"/>
      <c r="Y233" s="112"/>
      <c r="Z233" s="181"/>
      <c r="AA233" s="182"/>
      <c r="AB233" s="183"/>
      <c r="AC233" s="112"/>
      <c r="AD233" s="115"/>
      <c r="AE233" s="151"/>
      <c r="AF233" s="184"/>
      <c r="AG233" s="188"/>
      <c r="AH233" s="188"/>
      <c r="AI233" s="188"/>
      <c r="AJ233" s="188"/>
      <c r="AK233" s="61"/>
      <c r="AL233" s="61"/>
      <c r="AM233" s="61"/>
      <c r="AN233" s="61"/>
      <c r="AO233" s="61"/>
    </row>
    <row r="234">
      <c r="A234" s="112"/>
      <c r="B234" s="149"/>
      <c r="C234" s="93"/>
      <c r="D234" s="61"/>
      <c r="E234" s="112"/>
      <c r="F234" s="149"/>
      <c r="G234" s="93"/>
      <c r="H234" s="61"/>
      <c r="I234" s="112"/>
      <c r="J234" s="149"/>
      <c r="K234" s="93"/>
      <c r="L234" s="61"/>
      <c r="M234" s="112"/>
      <c r="N234" s="115"/>
      <c r="O234" s="93"/>
      <c r="P234" s="61"/>
      <c r="Q234" s="180"/>
      <c r="R234" s="115"/>
      <c r="S234" s="93"/>
      <c r="T234" s="61"/>
      <c r="U234" s="180"/>
      <c r="V234" s="115"/>
      <c r="W234" s="93"/>
      <c r="X234" s="61"/>
      <c r="Y234" s="112"/>
      <c r="Z234" s="181"/>
      <c r="AA234" s="182"/>
      <c r="AB234" s="183"/>
      <c r="AC234" s="112"/>
      <c r="AD234" s="115"/>
      <c r="AE234" s="151"/>
      <c r="AF234" s="184"/>
      <c r="AG234" s="188"/>
      <c r="AH234" s="188"/>
      <c r="AI234" s="188"/>
      <c r="AJ234" s="188"/>
      <c r="AK234" s="61"/>
      <c r="AL234" s="61"/>
      <c r="AM234" s="61"/>
      <c r="AN234" s="61"/>
      <c r="AO234" s="61"/>
    </row>
    <row r="235">
      <c r="A235" s="112"/>
      <c r="B235" s="149"/>
      <c r="C235" s="93"/>
      <c r="D235" s="61"/>
      <c r="E235" s="112"/>
      <c r="F235" s="149"/>
      <c r="G235" s="93"/>
      <c r="H235" s="61"/>
      <c r="I235" s="112"/>
      <c r="J235" s="149"/>
      <c r="K235" s="93"/>
      <c r="L235" s="61"/>
      <c r="M235" s="112"/>
      <c r="N235" s="115"/>
      <c r="O235" s="93"/>
      <c r="P235" s="61"/>
      <c r="Q235" s="180"/>
      <c r="R235" s="115"/>
      <c r="S235" s="93"/>
      <c r="T235" s="61"/>
      <c r="U235" s="180"/>
      <c r="V235" s="115"/>
      <c r="W235" s="93"/>
      <c r="X235" s="61"/>
      <c r="Y235" s="112"/>
      <c r="Z235" s="181"/>
      <c r="AA235" s="182"/>
      <c r="AB235" s="183"/>
      <c r="AC235" s="112"/>
      <c r="AD235" s="115"/>
      <c r="AE235" s="151"/>
      <c r="AF235" s="184"/>
      <c r="AG235" s="188"/>
      <c r="AH235" s="188"/>
      <c r="AI235" s="188"/>
      <c r="AJ235" s="188"/>
      <c r="AK235" s="61"/>
      <c r="AL235" s="61"/>
      <c r="AM235" s="61"/>
      <c r="AN235" s="61"/>
      <c r="AO235" s="61"/>
    </row>
    <row r="236">
      <c r="A236" s="112"/>
      <c r="B236" s="149"/>
      <c r="C236" s="93"/>
      <c r="D236" s="61"/>
      <c r="E236" s="112"/>
      <c r="F236" s="149"/>
      <c r="G236" s="93"/>
      <c r="H236" s="61"/>
      <c r="I236" s="112"/>
      <c r="J236" s="149"/>
      <c r="K236" s="93"/>
      <c r="L236" s="61"/>
      <c r="M236" s="112"/>
      <c r="N236" s="115"/>
      <c r="O236" s="93"/>
      <c r="P236" s="61"/>
      <c r="Q236" s="180"/>
      <c r="R236" s="115"/>
      <c r="S236" s="93"/>
      <c r="T236" s="61"/>
      <c r="U236" s="180"/>
      <c r="V236" s="115"/>
      <c r="W236" s="93"/>
      <c r="X236" s="61"/>
      <c r="Y236" s="112"/>
      <c r="Z236" s="181"/>
      <c r="AA236" s="182"/>
      <c r="AB236" s="183"/>
      <c r="AC236" s="112"/>
      <c r="AD236" s="115"/>
      <c r="AE236" s="151"/>
      <c r="AF236" s="184"/>
      <c r="AG236" s="188"/>
      <c r="AH236" s="188"/>
      <c r="AI236" s="188"/>
      <c r="AJ236" s="188"/>
      <c r="AK236" s="61"/>
      <c r="AL236" s="61"/>
      <c r="AM236" s="61"/>
      <c r="AN236" s="61"/>
      <c r="AO236" s="61"/>
    </row>
    <row r="237">
      <c r="A237" s="112"/>
      <c r="B237" s="149"/>
      <c r="C237" s="93"/>
      <c r="D237" s="61"/>
      <c r="E237" s="112"/>
      <c r="F237" s="149"/>
      <c r="G237" s="93"/>
      <c r="H237" s="61"/>
      <c r="I237" s="112"/>
      <c r="J237" s="149"/>
      <c r="K237" s="93"/>
      <c r="L237" s="61"/>
      <c r="M237" s="112"/>
      <c r="N237" s="115"/>
      <c r="O237" s="93"/>
      <c r="P237" s="61"/>
      <c r="Q237" s="180"/>
      <c r="R237" s="115"/>
      <c r="S237" s="93"/>
      <c r="T237" s="61"/>
      <c r="U237" s="180"/>
      <c r="V237" s="115"/>
      <c r="W237" s="93"/>
      <c r="X237" s="61"/>
      <c r="Y237" s="112"/>
      <c r="Z237" s="181"/>
      <c r="AA237" s="182"/>
      <c r="AB237" s="183"/>
      <c r="AC237" s="112"/>
      <c r="AD237" s="115"/>
      <c r="AE237" s="151"/>
      <c r="AF237" s="184"/>
      <c r="AG237" s="188"/>
      <c r="AH237" s="188"/>
      <c r="AI237" s="188"/>
      <c r="AJ237" s="188"/>
      <c r="AK237" s="61"/>
      <c r="AL237" s="61"/>
      <c r="AM237" s="61"/>
      <c r="AN237" s="61"/>
      <c r="AO237" s="61"/>
    </row>
    <row r="238">
      <c r="A238" s="112"/>
      <c r="B238" s="149"/>
      <c r="C238" s="93"/>
      <c r="D238" s="61"/>
      <c r="E238" s="112"/>
      <c r="F238" s="149"/>
      <c r="G238" s="93"/>
      <c r="H238" s="61"/>
      <c r="I238" s="112"/>
      <c r="J238" s="149"/>
      <c r="K238" s="93"/>
      <c r="L238" s="61"/>
      <c r="M238" s="112"/>
      <c r="N238" s="115"/>
      <c r="O238" s="93"/>
      <c r="P238" s="61"/>
      <c r="Q238" s="180"/>
      <c r="R238" s="115"/>
      <c r="S238" s="93"/>
      <c r="T238" s="61"/>
      <c r="U238" s="180"/>
      <c r="V238" s="115"/>
      <c r="W238" s="93"/>
      <c r="X238" s="61"/>
      <c r="Y238" s="112"/>
      <c r="Z238" s="181"/>
      <c r="AA238" s="182"/>
      <c r="AB238" s="183"/>
      <c r="AC238" s="112"/>
      <c r="AD238" s="115"/>
      <c r="AE238" s="151"/>
      <c r="AF238" s="184"/>
      <c r="AG238" s="188"/>
      <c r="AH238" s="188"/>
      <c r="AI238" s="188"/>
      <c r="AJ238" s="188"/>
      <c r="AK238" s="61"/>
      <c r="AL238" s="61"/>
      <c r="AM238" s="61"/>
      <c r="AN238" s="61"/>
      <c r="AO238" s="61"/>
    </row>
    <row r="239">
      <c r="A239" s="112"/>
      <c r="B239" s="149"/>
      <c r="C239" s="93"/>
      <c r="D239" s="61"/>
      <c r="E239" s="112"/>
      <c r="F239" s="149"/>
      <c r="G239" s="93"/>
      <c r="H239" s="61"/>
      <c r="I239" s="112"/>
      <c r="J239" s="149"/>
      <c r="K239" s="93"/>
      <c r="L239" s="61"/>
      <c r="M239" s="112"/>
      <c r="N239" s="115"/>
      <c r="O239" s="93"/>
      <c r="P239" s="61"/>
      <c r="Q239" s="180"/>
      <c r="R239" s="115"/>
      <c r="S239" s="93"/>
      <c r="T239" s="61"/>
      <c r="U239" s="180"/>
      <c r="V239" s="115"/>
      <c r="W239" s="93"/>
      <c r="X239" s="61"/>
      <c r="Y239" s="112"/>
      <c r="Z239" s="181"/>
      <c r="AA239" s="182"/>
      <c r="AB239" s="183"/>
      <c r="AC239" s="112"/>
      <c r="AD239" s="115"/>
      <c r="AE239" s="151"/>
      <c r="AF239" s="184"/>
      <c r="AG239" s="188"/>
      <c r="AH239" s="188"/>
      <c r="AI239" s="188"/>
      <c r="AJ239" s="188"/>
      <c r="AK239" s="61"/>
      <c r="AL239" s="61"/>
      <c r="AM239" s="61"/>
      <c r="AN239" s="61"/>
      <c r="AO239" s="61"/>
    </row>
    <row r="240">
      <c r="A240" s="112"/>
      <c r="B240" s="149"/>
      <c r="C240" s="93"/>
      <c r="D240" s="61"/>
      <c r="E240" s="112"/>
      <c r="F240" s="149"/>
      <c r="G240" s="93"/>
      <c r="H240" s="61"/>
      <c r="I240" s="112"/>
      <c r="J240" s="149"/>
      <c r="K240" s="93"/>
      <c r="L240" s="61"/>
      <c r="M240" s="112"/>
      <c r="N240" s="115"/>
      <c r="O240" s="93"/>
      <c r="P240" s="61"/>
      <c r="Q240" s="180"/>
      <c r="R240" s="115"/>
      <c r="S240" s="93"/>
      <c r="T240" s="61"/>
      <c r="U240" s="180"/>
      <c r="V240" s="115"/>
      <c r="W240" s="93"/>
      <c r="X240" s="61"/>
      <c r="Y240" s="112"/>
      <c r="Z240" s="181"/>
      <c r="AA240" s="182"/>
      <c r="AB240" s="183"/>
      <c r="AC240" s="112"/>
      <c r="AD240" s="115"/>
      <c r="AE240" s="151"/>
      <c r="AF240" s="184"/>
      <c r="AG240" s="188"/>
      <c r="AH240" s="188"/>
      <c r="AI240" s="188"/>
      <c r="AJ240" s="188"/>
      <c r="AK240" s="61"/>
      <c r="AL240" s="61"/>
      <c r="AM240" s="61"/>
      <c r="AN240" s="61"/>
      <c r="AO240" s="61"/>
    </row>
    <row r="241">
      <c r="A241" s="112"/>
      <c r="B241" s="149"/>
      <c r="C241" s="93"/>
      <c r="D241" s="61"/>
      <c r="E241" s="112"/>
      <c r="F241" s="149"/>
      <c r="G241" s="93"/>
      <c r="H241" s="61"/>
      <c r="I241" s="112"/>
      <c r="J241" s="149"/>
      <c r="K241" s="93"/>
      <c r="L241" s="61"/>
      <c r="M241" s="112"/>
      <c r="N241" s="115"/>
      <c r="O241" s="93"/>
      <c r="P241" s="61"/>
      <c r="Q241" s="180"/>
      <c r="R241" s="115"/>
      <c r="S241" s="93"/>
      <c r="T241" s="61"/>
      <c r="U241" s="180"/>
      <c r="V241" s="115"/>
      <c r="W241" s="93"/>
      <c r="X241" s="61"/>
      <c r="Y241" s="112"/>
      <c r="Z241" s="181"/>
      <c r="AA241" s="182"/>
      <c r="AB241" s="183"/>
      <c r="AC241" s="112"/>
      <c r="AD241" s="115"/>
      <c r="AE241" s="151"/>
      <c r="AF241" s="184"/>
      <c r="AG241" s="188"/>
      <c r="AH241" s="188"/>
      <c r="AI241" s="188"/>
      <c r="AJ241" s="188"/>
      <c r="AK241" s="61"/>
      <c r="AL241" s="61"/>
      <c r="AM241" s="61"/>
      <c r="AN241" s="61"/>
      <c r="AO241" s="61"/>
    </row>
    <row r="242">
      <c r="A242" s="112"/>
      <c r="B242" s="149"/>
      <c r="C242" s="93"/>
      <c r="D242" s="61"/>
      <c r="E242" s="112"/>
      <c r="F242" s="149"/>
      <c r="G242" s="93"/>
      <c r="H242" s="61"/>
      <c r="I242" s="112"/>
      <c r="J242" s="149"/>
      <c r="K242" s="93"/>
      <c r="L242" s="61"/>
      <c r="M242" s="112"/>
      <c r="N242" s="115"/>
      <c r="O242" s="93"/>
      <c r="P242" s="61"/>
      <c r="Q242" s="180"/>
      <c r="R242" s="115"/>
      <c r="S242" s="93"/>
      <c r="T242" s="61"/>
      <c r="U242" s="180"/>
      <c r="V242" s="115"/>
      <c r="W242" s="93"/>
      <c r="X242" s="61"/>
      <c r="Y242" s="112"/>
      <c r="Z242" s="181"/>
      <c r="AA242" s="182"/>
      <c r="AB242" s="183"/>
      <c r="AC242" s="112"/>
      <c r="AD242" s="115"/>
      <c r="AE242" s="151"/>
      <c r="AF242" s="184"/>
      <c r="AG242" s="188"/>
      <c r="AH242" s="188"/>
      <c r="AI242" s="188"/>
      <c r="AJ242" s="188"/>
      <c r="AK242" s="61"/>
      <c r="AL242" s="61"/>
      <c r="AM242" s="61"/>
      <c r="AN242" s="61"/>
      <c r="AO242" s="61"/>
    </row>
    <row r="243">
      <c r="A243" s="112"/>
      <c r="B243" s="149"/>
      <c r="C243" s="93"/>
      <c r="D243" s="61"/>
      <c r="E243" s="112"/>
      <c r="F243" s="149"/>
      <c r="G243" s="93"/>
      <c r="H243" s="61"/>
      <c r="I243" s="112"/>
      <c r="J243" s="149"/>
      <c r="K243" s="93"/>
      <c r="L243" s="61"/>
      <c r="M243" s="112"/>
      <c r="N243" s="115"/>
      <c r="O243" s="93"/>
      <c r="P243" s="61"/>
      <c r="Q243" s="180"/>
      <c r="R243" s="115"/>
      <c r="S243" s="93"/>
      <c r="T243" s="61"/>
      <c r="U243" s="180"/>
      <c r="V243" s="115"/>
      <c r="W243" s="93"/>
      <c r="X243" s="61"/>
      <c r="Y243" s="112"/>
      <c r="Z243" s="181"/>
      <c r="AA243" s="182"/>
      <c r="AB243" s="183"/>
      <c r="AC243" s="112"/>
      <c r="AD243" s="115"/>
      <c r="AE243" s="151"/>
      <c r="AF243" s="184"/>
      <c r="AG243" s="188"/>
      <c r="AH243" s="188"/>
      <c r="AI243" s="188"/>
      <c r="AJ243" s="188"/>
      <c r="AK243" s="61"/>
      <c r="AL243" s="61"/>
      <c r="AM243" s="61"/>
      <c r="AN243" s="61"/>
      <c r="AO243" s="61"/>
    </row>
    <row r="244">
      <c r="A244" s="112"/>
      <c r="B244" s="149"/>
      <c r="C244" s="93"/>
      <c r="D244" s="61"/>
      <c r="E244" s="112"/>
      <c r="F244" s="149"/>
      <c r="G244" s="93"/>
      <c r="H244" s="61"/>
      <c r="I244" s="112"/>
      <c r="J244" s="149"/>
      <c r="K244" s="93"/>
      <c r="L244" s="61"/>
      <c r="M244" s="112"/>
      <c r="N244" s="115"/>
      <c r="O244" s="93"/>
      <c r="P244" s="61"/>
      <c r="Q244" s="180"/>
      <c r="R244" s="115"/>
      <c r="S244" s="93"/>
      <c r="T244" s="61"/>
      <c r="U244" s="180"/>
      <c r="V244" s="115"/>
      <c r="W244" s="93"/>
      <c r="X244" s="61"/>
      <c r="Y244" s="112"/>
      <c r="Z244" s="181"/>
      <c r="AA244" s="182"/>
      <c r="AB244" s="183"/>
      <c r="AC244" s="112"/>
      <c r="AD244" s="115"/>
      <c r="AE244" s="151"/>
      <c r="AF244" s="184"/>
      <c r="AG244" s="188"/>
      <c r="AH244" s="188"/>
      <c r="AI244" s="188"/>
      <c r="AJ244" s="188"/>
      <c r="AK244" s="61"/>
      <c r="AL244" s="61"/>
      <c r="AM244" s="61"/>
      <c r="AN244" s="61"/>
      <c r="AO244" s="61"/>
    </row>
    <row r="245">
      <c r="A245" s="112"/>
      <c r="B245" s="149"/>
      <c r="C245" s="93"/>
      <c r="D245" s="61"/>
      <c r="E245" s="112"/>
      <c r="F245" s="149"/>
      <c r="G245" s="93"/>
      <c r="H245" s="61"/>
      <c r="I245" s="112"/>
      <c r="J245" s="149"/>
      <c r="K245" s="93"/>
      <c r="L245" s="61"/>
      <c r="M245" s="112"/>
      <c r="N245" s="115"/>
      <c r="O245" s="93"/>
      <c r="P245" s="61"/>
      <c r="Q245" s="180"/>
      <c r="R245" s="115"/>
      <c r="S245" s="93"/>
      <c r="T245" s="61"/>
      <c r="U245" s="180"/>
      <c r="V245" s="115"/>
      <c r="W245" s="93"/>
      <c r="X245" s="61"/>
      <c r="Y245" s="112"/>
      <c r="Z245" s="181"/>
      <c r="AA245" s="182"/>
      <c r="AB245" s="183"/>
      <c r="AC245" s="112"/>
      <c r="AD245" s="115"/>
      <c r="AE245" s="151"/>
      <c r="AF245" s="184"/>
      <c r="AG245" s="188"/>
      <c r="AH245" s="188"/>
      <c r="AI245" s="188"/>
      <c r="AJ245" s="188"/>
      <c r="AK245" s="61"/>
      <c r="AL245" s="61"/>
      <c r="AM245" s="61"/>
      <c r="AN245" s="61"/>
      <c r="AO245" s="61"/>
    </row>
    <row r="246">
      <c r="A246" s="112"/>
      <c r="B246" s="149"/>
      <c r="C246" s="93"/>
      <c r="D246" s="61"/>
      <c r="E246" s="112"/>
      <c r="F246" s="149"/>
      <c r="G246" s="93"/>
      <c r="H246" s="61"/>
      <c r="I246" s="112"/>
      <c r="J246" s="149"/>
      <c r="K246" s="93"/>
      <c r="L246" s="61"/>
      <c r="M246" s="112"/>
      <c r="N246" s="115"/>
      <c r="O246" s="93"/>
      <c r="P246" s="61"/>
      <c r="Q246" s="180"/>
      <c r="R246" s="115"/>
      <c r="S246" s="93"/>
      <c r="T246" s="61"/>
      <c r="U246" s="180"/>
      <c r="V246" s="115"/>
      <c r="W246" s="93"/>
      <c r="X246" s="61"/>
      <c r="Y246" s="112"/>
      <c r="Z246" s="181"/>
      <c r="AA246" s="182"/>
      <c r="AB246" s="183"/>
      <c r="AC246" s="112"/>
      <c r="AD246" s="115"/>
      <c r="AE246" s="151"/>
      <c r="AF246" s="184"/>
      <c r="AG246" s="188"/>
      <c r="AH246" s="188"/>
      <c r="AI246" s="188"/>
      <c r="AJ246" s="188"/>
      <c r="AK246" s="61"/>
      <c r="AL246" s="61"/>
      <c r="AM246" s="61"/>
      <c r="AN246" s="61"/>
      <c r="AO246" s="61"/>
    </row>
    <row r="247">
      <c r="A247" s="112"/>
      <c r="B247" s="149"/>
      <c r="C247" s="93"/>
      <c r="D247" s="61"/>
      <c r="E247" s="112"/>
      <c r="F247" s="149"/>
      <c r="G247" s="93"/>
      <c r="H247" s="61"/>
      <c r="I247" s="112"/>
      <c r="J247" s="149"/>
      <c r="K247" s="93"/>
      <c r="L247" s="61"/>
      <c r="M247" s="112"/>
      <c r="N247" s="115"/>
      <c r="O247" s="93"/>
      <c r="P247" s="61"/>
      <c r="Q247" s="180"/>
      <c r="R247" s="115"/>
      <c r="S247" s="93"/>
      <c r="T247" s="61"/>
      <c r="U247" s="180"/>
      <c r="V247" s="115"/>
      <c r="W247" s="93"/>
      <c r="X247" s="61"/>
      <c r="Y247" s="112"/>
      <c r="Z247" s="181"/>
      <c r="AA247" s="182"/>
      <c r="AB247" s="183"/>
      <c r="AC247" s="112"/>
      <c r="AD247" s="115"/>
      <c r="AE247" s="151"/>
      <c r="AF247" s="184"/>
      <c r="AG247" s="188"/>
      <c r="AH247" s="188"/>
      <c r="AI247" s="188"/>
      <c r="AJ247" s="188"/>
      <c r="AK247" s="61"/>
      <c r="AL247" s="61"/>
      <c r="AM247" s="61"/>
      <c r="AN247" s="61"/>
      <c r="AO247" s="61"/>
    </row>
    <row r="248">
      <c r="A248" s="112"/>
      <c r="B248" s="149"/>
      <c r="C248" s="93"/>
      <c r="D248" s="61"/>
      <c r="E248" s="112"/>
      <c r="F248" s="149"/>
      <c r="G248" s="93"/>
      <c r="H248" s="61"/>
      <c r="I248" s="112"/>
      <c r="J248" s="149"/>
      <c r="K248" s="93"/>
      <c r="L248" s="61"/>
      <c r="M248" s="112"/>
      <c r="N248" s="115"/>
      <c r="O248" s="93"/>
      <c r="P248" s="61"/>
      <c r="Q248" s="180"/>
      <c r="R248" s="115"/>
      <c r="S248" s="93"/>
      <c r="T248" s="61"/>
      <c r="U248" s="180"/>
      <c r="V248" s="115"/>
      <c r="W248" s="93"/>
      <c r="X248" s="61"/>
      <c r="Y248" s="112"/>
      <c r="Z248" s="181"/>
      <c r="AA248" s="182"/>
      <c r="AB248" s="183"/>
      <c r="AC248" s="112"/>
      <c r="AD248" s="115"/>
      <c r="AE248" s="151"/>
      <c r="AF248" s="184"/>
      <c r="AG248" s="188"/>
      <c r="AH248" s="188"/>
      <c r="AI248" s="188"/>
      <c r="AJ248" s="188"/>
      <c r="AK248" s="61"/>
      <c r="AL248" s="61"/>
      <c r="AM248" s="61"/>
      <c r="AN248" s="61"/>
      <c r="AO248" s="61"/>
    </row>
    <row r="249">
      <c r="A249" s="112"/>
      <c r="B249" s="149"/>
      <c r="C249" s="93"/>
      <c r="D249" s="61"/>
      <c r="E249" s="112"/>
      <c r="F249" s="149"/>
      <c r="G249" s="93"/>
      <c r="H249" s="61"/>
      <c r="I249" s="112"/>
      <c r="J249" s="149"/>
      <c r="K249" s="93"/>
      <c r="L249" s="61"/>
      <c r="M249" s="112"/>
      <c r="N249" s="115"/>
      <c r="O249" s="93"/>
      <c r="P249" s="61"/>
      <c r="Q249" s="180"/>
      <c r="R249" s="115"/>
      <c r="S249" s="93"/>
      <c r="T249" s="61"/>
      <c r="U249" s="180"/>
      <c r="V249" s="115"/>
      <c r="W249" s="93"/>
      <c r="X249" s="61"/>
      <c r="Y249" s="112"/>
      <c r="Z249" s="181"/>
      <c r="AA249" s="182"/>
      <c r="AB249" s="183"/>
      <c r="AC249" s="112"/>
      <c r="AD249" s="115"/>
      <c r="AE249" s="151"/>
      <c r="AF249" s="184"/>
      <c r="AG249" s="188"/>
      <c r="AH249" s="188"/>
      <c r="AI249" s="188"/>
      <c r="AJ249" s="188"/>
      <c r="AK249" s="61"/>
      <c r="AL249" s="61"/>
      <c r="AM249" s="61"/>
      <c r="AN249" s="61"/>
      <c r="AO249" s="61"/>
    </row>
    <row r="250">
      <c r="A250" s="112"/>
      <c r="B250" s="149"/>
      <c r="C250" s="93"/>
      <c r="D250" s="61"/>
      <c r="E250" s="112"/>
      <c r="F250" s="149"/>
      <c r="G250" s="93"/>
      <c r="H250" s="61"/>
      <c r="I250" s="112"/>
      <c r="J250" s="149"/>
      <c r="K250" s="93"/>
      <c r="L250" s="61"/>
      <c r="M250" s="112"/>
      <c r="N250" s="115"/>
      <c r="O250" s="93"/>
      <c r="P250" s="61"/>
      <c r="Q250" s="180"/>
      <c r="R250" s="115"/>
      <c r="S250" s="93"/>
      <c r="T250" s="61"/>
      <c r="U250" s="180"/>
      <c r="V250" s="115"/>
      <c r="W250" s="93"/>
      <c r="X250" s="61"/>
      <c r="Y250" s="112"/>
      <c r="Z250" s="181"/>
      <c r="AA250" s="182"/>
      <c r="AB250" s="183"/>
      <c r="AC250" s="112"/>
      <c r="AD250" s="115"/>
      <c r="AE250" s="151"/>
      <c r="AF250" s="184"/>
      <c r="AG250" s="188"/>
      <c r="AH250" s="188"/>
      <c r="AI250" s="188"/>
      <c r="AJ250" s="188"/>
      <c r="AK250" s="61"/>
      <c r="AL250" s="61"/>
      <c r="AM250" s="61"/>
      <c r="AN250" s="61"/>
      <c r="AO250" s="61"/>
    </row>
    <row r="251">
      <c r="A251" s="112"/>
      <c r="B251" s="149"/>
      <c r="C251" s="93"/>
      <c r="D251" s="61"/>
      <c r="E251" s="112"/>
      <c r="F251" s="149"/>
      <c r="G251" s="93"/>
      <c r="H251" s="61"/>
      <c r="I251" s="112"/>
      <c r="J251" s="149"/>
      <c r="K251" s="93"/>
      <c r="L251" s="61"/>
      <c r="M251" s="112"/>
      <c r="N251" s="115"/>
      <c r="O251" s="93"/>
      <c r="P251" s="61"/>
      <c r="Q251" s="180"/>
      <c r="R251" s="115"/>
      <c r="S251" s="93"/>
      <c r="T251" s="61"/>
      <c r="U251" s="180"/>
      <c r="V251" s="115"/>
      <c r="W251" s="93"/>
      <c r="X251" s="61"/>
      <c r="Y251" s="112"/>
      <c r="Z251" s="181"/>
      <c r="AA251" s="182"/>
      <c r="AB251" s="183"/>
      <c r="AC251" s="112"/>
      <c r="AD251" s="115"/>
      <c r="AE251" s="151"/>
      <c r="AF251" s="184"/>
      <c r="AG251" s="188"/>
      <c r="AH251" s="188"/>
      <c r="AI251" s="188"/>
      <c r="AJ251" s="188"/>
      <c r="AK251" s="61"/>
      <c r="AL251" s="61"/>
      <c r="AM251" s="61"/>
      <c r="AN251" s="61"/>
      <c r="AO251" s="61"/>
    </row>
    <row r="252">
      <c r="A252" s="112"/>
      <c r="B252" s="149"/>
      <c r="C252" s="93"/>
      <c r="D252" s="61"/>
      <c r="E252" s="112"/>
      <c r="F252" s="149"/>
      <c r="G252" s="93"/>
      <c r="H252" s="61"/>
      <c r="I252" s="112"/>
      <c r="J252" s="149"/>
      <c r="K252" s="93"/>
      <c r="L252" s="61"/>
      <c r="M252" s="112"/>
      <c r="N252" s="115"/>
      <c r="O252" s="93"/>
      <c r="P252" s="61"/>
      <c r="Q252" s="180"/>
      <c r="R252" s="115"/>
      <c r="S252" s="93"/>
      <c r="T252" s="61"/>
      <c r="U252" s="180"/>
      <c r="V252" s="115"/>
      <c r="W252" s="93"/>
      <c r="X252" s="61"/>
      <c r="Y252" s="112"/>
      <c r="Z252" s="181"/>
      <c r="AA252" s="182"/>
      <c r="AB252" s="183"/>
      <c r="AC252" s="112"/>
      <c r="AD252" s="115"/>
      <c r="AE252" s="151"/>
      <c r="AF252" s="184"/>
      <c r="AG252" s="188"/>
      <c r="AH252" s="188"/>
      <c r="AI252" s="188"/>
      <c r="AJ252" s="188"/>
      <c r="AK252" s="61"/>
      <c r="AL252" s="61"/>
      <c r="AM252" s="61"/>
      <c r="AN252" s="61"/>
      <c r="AO252" s="61"/>
    </row>
    <row r="253">
      <c r="A253" s="112"/>
      <c r="B253" s="149"/>
      <c r="C253" s="93"/>
      <c r="D253" s="61"/>
      <c r="E253" s="112"/>
      <c r="F253" s="149"/>
      <c r="G253" s="93"/>
      <c r="H253" s="61"/>
      <c r="I253" s="112"/>
      <c r="J253" s="149"/>
      <c r="K253" s="93"/>
      <c r="L253" s="61"/>
      <c r="M253" s="112"/>
      <c r="N253" s="115"/>
      <c r="O253" s="93"/>
      <c r="P253" s="61"/>
      <c r="Q253" s="180"/>
      <c r="R253" s="115"/>
      <c r="S253" s="93"/>
      <c r="T253" s="61"/>
      <c r="U253" s="180"/>
      <c r="V253" s="115"/>
      <c r="W253" s="93"/>
      <c r="X253" s="61"/>
      <c r="Y253" s="112"/>
      <c r="Z253" s="181"/>
      <c r="AA253" s="182"/>
      <c r="AB253" s="183"/>
      <c r="AC253" s="112"/>
      <c r="AD253" s="115"/>
      <c r="AE253" s="151"/>
      <c r="AF253" s="184"/>
      <c r="AG253" s="188"/>
      <c r="AH253" s="188"/>
      <c r="AI253" s="188"/>
      <c r="AJ253" s="188"/>
      <c r="AK253" s="61"/>
      <c r="AL253" s="61"/>
      <c r="AM253" s="61"/>
      <c r="AN253" s="61"/>
      <c r="AO253" s="61"/>
    </row>
    <row r="254">
      <c r="A254" s="112"/>
      <c r="B254" s="149"/>
      <c r="C254" s="93"/>
      <c r="D254" s="61"/>
      <c r="E254" s="112"/>
      <c r="F254" s="149"/>
      <c r="G254" s="93"/>
      <c r="H254" s="61"/>
      <c r="I254" s="112"/>
      <c r="J254" s="149"/>
      <c r="K254" s="93"/>
      <c r="L254" s="61"/>
      <c r="M254" s="112"/>
      <c r="N254" s="115"/>
      <c r="O254" s="93"/>
      <c r="P254" s="61"/>
      <c r="Q254" s="180"/>
      <c r="R254" s="115"/>
      <c r="S254" s="93"/>
      <c r="T254" s="61"/>
      <c r="U254" s="180"/>
      <c r="V254" s="115"/>
      <c r="W254" s="93"/>
      <c r="X254" s="61"/>
      <c r="Y254" s="112"/>
      <c r="Z254" s="181"/>
      <c r="AA254" s="182"/>
      <c r="AB254" s="183"/>
      <c r="AC254" s="112"/>
      <c r="AD254" s="115"/>
      <c r="AE254" s="151"/>
      <c r="AF254" s="184"/>
      <c r="AG254" s="188"/>
      <c r="AH254" s="188"/>
      <c r="AI254" s="188"/>
      <c r="AJ254" s="188"/>
      <c r="AK254" s="61"/>
      <c r="AL254" s="61"/>
      <c r="AM254" s="61"/>
      <c r="AN254" s="61"/>
      <c r="AO254" s="61"/>
    </row>
    <row r="255">
      <c r="A255" s="112"/>
      <c r="B255" s="149"/>
      <c r="C255" s="93"/>
      <c r="D255" s="61"/>
      <c r="E255" s="112"/>
      <c r="F255" s="149"/>
      <c r="G255" s="93"/>
      <c r="H255" s="61"/>
      <c r="I255" s="112"/>
      <c r="J255" s="149"/>
      <c r="K255" s="93"/>
      <c r="L255" s="61"/>
      <c r="M255" s="112"/>
      <c r="N255" s="115"/>
      <c r="O255" s="93"/>
      <c r="P255" s="61"/>
      <c r="Q255" s="180"/>
      <c r="R255" s="115"/>
      <c r="S255" s="93"/>
      <c r="T255" s="61"/>
      <c r="U255" s="180"/>
      <c r="V255" s="115"/>
      <c r="W255" s="93"/>
      <c r="X255" s="61"/>
      <c r="Y255" s="112"/>
      <c r="Z255" s="181"/>
      <c r="AA255" s="182"/>
      <c r="AB255" s="183"/>
      <c r="AC255" s="112"/>
      <c r="AD255" s="115"/>
      <c r="AE255" s="151"/>
      <c r="AF255" s="184"/>
      <c r="AG255" s="188"/>
      <c r="AH255" s="188"/>
      <c r="AI255" s="188"/>
      <c r="AJ255" s="188"/>
      <c r="AK255" s="61"/>
      <c r="AL255" s="61"/>
      <c r="AM255" s="61"/>
      <c r="AN255" s="61"/>
      <c r="AO255" s="61"/>
    </row>
    <row r="256">
      <c r="A256" s="112"/>
      <c r="B256" s="149"/>
      <c r="C256" s="93"/>
      <c r="D256" s="61"/>
      <c r="E256" s="112"/>
      <c r="F256" s="149"/>
      <c r="G256" s="93"/>
      <c r="H256" s="61"/>
      <c r="I256" s="112"/>
      <c r="J256" s="149"/>
      <c r="K256" s="93"/>
      <c r="L256" s="61"/>
      <c r="M256" s="112"/>
      <c r="N256" s="115"/>
      <c r="O256" s="93"/>
      <c r="P256" s="61"/>
      <c r="Q256" s="180"/>
      <c r="R256" s="115"/>
      <c r="S256" s="93"/>
      <c r="T256" s="61"/>
      <c r="U256" s="180"/>
      <c r="V256" s="115"/>
      <c r="W256" s="93"/>
      <c r="X256" s="61"/>
      <c r="Y256" s="112"/>
      <c r="Z256" s="181"/>
      <c r="AA256" s="182"/>
      <c r="AB256" s="183"/>
      <c r="AC256" s="112"/>
      <c r="AD256" s="115"/>
      <c r="AE256" s="151"/>
      <c r="AF256" s="184"/>
      <c r="AG256" s="188"/>
      <c r="AH256" s="188"/>
      <c r="AI256" s="188"/>
      <c r="AJ256" s="188"/>
      <c r="AK256" s="61"/>
      <c r="AL256" s="61"/>
      <c r="AM256" s="61"/>
      <c r="AN256" s="61"/>
      <c r="AO256" s="61"/>
    </row>
    <row r="257">
      <c r="A257" s="112"/>
      <c r="B257" s="149"/>
      <c r="C257" s="93"/>
      <c r="D257" s="61"/>
      <c r="E257" s="112"/>
      <c r="F257" s="149"/>
      <c r="G257" s="93"/>
      <c r="H257" s="61"/>
      <c r="I257" s="112"/>
      <c r="J257" s="149"/>
      <c r="K257" s="93"/>
      <c r="L257" s="61"/>
      <c r="M257" s="112"/>
      <c r="N257" s="115"/>
      <c r="O257" s="93"/>
      <c r="P257" s="61"/>
      <c r="Q257" s="180"/>
      <c r="R257" s="115"/>
      <c r="S257" s="93"/>
      <c r="T257" s="61"/>
      <c r="U257" s="180"/>
      <c r="V257" s="115"/>
      <c r="W257" s="93"/>
      <c r="X257" s="61"/>
      <c r="Y257" s="112"/>
      <c r="Z257" s="181"/>
      <c r="AA257" s="182"/>
      <c r="AB257" s="183"/>
      <c r="AC257" s="112"/>
      <c r="AD257" s="115"/>
      <c r="AE257" s="151"/>
      <c r="AF257" s="184"/>
      <c r="AG257" s="188"/>
      <c r="AH257" s="188"/>
      <c r="AI257" s="188"/>
      <c r="AJ257" s="188"/>
      <c r="AK257" s="61"/>
      <c r="AL257" s="61"/>
      <c r="AM257" s="61"/>
      <c r="AN257" s="61"/>
      <c r="AO257" s="61"/>
    </row>
    <row r="258">
      <c r="A258" s="112"/>
      <c r="B258" s="149"/>
      <c r="C258" s="93"/>
      <c r="D258" s="61"/>
      <c r="E258" s="112"/>
      <c r="F258" s="149"/>
      <c r="G258" s="93"/>
      <c r="H258" s="61"/>
      <c r="I258" s="112"/>
      <c r="J258" s="149"/>
      <c r="K258" s="93"/>
      <c r="L258" s="61"/>
      <c r="M258" s="112"/>
      <c r="N258" s="115"/>
      <c r="O258" s="93"/>
      <c r="P258" s="61"/>
      <c r="Q258" s="180"/>
      <c r="R258" s="115"/>
      <c r="S258" s="93"/>
      <c r="T258" s="61"/>
      <c r="U258" s="180"/>
      <c r="V258" s="115"/>
      <c r="W258" s="93"/>
      <c r="X258" s="61"/>
      <c r="Y258" s="112"/>
      <c r="Z258" s="181"/>
      <c r="AA258" s="182"/>
      <c r="AB258" s="183"/>
      <c r="AC258" s="112"/>
      <c r="AD258" s="115"/>
      <c r="AE258" s="151"/>
      <c r="AF258" s="184"/>
      <c r="AG258" s="188"/>
      <c r="AH258" s="188"/>
      <c r="AI258" s="188"/>
      <c r="AJ258" s="188"/>
      <c r="AK258" s="61"/>
      <c r="AL258" s="61"/>
      <c r="AM258" s="61"/>
      <c r="AN258" s="61"/>
      <c r="AO258" s="61"/>
    </row>
    <row r="259">
      <c r="A259" s="112"/>
      <c r="B259" s="149"/>
      <c r="C259" s="93"/>
      <c r="D259" s="61"/>
      <c r="E259" s="112"/>
      <c r="F259" s="149"/>
      <c r="G259" s="93"/>
      <c r="H259" s="61"/>
      <c r="I259" s="112"/>
      <c r="J259" s="149"/>
      <c r="K259" s="93"/>
      <c r="L259" s="61"/>
      <c r="M259" s="112"/>
      <c r="N259" s="115"/>
      <c r="O259" s="93"/>
      <c r="P259" s="61"/>
      <c r="Q259" s="180"/>
      <c r="R259" s="115"/>
      <c r="S259" s="93"/>
      <c r="T259" s="61"/>
      <c r="U259" s="180"/>
      <c r="V259" s="115"/>
      <c r="W259" s="93"/>
      <c r="X259" s="61"/>
      <c r="Y259" s="112"/>
      <c r="Z259" s="181"/>
      <c r="AA259" s="182"/>
      <c r="AB259" s="183"/>
      <c r="AC259" s="112"/>
      <c r="AD259" s="115"/>
      <c r="AE259" s="151"/>
      <c r="AF259" s="184"/>
      <c r="AG259" s="188"/>
      <c r="AH259" s="188"/>
      <c r="AI259" s="188"/>
      <c r="AJ259" s="188"/>
      <c r="AK259" s="61"/>
      <c r="AL259" s="61"/>
      <c r="AM259" s="61"/>
      <c r="AN259" s="61"/>
      <c r="AO259" s="61"/>
    </row>
    <row r="260">
      <c r="A260" s="112"/>
      <c r="B260" s="149"/>
      <c r="C260" s="93"/>
      <c r="D260" s="61"/>
      <c r="E260" s="112"/>
      <c r="F260" s="149"/>
      <c r="G260" s="93"/>
      <c r="H260" s="61"/>
      <c r="I260" s="112"/>
      <c r="J260" s="149"/>
      <c r="K260" s="93"/>
      <c r="L260" s="61"/>
      <c r="M260" s="112"/>
      <c r="N260" s="115"/>
      <c r="O260" s="93"/>
      <c r="P260" s="61"/>
      <c r="Q260" s="180"/>
      <c r="R260" s="115"/>
      <c r="S260" s="93"/>
      <c r="T260" s="61"/>
      <c r="U260" s="180"/>
      <c r="V260" s="115"/>
      <c r="W260" s="93"/>
      <c r="X260" s="61"/>
      <c r="Y260" s="112"/>
      <c r="Z260" s="181"/>
      <c r="AA260" s="182"/>
      <c r="AB260" s="183"/>
      <c r="AC260" s="112"/>
      <c r="AD260" s="115"/>
      <c r="AE260" s="151"/>
      <c r="AF260" s="184"/>
      <c r="AG260" s="188"/>
      <c r="AH260" s="188"/>
      <c r="AI260" s="188"/>
      <c r="AJ260" s="188"/>
      <c r="AK260" s="61"/>
      <c r="AL260" s="61"/>
      <c r="AM260" s="61"/>
      <c r="AN260" s="61"/>
      <c r="AO260" s="61"/>
    </row>
    <row r="261">
      <c r="A261" s="112"/>
      <c r="B261" s="149"/>
      <c r="C261" s="93"/>
      <c r="D261" s="61"/>
      <c r="E261" s="112"/>
      <c r="F261" s="149"/>
      <c r="G261" s="93"/>
      <c r="H261" s="61"/>
      <c r="I261" s="112"/>
      <c r="J261" s="149"/>
      <c r="K261" s="93"/>
      <c r="L261" s="61"/>
      <c r="M261" s="112"/>
      <c r="N261" s="115"/>
      <c r="O261" s="93"/>
      <c r="P261" s="61"/>
      <c r="Q261" s="180"/>
      <c r="R261" s="115"/>
      <c r="S261" s="93"/>
      <c r="T261" s="61"/>
      <c r="U261" s="180"/>
      <c r="V261" s="115"/>
      <c r="W261" s="93"/>
      <c r="X261" s="61"/>
      <c r="Y261" s="112"/>
      <c r="Z261" s="181"/>
      <c r="AA261" s="182"/>
      <c r="AB261" s="183"/>
      <c r="AC261" s="112"/>
      <c r="AD261" s="115"/>
      <c r="AE261" s="151"/>
      <c r="AF261" s="184"/>
      <c r="AG261" s="188"/>
      <c r="AH261" s="188"/>
      <c r="AI261" s="188"/>
      <c r="AJ261" s="188"/>
      <c r="AK261" s="61"/>
      <c r="AL261" s="61"/>
      <c r="AM261" s="61"/>
      <c r="AN261" s="61"/>
      <c r="AO261" s="61"/>
    </row>
    <row r="262">
      <c r="A262" s="112"/>
      <c r="B262" s="149"/>
      <c r="C262" s="93"/>
      <c r="D262" s="61"/>
      <c r="E262" s="112"/>
      <c r="F262" s="149"/>
      <c r="G262" s="93"/>
      <c r="H262" s="61"/>
      <c r="I262" s="112"/>
      <c r="J262" s="149"/>
      <c r="K262" s="93"/>
      <c r="L262" s="61"/>
      <c r="M262" s="112"/>
      <c r="N262" s="115"/>
      <c r="O262" s="93"/>
      <c r="P262" s="61"/>
      <c r="Q262" s="180"/>
      <c r="R262" s="115"/>
      <c r="S262" s="93"/>
      <c r="T262" s="61"/>
      <c r="U262" s="180"/>
      <c r="V262" s="115"/>
      <c r="W262" s="93"/>
      <c r="X262" s="61"/>
      <c r="Y262" s="112"/>
      <c r="Z262" s="181"/>
      <c r="AA262" s="182"/>
      <c r="AB262" s="183"/>
      <c r="AC262" s="112"/>
      <c r="AD262" s="115"/>
      <c r="AE262" s="151"/>
      <c r="AF262" s="184"/>
      <c r="AG262" s="188"/>
      <c r="AH262" s="188"/>
      <c r="AI262" s="188"/>
      <c r="AJ262" s="188"/>
      <c r="AK262" s="61"/>
      <c r="AL262" s="61"/>
      <c r="AM262" s="61"/>
      <c r="AN262" s="61"/>
      <c r="AO262" s="61"/>
    </row>
    <row r="263">
      <c r="A263" s="112"/>
      <c r="B263" s="149"/>
      <c r="C263" s="93"/>
      <c r="D263" s="61"/>
      <c r="E263" s="112"/>
      <c r="F263" s="149"/>
      <c r="G263" s="93"/>
      <c r="H263" s="61"/>
      <c r="I263" s="112"/>
      <c r="J263" s="149"/>
      <c r="K263" s="93"/>
      <c r="L263" s="61"/>
      <c r="M263" s="112"/>
      <c r="N263" s="115"/>
      <c r="O263" s="93"/>
      <c r="P263" s="61"/>
      <c r="Q263" s="180"/>
      <c r="R263" s="115"/>
      <c r="S263" s="93"/>
      <c r="T263" s="61"/>
      <c r="U263" s="180"/>
      <c r="V263" s="115"/>
      <c r="W263" s="93"/>
      <c r="X263" s="61"/>
      <c r="Y263" s="112"/>
      <c r="Z263" s="181"/>
      <c r="AA263" s="182"/>
      <c r="AB263" s="183"/>
      <c r="AC263" s="112"/>
      <c r="AD263" s="115"/>
      <c r="AE263" s="151"/>
      <c r="AF263" s="184"/>
      <c r="AG263" s="188"/>
      <c r="AH263" s="188"/>
      <c r="AI263" s="188"/>
      <c r="AJ263" s="188"/>
      <c r="AK263" s="61"/>
      <c r="AL263" s="61"/>
      <c r="AM263" s="61"/>
      <c r="AN263" s="61"/>
      <c r="AO263" s="61"/>
    </row>
    <row r="264">
      <c r="A264" s="112"/>
      <c r="B264" s="149"/>
      <c r="C264" s="93"/>
      <c r="D264" s="61"/>
      <c r="E264" s="112"/>
      <c r="F264" s="149"/>
      <c r="G264" s="93"/>
      <c r="H264" s="61"/>
      <c r="I264" s="112"/>
      <c r="J264" s="149"/>
      <c r="K264" s="93"/>
      <c r="L264" s="61"/>
      <c r="M264" s="112"/>
      <c r="N264" s="115"/>
      <c r="O264" s="93"/>
      <c r="P264" s="61"/>
      <c r="Q264" s="180"/>
      <c r="R264" s="115"/>
      <c r="S264" s="93"/>
      <c r="T264" s="61"/>
      <c r="U264" s="180"/>
      <c r="V264" s="115"/>
      <c r="W264" s="93"/>
      <c r="X264" s="61"/>
      <c r="Y264" s="112"/>
      <c r="Z264" s="181"/>
      <c r="AA264" s="182"/>
      <c r="AB264" s="183"/>
      <c r="AC264" s="112"/>
      <c r="AD264" s="115"/>
      <c r="AE264" s="151"/>
      <c r="AF264" s="184"/>
      <c r="AG264" s="188"/>
      <c r="AH264" s="188"/>
      <c r="AI264" s="188"/>
      <c r="AJ264" s="188"/>
      <c r="AK264" s="61"/>
      <c r="AL264" s="61"/>
      <c r="AM264" s="61"/>
      <c r="AN264" s="61"/>
      <c r="AO264" s="61"/>
    </row>
    <row r="265">
      <c r="A265" s="112"/>
      <c r="B265" s="149"/>
      <c r="C265" s="93"/>
      <c r="D265" s="61"/>
      <c r="E265" s="112"/>
      <c r="F265" s="149"/>
      <c r="G265" s="93"/>
      <c r="H265" s="61"/>
      <c r="I265" s="112"/>
      <c r="J265" s="149"/>
      <c r="K265" s="93"/>
      <c r="L265" s="61"/>
      <c r="M265" s="112"/>
      <c r="N265" s="115"/>
      <c r="O265" s="93"/>
      <c r="P265" s="61"/>
      <c r="Q265" s="180"/>
      <c r="R265" s="115"/>
      <c r="S265" s="93"/>
      <c r="T265" s="61"/>
      <c r="U265" s="180"/>
      <c r="V265" s="115"/>
      <c r="W265" s="93"/>
      <c r="X265" s="61"/>
      <c r="Y265" s="112"/>
      <c r="Z265" s="181"/>
      <c r="AA265" s="182"/>
      <c r="AB265" s="183"/>
      <c r="AC265" s="112"/>
      <c r="AD265" s="115"/>
      <c r="AE265" s="151"/>
      <c r="AF265" s="184"/>
      <c r="AG265" s="188"/>
      <c r="AH265" s="188"/>
      <c r="AI265" s="188"/>
      <c r="AJ265" s="188"/>
      <c r="AK265" s="61"/>
      <c r="AL265" s="61"/>
      <c r="AM265" s="61"/>
      <c r="AN265" s="61"/>
      <c r="AO265" s="61"/>
    </row>
    <row r="266">
      <c r="A266" s="112"/>
      <c r="B266" s="149"/>
      <c r="C266" s="93"/>
      <c r="D266" s="61"/>
      <c r="E266" s="112"/>
      <c r="F266" s="149"/>
      <c r="G266" s="93"/>
      <c r="H266" s="61"/>
      <c r="I266" s="112"/>
      <c r="J266" s="149"/>
      <c r="K266" s="93"/>
      <c r="L266" s="61"/>
      <c r="M266" s="112"/>
      <c r="N266" s="115"/>
      <c r="O266" s="93"/>
      <c r="P266" s="61"/>
      <c r="Q266" s="180"/>
      <c r="R266" s="115"/>
      <c r="S266" s="93"/>
      <c r="T266" s="61"/>
      <c r="U266" s="180"/>
      <c r="V266" s="115"/>
      <c r="W266" s="93"/>
      <c r="X266" s="61"/>
      <c r="Y266" s="112"/>
      <c r="Z266" s="181"/>
      <c r="AA266" s="182"/>
      <c r="AB266" s="183"/>
      <c r="AC266" s="112"/>
      <c r="AD266" s="115"/>
      <c r="AE266" s="151"/>
      <c r="AF266" s="184"/>
      <c r="AG266" s="188"/>
      <c r="AH266" s="188"/>
      <c r="AI266" s="188"/>
      <c r="AJ266" s="188"/>
      <c r="AK266" s="61"/>
      <c r="AL266" s="61"/>
      <c r="AM266" s="61"/>
      <c r="AN266" s="61"/>
      <c r="AO266" s="61"/>
    </row>
    <row r="267">
      <c r="A267" s="112"/>
      <c r="B267" s="149"/>
      <c r="C267" s="93"/>
      <c r="D267" s="61"/>
      <c r="E267" s="112"/>
      <c r="F267" s="149"/>
      <c r="G267" s="93"/>
      <c r="H267" s="61"/>
      <c r="I267" s="112"/>
      <c r="J267" s="149"/>
      <c r="K267" s="93"/>
      <c r="L267" s="61"/>
      <c r="M267" s="112"/>
      <c r="N267" s="115"/>
      <c r="O267" s="93"/>
      <c r="P267" s="61"/>
      <c r="Q267" s="180"/>
      <c r="R267" s="115"/>
      <c r="S267" s="93"/>
      <c r="T267" s="61"/>
      <c r="U267" s="180"/>
      <c r="V267" s="115"/>
      <c r="W267" s="93"/>
      <c r="X267" s="61"/>
      <c r="Y267" s="112"/>
      <c r="Z267" s="181"/>
      <c r="AA267" s="182"/>
      <c r="AB267" s="183"/>
      <c r="AC267" s="112"/>
      <c r="AD267" s="115"/>
      <c r="AE267" s="151"/>
      <c r="AF267" s="184"/>
      <c r="AG267" s="188"/>
      <c r="AH267" s="188"/>
      <c r="AI267" s="188"/>
      <c r="AJ267" s="188"/>
      <c r="AK267" s="61"/>
      <c r="AL267" s="61"/>
      <c r="AM267" s="61"/>
      <c r="AN267" s="61"/>
      <c r="AO267" s="61"/>
    </row>
    <row r="268">
      <c r="A268" s="112"/>
      <c r="B268" s="149"/>
      <c r="C268" s="93"/>
      <c r="D268" s="61"/>
      <c r="E268" s="112"/>
      <c r="F268" s="149"/>
      <c r="G268" s="93"/>
      <c r="H268" s="61"/>
      <c r="I268" s="112"/>
      <c r="J268" s="149"/>
      <c r="K268" s="93"/>
      <c r="L268" s="61"/>
      <c r="M268" s="112"/>
      <c r="N268" s="115"/>
      <c r="O268" s="93"/>
      <c r="P268" s="61"/>
      <c r="Q268" s="180"/>
      <c r="R268" s="115"/>
      <c r="S268" s="93"/>
      <c r="T268" s="61"/>
      <c r="U268" s="180"/>
      <c r="V268" s="115"/>
      <c r="W268" s="93"/>
      <c r="X268" s="61"/>
      <c r="Y268" s="112"/>
      <c r="Z268" s="181"/>
      <c r="AA268" s="182"/>
      <c r="AB268" s="183"/>
      <c r="AC268" s="112"/>
      <c r="AD268" s="115"/>
      <c r="AE268" s="151"/>
      <c r="AF268" s="184"/>
      <c r="AG268" s="188"/>
      <c r="AH268" s="188"/>
      <c r="AI268" s="188"/>
      <c r="AJ268" s="188"/>
      <c r="AK268" s="61"/>
      <c r="AL268" s="61"/>
      <c r="AM268" s="61"/>
      <c r="AN268" s="61"/>
      <c r="AO268" s="61"/>
    </row>
    <row r="269">
      <c r="A269" s="112"/>
      <c r="B269" s="149"/>
      <c r="C269" s="93"/>
      <c r="D269" s="61"/>
      <c r="E269" s="112"/>
      <c r="F269" s="149"/>
      <c r="G269" s="93"/>
      <c r="H269" s="61"/>
      <c r="I269" s="112"/>
      <c r="J269" s="149"/>
      <c r="K269" s="93"/>
      <c r="L269" s="61"/>
      <c r="M269" s="112"/>
      <c r="N269" s="115"/>
      <c r="O269" s="93"/>
      <c r="P269" s="61"/>
      <c r="Q269" s="180"/>
      <c r="R269" s="115"/>
      <c r="S269" s="93"/>
      <c r="T269" s="61"/>
      <c r="U269" s="180"/>
      <c r="V269" s="115"/>
      <c r="W269" s="93"/>
      <c r="X269" s="61"/>
      <c r="Y269" s="112"/>
      <c r="Z269" s="181"/>
      <c r="AA269" s="182"/>
      <c r="AB269" s="183"/>
      <c r="AC269" s="112"/>
      <c r="AD269" s="115"/>
      <c r="AE269" s="151"/>
      <c r="AF269" s="184"/>
      <c r="AG269" s="188"/>
      <c r="AH269" s="188"/>
      <c r="AI269" s="188"/>
      <c r="AJ269" s="188"/>
      <c r="AK269" s="61"/>
      <c r="AL269" s="61"/>
      <c r="AM269" s="61"/>
      <c r="AN269" s="61"/>
      <c r="AO269" s="61"/>
    </row>
    <row r="270">
      <c r="A270" s="112"/>
      <c r="B270" s="149"/>
      <c r="C270" s="93"/>
      <c r="D270" s="61"/>
      <c r="E270" s="112"/>
      <c r="F270" s="149"/>
      <c r="G270" s="93"/>
      <c r="H270" s="61"/>
      <c r="I270" s="112"/>
      <c r="J270" s="149"/>
      <c r="K270" s="93"/>
      <c r="L270" s="61"/>
      <c r="M270" s="112"/>
      <c r="N270" s="115"/>
      <c r="O270" s="93"/>
      <c r="P270" s="61"/>
      <c r="Q270" s="180"/>
      <c r="R270" s="115"/>
      <c r="S270" s="93"/>
      <c r="T270" s="61"/>
      <c r="U270" s="180"/>
      <c r="V270" s="115"/>
      <c r="W270" s="93"/>
      <c r="X270" s="61"/>
      <c r="Y270" s="112"/>
      <c r="Z270" s="181"/>
      <c r="AA270" s="182"/>
      <c r="AB270" s="183"/>
      <c r="AC270" s="112"/>
      <c r="AD270" s="115"/>
      <c r="AE270" s="151"/>
      <c r="AF270" s="184"/>
      <c r="AG270" s="188"/>
      <c r="AH270" s="188"/>
      <c r="AI270" s="188"/>
      <c r="AJ270" s="188"/>
      <c r="AK270" s="61"/>
      <c r="AL270" s="61"/>
      <c r="AM270" s="61"/>
      <c r="AN270" s="61"/>
      <c r="AO270" s="61"/>
    </row>
    <row r="271">
      <c r="A271" s="112"/>
      <c r="B271" s="149"/>
      <c r="C271" s="93"/>
      <c r="D271" s="61"/>
      <c r="E271" s="112"/>
      <c r="F271" s="149"/>
      <c r="G271" s="93"/>
      <c r="H271" s="61"/>
      <c r="I271" s="112"/>
      <c r="J271" s="149"/>
      <c r="K271" s="93"/>
      <c r="L271" s="61"/>
      <c r="M271" s="112"/>
      <c r="N271" s="115"/>
      <c r="O271" s="93"/>
      <c r="P271" s="61"/>
      <c r="Q271" s="180"/>
      <c r="R271" s="115"/>
      <c r="S271" s="93"/>
      <c r="T271" s="61"/>
      <c r="U271" s="180"/>
      <c r="V271" s="115"/>
      <c r="W271" s="93"/>
      <c r="X271" s="61"/>
      <c r="Y271" s="112"/>
      <c r="Z271" s="181"/>
      <c r="AA271" s="182"/>
      <c r="AB271" s="183"/>
      <c r="AC271" s="112"/>
      <c r="AD271" s="115"/>
      <c r="AE271" s="151"/>
      <c r="AF271" s="184"/>
      <c r="AG271" s="188"/>
      <c r="AH271" s="188"/>
      <c r="AI271" s="188"/>
      <c r="AJ271" s="188"/>
      <c r="AK271" s="61"/>
      <c r="AL271" s="61"/>
      <c r="AM271" s="61"/>
      <c r="AN271" s="61"/>
      <c r="AO271" s="61"/>
    </row>
    <row r="272">
      <c r="A272" s="112"/>
      <c r="B272" s="149"/>
      <c r="C272" s="93"/>
      <c r="D272" s="61"/>
      <c r="E272" s="112"/>
      <c r="F272" s="149"/>
      <c r="G272" s="93"/>
      <c r="H272" s="61"/>
      <c r="I272" s="112"/>
      <c r="J272" s="149"/>
      <c r="K272" s="93"/>
      <c r="L272" s="61"/>
      <c r="M272" s="112"/>
      <c r="N272" s="115"/>
      <c r="O272" s="93"/>
      <c r="P272" s="61"/>
      <c r="Q272" s="180"/>
      <c r="R272" s="115"/>
      <c r="S272" s="93"/>
      <c r="T272" s="61"/>
      <c r="U272" s="180"/>
      <c r="V272" s="115"/>
      <c r="W272" s="93"/>
      <c r="X272" s="61"/>
      <c r="Y272" s="112"/>
      <c r="Z272" s="181"/>
      <c r="AA272" s="182"/>
      <c r="AB272" s="183"/>
      <c r="AC272" s="112"/>
      <c r="AD272" s="115"/>
      <c r="AE272" s="151"/>
      <c r="AF272" s="184"/>
      <c r="AG272" s="188"/>
      <c r="AH272" s="188"/>
      <c r="AI272" s="188"/>
      <c r="AJ272" s="188"/>
      <c r="AK272" s="61"/>
      <c r="AL272" s="61"/>
      <c r="AM272" s="61"/>
      <c r="AN272" s="61"/>
      <c r="AO272" s="61"/>
    </row>
    <row r="273">
      <c r="A273" s="112"/>
      <c r="B273" s="149"/>
      <c r="C273" s="93"/>
      <c r="D273" s="61"/>
      <c r="E273" s="112"/>
      <c r="F273" s="149"/>
      <c r="G273" s="93"/>
      <c r="H273" s="61"/>
      <c r="I273" s="112"/>
      <c r="J273" s="149"/>
      <c r="K273" s="93"/>
      <c r="L273" s="61"/>
      <c r="M273" s="112"/>
      <c r="N273" s="115"/>
      <c r="O273" s="93"/>
      <c r="P273" s="61"/>
      <c r="Q273" s="180"/>
      <c r="R273" s="115"/>
      <c r="S273" s="93"/>
      <c r="T273" s="61"/>
      <c r="U273" s="180"/>
      <c r="V273" s="115"/>
      <c r="W273" s="93"/>
      <c r="X273" s="61"/>
      <c r="Y273" s="112"/>
      <c r="Z273" s="181"/>
      <c r="AA273" s="182"/>
      <c r="AB273" s="183"/>
      <c r="AC273" s="112"/>
      <c r="AD273" s="115"/>
      <c r="AE273" s="151"/>
      <c r="AF273" s="184"/>
      <c r="AG273" s="188"/>
      <c r="AH273" s="188"/>
      <c r="AI273" s="188"/>
      <c r="AJ273" s="188"/>
      <c r="AK273" s="61"/>
      <c r="AL273" s="61"/>
      <c r="AM273" s="61"/>
      <c r="AN273" s="61"/>
      <c r="AO273" s="61"/>
    </row>
    <row r="274">
      <c r="A274" s="112"/>
      <c r="B274" s="149"/>
      <c r="C274" s="93"/>
      <c r="D274" s="61"/>
      <c r="E274" s="112"/>
      <c r="F274" s="149"/>
      <c r="G274" s="93"/>
      <c r="H274" s="61"/>
      <c r="I274" s="112"/>
      <c r="J274" s="149"/>
      <c r="K274" s="93"/>
      <c r="L274" s="61"/>
      <c r="M274" s="112"/>
      <c r="N274" s="115"/>
      <c r="O274" s="93"/>
      <c r="P274" s="61"/>
      <c r="Q274" s="180"/>
      <c r="R274" s="115"/>
      <c r="S274" s="93"/>
      <c r="T274" s="61"/>
      <c r="U274" s="180"/>
      <c r="V274" s="115"/>
      <c r="W274" s="93"/>
      <c r="X274" s="61"/>
      <c r="Y274" s="112"/>
      <c r="Z274" s="181"/>
      <c r="AA274" s="182"/>
      <c r="AB274" s="183"/>
      <c r="AC274" s="112"/>
      <c r="AD274" s="115"/>
      <c r="AE274" s="151"/>
      <c r="AF274" s="184"/>
      <c r="AG274" s="188"/>
      <c r="AH274" s="188"/>
      <c r="AI274" s="188"/>
      <c r="AJ274" s="188"/>
      <c r="AK274" s="61"/>
      <c r="AL274" s="61"/>
      <c r="AM274" s="61"/>
      <c r="AN274" s="61"/>
      <c r="AO274" s="61"/>
    </row>
    <row r="275">
      <c r="A275" s="112"/>
      <c r="B275" s="149"/>
      <c r="C275" s="93"/>
      <c r="D275" s="61"/>
      <c r="E275" s="112"/>
      <c r="F275" s="149"/>
      <c r="G275" s="93"/>
      <c r="H275" s="61"/>
      <c r="I275" s="112"/>
      <c r="J275" s="149"/>
      <c r="K275" s="93"/>
      <c r="L275" s="61"/>
      <c r="M275" s="112"/>
      <c r="N275" s="115"/>
      <c r="O275" s="93"/>
      <c r="P275" s="61"/>
      <c r="Q275" s="180"/>
      <c r="R275" s="115"/>
      <c r="S275" s="93"/>
      <c r="T275" s="61"/>
      <c r="U275" s="180"/>
      <c r="V275" s="115"/>
      <c r="W275" s="93"/>
      <c r="X275" s="61"/>
      <c r="Y275" s="112"/>
      <c r="Z275" s="181"/>
      <c r="AA275" s="182"/>
      <c r="AB275" s="183"/>
      <c r="AC275" s="112"/>
      <c r="AD275" s="115"/>
      <c r="AE275" s="151"/>
      <c r="AF275" s="184"/>
      <c r="AG275" s="188"/>
      <c r="AH275" s="188"/>
      <c r="AI275" s="188"/>
      <c r="AJ275" s="188"/>
      <c r="AK275" s="61"/>
      <c r="AL275" s="61"/>
      <c r="AM275" s="61"/>
      <c r="AN275" s="61"/>
      <c r="AO275" s="61"/>
    </row>
    <row r="276">
      <c r="A276" s="112"/>
      <c r="B276" s="149"/>
      <c r="C276" s="93"/>
      <c r="D276" s="61"/>
      <c r="E276" s="112"/>
      <c r="F276" s="149"/>
      <c r="G276" s="93"/>
      <c r="H276" s="61"/>
      <c r="I276" s="112"/>
      <c r="J276" s="149"/>
      <c r="K276" s="93"/>
      <c r="L276" s="61"/>
      <c r="M276" s="112"/>
      <c r="N276" s="115"/>
      <c r="O276" s="93"/>
      <c r="P276" s="61"/>
      <c r="Q276" s="180"/>
      <c r="R276" s="115"/>
      <c r="S276" s="93"/>
      <c r="T276" s="61"/>
      <c r="U276" s="180"/>
      <c r="V276" s="115"/>
      <c r="W276" s="93"/>
      <c r="X276" s="61"/>
      <c r="Y276" s="112"/>
      <c r="Z276" s="181"/>
      <c r="AA276" s="182"/>
      <c r="AB276" s="183"/>
      <c r="AC276" s="112"/>
      <c r="AD276" s="115"/>
      <c r="AE276" s="151"/>
      <c r="AF276" s="184"/>
      <c r="AG276" s="188"/>
      <c r="AH276" s="188"/>
      <c r="AI276" s="188"/>
      <c r="AJ276" s="188"/>
      <c r="AK276" s="61"/>
      <c r="AL276" s="61"/>
      <c r="AM276" s="61"/>
      <c r="AN276" s="61"/>
      <c r="AO276" s="61"/>
    </row>
    <row r="277">
      <c r="A277" s="112"/>
      <c r="B277" s="149"/>
      <c r="C277" s="93"/>
      <c r="D277" s="61"/>
      <c r="E277" s="112"/>
      <c r="F277" s="149"/>
      <c r="G277" s="93"/>
      <c r="H277" s="61"/>
      <c r="I277" s="112"/>
      <c r="J277" s="149"/>
      <c r="K277" s="93"/>
      <c r="L277" s="61"/>
      <c r="M277" s="112"/>
      <c r="N277" s="115"/>
      <c r="O277" s="93"/>
      <c r="P277" s="61"/>
      <c r="Q277" s="180"/>
      <c r="R277" s="115"/>
      <c r="S277" s="93"/>
      <c r="T277" s="61"/>
      <c r="U277" s="180"/>
      <c r="V277" s="115"/>
      <c r="W277" s="93"/>
      <c r="X277" s="61"/>
      <c r="Y277" s="112"/>
      <c r="Z277" s="181"/>
      <c r="AA277" s="182"/>
      <c r="AB277" s="183"/>
      <c r="AC277" s="112"/>
      <c r="AD277" s="115"/>
      <c r="AE277" s="151"/>
      <c r="AF277" s="184"/>
      <c r="AG277" s="188"/>
      <c r="AH277" s="188"/>
      <c r="AI277" s="188"/>
      <c r="AJ277" s="188"/>
      <c r="AK277" s="61"/>
      <c r="AL277" s="61"/>
      <c r="AM277" s="61"/>
      <c r="AN277" s="61"/>
      <c r="AO277" s="61"/>
    </row>
    <row r="278">
      <c r="A278" s="112"/>
      <c r="B278" s="149"/>
      <c r="C278" s="93"/>
      <c r="D278" s="61"/>
      <c r="E278" s="112"/>
      <c r="F278" s="149"/>
      <c r="G278" s="93"/>
      <c r="H278" s="61"/>
      <c r="I278" s="112"/>
      <c r="J278" s="149"/>
      <c r="K278" s="93"/>
      <c r="L278" s="61"/>
      <c r="M278" s="112"/>
      <c r="N278" s="115"/>
      <c r="O278" s="93"/>
      <c r="P278" s="61"/>
      <c r="Q278" s="180"/>
      <c r="R278" s="115"/>
      <c r="S278" s="93"/>
      <c r="T278" s="61"/>
      <c r="U278" s="180"/>
      <c r="V278" s="115"/>
      <c r="W278" s="93"/>
      <c r="X278" s="61"/>
      <c r="Y278" s="112"/>
      <c r="Z278" s="181"/>
      <c r="AA278" s="182"/>
      <c r="AB278" s="183"/>
      <c r="AC278" s="112"/>
      <c r="AD278" s="115"/>
      <c r="AE278" s="151"/>
      <c r="AF278" s="184"/>
      <c r="AG278" s="188"/>
      <c r="AH278" s="188"/>
      <c r="AI278" s="188"/>
      <c r="AJ278" s="188"/>
      <c r="AK278" s="61"/>
      <c r="AL278" s="61"/>
      <c r="AM278" s="61"/>
      <c r="AN278" s="61"/>
      <c r="AO278" s="61"/>
    </row>
    <row r="279">
      <c r="A279" s="112"/>
      <c r="B279" s="149"/>
      <c r="C279" s="93"/>
      <c r="D279" s="61"/>
      <c r="E279" s="112"/>
      <c r="F279" s="149"/>
      <c r="G279" s="93"/>
      <c r="H279" s="61"/>
      <c r="I279" s="112"/>
      <c r="J279" s="149"/>
      <c r="K279" s="93"/>
      <c r="L279" s="61"/>
      <c r="M279" s="112"/>
      <c r="N279" s="115"/>
      <c r="O279" s="93"/>
      <c r="P279" s="61"/>
      <c r="Q279" s="180"/>
      <c r="R279" s="115"/>
      <c r="S279" s="93"/>
      <c r="T279" s="61"/>
      <c r="U279" s="180"/>
      <c r="V279" s="115"/>
      <c r="W279" s="93"/>
      <c r="X279" s="61"/>
      <c r="Y279" s="112"/>
      <c r="Z279" s="181"/>
      <c r="AA279" s="182"/>
      <c r="AB279" s="183"/>
      <c r="AC279" s="112"/>
      <c r="AD279" s="115"/>
      <c r="AE279" s="151"/>
      <c r="AF279" s="184"/>
      <c r="AG279" s="188"/>
      <c r="AH279" s="188"/>
      <c r="AI279" s="188"/>
      <c r="AJ279" s="188"/>
      <c r="AK279" s="61"/>
      <c r="AL279" s="61"/>
      <c r="AM279" s="61"/>
      <c r="AN279" s="61"/>
      <c r="AO279" s="61"/>
    </row>
    <row r="280">
      <c r="A280" s="112"/>
      <c r="B280" s="149"/>
      <c r="C280" s="93"/>
      <c r="D280" s="61"/>
      <c r="E280" s="112"/>
      <c r="F280" s="149"/>
      <c r="G280" s="93"/>
      <c r="H280" s="61"/>
      <c r="I280" s="112"/>
      <c r="J280" s="149"/>
      <c r="K280" s="93"/>
      <c r="L280" s="61"/>
      <c r="M280" s="112"/>
      <c r="N280" s="115"/>
      <c r="O280" s="93"/>
      <c r="P280" s="61"/>
      <c r="Q280" s="180"/>
      <c r="R280" s="115"/>
      <c r="S280" s="93"/>
      <c r="T280" s="61"/>
      <c r="U280" s="180"/>
      <c r="V280" s="115"/>
      <c r="W280" s="93"/>
      <c r="X280" s="61"/>
      <c r="Y280" s="112"/>
      <c r="Z280" s="181"/>
      <c r="AA280" s="182"/>
      <c r="AB280" s="183"/>
      <c r="AC280" s="112"/>
      <c r="AD280" s="115"/>
      <c r="AE280" s="151"/>
      <c r="AF280" s="184"/>
      <c r="AG280" s="188"/>
      <c r="AH280" s="188"/>
      <c r="AI280" s="188"/>
      <c r="AJ280" s="188"/>
      <c r="AK280" s="61"/>
      <c r="AL280" s="61"/>
      <c r="AM280" s="61"/>
      <c r="AN280" s="61"/>
      <c r="AO280" s="61"/>
    </row>
    <row r="281">
      <c r="A281" s="112"/>
      <c r="B281" s="149"/>
      <c r="C281" s="93"/>
      <c r="D281" s="61"/>
      <c r="E281" s="112"/>
      <c r="F281" s="149"/>
      <c r="G281" s="93"/>
      <c r="H281" s="61"/>
      <c r="I281" s="112"/>
      <c r="J281" s="149"/>
      <c r="K281" s="93"/>
      <c r="L281" s="61"/>
      <c r="M281" s="112"/>
      <c r="N281" s="115"/>
      <c r="O281" s="93"/>
      <c r="P281" s="61"/>
      <c r="Q281" s="180"/>
      <c r="R281" s="115"/>
      <c r="S281" s="93"/>
      <c r="T281" s="61"/>
      <c r="U281" s="180"/>
      <c r="V281" s="115"/>
      <c r="W281" s="93"/>
      <c r="X281" s="61"/>
      <c r="Y281" s="112"/>
      <c r="Z281" s="181"/>
      <c r="AA281" s="182"/>
      <c r="AB281" s="183"/>
      <c r="AC281" s="112"/>
      <c r="AD281" s="115"/>
      <c r="AE281" s="151"/>
      <c r="AF281" s="184"/>
      <c r="AG281" s="188"/>
      <c r="AH281" s="188"/>
      <c r="AI281" s="188"/>
      <c r="AJ281" s="188"/>
      <c r="AK281" s="61"/>
      <c r="AL281" s="61"/>
      <c r="AM281" s="61"/>
      <c r="AN281" s="61"/>
      <c r="AO281" s="61"/>
    </row>
    <row r="282">
      <c r="A282" s="112"/>
      <c r="B282" s="149"/>
      <c r="C282" s="93"/>
      <c r="D282" s="61"/>
      <c r="E282" s="112"/>
      <c r="F282" s="149"/>
      <c r="G282" s="93"/>
      <c r="H282" s="61"/>
      <c r="I282" s="112"/>
      <c r="J282" s="149"/>
      <c r="K282" s="93"/>
      <c r="L282" s="61"/>
      <c r="M282" s="112"/>
      <c r="N282" s="115"/>
      <c r="O282" s="93"/>
      <c r="P282" s="61"/>
      <c r="Q282" s="180"/>
      <c r="R282" s="115"/>
      <c r="S282" s="93"/>
      <c r="T282" s="61"/>
      <c r="U282" s="180"/>
      <c r="V282" s="115"/>
      <c r="W282" s="93"/>
      <c r="X282" s="61"/>
      <c r="Y282" s="112"/>
      <c r="Z282" s="181"/>
      <c r="AA282" s="182"/>
      <c r="AB282" s="183"/>
      <c r="AC282" s="112"/>
      <c r="AD282" s="115"/>
      <c r="AE282" s="151"/>
      <c r="AF282" s="184"/>
      <c r="AG282" s="188"/>
      <c r="AH282" s="188"/>
      <c r="AI282" s="188"/>
      <c r="AJ282" s="188"/>
      <c r="AK282" s="61"/>
      <c r="AL282" s="61"/>
      <c r="AM282" s="61"/>
      <c r="AN282" s="61"/>
      <c r="AO282" s="61"/>
    </row>
    <row r="283">
      <c r="A283" s="112"/>
      <c r="B283" s="149"/>
      <c r="C283" s="93"/>
      <c r="D283" s="61"/>
      <c r="E283" s="112"/>
      <c r="F283" s="149"/>
      <c r="G283" s="93"/>
      <c r="H283" s="61"/>
      <c r="I283" s="112"/>
      <c r="J283" s="149"/>
      <c r="K283" s="93"/>
      <c r="L283" s="61"/>
      <c r="M283" s="112"/>
      <c r="N283" s="115"/>
      <c r="O283" s="93"/>
      <c r="P283" s="61"/>
      <c r="Q283" s="180"/>
      <c r="R283" s="115"/>
      <c r="S283" s="93"/>
      <c r="T283" s="61"/>
      <c r="U283" s="180"/>
      <c r="V283" s="115"/>
      <c r="W283" s="93"/>
      <c r="X283" s="61"/>
      <c r="Y283" s="112"/>
      <c r="Z283" s="181"/>
      <c r="AA283" s="182"/>
      <c r="AB283" s="183"/>
      <c r="AC283" s="112"/>
      <c r="AD283" s="115"/>
      <c r="AE283" s="151"/>
      <c r="AF283" s="184"/>
      <c r="AG283" s="188"/>
      <c r="AH283" s="188"/>
      <c r="AI283" s="188"/>
      <c r="AJ283" s="188"/>
      <c r="AK283" s="61"/>
      <c r="AL283" s="61"/>
      <c r="AM283" s="61"/>
      <c r="AN283" s="61"/>
      <c r="AO283" s="61"/>
    </row>
    <row r="284">
      <c r="A284" s="112"/>
      <c r="B284" s="149"/>
      <c r="C284" s="93"/>
      <c r="D284" s="61"/>
      <c r="E284" s="112"/>
      <c r="F284" s="149"/>
      <c r="G284" s="93"/>
      <c r="H284" s="61"/>
      <c r="I284" s="112"/>
      <c r="J284" s="149"/>
      <c r="K284" s="93"/>
      <c r="L284" s="61"/>
      <c r="M284" s="112"/>
      <c r="N284" s="115"/>
      <c r="O284" s="93"/>
      <c r="P284" s="61"/>
      <c r="Q284" s="180"/>
      <c r="R284" s="115"/>
      <c r="S284" s="93"/>
      <c r="T284" s="61"/>
      <c r="U284" s="180"/>
      <c r="V284" s="115"/>
      <c r="W284" s="93"/>
      <c r="X284" s="61"/>
      <c r="Y284" s="112"/>
      <c r="Z284" s="181"/>
      <c r="AA284" s="182"/>
      <c r="AB284" s="183"/>
      <c r="AC284" s="112"/>
      <c r="AD284" s="115"/>
      <c r="AE284" s="151"/>
      <c r="AF284" s="184"/>
      <c r="AG284" s="188"/>
      <c r="AH284" s="188"/>
      <c r="AI284" s="188"/>
      <c r="AJ284" s="188"/>
      <c r="AK284" s="61"/>
      <c r="AL284" s="61"/>
      <c r="AM284" s="61"/>
      <c r="AN284" s="61"/>
      <c r="AO284" s="61"/>
    </row>
    <row r="285">
      <c r="A285" s="112"/>
      <c r="B285" s="149"/>
      <c r="C285" s="93"/>
      <c r="D285" s="61"/>
      <c r="E285" s="112"/>
      <c r="F285" s="149"/>
      <c r="G285" s="93"/>
      <c r="H285" s="61"/>
      <c r="I285" s="112"/>
      <c r="J285" s="149"/>
      <c r="K285" s="93"/>
      <c r="L285" s="61"/>
      <c r="M285" s="112"/>
      <c r="N285" s="115"/>
      <c r="O285" s="93"/>
      <c r="P285" s="61"/>
      <c r="Q285" s="180"/>
      <c r="R285" s="115"/>
      <c r="S285" s="93"/>
      <c r="T285" s="61"/>
      <c r="U285" s="180"/>
      <c r="V285" s="115"/>
      <c r="W285" s="93"/>
      <c r="X285" s="61"/>
      <c r="Y285" s="112"/>
      <c r="Z285" s="181"/>
      <c r="AA285" s="182"/>
      <c r="AB285" s="183"/>
      <c r="AC285" s="112"/>
      <c r="AD285" s="115"/>
      <c r="AE285" s="151"/>
      <c r="AF285" s="184"/>
      <c r="AG285" s="188"/>
      <c r="AH285" s="188"/>
      <c r="AI285" s="188"/>
      <c r="AJ285" s="188"/>
      <c r="AK285" s="61"/>
      <c r="AL285" s="61"/>
      <c r="AM285" s="61"/>
      <c r="AN285" s="61"/>
      <c r="AO285" s="61"/>
    </row>
    <row r="286">
      <c r="A286" s="112"/>
      <c r="B286" s="149"/>
      <c r="C286" s="93"/>
      <c r="D286" s="61"/>
      <c r="E286" s="112"/>
      <c r="F286" s="149"/>
      <c r="G286" s="93"/>
      <c r="H286" s="61"/>
      <c r="I286" s="112"/>
      <c r="J286" s="149"/>
      <c r="K286" s="93"/>
      <c r="L286" s="61"/>
      <c r="M286" s="112"/>
      <c r="N286" s="115"/>
      <c r="O286" s="93"/>
      <c r="P286" s="61"/>
      <c r="Q286" s="180"/>
      <c r="R286" s="115"/>
      <c r="S286" s="93"/>
      <c r="T286" s="61"/>
      <c r="U286" s="180"/>
      <c r="V286" s="115"/>
      <c r="W286" s="93"/>
      <c r="X286" s="61"/>
      <c r="Y286" s="112"/>
      <c r="Z286" s="181"/>
      <c r="AA286" s="182"/>
      <c r="AB286" s="183"/>
      <c r="AC286" s="112"/>
      <c r="AD286" s="115"/>
      <c r="AE286" s="151"/>
      <c r="AF286" s="184"/>
      <c r="AG286" s="188"/>
      <c r="AH286" s="188"/>
      <c r="AI286" s="188"/>
      <c r="AJ286" s="188"/>
      <c r="AK286" s="61"/>
      <c r="AL286" s="61"/>
      <c r="AM286" s="61"/>
      <c r="AN286" s="61"/>
      <c r="AO286" s="61"/>
    </row>
    <row r="287">
      <c r="A287" s="112"/>
      <c r="B287" s="149"/>
      <c r="C287" s="93"/>
      <c r="D287" s="61"/>
      <c r="E287" s="112"/>
      <c r="F287" s="149"/>
      <c r="G287" s="93"/>
      <c r="H287" s="61"/>
      <c r="I287" s="112"/>
      <c r="J287" s="149"/>
      <c r="K287" s="93"/>
      <c r="L287" s="61"/>
      <c r="M287" s="112"/>
      <c r="N287" s="115"/>
      <c r="O287" s="93"/>
      <c r="P287" s="61"/>
      <c r="Q287" s="180"/>
      <c r="R287" s="115"/>
      <c r="S287" s="93"/>
      <c r="T287" s="61"/>
      <c r="U287" s="180"/>
      <c r="V287" s="115"/>
      <c r="W287" s="93"/>
      <c r="X287" s="61"/>
      <c r="Y287" s="112"/>
      <c r="Z287" s="181"/>
      <c r="AA287" s="182"/>
      <c r="AB287" s="183"/>
      <c r="AC287" s="112"/>
      <c r="AD287" s="115"/>
      <c r="AE287" s="151"/>
      <c r="AF287" s="184"/>
      <c r="AG287" s="188"/>
      <c r="AH287" s="188"/>
      <c r="AI287" s="188"/>
      <c r="AJ287" s="188"/>
      <c r="AK287" s="61"/>
      <c r="AL287" s="61"/>
      <c r="AM287" s="61"/>
      <c r="AN287" s="61"/>
      <c r="AO287" s="61"/>
    </row>
    <row r="288">
      <c r="A288" s="112"/>
      <c r="B288" s="149"/>
      <c r="C288" s="93"/>
      <c r="D288" s="61"/>
      <c r="E288" s="112"/>
      <c r="F288" s="149"/>
      <c r="G288" s="93"/>
      <c r="H288" s="61"/>
      <c r="I288" s="112"/>
      <c r="J288" s="149"/>
      <c r="K288" s="93"/>
      <c r="L288" s="61"/>
      <c r="M288" s="112"/>
      <c r="N288" s="115"/>
      <c r="O288" s="93"/>
      <c r="P288" s="61"/>
      <c r="Q288" s="180"/>
      <c r="R288" s="115"/>
      <c r="S288" s="93"/>
      <c r="T288" s="61"/>
      <c r="U288" s="180"/>
      <c r="V288" s="115"/>
      <c r="W288" s="93"/>
      <c r="X288" s="61"/>
      <c r="Y288" s="112"/>
      <c r="Z288" s="181"/>
      <c r="AA288" s="182"/>
      <c r="AB288" s="183"/>
      <c r="AC288" s="112"/>
      <c r="AD288" s="115"/>
      <c r="AE288" s="151"/>
      <c r="AF288" s="184"/>
      <c r="AG288" s="188"/>
      <c r="AH288" s="188"/>
      <c r="AI288" s="188"/>
      <c r="AJ288" s="188"/>
      <c r="AK288" s="61"/>
      <c r="AL288" s="61"/>
      <c r="AM288" s="61"/>
      <c r="AN288" s="61"/>
      <c r="AO288" s="61"/>
    </row>
    <row r="289">
      <c r="A289" s="112"/>
      <c r="B289" s="149"/>
      <c r="C289" s="93"/>
      <c r="D289" s="61"/>
      <c r="E289" s="112"/>
      <c r="F289" s="149"/>
      <c r="G289" s="93"/>
      <c r="H289" s="61"/>
      <c r="I289" s="112"/>
      <c r="J289" s="149"/>
      <c r="K289" s="93"/>
      <c r="L289" s="61"/>
      <c r="M289" s="112"/>
      <c r="N289" s="115"/>
      <c r="O289" s="93"/>
      <c r="P289" s="61"/>
      <c r="Q289" s="180"/>
      <c r="R289" s="115"/>
      <c r="S289" s="93"/>
      <c r="T289" s="61"/>
      <c r="U289" s="180"/>
      <c r="V289" s="115"/>
      <c r="W289" s="93"/>
      <c r="X289" s="61"/>
      <c r="Y289" s="112"/>
      <c r="Z289" s="181"/>
      <c r="AA289" s="182"/>
      <c r="AB289" s="183"/>
      <c r="AC289" s="112"/>
      <c r="AD289" s="115"/>
      <c r="AE289" s="151"/>
      <c r="AF289" s="184"/>
      <c r="AG289" s="188"/>
      <c r="AH289" s="188"/>
      <c r="AI289" s="188"/>
      <c r="AJ289" s="188"/>
      <c r="AK289" s="61"/>
      <c r="AL289" s="61"/>
      <c r="AM289" s="61"/>
      <c r="AN289" s="61"/>
      <c r="AO289" s="61"/>
    </row>
    <row r="290">
      <c r="A290" s="112"/>
      <c r="B290" s="149"/>
      <c r="C290" s="93"/>
      <c r="D290" s="61"/>
      <c r="E290" s="112"/>
      <c r="F290" s="149"/>
      <c r="G290" s="93"/>
      <c r="H290" s="61"/>
      <c r="I290" s="112"/>
      <c r="J290" s="149"/>
      <c r="K290" s="93"/>
      <c r="L290" s="61"/>
      <c r="M290" s="112"/>
      <c r="N290" s="115"/>
      <c r="O290" s="93"/>
      <c r="P290" s="61"/>
      <c r="Q290" s="180"/>
      <c r="R290" s="115"/>
      <c r="S290" s="93"/>
      <c r="T290" s="61"/>
      <c r="U290" s="180"/>
      <c r="V290" s="115"/>
      <c r="W290" s="93"/>
      <c r="X290" s="61"/>
      <c r="Y290" s="112"/>
      <c r="Z290" s="181"/>
      <c r="AA290" s="182"/>
      <c r="AB290" s="183"/>
      <c r="AC290" s="112"/>
      <c r="AD290" s="115"/>
      <c r="AE290" s="151"/>
      <c r="AF290" s="184"/>
      <c r="AG290" s="188"/>
      <c r="AH290" s="188"/>
      <c r="AI290" s="188"/>
      <c r="AJ290" s="188"/>
      <c r="AK290" s="61"/>
      <c r="AL290" s="61"/>
      <c r="AM290" s="61"/>
      <c r="AN290" s="61"/>
      <c r="AO290" s="61"/>
    </row>
    <row r="291">
      <c r="A291" s="112"/>
      <c r="B291" s="149"/>
      <c r="C291" s="93"/>
      <c r="D291" s="61"/>
      <c r="E291" s="112"/>
      <c r="F291" s="149"/>
      <c r="G291" s="93"/>
      <c r="H291" s="61"/>
      <c r="I291" s="112"/>
      <c r="J291" s="149"/>
      <c r="K291" s="93"/>
      <c r="L291" s="61"/>
      <c r="M291" s="112"/>
      <c r="N291" s="115"/>
      <c r="O291" s="93"/>
      <c r="P291" s="61"/>
      <c r="Q291" s="180"/>
      <c r="R291" s="115"/>
      <c r="S291" s="93"/>
      <c r="T291" s="61"/>
      <c r="U291" s="180"/>
      <c r="V291" s="115"/>
      <c r="W291" s="93"/>
      <c r="X291" s="61"/>
      <c r="Y291" s="112"/>
      <c r="Z291" s="181"/>
      <c r="AA291" s="182"/>
      <c r="AB291" s="183"/>
      <c r="AC291" s="112"/>
      <c r="AD291" s="115"/>
      <c r="AE291" s="151"/>
      <c r="AF291" s="184"/>
      <c r="AG291" s="188"/>
      <c r="AH291" s="188"/>
      <c r="AI291" s="188"/>
      <c r="AJ291" s="188"/>
      <c r="AK291" s="61"/>
      <c r="AL291" s="61"/>
      <c r="AM291" s="61"/>
      <c r="AN291" s="61"/>
      <c r="AO291" s="61"/>
    </row>
    <row r="292">
      <c r="A292" s="112"/>
      <c r="B292" s="149"/>
      <c r="C292" s="93"/>
      <c r="D292" s="61"/>
      <c r="E292" s="112"/>
      <c r="F292" s="149"/>
      <c r="G292" s="93"/>
      <c r="H292" s="61"/>
      <c r="I292" s="112"/>
      <c r="J292" s="149"/>
      <c r="K292" s="93"/>
      <c r="L292" s="61"/>
      <c r="M292" s="112"/>
      <c r="N292" s="115"/>
      <c r="O292" s="93"/>
      <c r="P292" s="61"/>
      <c r="Q292" s="180"/>
      <c r="R292" s="115"/>
      <c r="S292" s="93"/>
      <c r="T292" s="61"/>
      <c r="U292" s="180"/>
      <c r="V292" s="115"/>
      <c r="W292" s="93"/>
      <c r="X292" s="61"/>
      <c r="Y292" s="112"/>
      <c r="Z292" s="181"/>
      <c r="AA292" s="182"/>
      <c r="AB292" s="183"/>
      <c r="AC292" s="112"/>
      <c r="AD292" s="115"/>
      <c r="AE292" s="151"/>
      <c r="AF292" s="184"/>
      <c r="AG292" s="188"/>
      <c r="AH292" s="188"/>
      <c r="AI292" s="188"/>
      <c r="AJ292" s="188"/>
      <c r="AK292" s="61"/>
      <c r="AL292" s="61"/>
      <c r="AM292" s="61"/>
      <c r="AN292" s="61"/>
      <c r="AO292" s="61"/>
    </row>
    <row r="293">
      <c r="A293" s="112"/>
      <c r="B293" s="149"/>
      <c r="C293" s="93"/>
      <c r="D293" s="61"/>
      <c r="E293" s="112"/>
      <c r="F293" s="149"/>
      <c r="G293" s="93"/>
      <c r="H293" s="61"/>
      <c r="I293" s="112"/>
      <c r="J293" s="149"/>
      <c r="K293" s="93"/>
      <c r="L293" s="61"/>
      <c r="M293" s="112"/>
      <c r="N293" s="115"/>
      <c r="O293" s="93"/>
      <c r="P293" s="61"/>
      <c r="Q293" s="180"/>
      <c r="R293" s="115"/>
      <c r="S293" s="93"/>
      <c r="T293" s="61"/>
      <c r="U293" s="180"/>
      <c r="V293" s="115"/>
      <c r="W293" s="93"/>
      <c r="X293" s="61"/>
      <c r="Y293" s="112"/>
      <c r="Z293" s="181"/>
      <c r="AA293" s="182"/>
      <c r="AB293" s="183"/>
      <c r="AC293" s="112"/>
      <c r="AD293" s="115"/>
      <c r="AE293" s="151"/>
      <c r="AF293" s="184"/>
      <c r="AG293" s="188"/>
      <c r="AH293" s="188"/>
      <c r="AI293" s="188"/>
      <c r="AJ293" s="188"/>
      <c r="AK293" s="61"/>
      <c r="AL293" s="61"/>
      <c r="AM293" s="61"/>
      <c r="AN293" s="61"/>
      <c r="AO293" s="61"/>
    </row>
    <row r="294">
      <c r="A294" s="112"/>
      <c r="B294" s="149"/>
      <c r="C294" s="93"/>
      <c r="D294" s="61"/>
      <c r="E294" s="112"/>
      <c r="F294" s="149"/>
      <c r="G294" s="93"/>
      <c r="H294" s="61"/>
      <c r="I294" s="112"/>
      <c r="J294" s="149"/>
      <c r="K294" s="93"/>
      <c r="L294" s="61"/>
      <c r="M294" s="112"/>
      <c r="N294" s="115"/>
      <c r="O294" s="93"/>
      <c r="P294" s="61"/>
      <c r="Q294" s="180"/>
      <c r="R294" s="115"/>
      <c r="S294" s="93"/>
      <c r="T294" s="61"/>
      <c r="U294" s="180"/>
      <c r="V294" s="115"/>
      <c r="W294" s="93"/>
      <c r="X294" s="61"/>
      <c r="Y294" s="112"/>
      <c r="Z294" s="181"/>
      <c r="AA294" s="182"/>
      <c r="AB294" s="183"/>
      <c r="AC294" s="112"/>
      <c r="AD294" s="115"/>
      <c r="AE294" s="151"/>
      <c r="AF294" s="184"/>
      <c r="AG294" s="188"/>
      <c r="AH294" s="188"/>
      <c r="AI294" s="188"/>
      <c r="AJ294" s="188"/>
      <c r="AK294" s="61"/>
      <c r="AL294" s="61"/>
      <c r="AM294" s="61"/>
      <c r="AN294" s="61"/>
      <c r="AO294" s="61"/>
    </row>
    <row r="295">
      <c r="A295" s="112"/>
      <c r="B295" s="149"/>
      <c r="C295" s="93"/>
      <c r="D295" s="61"/>
      <c r="E295" s="112"/>
      <c r="F295" s="149"/>
      <c r="G295" s="93"/>
      <c r="H295" s="61"/>
      <c r="I295" s="112"/>
      <c r="J295" s="149"/>
      <c r="K295" s="93"/>
      <c r="L295" s="61"/>
      <c r="M295" s="112"/>
      <c r="N295" s="115"/>
      <c r="O295" s="93"/>
      <c r="P295" s="61"/>
      <c r="Q295" s="180"/>
      <c r="R295" s="115"/>
      <c r="S295" s="93"/>
      <c r="T295" s="61"/>
      <c r="U295" s="180"/>
      <c r="V295" s="115"/>
      <c r="W295" s="93"/>
      <c r="X295" s="61"/>
      <c r="Y295" s="112"/>
      <c r="Z295" s="181"/>
      <c r="AA295" s="182"/>
      <c r="AB295" s="183"/>
      <c r="AC295" s="112"/>
      <c r="AD295" s="115"/>
      <c r="AE295" s="151"/>
      <c r="AF295" s="184"/>
      <c r="AG295" s="188"/>
      <c r="AH295" s="188"/>
      <c r="AI295" s="188"/>
      <c r="AJ295" s="188"/>
      <c r="AK295" s="61"/>
      <c r="AL295" s="61"/>
      <c r="AM295" s="61"/>
      <c r="AN295" s="61"/>
      <c r="AO295" s="61"/>
    </row>
    <row r="296">
      <c r="A296" s="112"/>
      <c r="B296" s="149"/>
      <c r="C296" s="93"/>
      <c r="D296" s="61"/>
      <c r="E296" s="112"/>
      <c r="F296" s="149"/>
      <c r="G296" s="93"/>
      <c r="H296" s="61"/>
      <c r="I296" s="112"/>
      <c r="J296" s="149"/>
      <c r="K296" s="93"/>
      <c r="L296" s="61"/>
      <c r="M296" s="112"/>
      <c r="N296" s="115"/>
      <c r="O296" s="93"/>
      <c r="P296" s="61"/>
      <c r="Q296" s="180"/>
      <c r="R296" s="115"/>
      <c r="S296" s="93"/>
      <c r="T296" s="61"/>
      <c r="U296" s="180"/>
      <c r="V296" s="115"/>
      <c r="W296" s="93"/>
      <c r="X296" s="61"/>
      <c r="Y296" s="112"/>
      <c r="Z296" s="181"/>
      <c r="AA296" s="182"/>
      <c r="AB296" s="183"/>
      <c r="AC296" s="112"/>
      <c r="AD296" s="115"/>
      <c r="AE296" s="151"/>
      <c r="AF296" s="184"/>
      <c r="AG296" s="188"/>
      <c r="AH296" s="188"/>
      <c r="AI296" s="188"/>
      <c r="AJ296" s="188"/>
      <c r="AK296" s="61"/>
      <c r="AL296" s="61"/>
      <c r="AM296" s="61"/>
      <c r="AN296" s="61"/>
      <c r="AO296" s="61"/>
    </row>
    <row r="297">
      <c r="A297" s="112"/>
      <c r="B297" s="149"/>
      <c r="C297" s="93"/>
      <c r="D297" s="61"/>
      <c r="E297" s="112"/>
      <c r="F297" s="149"/>
      <c r="G297" s="93"/>
      <c r="H297" s="61"/>
      <c r="I297" s="112"/>
      <c r="J297" s="149"/>
      <c r="K297" s="93"/>
      <c r="L297" s="61"/>
      <c r="M297" s="112"/>
      <c r="N297" s="115"/>
      <c r="O297" s="93"/>
      <c r="P297" s="61"/>
      <c r="Q297" s="180"/>
      <c r="R297" s="115"/>
      <c r="S297" s="93"/>
      <c r="T297" s="61"/>
      <c r="U297" s="180"/>
      <c r="V297" s="115"/>
      <c r="W297" s="93"/>
      <c r="X297" s="61"/>
      <c r="Y297" s="112"/>
      <c r="Z297" s="181"/>
      <c r="AA297" s="182"/>
      <c r="AB297" s="183"/>
      <c r="AC297" s="112"/>
      <c r="AD297" s="115"/>
      <c r="AE297" s="151"/>
      <c r="AF297" s="184"/>
      <c r="AG297" s="188"/>
      <c r="AH297" s="188"/>
      <c r="AI297" s="188"/>
      <c r="AJ297" s="188"/>
      <c r="AK297" s="61"/>
      <c r="AL297" s="61"/>
      <c r="AM297" s="61"/>
      <c r="AN297" s="61"/>
      <c r="AO297" s="61"/>
    </row>
    <row r="298">
      <c r="A298" s="112"/>
      <c r="B298" s="149"/>
      <c r="C298" s="93"/>
      <c r="D298" s="61"/>
      <c r="E298" s="112"/>
      <c r="F298" s="149"/>
      <c r="G298" s="93"/>
      <c r="H298" s="61"/>
      <c r="I298" s="112"/>
      <c r="J298" s="149"/>
      <c r="K298" s="93"/>
      <c r="L298" s="61"/>
      <c r="M298" s="112"/>
      <c r="N298" s="115"/>
      <c r="O298" s="93"/>
      <c r="P298" s="61"/>
      <c r="Q298" s="180"/>
      <c r="R298" s="115"/>
      <c r="S298" s="93"/>
      <c r="T298" s="61"/>
      <c r="U298" s="180"/>
      <c r="V298" s="115"/>
      <c r="W298" s="93"/>
      <c r="X298" s="61"/>
      <c r="Y298" s="112"/>
      <c r="Z298" s="181"/>
      <c r="AA298" s="182"/>
      <c r="AB298" s="183"/>
      <c r="AC298" s="112"/>
      <c r="AD298" s="115"/>
      <c r="AE298" s="151"/>
      <c r="AF298" s="184"/>
      <c r="AG298" s="188"/>
      <c r="AH298" s="188"/>
      <c r="AI298" s="188"/>
      <c r="AJ298" s="188"/>
      <c r="AK298" s="61"/>
      <c r="AL298" s="61"/>
      <c r="AM298" s="61"/>
      <c r="AN298" s="61"/>
      <c r="AO298" s="61"/>
    </row>
    <row r="299">
      <c r="A299" s="112"/>
      <c r="B299" s="149"/>
      <c r="C299" s="93"/>
      <c r="D299" s="61"/>
      <c r="E299" s="112"/>
      <c r="F299" s="149"/>
      <c r="G299" s="93"/>
      <c r="H299" s="61"/>
      <c r="I299" s="112"/>
      <c r="J299" s="149"/>
      <c r="K299" s="93"/>
      <c r="L299" s="61"/>
      <c r="M299" s="112"/>
      <c r="N299" s="115"/>
      <c r="O299" s="93"/>
      <c r="P299" s="61"/>
      <c r="Q299" s="180"/>
      <c r="R299" s="115"/>
      <c r="S299" s="93"/>
      <c r="T299" s="61"/>
      <c r="U299" s="180"/>
      <c r="V299" s="115"/>
      <c r="W299" s="93"/>
      <c r="X299" s="61"/>
      <c r="Y299" s="112"/>
      <c r="Z299" s="181"/>
      <c r="AA299" s="182"/>
      <c r="AB299" s="183"/>
      <c r="AC299" s="112"/>
      <c r="AD299" s="115"/>
      <c r="AE299" s="151"/>
      <c r="AF299" s="184"/>
      <c r="AG299" s="188"/>
      <c r="AH299" s="188"/>
      <c r="AI299" s="188"/>
      <c r="AJ299" s="188"/>
      <c r="AK299" s="61"/>
      <c r="AL299" s="61"/>
      <c r="AM299" s="61"/>
      <c r="AN299" s="61"/>
      <c r="AO299" s="61"/>
    </row>
    <row r="300">
      <c r="A300" s="112"/>
      <c r="B300" s="149"/>
      <c r="C300" s="93"/>
      <c r="D300" s="61"/>
      <c r="E300" s="112"/>
      <c r="F300" s="149"/>
      <c r="G300" s="93"/>
      <c r="H300" s="61"/>
      <c r="I300" s="112"/>
      <c r="J300" s="149"/>
      <c r="K300" s="93"/>
      <c r="L300" s="61"/>
      <c r="M300" s="112"/>
      <c r="N300" s="115"/>
      <c r="O300" s="93"/>
      <c r="P300" s="61"/>
      <c r="Q300" s="180"/>
      <c r="R300" s="115"/>
      <c r="S300" s="93"/>
      <c r="T300" s="61"/>
      <c r="U300" s="180"/>
      <c r="V300" s="115"/>
      <c r="W300" s="93"/>
      <c r="X300" s="61"/>
      <c r="Y300" s="112"/>
      <c r="Z300" s="181"/>
      <c r="AA300" s="182"/>
      <c r="AB300" s="183"/>
      <c r="AC300" s="112"/>
      <c r="AD300" s="115"/>
      <c r="AE300" s="151"/>
      <c r="AF300" s="184"/>
      <c r="AG300" s="188"/>
      <c r="AH300" s="188"/>
      <c r="AI300" s="188"/>
      <c r="AJ300" s="188"/>
      <c r="AK300" s="61"/>
      <c r="AL300" s="61"/>
      <c r="AM300" s="61"/>
      <c r="AN300" s="61"/>
      <c r="AO300" s="61"/>
    </row>
    <row r="301">
      <c r="A301" s="112"/>
      <c r="B301" s="149"/>
      <c r="C301" s="93"/>
      <c r="D301" s="61"/>
      <c r="E301" s="112"/>
      <c r="F301" s="149"/>
      <c r="G301" s="93"/>
      <c r="H301" s="61"/>
      <c r="I301" s="112"/>
      <c r="J301" s="149"/>
      <c r="K301" s="93"/>
      <c r="L301" s="61"/>
      <c r="M301" s="112"/>
      <c r="N301" s="115"/>
      <c r="O301" s="93"/>
      <c r="P301" s="61"/>
      <c r="Q301" s="180"/>
      <c r="R301" s="115"/>
      <c r="S301" s="93"/>
      <c r="T301" s="61"/>
      <c r="U301" s="180"/>
      <c r="V301" s="115"/>
      <c r="W301" s="93"/>
      <c r="X301" s="61"/>
      <c r="Y301" s="112"/>
      <c r="Z301" s="181"/>
      <c r="AA301" s="182"/>
      <c r="AB301" s="183"/>
      <c r="AC301" s="112"/>
      <c r="AD301" s="115"/>
      <c r="AE301" s="151"/>
      <c r="AF301" s="184"/>
      <c r="AG301" s="188"/>
      <c r="AH301" s="188"/>
      <c r="AI301" s="188"/>
      <c r="AJ301" s="188"/>
      <c r="AK301" s="61"/>
      <c r="AL301" s="61"/>
      <c r="AM301" s="61"/>
      <c r="AN301" s="61"/>
      <c r="AO301" s="61"/>
    </row>
    <row r="302">
      <c r="A302" s="112"/>
      <c r="B302" s="149"/>
      <c r="C302" s="93"/>
      <c r="D302" s="61"/>
      <c r="E302" s="112"/>
      <c r="F302" s="149"/>
      <c r="G302" s="93"/>
      <c r="H302" s="61"/>
      <c r="I302" s="112"/>
      <c r="J302" s="149"/>
      <c r="K302" s="93"/>
      <c r="L302" s="61"/>
      <c r="M302" s="112"/>
      <c r="N302" s="115"/>
      <c r="O302" s="93"/>
      <c r="P302" s="61"/>
      <c r="Q302" s="180"/>
      <c r="R302" s="115"/>
      <c r="S302" s="93"/>
      <c r="T302" s="61"/>
      <c r="U302" s="180"/>
      <c r="V302" s="115"/>
      <c r="W302" s="93"/>
      <c r="X302" s="61"/>
      <c r="Y302" s="112"/>
      <c r="Z302" s="181"/>
      <c r="AA302" s="182"/>
      <c r="AB302" s="183"/>
      <c r="AC302" s="112"/>
      <c r="AD302" s="115"/>
      <c r="AE302" s="151"/>
      <c r="AF302" s="184"/>
      <c r="AG302" s="188"/>
      <c r="AH302" s="188"/>
      <c r="AI302" s="188"/>
      <c r="AJ302" s="188"/>
      <c r="AK302" s="61"/>
      <c r="AL302" s="61"/>
      <c r="AM302" s="61"/>
      <c r="AN302" s="61"/>
      <c r="AO302" s="61"/>
    </row>
    <row r="303">
      <c r="A303" s="112"/>
      <c r="B303" s="149"/>
      <c r="C303" s="93"/>
      <c r="D303" s="61"/>
      <c r="E303" s="112"/>
      <c r="F303" s="149"/>
      <c r="G303" s="93"/>
      <c r="H303" s="61"/>
      <c r="I303" s="112"/>
      <c r="J303" s="149"/>
      <c r="K303" s="93"/>
      <c r="L303" s="61"/>
      <c r="M303" s="112"/>
      <c r="N303" s="115"/>
      <c r="O303" s="93"/>
      <c r="P303" s="61"/>
      <c r="Q303" s="180"/>
      <c r="R303" s="115"/>
      <c r="S303" s="93"/>
      <c r="T303" s="61"/>
      <c r="U303" s="180"/>
      <c r="V303" s="115"/>
      <c r="W303" s="93"/>
      <c r="X303" s="61"/>
      <c r="Y303" s="112"/>
      <c r="Z303" s="181"/>
      <c r="AA303" s="182"/>
      <c r="AB303" s="183"/>
      <c r="AC303" s="112"/>
      <c r="AD303" s="115"/>
      <c r="AE303" s="151"/>
      <c r="AF303" s="184"/>
      <c r="AG303" s="188"/>
      <c r="AH303" s="188"/>
      <c r="AI303" s="188"/>
      <c r="AJ303" s="188"/>
      <c r="AK303" s="61"/>
      <c r="AL303" s="61"/>
      <c r="AM303" s="61"/>
      <c r="AN303" s="61"/>
      <c r="AO303" s="61"/>
    </row>
    <row r="304">
      <c r="A304" s="112"/>
      <c r="B304" s="149"/>
      <c r="C304" s="93"/>
      <c r="D304" s="61"/>
      <c r="E304" s="112"/>
      <c r="F304" s="149"/>
      <c r="G304" s="93"/>
      <c r="H304" s="61"/>
      <c r="I304" s="112"/>
      <c r="J304" s="149"/>
      <c r="K304" s="93"/>
      <c r="L304" s="61"/>
      <c r="M304" s="112"/>
      <c r="N304" s="115"/>
      <c r="O304" s="93"/>
      <c r="P304" s="61"/>
      <c r="Q304" s="180"/>
      <c r="R304" s="115"/>
      <c r="S304" s="93"/>
      <c r="T304" s="61"/>
      <c r="U304" s="180"/>
      <c r="V304" s="115"/>
      <c r="W304" s="93"/>
      <c r="X304" s="61"/>
      <c r="Y304" s="112"/>
      <c r="Z304" s="181"/>
      <c r="AA304" s="182"/>
      <c r="AB304" s="183"/>
      <c r="AC304" s="112"/>
      <c r="AD304" s="115"/>
      <c r="AE304" s="151"/>
      <c r="AF304" s="184"/>
      <c r="AG304" s="188"/>
      <c r="AH304" s="188"/>
      <c r="AI304" s="188"/>
      <c r="AJ304" s="188"/>
      <c r="AK304" s="61"/>
      <c r="AL304" s="61"/>
      <c r="AM304" s="61"/>
      <c r="AN304" s="61"/>
      <c r="AO304" s="61"/>
    </row>
    <row r="305">
      <c r="A305" s="112"/>
      <c r="B305" s="149"/>
      <c r="C305" s="93"/>
      <c r="D305" s="61"/>
      <c r="E305" s="112"/>
      <c r="F305" s="149"/>
      <c r="G305" s="93"/>
      <c r="H305" s="61"/>
      <c r="I305" s="112"/>
      <c r="J305" s="149"/>
      <c r="K305" s="93"/>
      <c r="L305" s="61"/>
      <c r="M305" s="112"/>
      <c r="N305" s="115"/>
      <c r="O305" s="93"/>
      <c r="P305" s="61"/>
      <c r="Q305" s="180"/>
      <c r="R305" s="115"/>
      <c r="S305" s="93"/>
      <c r="T305" s="61"/>
      <c r="U305" s="180"/>
      <c r="V305" s="115"/>
      <c r="W305" s="93"/>
      <c r="X305" s="61"/>
      <c r="Y305" s="112"/>
      <c r="Z305" s="181"/>
      <c r="AA305" s="182"/>
      <c r="AB305" s="183"/>
      <c r="AC305" s="112"/>
      <c r="AD305" s="115"/>
      <c r="AE305" s="151"/>
      <c r="AF305" s="184"/>
      <c r="AG305" s="188"/>
      <c r="AH305" s="188"/>
      <c r="AI305" s="188"/>
      <c r="AJ305" s="188"/>
      <c r="AK305" s="61"/>
      <c r="AL305" s="61"/>
      <c r="AM305" s="61"/>
      <c r="AN305" s="61"/>
      <c r="AO305" s="61"/>
    </row>
    <row r="306">
      <c r="A306" s="112"/>
      <c r="B306" s="149"/>
      <c r="C306" s="93"/>
      <c r="D306" s="61"/>
      <c r="E306" s="112"/>
      <c r="F306" s="149"/>
      <c r="G306" s="93"/>
      <c r="H306" s="61"/>
      <c r="I306" s="112"/>
      <c r="J306" s="149"/>
      <c r="K306" s="93"/>
      <c r="L306" s="61"/>
      <c r="M306" s="112"/>
      <c r="N306" s="115"/>
      <c r="O306" s="93"/>
      <c r="P306" s="61"/>
      <c r="Q306" s="180"/>
      <c r="R306" s="115"/>
      <c r="S306" s="93"/>
      <c r="T306" s="61"/>
      <c r="U306" s="180"/>
      <c r="V306" s="115"/>
      <c r="W306" s="93"/>
      <c r="X306" s="61"/>
      <c r="Y306" s="112"/>
      <c r="Z306" s="181"/>
      <c r="AA306" s="182"/>
      <c r="AB306" s="183"/>
      <c r="AC306" s="112"/>
      <c r="AD306" s="115"/>
      <c r="AE306" s="151"/>
      <c r="AF306" s="184"/>
      <c r="AG306" s="188"/>
      <c r="AH306" s="188"/>
      <c r="AI306" s="188"/>
      <c r="AJ306" s="188"/>
      <c r="AK306" s="61"/>
      <c r="AL306" s="61"/>
      <c r="AM306" s="61"/>
      <c r="AN306" s="61"/>
      <c r="AO306" s="61"/>
    </row>
    <row r="307">
      <c r="A307" s="112"/>
      <c r="B307" s="149"/>
      <c r="C307" s="93"/>
      <c r="D307" s="61"/>
      <c r="E307" s="112"/>
      <c r="F307" s="149"/>
      <c r="G307" s="93"/>
      <c r="H307" s="61"/>
      <c r="I307" s="112"/>
      <c r="J307" s="149"/>
      <c r="K307" s="93"/>
      <c r="L307" s="61"/>
      <c r="M307" s="112"/>
      <c r="N307" s="115"/>
      <c r="O307" s="93"/>
      <c r="P307" s="61"/>
      <c r="Q307" s="180"/>
      <c r="R307" s="115"/>
      <c r="S307" s="93"/>
      <c r="T307" s="61"/>
      <c r="U307" s="180"/>
      <c r="V307" s="115"/>
      <c r="W307" s="93"/>
      <c r="X307" s="61"/>
      <c r="Y307" s="112"/>
      <c r="Z307" s="181"/>
      <c r="AA307" s="182"/>
      <c r="AB307" s="183"/>
      <c r="AC307" s="112"/>
      <c r="AD307" s="115"/>
      <c r="AE307" s="151"/>
      <c r="AF307" s="184"/>
      <c r="AG307" s="188"/>
      <c r="AH307" s="188"/>
      <c r="AI307" s="188"/>
      <c r="AJ307" s="188"/>
      <c r="AK307" s="61"/>
      <c r="AL307" s="61"/>
      <c r="AM307" s="61"/>
      <c r="AN307" s="61"/>
      <c r="AO307" s="61"/>
    </row>
    <row r="308">
      <c r="A308" s="112"/>
      <c r="B308" s="149"/>
      <c r="C308" s="93"/>
      <c r="D308" s="61"/>
      <c r="E308" s="112"/>
      <c r="F308" s="149"/>
      <c r="G308" s="93"/>
      <c r="H308" s="61"/>
      <c r="I308" s="112"/>
      <c r="J308" s="149"/>
      <c r="K308" s="93"/>
      <c r="L308" s="61"/>
      <c r="M308" s="112"/>
      <c r="N308" s="115"/>
      <c r="O308" s="93"/>
      <c r="P308" s="61"/>
      <c r="Q308" s="180"/>
      <c r="R308" s="115"/>
      <c r="S308" s="93"/>
      <c r="T308" s="61"/>
      <c r="U308" s="180"/>
      <c r="V308" s="115"/>
      <c r="W308" s="93"/>
      <c r="X308" s="61"/>
      <c r="Y308" s="112"/>
      <c r="Z308" s="181"/>
      <c r="AA308" s="182"/>
      <c r="AB308" s="183"/>
      <c r="AC308" s="112"/>
      <c r="AD308" s="115"/>
      <c r="AE308" s="151"/>
      <c r="AF308" s="184"/>
      <c r="AG308" s="188"/>
      <c r="AH308" s="188"/>
      <c r="AI308" s="188"/>
      <c r="AJ308" s="188"/>
      <c r="AK308" s="61"/>
      <c r="AL308" s="61"/>
      <c r="AM308" s="61"/>
      <c r="AN308" s="61"/>
      <c r="AO308" s="61"/>
    </row>
    <row r="309">
      <c r="A309" s="112"/>
      <c r="B309" s="149"/>
      <c r="C309" s="93"/>
      <c r="D309" s="61"/>
      <c r="E309" s="112"/>
      <c r="F309" s="149"/>
      <c r="G309" s="93"/>
      <c r="H309" s="61"/>
      <c r="I309" s="112"/>
      <c r="J309" s="149"/>
      <c r="K309" s="93"/>
      <c r="L309" s="61"/>
      <c r="M309" s="112"/>
      <c r="N309" s="115"/>
      <c r="O309" s="93"/>
      <c r="P309" s="61"/>
      <c r="Q309" s="180"/>
      <c r="R309" s="115"/>
      <c r="S309" s="93"/>
      <c r="T309" s="61"/>
      <c r="U309" s="180"/>
      <c r="V309" s="115"/>
      <c r="W309" s="93"/>
      <c r="X309" s="61"/>
      <c r="Y309" s="112"/>
      <c r="Z309" s="181"/>
      <c r="AA309" s="182"/>
      <c r="AB309" s="183"/>
      <c r="AC309" s="112"/>
      <c r="AD309" s="115"/>
      <c r="AE309" s="151"/>
      <c r="AF309" s="184"/>
      <c r="AG309" s="188"/>
      <c r="AH309" s="188"/>
      <c r="AI309" s="188"/>
      <c r="AJ309" s="188"/>
      <c r="AK309" s="61"/>
      <c r="AL309" s="61"/>
      <c r="AM309" s="61"/>
      <c r="AN309" s="61"/>
      <c r="AO309" s="61"/>
    </row>
    <row r="310">
      <c r="A310" s="112"/>
      <c r="B310" s="149"/>
      <c r="C310" s="93"/>
      <c r="D310" s="61"/>
      <c r="E310" s="112"/>
      <c r="F310" s="149"/>
      <c r="G310" s="93"/>
      <c r="H310" s="61"/>
      <c r="I310" s="112"/>
      <c r="J310" s="149"/>
      <c r="K310" s="93"/>
      <c r="L310" s="61"/>
      <c r="M310" s="112"/>
      <c r="N310" s="115"/>
      <c r="O310" s="93"/>
      <c r="P310" s="61"/>
      <c r="Q310" s="180"/>
      <c r="R310" s="115"/>
      <c r="S310" s="93"/>
      <c r="T310" s="61"/>
      <c r="U310" s="180"/>
      <c r="V310" s="115"/>
      <c r="W310" s="93"/>
      <c r="X310" s="61"/>
      <c r="Y310" s="112"/>
      <c r="Z310" s="181"/>
      <c r="AA310" s="182"/>
      <c r="AB310" s="183"/>
      <c r="AC310" s="112"/>
      <c r="AD310" s="115"/>
      <c r="AE310" s="151"/>
      <c r="AF310" s="184"/>
      <c r="AG310" s="188"/>
      <c r="AH310" s="188"/>
      <c r="AI310" s="188"/>
      <c r="AJ310" s="188"/>
      <c r="AK310" s="61"/>
      <c r="AL310" s="61"/>
      <c r="AM310" s="61"/>
      <c r="AN310" s="61"/>
      <c r="AO310" s="61"/>
    </row>
    <row r="311">
      <c r="A311" s="112"/>
      <c r="B311" s="149"/>
      <c r="C311" s="93"/>
      <c r="D311" s="61"/>
      <c r="E311" s="112"/>
      <c r="F311" s="149"/>
      <c r="G311" s="93"/>
      <c r="H311" s="61"/>
      <c r="I311" s="112"/>
      <c r="J311" s="149"/>
      <c r="K311" s="93"/>
      <c r="L311" s="61"/>
      <c r="M311" s="112"/>
      <c r="N311" s="115"/>
      <c r="O311" s="93"/>
      <c r="P311" s="61"/>
      <c r="Q311" s="180"/>
      <c r="R311" s="115"/>
      <c r="S311" s="93"/>
      <c r="T311" s="61"/>
      <c r="U311" s="180"/>
      <c r="V311" s="115"/>
      <c r="W311" s="93"/>
      <c r="X311" s="61"/>
      <c r="Y311" s="112"/>
      <c r="Z311" s="181"/>
      <c r="AA311" s="182"/>
      <c r="AB311" s="183"/>
      <c r="AC311" s="112"/>
      <c r="AD311" s="115"/>
      <c r="AE311" s="151"/>
      <c r="AF311" s="184"/>
      <c r="AG311" s="188"/>
      <c r="AH311" s="188"/>
      <c r="AI311" s="188"/>
      <c r="AJ311" s="188"/>
      <c r="AK311" s="61"/>
      <c r="AL311" s="61"/>
      <c r="AM311" s="61"/>
      <c r="AN311" s="61"/>
      <c r="AO311" s="61"/>
    </row>
    <row r="312">
      <c r="A312" s="112"/>
      <c r="B312" s="149"/>
      <c r="C312" s="93"/>
      <c r="D312" s="61"/>
      <c r="E312" s="112"/>
      <c r="F312" s="149"/>
      <c r="G312" s="93"/>
      <c r="H312" s="61"/>
      <c r="I312" s="112"/>
      <c r="J312" s="149"/>
      <c r="K312" s="93"/>
      <c r="L312" s="61"/>
      <c r="M312" s="112"/>
      <c r="N312" s="115"/>
      <c r="O312" s="93"/>
      <c r="P312" s="61"/>
      <c r="Q312" s="180"/>
      <c r="R312" s="115"/>
      <c r="S312" s="93"/>
      <c r="T312" s="61"/>
      <c r="U312" s="180"/>
      <c r="V312" s="115"/>
      <c r="W312" s="93"/>
      <c r="X312" s="61"/>
      <c r="Y312" s="112"/>
      <c r="Z312" s="181"/>
      <c r="AA312" s="182"/>
      <c r="AB312" s="183"/>
      <c r="AC312" s="112"/>
      <c r="AD312" s="115"/>
      <c r="AE312" s="151"/>
      <c r="AF312" s="184"/>
      <c r="AG312" s="188"/>
      <c r="AH312" s="188"/>
      <c r="AI312" s="188"/>
      <c r="AJ312" s="188"/>
      <c r="AK312" s="61"/>
      <c r="AL312" s="61"/>
      <c r="AM312" s="61"/>
      <c r="AN312" s="61"/>
      <c r="AO312" s="61"/>
    </row>
    <row r="313">
      <c r="A313" s="112"/>
      <c r="B313" s="149"/>
      <c r="C313" s="93"/>
      <c r="D313" s="61"/>
      <c r="E313" s="112"/>
      <c r="F313" s="149"/>
      <c r="G313" s="93"/>
      <c r="H313" s="61"/>
      <c r="I313" s="112"/>
      <c r="J313" s="149"/>
      <c r="K313" s="93"/>
      <c r="L313" s="61"/>
      <c r="M313" s="112"/>
      <c r="N313" s="115"/>
      <c r="O313" s="93"/>
      <c r="P313" s="61"/>
      <c r="Q313" s="180"/>
      <c r="R313" s="115"/>
      <c r="S313" s="93"/>
      <c r="T313" s="61"/>
      <c r="U313" s="180"/>
      <c r="V313" s="115"/>
      <c r="W313" s="93"/>
      <c r="X313" s="61"/>
      <c r="Y313" s="112"/>
      <c r="Z313" s="181"/>
      <c r="AA313" s="182"/>
      <c r="AB313" s="183"/>
      <c r="AC313" s="112"/>
      <c r="AD313" s="115"/>
      <c r="AE313" s="151"/>
      <c r="AF313" s="184"/>
      <c r="AG313" s="188"/>
      <c r="AH313" s="188"/>
      <c r="AI313" s="188"/>
      <c r="AJ313" s="188"/>
      <c r="AK313" s="61"/>
      <c r="AL313" s="61"/>
      <c r="AM313" s="61"/>
      <c r="AN313" s="61"/>
      <c r="AO313" s="61"/>
    </row>
    <row r="314">
      <c r="A314" s="112"/>
      <c r="B314" s="149"/>
      <c r="C314" s="93"/>
      <c r="D314" s="61"/>
      <c r="E314" s="112"/>
      <c r="F314" s="149"/>
      <c r="G314" s="93"/>
      <c r="H314" s="61"/>
      <c r="I314" s="112"/>
      <c r="J314" s="149"/>
      <c r="K314" s="93"/>
      <c r="L314" s="61"/>
      <c r="M314" s="112"/>
      <c r="N314" s="115"/>
      <c r="O314" s="93"/>
      <c r="P314" s="61"/>
      <c r="Q314" s="180"/>
      <c r="R314" s="115"/>
      <c r="S314" s="93"/>
      <c r="T314" s="61"/>
      <c r="U314" s="180"/>
      <c r="V314" s="115"/>
      <c r="W314" s="93"/>
      <c r="X314" s="61"/>
      <c r="Y314" s="112"/>
      <c r="Z314" s="181"/>
      <c r="AA314" s="182"/>
      <c r="AB314" s="183"/>
      <c r="AC314" s="112"/>
      <c r="AD314" s="115"/>
      <c r="AE314" s="151"/>
      <c r="AF314" s="184"/>
      <c r="AG314" s="188"/>
      <c r="AH314" s="188"/>
      <c r="AI314" s="188"/>
      <c r="AJ314" s="188"/>
      <c r="AK314" s="61"/>
      <c r="AL314" s="61"/>
      <c r="AM314" s="61"/>
      <c r="AN314" s="61"/>
      <c r="AO314" s="61"/>
    </row>
    <row r="315">
      <c r="A315" s="112"/>
      <c r="B315" s="149"/>
      <c r="C315" s="93"/>
      <c r="D315" s="61"/>
      <c r="E315" s="112"/>
      <c r="F315" s="149"/>
      <c r="G315" s="93"/>
      <c r="H315" s="61"/>
      <c r="I315" s="112"/>
      <c r="J315" s="149"/>
      <c r="K315" s="93"/>
      <c r="L315" s="61"/>
      <c r="M315" s="112"/>
      <c r="N315" s="115"/>
      <c r="O315" s="93"/>
      <c r="P315" s="61"/>
      <c r="Q315" s="180"/>
      <c r="R315" s="115"/>
      <c r="S315" s="93"/>
      <c r="T315" s="61"/>
      <c r="U315" s="180"/>
      <c r="V315" s="115"/>
      <c r="W315" s="93"/>
      <c r="X315" s="61"/>
      <c r="Y315" s="112"/>
      <c r="Z315" s="181"/>
      <c r="AA315" s="182"/>
      <c r="AB315" s="183"/>
      <c r="AC315" s="112"/>
      <c r="AD315" s="115"/>
      <c r="AE315" s="151"/>
      <c r="AF315" s="184"/>
      <c r="AG315" s="188"/>
      <c r="AH315" s="188"/>
      <c r="AI315" s="188"/>
      <c r="AJ315" s="188"/>
      <c r="AK315" s="61"/>
      <c r="AL315" s="61"/>
      <c r="AM315" s="61"/>
      <c r="AN315" s="61"/>
      <c r="AO315" s="61"/>
    </row>
    <row r="316">
      <c r="A316" s="112"/>
      <c r="B316" s="149"/>
      <c r="C316" s="93"/>
      <c r="D316" s="61"/>
      <c r="E316" s="112"/>
      <c r="F316" s="149"/>
      <c r="G316" s="93"/>
      <c r="H316" s="61"/>
      <c r="I316" s="112"/>
      <c r="J316" s="149"/>
      <c r="K316" s="93"/>
      <c r="L316" s="61"/>
      <c r="M316" s="112"/>
      <c r="N316" s="115"/>
      <c r="O316" s="93"/>
      <c r="P316" s="61"/>
      <c r="Q316" s="180"/>
      <c r="R316" s="115"/>
      <c r="S316" s="93"/>
      <c r="T316" s="61"/>
      <c r="U316" s="180"/>
      <c r="V316" s="115"/>
      <c r="W316" s="93"/>
      <c r="X316" s="61"/>
      <c r="Y316" s="112"/>
      <c r="Z316" s="181"/>
      <c r="AA316" s="182"/>
      <c r="AB316" s="183"/>
      <c r="AC316" s="112"/>
      <c r="AD316" s="115"/>
      <c r="AE316" s="151"/>
      <c r="AF316" s="184"/>
      <c r="AG316" s="188"/>
      <c r="AH316" s="188"/>
      <c r="AI316" s="188"/>
      <c r="AJ316" s="188"/>
      <c r="AK316" s="61"/>
      <c r="AL316" s="61"/>
      <c r="AM316" s="61"/>
      <c r="AN316" s="61"/>
      <c r="AO316" s="61"/>
    </row>
    <row r="317">
      <c r="A317" s="112"/>
      <c r="B317" s="149"/>
      <c r="C317" s="93"/>
      <c r="D317" s="61"/>
      <c r="E317" s="112"/>
      <c r="F317" s="149"/>
      <c r="G317" s="93"/>
      <c r="H317" s="61"/>
      <c r="I317" s="112"/>
      <c r="J317" s="149"/>
      <c r="K317" s="93"/>
      <c r="L317" s="61"/>
      <c r="M317" s="112"/>
      <c r="N317" s="115"/>
      <c r="O317" s="93"/>
      <c r="P317" s="61"/>
      <c r="Q317" s="180"/>
      <c r="R317" s="115"/>
      <c r="S317" s="93"/>
      <c r="T317" s="61"/>
      <c r="U317" s="180"/>
      <c r="V317" s="115"/>
      <c r="W317" s="93"/>
      <c r="X317" s="61"/>
      <c r="Y317" s="112"/>
      <c r="Z317" s="181"/>
      <c r="AA317" s="182"/>
      <c r="AB317" s="183"/>
      <c r="AC317" s="112"/>
      <c r="AD317" s="115"/>
      <c r="AE317" s="151"/>
      <c r="AF317" s="184"/>
      <c r="AG317" s="188"/>
      <c r="AH317" s="188"/>
      <c r="AI317" s="188"/>
      <c r="AJ317" s="188"/>
      <c r="AK317" s="61"/>
      <c r="AL317" s="61"/>
      <c r="AM317" s="61"/>
      <c r="AN317" s="61"/>
      <c r="AO317" s="61"/>
    </row>
    <row r="318">
      <c r="A318" s="112"/>
      <c r="B318" s="149"/>
      <c r="C318" s="93"/>
      <c r="D318" s="61"/>
      <c r="E318" s="112"/>
      <c r="F318" s="149"/>
      <c r="G318" s="93"/>
      <c r="H318" s="61"/>
      <c r="I318" s="112"/>
      <c r="J318" s="149"/>
      <c r="K318" s="93"/>
      <c r="L318" s="61"/>
      <c r="M318" s="112"/>
      <c r="N318" s="115"/>
      <c r="O318" s="93"/>
      <c r="P318" s="61"/>
      <c r="Q318" s="180"/>
      <c r="R318" s="115"/>
      <c r="S318" s="93"/>
      <c r="T318" s="61"/>
      <c r="U318" s="180"/>
      <c r="V318" s="115"/>
      <c r="W318" s="93"/>
      <c r="X318" s="61"/>
      <c r="Y318" s="112"/>
      <c r="Z318" s="181"/>
      <c r="AA318" s="182"/>
      <c r="AB318" s="183"/>
      <c r="AC318" s="112"/>
      <c r="AD318" s="115"/>
      <c r="AE318" s="151"/>
      <c r="AF318" s="184"/>
      <c r="AG318" s="188"/>
      <c r="AH318" s="188"/>
      <c r="AI318" s="188"/>
      <c r="AJ318" s="188"/>
      <c r="AK318" s="61"/>
      <c r="AL318" s="61"/>
      <c r="AM318" s="61"/>
      <c r="AN318" s="61"/>
      <c r="AO318" s="61"/>
    </row>
    <row r="319">
      <c r="A319" s="112"/>
      <c r="B319" s="149"/>
      <c r="C319" s="93"/>
      <c r="D319" s="61"/>
      <c r="E319" s="112"/>
      <c r="F319" s="149"/>
      <c r="G319" s="93"/>
      <c r="H319" s="61"/>
      <c r="I319" s="112"/>
      <c r="J319" s="149"/>
      <c r="K319" s="93"/>
      <c r="L319" s="61"/>
      <c r="M319" s="112"/>
      <c r="N319" s="115"/>
      <c r="O319" s="93"/>
      <c r="P319" s="61"/>
      <c r="Q319" s="180"/>
      <c r="R319" s="115"/>
      <c r="S319" s="93"/>
      <c r="T319" s="61"/>
      <c r="U319" s="180"/>
      <c r="V319" s="115"/>
      <c r="W319" s="93"/>
      <c r="X319" s="61"/>
      <c r="Y319" s="112"/>
      <c r="Z319" s="181"/>
      <c r="AA319" s="182"/>
      <c r="AB319" s="183"/>
      <c r="AC319" s="112"/>
      <c r="AD319" s="115"/>
      <c r="AE319" s="151"/>
      <c r="AF319" s="184"/>
      <c r="AG319" s="188"/>
      <c r="AH319" s="188"/>
      <c r="AI319" s="188"/>
      <c r="AJ319" s="188"/>
      <c r="AK319" s="61"/>
      <c r="AL319" s="61"/>
      <c r="AM319" s="61"/>
      <c r="AN319" s="61"/>
      <c r="AO319" s="61"/>
    </row>
    <row r="320">
      <c r="A320" s="112"/>
      <c r="B320" s="149"/>
      <c r="C320" s="93"/>
      <c r="D320" s="61"/>
      <c r="E320" s="112"/>
      <c r="F320" s="149"/>
      <c r="G320" s="93"/>
      <c r="H320" s="61"/>
      <c r="I320" s="112"/>
      <c r="J320" s="149"/>
      <c r="K320" s="93"/>
      <c r="L320" s="61"/>
      <c r="M320" s="112"/>
      <c r="N320" s="115"/>
      <c r="O320" s="93"/>
      <c r="P320" s="61"/>
      <c r="Q320" s="180"/>
      <c r="R320" s="115"/>
      <c r="S320" s="93"/>
      <c r="T320" s="61"/>
      <c r="U320" s="180"/>
      <c r="V320" s="115"/>
      <c r="W320" s="93"/>
      <c r="X320" s="61"/>
      <c r="Y320" s="112"/>
      <c r="Z320" s="181"/>
      <c r="AA320" s="182"/>
      <c r="AB320" s="183"/>
      <c r="AC320" s="112"/>
      <c r="AD320" s="115"/>
      <c r="AE320" s="151"/>
      <c r="AF320" s="184"/>
      <c r="AG320" s="188"/>
      <c r="AH320" s="188"/>
      <c r="AI320" s="188"/>
      <c r="AJ320" s="188"/>
      <c r="AK320" s="61"/>
      <c r="AL320" s="61"/>
      <c r="AM320" s="61"/>
      <c r="AN320" s="61"/>
      <c r="AO320" s="61"/>
    </row>
    <row r="321">
      <c r="A321" s="112"/>
      <c r="B321" s="149"/>
      <c r="C321" s="93"/>
      <c r="D321" s="61"/>
      <c r="E321" s="112"/>
      <c r="F321" s="149"/>
      <c r="G321" s="93"/>
      <c r="H321" s="61"/>
      <c r="I321" s="112"/>
      <c r="J321" s="149"/>
      <c r="K321" s="93"/>
      <c r="L321" s="61"/>
      <c r="M321" s="112"/>
      <c r="N321" s="115"/>
      <c r="O321" s="93"/>
      <c r="P321" s="61"/>
      <c r="Q321" s="180"/>
      <c r="R321" s="115"/>
      <c r="S321" s="93"/>
      <c r="T321" s="61"/>
      <c r="U321" s="180"/>
      <c r="V321" s="115"/>
      <c r="W321" s="93"/>
      <c r="X321" s="61"/>
      <c r="Y321" s="112"/>
      <c r="Z321" s="181"/>
      <c r="AA321" s="182"/>
      <c r="AB321" s="183"/>
      <c r="AC321" s="112"/>
      <c r="AD321" s="115"/>
      <c r="AE321" s="151"/>
      <c r="AF321" s="184"/>
      <c r="AG321" s="188"/>
      <c r="AH321" s="188"/>
      <c r="AI321" s="188"/>
      <c r="AJ321" s="188"/>
      <c r="AK321" s="61"/>
      <c r="AL321" s="61"/>
      <c r="AM321" s="61"/>
      <c r="AN321" s="61"/>
      <c r="AO321" s="61"/>
    </row>
    <row r="322">
      <c r="A322" s="112"/>
      <c r="B322" s="149"/>
      <c r="C322" s="93"/>
      <c r="D322" s="61"/>
      <c r="E322" s="112"/>
      <c r="F322" s="149"/>
      <c r="G322" s="93"/>
      <c r="H322" s="61"/>
      <c r="I322" s="112"/>
      <c r="J322" s="149"/>
      <c r="K322" s="93"/>
      <c r="L322" s="61"/>
      <c r="M322" s="112"/>
      <c r="N322" s="115"/>
      <c r="O322" s="93"/>
      <c r="P322" s="61"/>
      <c r="Q322" s="180"/>
      <c r="R322" s="115"/>
      <c r="S322" s="93"/>
      <c r="T322" s="61"/>
      <c r="U322" s="180"/>
      <c r="V322" s="115"/>
      <c r="W322" s="93"/>
      <c r="X322" s="61"/>
      <c r="Y322" s="112"/>
      <c r="Z322" s="181"/>
      <c r="AA322" s="182"/>
      <c r="AB322" s="183"/>
      <c r="AC322" s="112"/>
      <c r="AD322" s="115"/>
      <c r="AE322" s="151"/>
      <c r="AF322" s="184"/>
      <c r="AG322" s="188"/>
      <c r="AH322" s="188"/>
      <c r="AI322" s="188"/>
      <c r="AJ322" s="188"/>
      <c r="AK322" s="61"/>
      <c r="AL322" s="61"/>
      <c r="AM322" s="61"/>
      <c r="AN322" s="61"/>
      <c r="AO322" s="61"/>
    </row>
    <row r="323">
      <c r="A323" s="112"/>
      <c r="B323" s="149"/>
      <c r="C323" s="93"/>
      <c r="D323" s="61"/>
      <c r="E323" s="112"/>
      <c r="F323" s="149"/>
      <c r="G323" s="93"/>
      <c r="H323" s="61"/>
      <c r="I323" s="112"/>
      <c r="J323" s="149"/>
      <c r="K323" s="93"/>
      <c r="L323" s="61"/>
      <c r="M323" s="112"/>
      <c r="N323" s="115"/>
      <c r="O323" s="93"/>
      <c r="P323" s="61"/>
      <c r="Q323" s="180"/>
      <c r="R323" s="115"/>
      <c r="S323" s="93"/>
      <c r="T323" s="61"/>
      <c r="U323" s="180"/>
      <c r="V323" s="115"/>
      <c r="W323" s="93"/>
      <c r="X323" s="61"/>
      <c r="Y323" s="112"/>
      <c r="Z323" s="181"/>
      <c r="AA323" s="182"/>
      <c r="AB323" s="183"/>
      <c r="AC323" s="112"/>
      <c r="AD323" s="115"/>
      <c r="AE323" s="151"/>
      <c r="AF323" s="184"/>
      <c r="AG323" s="188"/>
      <c r="AH323" s="188"/>
      <c r="AI323" s="188"/>
      <c r="AJ323" s="188"/>
      <c r="AK323" s="61"/>
      <c r="AL323" s="61"/>
      <c r="AM323" s="61"/>
      <c r="AN323" s="61"/>
      <c r="AO323" s="61"/>
    </row>
    <row r="324">
      <c r="A324" s="112"/>
      <c r="B324" s="149"/>
      <c r="C324" s="93"/>
      <c r="D324" s="61"/>
      <c r="E324" s="112"/>
      <c r="F324" s="149"/>
      <c r="G324" s="93"/>
      <c r="H324" s="61"/>
      <c r="I324" s="112"/>
      <c r="J324" s="149"/>
      <c r="K324" s="93"/>
      <c r="L324" s="61"/>
      <c r="M324" s="112"/>
      <c r="N324" s="115"/>
      <c r="O324" s="93"/>
      <c r="P324" s="61"/>
      <c r="Q324" s="180"/>
      <c r="R324" s="115"/>
      <c r="S324" s="93"/>
      <c r="T324" s="61"/>
      <c r="U324" s="180"/>
      <c r="V324" s="115"/>
      <c r="W324" s="93"/>
      <c r="X324" s="61"/>
      <c r="Y324" s="112"/>
      <c r="Z324" s="181"/>
      <c r="AA324" s="182"/>
      <c r="AB324" s="183"/>
      <c r="AC324" s="112"/>
      <c r="AD324" s="115"/>
      <c r="AE324" s="151"/>
      <c r="AF324" s="184"/>
      <c r="AG324" s="188"/>
      <c r="AH324" s="188"/>
      <c r="AI324" s="188"/>
      <c r="AJ324" s="188"/>
      <c r="AK324" s="61"/>
      <c r="AL324" s="61"/>
      <c r="AM324" s="61"/>
      <c r="AN324" s="61"/>
      <c r="AO324" s="61"/>
    </row>
    <row r="325">
      <c r="A325" s="112"/>
      <c r="B325" s="149"/>
      <c r="C325" s="93"/>
      <c r="D325" s="61"/>
      <c r="E325" s="112"/>
      <c r="F325" s="149"/>
      <c r="G325" s="93"/>
      <c r="H325" s="61"/>
      <c r="I325" s="112"/>
      <c r="J325" s="149"/>
      <c r="K325" s="93"/>
      <c r="L325" s="61"/>
      <c r="M325" s="112"/>
      <c r="N325" s="115"/>
      <c r="O325" s="93"/>
      <c r="P325" s="61"/>
      <c r="Q325" s="180"/>
      <c r="R325" s="115"/>
      <c r="S325" s="93"/>
      <c r="T325" s="61"/>
      <c r="U325" s="180"/>
      <c r="V325" s="115"/>
      <c r="W325" s="93"/>
      <c r="X325" s="61"/>
      <c r="Y325" s="112"/>
      <c r="Z325" s="181"/>
      <c r="AA325" s="182"/>
      <c r="AB325" s="183"/>
      <c r="AC325" s="112"/>
      <c r="AD325" s="115"/>
      <c r="AE325" s="151"/>
      <c r="AF325" s="184"/>
      <c r="AG325" s="188"/>
      <c r="AH325" s="188"/>
      <c r="AI325" s="188"/>
      <c r="AJ325" s="188"/>
      <c r="AK325" s="61"/>
      <c r="AL325" s="61"/>
      <c r="AM325" s="61"/>
      <c r="AN325" s="61"/>
      <c r="AO325" s="61"/>
    </row>
    <row r="326">
      <c r="A326" s="112"/>
      <c r="B326" s="149"/>
      <c r="C326" s="93"/>
      <c r="D326" s="61"/>
      <c r="E326" s="112"/>
      <c r="F326" s="149"/>
      <c r="G326" s="93"/>
      <c r="H326" s="61"/>
      <c r="I326" s="112"/>
      <c r="J326" s="149"/>
      <c r="K326" s="93"/>
      <c r="L326" s="61"/>
      <c r="M326" s="112"/>
      <c r="N326" s="115"/>
      <c r="O326" s="93"/>
      <c r="P326" s="61"/>
      <c r="Q326" s="180"/>
      <c r="R326" s="115"/>
      <c r="S326" s="93"/>
      <c r="T326" s="61"/>
      <c r="U326" s="180"/>
      <c r="V326" s="115"/>
      <c r="W326" s="93"/>
      <c r="X326" s="61"/>
      <c r="Y326" s="112"/>
      <c r="Z326" s="181"/>
      <c r="AA326" s="182"/>
      <c r="AB326" s="183"/>
      <c r="AC326" s="112"/>
      <c r="AD326" s="115"/>
      <c r="AE326" s="151"/>
      <c r="AF326" s="184"/>
      <c r="AG326" s="188"/>
      <c r="AH326" s="188"/>
      <c r="AI326" s="188"/>
      <c r="AJ326" s="188"/>
      <c r="AK326" s="61"/>
      <c r="AL326" s="61"/>
      <c r="AM326" s="61"/>
      <c r="AN326" s="61"/>
      <c r="AO326" s="61"/>
    </row>
    <row r="327">
      <c r="A327" s="112"/>
      <c r="B327" s="149"/>
      <c r="C327" s="93"/>
      <c r="D327" s="61"/>
      <c r="E327" s="112"/>
      <c r="F327" s="149"/>
      <c r="G327" s="93"/>
      <c r="H327" s="61"/>
      <c r="I327" s="112"/>
      <c r="J327" s="149"/>
      <c r="K327" s="93"/>
      <c r="L327" s="61"/>
      <c r="M327" s="112"/>
      <c r="N327" s="115"/>
      <c r="O327" s="93"/>
      <c r="P327" s="61"/>
      <c r="Q327" s="180"/>
      <c r="R327" s="115"/>
      <c r="S327" s="93"/>
      <c r="T327" s="61"/>
      <c r="U327" s="180"/>
      <c r="V327" s="115"/>
      <c r="W327" s="93"/>
      <c r="X327" s="61"/>
      <c r="Y327" s="112"/>
      <c r="Z327" s="181"/>
      <c r="AA327" s="182"/>
      <c r="AB327" s="183"/>
      <c r="AC327" s="112"/>
      <c r="AD327" s="115"/>
      <c r="AE327" s="151"/>
      <c r="AF327" s="184"/>
      <c r="AG327" s="188"/>
      <c r="AH327" s="188"/>
      <c r="AI327" s="188"/>
      <c r="AJ327" s="188"/>
      <c r="AK327" s="61"/>
      <c r="AL327" s="61"/>
      <c r="AM327" s="61"/>
      <c r="AN327" s="61"/>
      <c r="AO327" s="61"/>
    </row>
    <row r="328">
      <c r="A328" s="112"/>
      <c r="B328" s="149"/>
      <c r="C328" s="93"/>
      <c r="D328" s="61"/>
      <c r="E328" s="112"/>
      <c r="F328" s="149"/>
      <c r="G328" s="93"/>
      <c r="H328" s="61"/>
      <c r="I328" s="112"/>
      <c r="J328" s="149"/>
      <c r="K328" s="93"/>
      <c r="L328" s="61"/>
      <c r="M328" s="112"/>
      <c r="N328" s="115"/>
      <c r="O328" s="93"/>
      <c r="P328" s="61"/>
      <c r="Q328" s="180"/>
      <c r="R328" s="115"/>
      <c r="S328" s="93"/>
      <c r="T328" s="61"/>
      <c r="U328" s="180"/>
      <c r="V328" s="115"/>
      <c r="W328" s="93"/>
      <c r="X328" s="61"/>
      <c r="Y328" s="112"/>
      <c r="Z328" s="181"/>
      <c r="AA328" s="182"/>
      <c r="AB328" s="183"/>
      <c r="AC328" s="112"/>
      <c r="AD328" s="115"/>
      <c r="AE328" s="151"/>
      <c r="AF328" s="184"/>
      <c r="AG328" s="188"/>
      <c r="AH328" s="188"/>
      <c r="AI328" s="188"/>
      <c r="AJ328" s="188"/>
      <c r="AK328" s="61"/>
      <c r="AL328" s="61"/>
      <c r="AM328" s="61"/>
      <c r="AN328" s="61"/>
      <c r="AO328" s="61"/>
    </row>
    <row r="329">
      <c r="A329" s="112"/>
      <c r="B329" s="149"/>
      <c r="C329" s="93"/>
      <c r="D329" s="61"/>
      <c r="E329" s="112"/>
      <c r="F329" s="149"/>
      <c r="G329" s="93"/>
      <c r="H329" s="61"/>
      <c r="I329" s="112"/>
      <c r="J329" s="149"/>
      <c r="K329" s="93"/>
      <c r="L329" s="61"/>
      <c r="M329" s="112"/>
      <c r="N329" s="115"/>
      <c r="O329" s="93"/>
      <c r="P329" s="61"/>
      <c r="Q329" s="180"/>
      <c r="R329" s="115"/>
      <c r="S329" s="93"/>
      <c r="T329" s="61"/>
      <c r="U329" s="180"/>
      <c r="V329" s="115"/>
      <c r="W329" s="93"/>
      <c r="X329" s="61"/>
      <c r="Y329" s="112"/>
      <c r="Z329" s="181"/>
      <c r="AA329" s="182"/>
      <c r="AB329" s="183"/>
      <c r="AC329" s="112"/>
      <c r="AD329" s="115"/>
      <c r="AE329" s="151"/>
      <c r="AF329" s="184"/>
      <c r="AG329" s="188"/>
      <c r="AH329" s="188"/>
      <c r="AI329" s="188"/>
      <c r="AJ329" s="188"/>
      <c r="AK329" s="61"/>
      <c r="AL329" s="61"/>
      <c r="AM329" s="61"/>
      <c r="AN329" s="61"/>
      <c r="AO329" s="61"/>
    </row>
    <row r="330">
      <c r="A330" s="112"/>
      <c r="B330" s="149"/>
      <c r="C330" s="93"/>
      <c r="D330" s="61"/>
      <c r="E330" s="112"/>
      <c r="F330" s="149"/>
      <c r="G330" s="93"/>
      <c r="H330" s="61"/>
      <c r="I330" s="112"/>
      <c r="J330" s="149"/>
      <c r="K330" s="93"/>
      <c r="L330" s="61"/>
      <c r="M330" s="112"/>
      <c r="N330" s="115"/>
      <c r="O330" s="93"/>
      <c r="P330" s="61"/>
      <c r="Q330" s="180"/>
      <c r="R330" s="115"/>
      <c r="S330" s="93"/>
      <c r="T330" s="61"/>
      <c r="U330" s="180"/>
      <c r="V330" s="115"/>
      <c r="W330" s="93"/>
      <c r="X330" s="61"/>
      <c r="Y330" s="112"/>
      <c r="Z330" s="181"/>
      <c r="AA330" s="182"/>
      <c r="AB330" s="183"/>
      <c r="AC330" s="112"/>
      <c r="AD330" s="115"/>
      <c r="AE330" s="151"/>
      <c r="AF330" s="184"/>
      <c r="AG330" s="188"/>
      <c r="AH330" s="188"/>
      <c r="AI330" s="188"/>
      <c r="AJ330" s="188"/>
      <c r="AK330" s="61"/>
      <c r="AL330" s="61"/>
      <c r="AM330" s="61"/>
      <c r="AN330" s="61"/>
      <c r="AO330" s="61"/>
    </row>
    <row r="331">
      <c r="A331" s="112"/>
      <c r="B331" s="149"/>
      <c r="C331" s="93"/>
      <c r="D331" s="61"/>
      <c r="E331" s="112"/>
      <c r="F331" s="149"/>
      <c r="G331" s="93"/>
      <c r="H331" s="61"/>
      <c r="I331" s="112"/>
      <c r="J331" s="149"/>
      <c r="K331" s="93"/>
      <c r="L331" s="61"/>
      <c r="M331" s="112"/>
      <c r="N331" s="115"/>
      <c r="O331" s="93"/>
      <c r="P331" s="61"/>
      <c r="Q331" s="180"/>
      <c r="R331" s="115"/>
      <c r="S331" s="93"/>
      <c r="T331" s="61"/>
      <c r="U331" s="180"/>
      <c r="V331" s="115"/>
      <c r="W331" s="93"/>
      <c r="X331" s="61"/>
      <c r="Y331" s="112"/>
      <c r="Z331" s="181"/>
      <c r="AA331" s="182"/>
      <c r="AB331" s="183"/>
      <c r="AC331" s="112"/>
      <c r="AD331" s="115"/>
      <c r="AE331" s="151"/>
      <c r="AF331" s="184"/>
      <c r="AG331" s="188"/>
      <c r="AH331" s="188"/>
      <c r="AI331" s="188"/>
      <c r="AJ331" s="188"/>
      <c r="AK331" s="61"/>
      <c r="AL331" s="61"/>
      <c r="AM331" s="61"/>
      <c r="AN331" s="61"/>
      <c r="AO331" s="61"/>
    </row>
    <row r="332">
      <c r="A332" s="112"/>
      <c r="B332" s="149"/>
      <c r="C332" s="93"/>
      <c r="D332" s="61"/>
      <c r="E332" s="112"/>
      <c r="F332" s="149"/>
      <c r="G332" s="93"/>
      <c r="H332" s="61"/>
      <c r="I332" s="112"/>
      <c r="J332" s="149"/>
      <c r="K332" s="93"/>
      <c r="L332" s="61"/>
      <c r="M332" s="112"/>
      <c r="N332" s="115"/>
      <c r="O332" s="93"/>
      <c r="P332" s="61"/>
      <c r="Q332" s="180"/>
      <c r="R332" s="115"/>
      <c r="S332" s="93"/>
      <c r="T332" s="61"/>
      <c r="U332" s="180"/>
      <c r="V332" s="115"/>
      <c r="W332" s="93"/>
      <c r="X332" s="61"/>
      <c r="Y332" s="112"/>
      <c r="Z332" s="181"/>
      <c r="AA332" s="182"/>
      <c r="AB332" s="183"/>
      <c r="AC332" s="112"/>
      <c r="AD332" s="115"/>
      <c r="AE332" s="151"/>
      <c r="AF332" s="184"/>
      <c r="AG332" s="188"/>
      <c r="AH332" s="188"/>
      <c r="AI332" s="188"/>
      <c r="AJ332" s="188"/>
      <c r="AK332" s="61"/>
      <c r="AL332" s="61"/>
      <c r="AM332" s="61"/>
      <c r="AN332" s="61"/>
      <c r="AO332" s="61"/>
    </row>
    <row r="333">
      <c r="A333" s="112"/>
      <c r="B333" s="149"/>
      <c r="C333" s="93"/>
      <c r="D333" s="61"/>
      <c r="E333" s="112"/>
      <c r="F333" s="149"/>
      <c r="G333" s="93"/>
      <c r="H333" s="61"/>
      <c r="I333" s="112"/>
      <c r="J333" s="149"/>
      <c r="K333" s="93"/>
      <c r="L333" s="61"/>
      <c r="M333" s="112"/>
      <c r="N333" s="115"/>
      <c r="O333" s="93"/>
      <c r="P333" s="61"/>
      <c r="Q333" s="180"/>
      <c r="R333" s="115"/>
      <c r="S333" s="93"/>
      <c r="T333" s="61"/>
      <c r="U333" s="180"/>
      <c r="V333" s="115"/>
      <c r="W333" s="93"/>
      <c r="X333" s="61"/>
      <c r="Y333" s="112"/>
      <c r="Z333" s="181"/>
      <c r="AA333" s="182"/>
      <c r="AB333" s="183"/>
      <c r="AC333" s="112"/>
      <c r="AD333" s="115"/>
      <c r="AE333" s="151"/>
      <c r="AF333" s="184"/>
      <c r="AG333" s="188"/>
      <c r="AH333" s="188"/>
      <c r="AI333" s="188"/>
      <c r="AJ333" s="188"/>
      <c r="AK333" s="61"/>
      <c r="AL333" s="61"/>
      <c r="AM333" s="61"/>
      <c r="AN333" s="61"/>
      <c r="AO333" s="61"/>
    </row>
    <row r="334">
      <c r="A334" s="112"/>
      <c r="B334" s="149"/>
      <c r="C334" s="93"/>
      <c r="D334" s="61"/>
      <c r="E334" s="112"/>
      <c r="F334" s="149"/>
      <c r="G334" s="93"/>
      <c r="H334" s="61"/>
      <c r="I334" s="112"/>
      <c r="J334" s="149"/>
      <c r="K334" s="93"/>
      <c r="L334" s="61"/>
      <c r="M334" s="112"/>
      <c r="N334" s="115"/>
      <c r="O334" s="93"/>
      <c r="P334" s="61"/>
      <c r="Q334" s="180"/>
      <c r="R334" s="115"/>
      <c r="S334" s="93"/>
      <c r="T334" s="61"/>
      <c r="U334" s="180"/>
      <c r="V334" s="115"/>
      <c r="W334" s="93"/>
      <c r="X334" s="61"/>
      <c r="Y334" s="112"/>
      <c r="Z334" s="181"/>
      <c r="AA334" s="182"/>
      <c r="AB334" s="183"/>
      <c r="AC334" s="112"/>
      <c r="AD334" s="115"/>
      <c r="AE334" s="151"/>
      <c r="AF334" s="184"/>
      <c r="AG334" s="188"/>
      <c r="AH334" s="188"/>
      <c r="AI334" s="188"/>
      <c r="AJ334" s="188"/>
      <c r="AK334" s="61"/>
      <c r="AL334" s="61"/>
      <c r="AM334" s="61"/>
      <c r="AN334" s="61"/>
      <c r="AO334" s="61"/>
    </row>
    <row r="335">
      <c r="A335" s="112"/>
      <c r="B335" s="149"/>
      <c r="C335" s="93"/>
      <c r="D335" s="61"/>
      <c r="E335" s="112"/>
      <c r="F335" s="149"/>
      <c r="G335" s="93"/>
      <c r="H335" s="61"/>
      <c r="I335" s="112"/>
      <c r="J335" s="149"/>
      <c r="K335" s="93"/>
      <c r="L335" s="61"/>
      <c r="M335" s="112"/>
      <c r="N335" s="115"/>
      <c r="O335" s="93"/>
      <c r="P335" s="61"/>
      <c r="Q335" s="180"/>
      <c r="R335" s="115"/>
      <c r="S335" s="93"/>
      <c r="T335" s="61"/>
      <c r="U335" s="180"/>
      <c r="V335" s="115"/>
      <c r="W335" s="93"/>
      <c r="X335" s="61"/>
      <c r="Y335" s="112"/>
      <c r="Z335" s="181"/>
      <c r="AA335" s="182"/>
      <c r="AB335" s="183"/>
      <c r="AC335" s="112"/>
      <c r="AD335" s="115"/>
      <c r="AE335" s="151"/>
      <c r="AF335" s="184"/>
      <c r="AG335" s="188"/>
      <c r="AH335" s="188"/>
      <c r="AI335" s="188"/>
      <c r="AJ335" s="188"/>
      <c r="AK335" s="61"/>
      <c r="AL335" s="61"/>
      <c r="AM335" s="61"/>
      <c r="AN335" s="61"/>
      <c r="AO335" s="61"/>
    </row>
    <row r="336">
      <c r="A336" s="112"/>
      <c r="B336" s="149"/>
      <c r="C336" s="93"/>
      <c r="D336" s="61"/>
      <c r="E336" s="112"/>
      <c r="F336" s="149"/>
      <c r="G336" s="93"/>
      <c r="H336" s="61"/>
      <c r="I336" s="112"/>
      <c r="J336" s="149"/>
      <c r="K336" s="93"/>
      <c r="L336" s="61"/>
      <c r="M336" s="112"/>
      <c r="N336" s="115"/>
      <c r="O336" s="93"/>
      <c r="P336" s="61"/>
      <c r="Q336" s="180"/>
      <c r="R336" s="115"/>
      <c r="S336" s="93"/>
      <c r="T336" s="61"/>
      <c r="U336" s="180"/>
      <c r="V336" s="115"/>
      <c r="W336" s="93"/>
      <c r="X336" s="61"/>
      <c r="Y336" s="112"/>
      <c r="Z336" s="181"/>
      <c r="AA336" s="182"/>
      <c r="AB336" s="183"/>
      <c r="AC336" s="112"/>
      <c r="AD336" s="115"/>
      <c r="AE336" s="151"/>
      <c r="AF336" s="184"/>
      <c r="AG336" s="188"/>
      <c r="AH336" s="188"/>
      <c r="AI336" s="188"/>
      <c r="AJ336" s="188"/>
      <c r="AK336" s="61"/>
      <c r="AL336" s="61"/>
      <c r="AM336" s="61"/>
      <c r="AN336" s="61"/>
      <c r="AO336" s="61"/>
    </row>
    <row r="337">
      <c r="A337" s="112"/>
      <c r="B337" s="149"/>
      <c r="C337" s="93"/>
      <c r="D337" s="61"/>
      <c r="E337" s="112"/>
      <c r="F337" s="149"/>
      <c r="G337" s="93"/>
      <c r="H337" s="61"/>
      <c r="I337" s="112"/>
      <c r="J337" s="149"/>
      <c r="K337" s="93"/>
      <c r="L337" s="61"/>
      <c r="M337" s="112"/>
      <c r="N337" s="115"/>
      <c r="O337" s="93"/>
      <c r="P337" s="61"/>
      <c r="Q337" s="180"/>
      <c r="R337" s="115"/>
      <c r="S337" s="93"/>
      <c r="T337" s="61"/>
      <c r="U337" s="180"/>
      <c r="V337" s="115"/>
      <c r="W337" s="93"/>
      <c r="X337" s="61"/>
      <c r="Y337" s="112"/>
      <c r="Z337" s="181"/>
      <c r="AA337" s="182"/>
      <c r="AB337" s="183"/>
      <c r="AC337" s="112"/>
      <c r="AD337" s="115"/>
      <c r="AE337" s="151"/>
      <c r="AF337" s="184"/>
      <c r="AG337" s="188"/>
      <c r="AH337" s="188"/>
      <c r="AI337" s="188"/>
      <c r="AJ337" s="188"/>
      <c r="AK337" s="61"/>
      <c r="AL337" s="61"/>
      <c r="AM337" s="61"/>
      <c r="AN337" s="61"/>
      <c r="AO337" s="61"/>
    </row>
    <row r="338">
      <c r="A338" s="112"/>
      <c r="B338" s="149"/>
      <c r="C338" s="93"/>
      <c r="D338" s="61"/>
      <c r="E338" s="112"/>
      <c r="F338" s="149"/>
      <c r="G338" s="93"/>
      <c r="H338" s="61"/>
      <c r="I338" s="112"/>
      <c r="J338" s="149"/>
      <c r="K338" s="93"/>
      <c r="L338" s="61"/>
      <c r="M338" s="112"/>
      <c r="N338" s="115"/>
      <c r="O338" s="93"/>
      <c r="P338" s="61"/>
      <c r="Q338" s="180"/>
      <c r="R338" s="115"/>
      <c r="S338" s="93"/>
      <c r="T338" s="61"/>
      <c r="U338" s="180"/>
      <c r="V338" s="115"/>
      <c r="W338" s="93"/>
      <c r="X338" s="61"/>
      <c r="Y338" s="112"/>
      <c r="Z338" s="181"/>
      <c r="AA338" s="182"/>
      <c r="AB338" s="183"/>
      <c r="AC338" s="112"/>
      <c r="AD338" s="115"/>
      <c r="AE338" s="151"/>
      <c r="AF338" s="184"/>
      <c r="AG338" s="188"/>
      <c r="AH338" s="188"/>
      <c r="AI338" s="188"/>
      <c r="AJ338" s="188"/>
      <c r="AK338" s="61"/>
      <c r="AL338" s="61"/>
      <c r="AM338" s="61"/>
      <c r="AN338" s="61"/>
      <c r="AO338" s="61"/>
    </row>
    <row r="339">
      <c r="A339" s="112"/>
      <c r="B339" s="149"/>
      <c r="C339" s="93"/>
      <c r="D339" s="61"/>
      <c r="E339" s="112"/>
      <c r="F339" s="149"/>
      <c r="G339" s="93"/>
      <c r="H339" s="61"/>
      <c r="I339" s="112"/>
      <c r="J339" s="149"/>
      <c r="K339" s="93"/>
      <c r="L339" s="61"/>
      <c r="M339" s="112"/>
      <c r="N339" s="115"/>
      <c r="O339" s="93"/>
      <c r="P339" s="61"/>
      <c r="Q339" s="180"/>
      <c r="R339" s="115"/>
      <c r="S339" s="93"/>
      <c r="T339" s="61"/>
      <c r="U339" s="180"/>
      <c r="V339" s="115"/>
      <c r="W339" s="93"/>
      <c r="X339" s="61"/>
      <c r="Y339" s="112"/>
      <c r="Z339" s="181"/>
      <c r="AA339" s="182"/>
      <c r="AB339" s="183"/>
      <c r="AC339" s="112"/>
      <c r="AD339" s="115"/>
      <c r="AE339" s="151"/>
      <c r="AF339" s="184"/>
      <c r="AG339" s="188"/>
      <c r="AH339" s="188"/>
      <c r="AI339" s="188"/>
      <c r="AJ339" s="188"/>
      <c r="AK339" s="61"/>
      <c r="AL339" s="61"/>
      <c r="AM339" s="61"/>
      <c r="AN339" s="61"/>
      <c r="AO339" s="61"/>
    </row>
    <row r="340">
      <c r="A340" s="112"/>
      <c r="B340" s="149"/>
      <c r="C340" s="93"/>
      <c r="D340" s="61"/>
      <c r="E340" s="112"/>
      <c r="F340" s="149"/>
      <c r="G340" s="93"/>
      <c r="H340" s="61"/>
      <c r="I340" s="112"/>
      <c r="J340" s="149"/>
      <c r="K340" s="93"/>
      <c r="L340" s="61"/>
      <c r="M340" s="112"/>
      <c r="N340" s="115"/>
      <c r="O340" s="93"/>
      <c r="P340" s="61"/>
      <c r="Q340" s="180"/>
      <c r="R340" s="115"/>
      <c r="S340" s="93"/>
      <c r="T340" s="61"/>
      <c r="U340" s="180"/>
      <c r="V340" s="115"/>
      <c r="W340" s="93"/>
      <c r="X340" s="61"/>
      <c r="Y340" s="112"/>
      <c r="Z340" s="181"/>
      <c r="AA340" s="182"/>
      <c r="AB340" s="183"/>
      <c r="AC340" s="112"/>
      <c r="AD340" s="115"/>
      <c r="AE340" s="151"/>
      <c r="AF340" s="184"/>
      <c r="AG340" s="188"/>
      <c r="AH340" s="188"/>
      <c r="AI340" s="188"/>
      <c r="AJ340" s="188"/>
      <c r="AK340" s="61"/>
      <c r="AL340" s="61"/>
      <c r="AM340" s="61"/>
      <c r="AN340" s="61"/>
      <c r="AO340" s="61"/>
    </row>
    <row r="341">
      <c r="A341" s="112"/>
      <c r="B341" s="149"/>
      <c r="C341" s="93"/>
      <c r="D341" s="61"/>
      <c r="E341" s="112"/>
      <c r="F341" s="149"/>
      <c r="G341" s="93"/>
      <c r="H341" s="61"/>
      <c r="I341" s="112"/>
      <c r="J341" s="149"/>
      <c r="K341" s="93"/>
      <c r="L341" s="61"/>
      <c r="M341" s="112"/>
      <c r="N341" s="115"/>
      <c r="O341" s="93"/>
      <c r="P341" s="61"/>
      <c r="Q341" s="180"/>
      <c r="R341" s="115"/>
      <c r="S341" s="93"/>
      <c r="T341" s="61"/>
      <c r="U341" s="180"/>
      <c r="V341" s="115"/>
      <c r="W341" s="93"/>
      <c r="X341" s="61"/>
      <c r="Y341" s="112"/>
      <c r="Z341" s="181"/>
      <c r="AA341" s="182"/>
      <c r="AB341" s="183"/>
      <c r="AC341" s="112"/>
      <c r="AD341" s="115"/>
      <c r="AE341" s="151"/>
      <c r="AF341" s="184"/>
      <c r="AG341" s="188"/>
      <c r="AH341" s="188"/>
      <c r="AI341" s="188"/>
      <c r="AJ341" s="188"/>
      <c r="AK341" s="61"/>
      <c r="AL341" s="61"/>
      <c r="AM341" s="61"/>
      <c r="AN341" s="61"/>
      <c r="AO341" s="61"/>
    </row>
    <row r="342">
      <c r="A342" s="112"/>
      <c r="B342" s="149"/>
      <c r="C342" s="93"/>
      <c r="D342" s="61"/>
      <c r="E342" s="112"/>
      <c r="F342" s="149"/>
      <c r="G342" s="93"/>
      <c r="H342" s="61"/>
      <c r="I342" s="112"/>
      <c r="J342" s="149"/>
      <c r="K342" s="93"/>
      <c r="L342" s="61"/>
      <c r="M342" s="112"/>
      <c r="N342" s="115"/>
      <c r="O342" s="93"/>
      <c r="P342" s="61"/>
      <c r="Q342" s="180"/>
      <c r="R342" s="115"/>
      <c r="S342" s="93"/>
      <c r="T342" s="61"/>
      <c r="U342" s="180"/>
      <c r="V342" s="115"/>
      <c r="W342" s="93"/>
      <c r="X342" s="61"/>
      <c r="Y342" s="112"/>
      <c r="Z342" s="181"/>
      <c r="AA342" s="182"/>
      <c r="AB342" s="183"/>
      <c r="AC342" s="112"/>
      <c r="AD342" s="115"/>
      <c r="AE342" s="151"/>
      <c r="AF342" s="184"/>
      <c r="AG342" s="188"/>
      <c r="AH342" s="188"/>
      <c r="AI342" s="188"/>
      <c r="AJ342" s="188"/>
      <c r="AK342" s="61"/>
      <c r="AL342" s="61"/>
      <c r="AM342" s="61"/>
      <c r="AN342" s="61"/>
      <c r="AO342" s="61"/>
    </row>
    <row r="343">
      <c r="A343" s="112"/>
      <c r="B343" s="149"/>
      <c r="C343" s="93"/>
      <c r="D343" s="61"/>
      <c r="E343" s="112"/>
      <c r="F343" s="149"/>
      <c r="G343" s="93"/>
      <c r="H343" s="61"/>
      <c r="I343" s="112"/>
      <c r="J343" s="149"/>
      <c r="K343" s="93"/>
      <c r="L343" s="61"/>
      <c r="M343" s="112"/>
      <c r="N343" s="115"/>
      <c r="O343" s="93"/>
      <c r="P343" s="61"/>
      <c r="Q343" s="180"/>
      <c r="R343" s="115"/>
      <c r="S343" s="93"/>
      <c r="T343" s="61"/>
      <c r="U343" s="180"/>
      <c r="V343" s="115"/>
      <c r="W343" s="93"/>
      <c r="X343" s="61"/>
      <c r="Y343" s="112"/>
      <c r="Z343" s="181"/>
      <c r="AA343" s="182"/>
      <c r="AB343" s="183"/>
      <c r="AC343" s="112"/>
      <c r="AD343" s="115"/>
      <c r="AE343" s="151"/>
      <c r="AF343" s="184"/>
      <c r="AG343" s="188"/>
      <c r="AH343" s="188"/>
      <c r="AI343" s="188"/>
      <c r="AJ343" s="188"/>
      <c r="AK343" s="61"/>
      <c r="AL343" s="61"/>
      <c r="AM343" s="61"/>
      <c r="AN343" s="61"/>
      <c r="AO343" s="61"/>
    </row>
    <row r="344">
      <c r="A344" s="112"/>
      <c r="B344" s="149"/>
      <c r="C344" s="93"/>
      <c r="D344" s="61"/>
      <c r="E344" s="112"/>
      <c r="F344" s="149"/>
      <c r="G344" s="93"/>
      <c r="H344" s="61"/>
      <c r="I344" s="112"/>
      <c r="J344" s="149"/>
      <c r="K344" s="93"/>
      <c r="L344" s="61"/>
      <c r="M344" s="112"/>
      <c r="N344" s="115"/>
      <c r="O344" s="93"/>
      <c r="P344" s="61"/>
      <c r="Q344" s="180"/>
      <c r="R344" s="115"/>
      <c r="S344" s="93"/>
      <c r="T344" s="61"/>
      <c r="U344" s="180"/>
      <c r="V344" s="115"/>
      <c r="W344" s="93"/>
      <c r="X344" s="61"/>
      <c r="Y344" s="112"/>
      <c r="Z344" s="181"/>
      <c r="AA344" s="182"/>
      <c r="AB344" s="183"/>
      <c r="AC344" s="112"/>
      <c r="AD344" s="115"/>
      <c r="AE344" s="151"/>
      <c r="AF344" s="184"/>
      <c r="AG344" s="188"/>
      <c r="AH344" s="188"/>
      <c r="AI344" s="188"/>
      <c r="AJ344" s="188"/>
      <c r="AK344" s="61"/>
      <c r="AL344" s="61"/>
      <c r="AM344" s="61"/>
      <c r="AN344" s="61"/>
      <c r="AO344" s="61"/>
    </row>
    <row r="345">
      <c r="A345" s="112"/>
      <c r="B345" s="149"/>
      <c r="C345" s="93"/>
      <c r="D345" s="61"/>
      <c r="E345" s="112"/>
      <c r="F345" s="149"/>
      <c r="G345" s="93"/>
      <c r="H345" s="61"/>
      <c r="I345" s="112"/>
      <c r="J345" s="149"/>
      <c r="K345" s="93"/>
      <c r="L345" s="61"/>
      <c r="M345" s="112"/>
      <c r="N345" s="115"/>
      <c r="O345" s="93"/>
      <c r="P345" s="61"/>
      <c r="Q345" s="180"/>
      <c r="R345" s="115"/>
      <c r="S345" s="93"/>
      <c r="T345" s="61"/>
      <c r="U345" s="180"/>
      <c r="V345" s="115"/>
      <c r="W345" s="93"/>
      <c r="X345" s="61"/>
      <c r="Y345" s="112"/>
      <c r="Z345" s="181"/>
      <c r="AA345" s="182"/>
      <c r="AB345" s="183"/>
      <c r="AC345" s="112"/>
      <c r="AD345" s="115"/>
      <c r="AE345" s="151"/>
      <c r="AF345" s="184"/>
      <c r="AG345" s="188"/>
      <c r="AH345" s="188"/>
      <c r="AI345" s="188"/>
      <c r="AJ345" s="188"/>
      <c r="AK345" s="61"/>
      <c r="AL345" s="61"/>
      <c r="AM345" s="61"/>
      <c r="AN345" s="61"/>
      <c r="AO345" s="61"/>
    </row>
    <row r="346">
      <c r="A346" s="112"/>
      <c r="B346" s="149"/>
      <c r="C346" s="93"/>
      <c r="D346" s="61"/>
      <c r="E346" s="112"/>
      <c r="F346" s="149"/>
      <c r="G346" s="93"/>
      <c r="H346" s="61"/>
      <c r="I346" s="112"/>
      <c r="J346" s="149"/>
      <c r="K346" s="93"/>
      <c r="L346" s="61"/>
      <c r="M346" s="112"/>
      <c r="N346" s="115"/>
      <c r="O346" s="93"/>
      <c r="P346" s="61"/>
      <c r="Q346" s="180"/>
      <c r="R346" s="115"/>
      <c r="S346" s="93"/>
      <c r="T346" s="61"/>
      <c r="U346" s="180"/>
      <c r="V346" s="115"/>
      <c r="W346" s="93"/>
      <c r="X346" s="61"/>
      <c r="Y346" s="112"/>
      <c r="Z346" s="181"/>
      <c r="AA346" s="182"/>
      <c r="AB346" s="183"/>
      <c r="AC346" s="112"/>
      <c r="AD346" s="115"/>
      <c r="AE346" s="151"/>
      <c r="AF346" s="184"/>
      <c r="AG346" s="188"/>
      <c r="AH346" s="188"/>
      <c r="AI346" s="188"/>
      <c r="AJ346" s="188"/>
      <c r="AK346" s="61"/>
      <c r="AL346" s="61"/>
      <c r="AM346" s="61"/>
      <c r="AN346" s="61"/>
      <c r="AO346" s="61"/>
    </row>
    <row r="347">
      <c r="A347" s="112"/>
      <c r="B347" s="149"/>
      <c r="C347" s="93"/>
      <c r="D347" s="61"/>
      <c r="E347" s="112"/>
      <c r="F347" s="149"/>
      <c r="G347" s="93"/>
      <c r="H347" s="61"/>
      <c r="I347" s="112"/>
      <c r="J347" s="149"/>
      <c r="K347" s="93"/>
      <c r="L347" s="61"/>
      <c r="M347" s="112"/>
      <c r="N347" s="115"/>
      <c r="O347" s="93"/>
      <c r="P347" s="61"/>
      <c r="Q347" s="180"/>
      <c r="R347" s="115"/>
      <c r="S347" s="93"/>
      <c r="T347" s="61"/>
      <c r="U347" s="180"/>
      <c r="V347" s="115"/>
      <c r="W347" s="93"/>
      <c r="X347" s="61"/>
      <c r="Y347" s="112"/>
      <c r="Z347" s="181"/>
      <c r="AA347" s="182"/>
      <c r="AB347" s="183"/>
      <c r="AC347" s="112"/>
      <c r="AD347" s="115"/>
      <c r="AE347" s="151"/>
      <c r="AF347" s="184"/>
      <c r="AG347" s="188"/>
      <c r="AH347" s="188"/>
      <c r="AI347" s="188"/>
      <c r="AJ347" s="188"/>
      <c r="AK347" s="61"/>
      <c r="AL347" s="61"/>
      <c r="AM347" s="61"/>
      <c r="AN347" s="61"/>
      <c r="AO347" s="61"/>
    </row>
    <row r="348">
      <c r="A348" s="112"/>
      <c r="B348" s="149"/>
      <c r="C348" s="93"/>
      <c r="D348" s="61"/>
      <c r="E348" s="112"/>
      <c r="F348" s="149"/>
      <c r="G348" s="93"/>
      <c r="H348" s="61"/>
      <c r="I348" s="112"/>
      <c r="J348" s="149"/>
      <c r="K348" s="93"/>
      <c r="L348" s="61"/>
      <c r="M348" s="112"/>
      <c r="N348" s="115"/>
      <c r="O348" s="93"/>
      <c r="P348" s="61"/>
      <c r="Q348" s="180"/>
      <c r="R348" s="115"/>
      <c r="S348" s="93"/>
      <c r="T348" s="61"/>
      <c r="U348" s="180"/>
      <c r="V348" s="115"/>
      <c r="W348" s="93"/>
      <c r="X348" s="61"/>
      <c r="Y348" s="112"/>
      <c r="Z348" s="181"/>
      <c r="AA348" s="182"/>
      <c r="AB348" s="183"/>
      <c r="AC348" s="112"/>
      <c r="AD348" s="115"/>
      <c r="AE348" s="151"/>
      <c r="AF348" s="184"/>
      <c r="AG348" s="188"/>
      <c r="AH348" s="188"/>
      <c r="AI348" s="188"/>
      <c r="AJ348" s="188"/>
      <c r="AK348" s="61"/>
      <c r="AL348" s="61"/>
      <c r="AM348" s="61"/>
      <c r="AN348" s="61"/>
      <c r="AO348" s="61"/>
    </row>
    <row r="349">
      <c r="A349" s="112"/>
      <c r="B349" s="149"/>
      <c r="C349" s="93"/>
      <c r="D349" s="61"/>
      <c r="E349" s="112"/>
      <c r="F349" s="149"/>
      <c r="G349" s="93"/>
      <c r="H349" s="61"/>
      <c r="I349" s="112"/>
      <c r="J349" s="149"/>
      <c r="K349" s="93"/>
      <c r="L349" s="61"/>
      <c r="M349" s="112"/>
      <c r="N349" s="115"/>
      <c r="O349" s="93"/>
      <c r="P349" s="61"/>
      <c r="Q349" s="180"/>
      <c r="R349" s="115"/>
      <c r="S349" s="93"/>
      <c r="T349" s="61"/>
      <c r="U349" s="180"/>
      <c r="V349" s="115"/>
      <c r="W349" s="93"/>
      <c r="X349" s="61"/>
      <c r="Y349" s="112"/>
      <c r="Z349" s="181"/>
      <c r="AA349" s="182"/>
      <c r="AB349" s="183"/>
      <c r="AC349" s="112"/>
      <c r="AD349" s="115"/>
      <c r="AE349" s="151"/>
      <c r="AF349" s="184"/>
      <c r="AG349" s="188"/>
      <c r="AH349" s="188"/>
      <c r="AI349" s="188"/>
      <c r="AJ349" s="188"/>
      <c r="AK349" s="61"/>
      <c r="AL349" s="61"/>
      <c r="AM349" s="61"/>
      <c r="AN349" s="61"/>
      <c r="AO349" s="61"/>
    </row>
    <row r="350">
      <c r="A350" s="112"/>
      <c r="B350" s="149"/>
      <c r="C350" s="93"/>
      <c r="D350" s="61"/>
      <c r="E350" s="112"/>
      <c r="F350" s="149"/>
      <c r="G350" s="93"/>
      <c r="H350" s="61"/>
      <c r="I350" s="112"/>
      <c r="J350" s="149"/>
      <c r="K350" s="93"/>
      <c r="L350" s="61"/>
      <c r="M350" s="112"/>
      <c r="N350" s="115"/>
      <c r="O350" s="93"/>
      <c r="P350" s="61"/>
      <c r="Q350" s="180"/>
      <c r="R350" s="115"/>
      <c r="S350" s="93"/>
      <c r="T350" s="61"/>
      <c r="U350" s="180"/>
      <c r="V350" s="115"/>
      <c r="W350" s="93"/>
      <c r="X350" s="61"/>
      <c r="Y350" s="112"/>
      <c r="Z350" s="181"/>
      <c r="AA350" s="182"/>
      <c r="AB350" s="183"/>
      <c r="AC350" s="112"/>
      <c r="AD350" s="115"/>
      <c r="AE350" s="151"/>
      <c r="AF350" s="184"/>
      <c r="AG350" s="188"/>
      <c r="AH350" s="188"/>
      <c r="AI350" s="188"/>
      <c r="AJ350" s="188"/>
      <c r="AK350" s="61"/>
      <c r="AL350" s="61"/>
      <c r="AM350" s="61"/>
      <c r="AN350" s="61"/>
      <c r="AO350" s="61"/>
    </row>
    <row r="351">
      <c r="A351" s="112"/>
      <c r="B351" s="149"/>
      <c r="C351" s="93"/>
      <c r="D351" s="61"/>
      <c r="E351" s="112"/>
      <c r="F351" s="149"/>
      <c r="G351" s="93"/>
      <c r="H351" s="61"/>
      <c r="I351" s="112"/>
      <c r="J351" s="149"/>
      <c r="K351" s="93"/>
      <c r="L351" s="61"/>
      <c r="M351" s="112"/>
      <c r="N351" s="115"/>
      <c r="O351" s="93"/>
      <c r="P351" s="61"/>
      <c r="Q351" s="180"/>
      <c r="R351" s="115"/>
      <c r="S351" s="93"/>
      <c r="T351" s="61"/>
      <c r="U351" s="180"/>
      <c r="V351" s="115"/>
      <c r="W351" s="93"/>
      <c r="X351" s="61"/>
      <c r="Y351" s="112"/>
      <c r="Z351" s="181"/>
      <c r="AA351" s="182"/>
      <c r="AB351" s="183"/>
      <c r="AC351" s="112"/>
      <c r="AD351" s="115"/>
      <c r="AE351" s="151"/>
      <c r="AF351" s="184"/>
      <c r="AG351" s="188"/>
      <c r="AH351" s="188"/>
      <c r="AI351" s="188"/>
      <c r="AJ351" s="188"/>
      <c r="AK351" s="61"/>
      <c r="AL351" s="61"/>
      <c r="AM351" s="61"/>
      <c r="AN351" s="61"/>
      <c r="AO351" s="61"/>
    </row>
    <row r="352">
      <c r="A352" s="112"/>
      <c r="B352" s="149"/>
      <c r="C352" s="93"/>
      <c r="D352" s="61"/>
      <c r="E352" s="112"/>
      <c r="F352" s="149"/>
      <c r="G352" s="93"/>
      <c r="H352" s="61"/>
      <c r="I352" s="112"/>
      <c r="J352" s="149"/>
      <c r="K352" s="93"/>
      <c r="L352" s="61"/>
      <c r="M352" s="112"/>
      <c r="N352" s="115"/>
      <c r="O352" s="93"/>
      <c r="P352" s="61"/>
      <c r="Q352" s="180"/>
      <c r="R352" s="115"/>
      <c r="S352" s="93"/>
      <c r="T352" s="61"/>
      <c r="U352" s="180"/>
      <c r="V352" s="115"/>
      <c r="W352" s="93"/>
      <c r="X352" s="61"/>
      <c r="Y352" s="112"/>
      <c r="Z352" s="181"/>
      <c r="AA352" s="182"/>
      <c r="AB352" s="183"/>
      <c r="AC352" s="112"/>
      <c r="AD352" s="115"/>
      <c r="AE352" s="151"/>
      <c r="AF352" s="184"/>
      <c r="AG352" s="188"/>
      <c r="AH352" s="188"/>
      <c r="AI352" s="188"/>
      <c r="AJ352" s="188"/>
      <c r="AK352" s="61"/>
      <c r="AL352" s="61"/>
      <c r="AM352" s="61"/>
      <c r="AN352" s="61"/>
      <c r="AO352" s="61"/>
    </row>
    <row r="353">
      <c r="A353" s="112"/>
      <c r="B353" s="149"/>
      <c r="C353" s="93"/>
      <c r="D353" s="61"/>
      <c r="E353" s="112"/>
      <c r="F353" s="149"/>
      <c r="G353" s="93"/>
      <c r="H353" s="61"/>
      <c r="I353" s="112"/>
      <c r="J353" s="149"/>
      <c r="K353" s="93"/>
      <c r="L353" s="61"/>
      <c r="M353" s="112"/>
      <c r="N353" s="115"/>
      <c r="O353" s="93"/>
      <c r="P353" s="61"/>
      <c r="Q353" s="180"/>
      <c r="R353" s="115"/>
      <c r="S353" s="93"/>
      <c r="T353" s="61"/>
      <c r="U353" s="180"/>
      <c r="V353" s="115"/>
      <c r="W353" s="93"/>
      <c r="X353" s="61"/>
      <c r="Y353" s="112"/>
      <c r="Z353" s="181"/>
      <c r="AA353" s="182"/>
      <c r="AB353" s="183"/>
      <c r="AC353" s="112"/>
      <c r="AD353" s="115"/>
      <c r="AE353" s="151"/>
      <c r="AF353" s="184"/>
      <c r="AG353" s="188"/>
      <c r="AH353" s="188"/>
      <c r="AI353" s="188"/>
      <c r="AJ353" s="188"/>
      <c r="AK353" s="61"/>
      <c r="AL353" s="61"/>
      <c r="AM353" s="61"/>
      <c r="AN353" s="61"/>
      <c r="AO353" s="61"/>
    </row>
    <row r="354">
      <c r="A354" s="112"/>
      <c r="B354" s="149"/>
      <c r="C354" s="93"/>
      <c r="D354" s="61"/>
      <c r="E354" s="112"/>
      <c r="F354" s="149"/>
      <c r="G354" s="93"/>
      <c r="H354" s="61"/>
      <c r="I354" s="112"/>
      <c r="J354" s="149"/>
      <c r="K354" s="93"/>
      <c r="L354" s="61"/>
      <c r="M354" s="112"/>
      <c r="N354" s="115"/>
      <c r="O354" s="93"/>
      <c r="P354" s="61"/>
      <c r="Q354" s="180"/>
      <c r="R354" s="115"/>
      <c r="S354" s="93"/>
      <c r="T354" s="61"/>
      <c r="U354" s="180"/>
      <c r="V354" s="115"/>
      <c r="W354" s="93"/>
      <c r="X354" s="61"/>
      <c r="Y354" s="112"/>
      <c r="Z354" s="181"/>
      <c r="AA354" s="182"/>
      <c r="AB354" s="183"/>
      <c r="AC354" s="112"/>
      <c r="AD354" s="115"/>
      <c r="AE354" s="151"/>
      <c r="AF354" s="184"/>
      <c r="AG354" s="188"/>
      <c r="AH354" s="188"/>
      <c r="AI354" s="188"/>
      <c r="AJ354" s="188"/>
      <c r="AK354" s="61"/>
      <c r="AL354" s="61"/>
      <c r="AM354" s="61"/>
      <c r="AN354" s="61"/>
      <c r="AO354" s="61"/>
    </row>
    <row r="355">
      <c r="A355" s="112"/>
      <c r="B355" s="149"/>
      <c r="C355" s="93"/>
      <c r="D355" s="61"/>
      <c r="E355" s="112"/>
      <c r="F355" s="149"/>
      <c r="G355" s="93"/>
      <c r="H355" s="61"/>
      <c r="I355" s="112"/>
      <c r="J355" s="149"/>
      <c r="K355" s="93"/>
      <c r="L355" s="61"/>
      <c r="M355" s="112"/>
      <c r="N355" s="115"/>
      <c r="O355" s="93"/>
      <c r="P355" s="61"/>
      <c r="Q355" s="180"/>
      <c r="R355" s="115"/>
      <c r="S355" s="93"/>
      <c r="T355" s="61"/>
      <c r="U355" s="180"/>
      <c r="V355" s="115"/>
      <c r="W355" s="93"/>
      <c r="X355" s="61"/>
      <c r="Y355" s="112"/>
      <c r="Z355" s="181"/>
      <c r="AA355" s="182"/>
      <c r="AB355" s="183"/>
      <c r="AC355" s="112"/>
      <c r="AD355" s="115"/>
      <c r="AE355" s="151"/>
      <c r="AF355" s="184"/>
      <c r="AG355" s="188"/>
      <c r="AH355" s="188"/>
      <c r="AI355" s="188"/>
      <c r="AJ355" s="188"/>
      <c r="AK355" s="61"/>
      <c r="AL355" s="61"/>
      <c r="AM355" s="61"/>
      <c r="AN355" s="61"/>
      <c r="AO355" s="61"/>
    </row>
    <row r="356">
      <c r="A356" s="112"/>
      <c r="B356" s="149"/>
      <c r="C356" s="93"/>
      <c r="D356" s="61"/>
      <c r="E356" s="112"/>
      <c r="F356" s="149"/>
      <c r="G356" s="93"/>
      <c r="H356" s="61"/>
      <c r="I356" s="112"/>
      <c r="J356" s="149"/>
      <c r="K356" s="93"/>
      <c r="L356" s="61"/>
      <c r="M356" s="112"/>
      <c r="N356" s="115"/>
      <c r="O356" s="93"/>
      <c r="P356" s="61"/>
      <c r="Q356" s="180"/>
      <c r="R356" s="115"/>
      <c r="S356" s="93"/>
      <c r="T356" s="61"/>
      <c r="U356" s="180"/>
      <c r="V356" s="115"/>
      <c r="W356" s="93"/>
      <c r="X356" s="61"/>
      <c r="Y356" s="112"/>
      <c r="Z356" s="181"/>
      <c r="AA356" s="182"/>
      <c r="AB356" s="183"/>
      <c r="AC356" s="112"/>
      <c r="AD356" s="115"/>
      <c r="AE356" s="151"/>
      <c r="AF356" s="184"/>
      <c r="AG356" s="188"/>
      <c r="AH356" s="188"/>
      <c r="AI356" s="188"/>
      <c r="AJ356" s="188"/>
      <c r="AK356" s="61"/>
      <c r="AL356" s="61"/>
      <c r="AM356" s="61"/>
      <c r="AN356" s="61"/>
      <c r="AO356" s="61"/>
    </row>
    <row r="357">
      <c r="A357" s="112"/>
      <c r="B357" s="149"/>
      <c r="C357" s="93"/>
      <c r="D357" s="61"/>
      <c r="E357" s="112"/>
      <c r="F357" s="149"/>
      <c r="G357" s="93"/>
      <c r="H357" s="61"/>
      <c r="I357" s="112"/>
      <c r="J357" s="149"/>
      <c r="K357" s="93"/>
      <c r="L357" s="61"/>
      <c r="M357" s="112"/>
      <c r="N357" s="115"/>
      <c r="O357" s="93"/>
      <c r="P357" s="61"/>
      <c r="Q357" s="180"/>
      <c r="R357" s="115"/>
      <c r="S357" s="93"/>
      <c r="T357" s="61"/>
      <c r="U357" s="180"/>
      <c r="V357" s="115"/>
      <c r="W357" s="93"/>
      <c r="X357" s="61"/>
      <c r="Y357" s="112"/>
      <c r="Z357" s="181"/>
      <c r="AA357" s="182"/>
      <c r="AB357" s="183"/>
      <c r="AC357" s="112"/>
      <c r="AD357" s="115"/>
      <c r="AE357" s="151"/>
      <c r="AF357" s="184"/>
      <c r="AG357" s="188"/>
      <c r="AH357" s="188"/>
      <c r="AI357" s="188"/>
      <c r="AJ357" s="188"/>
      <c r="AK357" s="61"/>
      <c r="AL357" s="61"/>
      <c r="AM357" s="61"/>
      <c r="AN357" s="61"/>
      <c r="AO357" s="61"/>
    </row>
    <row r="358">
      <c r="A358" s="112"/>
      <c r="B358" s="149"/>
      <c r="C358" s="93"/>
      <c r="D358" s="61"/>
      <c r="E358" s="112"/>
      <c r="F358" s="149"/>
      <c r="G358" s="93"/>
      <c r="H358" s="61"/>
      <c r="I358" s="112"/>
      <c r="J358" s="149"/>
      <c r="K358" s="93"/>
      <c r="L358" s="61"/>
      <c r="M358" s="112"/>
      <c r="N358" s="115"/>
      <c r="O358" s="93"/>
      <c r="P358" s="61"/>
      <c r="Q358" s="180"/>
      <c r="R358" s="115"/>
      <c r="S358" s="93"/>
      <c r="T358" s="61"/>
      <c r="U358" s="180"/>
      <c r="V358" s="115"/>
      <c r="W358" s="93"/>
      <c r="X358" s="61"/>
      <c r="Y358" s="112"/>
      <c r="Z358" s="181"/>
      <c r="AA358" s="182"/>
      <c r="AB358" s="183"/>
      <c r="AC358" s="112"/>
      <c r="AD358" s="115"/>
      <c r="AE358" s="151"/>
      <c r="AF358" s="184"/>
      <c r="AG358" s="188"/>
      <c r="AH358" s="188"/>
      <c r="AI358" s="188"/>
      <c r="AJ358" s="188"/>
      <c r="AK358" s="61"/>
      <c r="AL358" s="61"/>
      <c r="AM358" s="61"/>
      <c r="AN358" s="61"/>
      <c r="AO358" s="61"/>
    </row>
    <row r="359">
      <c r="A359" s="112"/>
      <c r="B359" s="149"/>
      <c r="C359" s="93"/>
      <c r="D359" s="61"/>
      <c r="E359" s="112"/>
      <c r="F359" s="149"/>
      <c r="G359" s="93"/>
      <c r="H359" s="61"/>
      <c r="I359" s="112"/>
      <c r="J359" s="149"/>
      <c r="K359" s="93"/>
      <c r="L359" s="61"/>
      <c r="M359" s="112"/>
      <c r="N359" s="115"/>
      <c r="O359" s="93"/>
      <c r="P359" s="61"/>
      <c r="Q359" s="180"/>
      <c r="R359" s="115"/>
      <c r="S359" s="93"/>
      <c r="T359" s="61"/>
      <c r="U359" s="180"/>
      <c r="V359" s="115"/>
      <c r="W359" s="93"/>
      <c r="X359" s="61"/>
      <c r="Y359" s="112"/>
      <c r="Z359" s="181"/>
      <c r="AA359" s="182"/>
      <c r="AB359" s="183"/>
      <c r="AC359" s="112"/>
      <c r="AD359" s="115"/>
      <c r="AE359" s="151"/>
      <c r="AF359" s="184"/>
      <c r="AG359" s="188"/>
      <c r="AH359" s="188"/>
      <c r="AI359" s="188"/>
      <c r="AJ359" s="188"/>
      <c r="AK359" s="61"/>
      <c r="AL359" s="61"/>
      <c r="AM359" s="61"/>
      <c r="AN359" s="61"/>
      <c r="AO359" s="61"/>
    </row>
    <row r="360">
      <c r="A360" s="112"/>
      <c r="B360" s="149"/>
      <c r="C360" s="93"/>
      <c r="D360" s="61"/>
      <c r="E360" s="112"/>
      <c r="F360" s="149"/>
      <c r="G360" s="93"/>
      <c r="H360" s="61"/>
      <c r="I360" s="112"/>
      <c r="J360" s="149"/>
      <c r="K360" s="93"/>
      <c r="L360" s="61"/>
      <c r="M360" s="112"/>
      <c r="N360" s="115"/>
      <c r="O360" s="93"/>
      <c r="P360" s="61"/>
      <c r="Q360" s="180"/>
      <c r="R360" s="115"/>
      <c r="S360" s="93"/>
      <c r="T360" s="61"/>
      <c r="U360" s="180"/>
      <c r="V360" s="115"/>
      <c r="W360" s="93"/>
      <c r="X360" s="61"/>
      <c r="Y360" s="112"/>
      <c r="Z360" s="181"/>
      <c r="AA360" s="182"/>
      <c r="AB360" s="183"/>
      <c r="AC360" s="112"/>
      <c r="AD360" s="115"/>
      <c r="AE360" s="151"/>
      <c r="AF360" s="184"/>
      <c r="AG360" s="188"/>
      <c r="AH360" s="188"/>
      <c r="AI360" s="188"/>
      <c r="AJ360" s="188"/>
      <c r="AK360" s="61"/>
      <c r="AL360" s="61"/>
      <c r="AM360" s="61"/>
      <c r="AN360" s="61"/>
      <c r="AO360" s="61"/>
    </row>
    <row r="361">
      <c r="A361" s="112"/>
      <c r="B361" s="149"/>
      <c r="C361" s="93"/>
      <c r="D361" s="61"/>
      <c r="E361" s="112"/>
      <c r="F361" s="149"/>
      <c r="G361" s="93"/>
      <c r="H361" s="61"/>
      <c r="I361" s="112"/>
      <c r="J361" s="149"/>
      <c r="K361" s="93"/>
      <c r="L361" s="61"/>
      <c r="M361" s="112"/>
      <c r="N361" s="115"/>
      <c r="O361" s="93"/>
      <c r="P361" s="61"/>
      <c r="Q361" s="180"/>
      <c r="R361" s="115"/>
      <c r="S361" s="93"/>
      <c r="T361" s="61"/>
      <c r="U361" s="180"/>
      <c r="V361" s="115"/>
      <c r="W361" s="93"/>
      <c r="X361" s="61"/>
      <c r="Y361" s="112"/>
      <c r="Z361" s="181"/>
      <c r="AA361" s="182"/>
      <c r="AB361" s="183"/>
      <c r="AC361" s="112"/>
      <c r="AD361" s="115"/>
      <c r="AE361" s="151"/>
      <c r="AF361" s="184"/>
      <c r="AG361" s="188"/>
      <c r="AH361" s="188"/>
      <c r="AI361" s="188"/>
      <c r="AJ361" s="188"/>
      <c r="AK361" s="61"/>
      <c r="AL361" s="61"/>
      <c r="AM361" s="61"/>
      <c r="AN361" s="61"/>
      <c r="AO361" s="61"/>
    </row>
    <row r="362">
      <c r="A362" s="112"/>
      <c r="B362" s="149"/>
      <c r="C362" s="93"/>
      <c r="D362" s="61"/>
      <c r="E362" s="112"/>
      <c r="F362" s="149"/>
      <c r="G362" s="93"/>
      <c r="H362" s="61"/>
      <c r="I362" s="112"/>
      <c r="J362" s="149"/>
      <c r="K362" s="93"/>
      <c r="L362" s="61"/>
      <c r="M362" s="112"/>
      <c r="N362" s="115"/>
      <c r="O362" s="93"/>
      <c r="P362" s="61"/>
      <c r="Q362" s="180"/>
      <c r="R362" s="115"/>
      <c r="S362" s="93"/>
      <c r="T362" s="61"/>
      <c r="U362" s="180"/>
      <c r="V362" s="115"/>
      <c r="W362" s="93"/>
      <c r="X362" s="61"/>
      <c r="Y362" s="112"/>
      <c r="Z362" s="181"/>
      <c r="AA362" s="182"/>
      <c r="AB362" s="183"/>
      <c r="AC362" s="112"/>
      <c r="AD362" s="115"/>
      <c r="AE362" s="151"/>
      <c r="AF362" s="184"/>
      <c r="AG362" s="188"/>
      <c r="AH362" s="188"/>
      <c r="AI362" s="188"/>
      <c r="AJ362" s="188"/>
      <c r="AK362" s="61"/>
      <c r="AL362" s="61"/>
      <c r="AM362" s="61"/>
      <c r="AN362" s="61"/>
      <c r="AO362" s="61"/>
    </row>
    <row r="363">
      <c r="A363" s="112"/>
      <c r="B363" s="149"/>
      <c r="C363" s="93"/>
      <c r="D363" s="61"/>
      <c r="E363" s="112"/>
      <c r="F363" s="149"/>
      <c r="G363" s="93"/>
      <c r="H363" s="61"/>
      <c r="I363" s="112"/>
      <c r="J363" s="149"/>
      <c r="K363" s="93"/>
      <c r="L363" s="61"/>
      <c r="M363" s="112"/>
      <c r="N363" s="115"/>
      <c r="O363" s="93"/>
      <c r="P363" s="61"/>
      <c r="Q363" s="180"/>
      <c r="R363" s="115"/>
      <c r="S363" s="93"/>
      <c r="T363" s="61"/>
      <c r="U363" s="180"/>
      <c r="V363" s="115"/>
      <c r="W363" s="93"/>
      <c r="X363" s="61"/>
      <c r="Y363" s="112"/>
      <c r="Z363" s="181"/>
      <c r="AA363" s="182"/>
      <c r="AB363" s="183"/>
      <c r="AC363" s="112"/>
      <c r="AD363" s="115"/>
      <c r="AE363" s="151"/>
      <c r="AF363" s="184"/>
      <c r="AG363" s="188"/>
      <c r="AH363" s="188"/>
      <c r="AI363" s="188"/>
      <c r="AJ363" s="188"/>
      <c r="AK363" s="61"/>
      <c r="AL363" s="61"/>
      <c r="AM363" s="61"/>
      <c r="AN363" s="61"/>
      <c r="AO363" s="61"/>
    </row>
    <row r="364">
      <c r="A364" s="112"/>
      <c r="B364" s="149"/>
      <c r="C364" s="93"/>
      <c r="D364" s="61"/>
      <c r="E364" s="112"/>
      <c r="F364" s="149"/>
      <c r="G364" s="93"/>
      <c r="H364" s="61"/>
      <c r="I364" s="112"/>
      <c r="J364" s="149"/>
      <c r="K364" s="93"/>
      <c r="L364" s="61"/>
      <c r="M364" s="112"/>
      <c r="N364" s="115"/>
      <c r="O364" s="93"/>
      <c r="P364" s="61"/>
      <c r="Q364" s="180"/>
      <c r="R364" s="115"/>
      <c r="S364" s="93"/>
      <c r="T364" s="61"/>
      <c r="U364" s="180"/>
      <c r="V364" s="115"/>
      <c r="W364" s="93"/>
      <c r="X364" s="61"/>
      <c r="Y364" s="112"/>
      <c r="Z364" s="181"/>
      <c r="AA364" s="182"/>
      <c r="AB364" s="183"/>
      <c r="AC364" s="112"/>
      <c r="AD364" s="115"/>
      <c r="AE364" s="151"/>
      <c r="AF364" s="184"/>
      <c r="AG364" s="188"/>
      <c r="AH364" s="188"/>
      <c r="AI364" s="188"/>
      <c r="AJ364" s="188"/>
      <c r="AK364" s="61"/>
      <c r="AL364" s="61"/>
      <c r="AM364" s="61"/>
      <c r="AN364" s="61"/>
      <c r="AO364" s="61"/>
    </row>
    <row r="365">
      <c r="A365" s="112"/>
      <c r="B365" s="149"/>
      <c r="C365" s="93"/>
      <c r="D365" s="61"/>
      <c r="E365" s="112"/>
      <c r="F365" s="149"/>
      <c r="G365" s="93"/>
      <c r="H365" s="61"/>
      <c r="I365" s="112"/>
      <c r="J365" s="149"/>
      <c r="K365" s="93"/>
      <c r="L365" s="61"/>
      <c r="M365" s="112"/>
      <c r="N365" s="115"/>
      <c r="O365" s="93"/>
      <c r="P365" s="61"/>
      <c r="Q365" s="180"/>
      <c r="R365" s="115"/>
      <c r="S365" s="93"/>
      <c r="T365" s="61"/>
      <c r="U365" s="180"/>
      <c r="V365" s="115"/>
      <c r="W365" s="93"/>
      <c r="X365" s="61"/>
      <c r="Y365" s="112"/>
      <c r="Z365" s="181"/>
      <c r="AA365" s="182"/>
      <c r="AB365" s="183"/>
      <c r="AC365" s="112"/>
      <c r="AD365" s="115"/>
      <c r="AE365" s="151"/>
      <c r="AF365" s="184"/>
      <c r="AG365" s="188"/>
      <c r="AH365" s="188"/>
      <c r="AI365" s="188"/>
      <c r="AJ365" s="188"/>
      <c r="AK365" s="61"/>
      <c r="AL365" s="61"/>
      <c r="AM365" s="61"/>
      <c r="AN365" s="61"/>
      <c r="AO365" s="61"/>
    </row>
    <row r="366">
      <c r="A366" s="112"/>
      <c r="B366" s="149"/>
      <c r="C366" s="93"/>
      <c r="D366" s="61"/>
      <c r="E366" s="112"/>
      <c r="F366" s="149"/>
      <c r="G366" s="93"/>
      <c r="H366" s="61"/>
      <c r="I366" s="112"/>
      <c r="J366" s="149"/>
      <c r="K366" s="93"/>
      <c r="L366" s="61"/>
      <c r="M366" s="112"/>
      <c r="N366" s="115"/>
      <c r="O366" s="93"/>
      <c r="P366" s="61"/>
      <c r="Q366" s="180"/>
      <c r="R366" s="115"/>
      <c r="S366" s="93"/>
      <c r="T366" s="61"/>
      <c r="U366" s="180"/>
      <c r="V366" s="115"/>
      <c r="W366" s="93"/>
      <c r="X366" s="61"/>
      <c r="Y366" s="112"/>
      <c r="Z366" s="181"/>
      <c r="AA366" s="182"/>
      <c r="AB366" s="183"/>
      <c r="AC366" s="112"/>
      <c r="AD366" s="115"/>
      <c r="AE366" s="151"/>
      <c r="AF366" s="184"/>
      <c r="AG366" s="188"/>
      <c r="AH366" s="188"/>
      <c r="AI366" s="188"/>
      <c r="AJ366" s="188"/>
      <c r="AK366" s="61"/>
      <c r="AL366" s="61"/>
      <c r="AM366" s="61"/>
      <c r="AN366" s="61"/>
      <c r="AO366" s="61"/>
    </row>
    <row r="367">
      <c r="A367" s="112"/>
      <c r="B367" s="149"/>
      <c r="C367" s="93"/>
      <c r="D367" s="61"/>
      <c r="E367" s="112"/>
      <c r="F367" s="149"/>
      <c r="G367" s="93"/>
      <c r="H367" s="61"/>
      <c r="I367" s="112"/>
      <c r="J367" s="149"/>
      <c r="K367" s="93"/>
      <c r="L367" s="61"/>
      <c r="M367" s="112"/>
      <c r="N367" s="115"/>
      <c r="O367" s="93"/>
      <c r="P367" s="61"/>
      <c r="Q367" s="180"/>
      <c r="R367" s="115"/>
      <c r="S367" s="93"/>
      <c r="T367" s="61"/>
      <c r="U367" s="180"/>
      <c r="V367" s="115"/>
      <c r="W367" s="93"/>
      <c r="X367" s="61"/>
      <c r="Y367" s="112"/>
      <c r="Z367" s="181"/>
      <c r="AA367" s="182"/>
      <c r="AB367" s="183"/>
      <c r="AC367" s="112"/>
      <c r="AD367" s="115"/>
      <c r="AE367" s="151"/>
      <c r="AF367" s="184"/>
      <c r="AG367" s="188"/>
      <c r="AH367" s="188"/>
      <c r="AI367" s="188"/>
      <c r="AJ367" s="188"/>
      <c r="AK367" s="61"/>
      <c r="AL367" s="61"/>
      <c r="AM367" s="61"/>
      <c r="AN367" s="61"/>
      <c r="AO367" s="61"/>
    </row>
    <row r="368">
      <c r="A368" s="112"/>
      <c r="B368" s="149"/>
      <c r="C368" s="93"/>
      <c r="D368" s="61"/>
      <c r="E368" s="112"/>
      <c r="F368" s="149"/>
      <c r="G368" s="93"/>
      <c r="H368" s="61"/>
      <c r="I368" s="112"/>
      <c r="J368" s="149"/>
      <c r="K368" s="93"/>
      <c r="L368" s="61"/>
      <c r="M368" s="112"/>
      <c r="N368" s="115"/>
      <c r="O368" s="93"/>
      <c r="P368" s="61"/>
      <c r="Q368" s="180"/>
      <c r="R368" s="115"/>
      <c r="S368" s="93"/>
      <c r="T368" s="61"/>
      <c r="U368" s="180"/>
      <c r="V368" s="115"/>
      <c r="W368" s="93"/>
      <c r="X368" s="61"/>
      <c r="Y368" s="112"/>
      <c r="Z368" s="181"/>
      <c r="AA368" s="182"/>
      <c r="AB368" s="183"/>
      <c r="AC368" s="112"/>
      <c r="AD368" s="115"/>
      <c r="AE368" s="151"/>
      <c r="AF368" s="184"/>
      <c r="AG368" s="188"/>
      <c r="AH368" s="188"/>
      <c r="AI368" s="188"/>
      <c r="AJ368" s="188"/>
      <c r="AK368" s="61"/>
      <c r="AL368" s="61"/>
      <c r="AM368" s="61"/>
      <c r="AN368" s="61"/>
      <c r="AO368" s="61"/>
    </row>
    <row r="369">
      <c r="A369" s="112"/>
      <c r="B369" s="149"/>
      <c r="C369" s="93"/>
      <c r="D369" s="61"/>
      <c r="E369" s="112"/>
      <c r="F369" s="149"/>
      <c r="G369" s="93"/>
      <c r="H369" s="61"/>
      <c r="I369" s="112"/>
      <c r="J369" s="149"/>
      <c r="K369" s="93"/>
      <c r="L369" s="61"/>
      <c r="M369" s="112"/>
      <c r="N369" s="115"/>
      <c r="O369" s="93"/>
      <c r="P369" s="61"/>
      <c r="Q369" s="180"/>
      <c r="R369" s="115"/>
      <c r="S369" s="93"/>
      <c r="T369" s="61"/>
      <c r="U369" s="180"/>
      <c r="V369" s="115"/>
      <c r="W369" s="93"/>
      <c r="X369" s="61"/>
      <c r="Y369" s="112"/>
      <c r="Z369" s="181"/>
      <c r="AA369" s="182"/>
      <c r="AB369" s="183"/>
      <c r="AC369" s="112"/>
      <c r="AD369" s="115"/>
      <c r="AE369" s="151"/>
      <c r="AF369" s="184"/>
      <c r="AG369" s="188"/>
      <c r="AH369" s="188"/>
      <c r="AI369" s="188"/>
      <c r="AJ369" s="188"/>
      <c r="AK369" s="61"/>
      <c r="AL369" s="61"/>
      <c r="AM369" s="61"/>
      <c r="AN369" s="61"/>
      <c r="AO369" s="61"/>
    </row>
    <row r="370">
      <c r="A370" s="112"/>
      <c r="B370" s="149"/>
      <c r="C370" s="93"/>
      <c r="D370" s="61"/>
      <c r="E370" s="112"/>
      <c r="F370" s="149"/>
      <c r="G370" s="93"/>
      <c r="H370" s="61"/>
      <c r="I370" s="112"/>
      <c r="J370" s="149"/>
      <c r="K370" s="93"/>
      <c r="L370" s="61"/>
      <c r="M370" s="112"/>
      <c r="N370" s="115"/>
      <c r="O370" s="93"/>
      <c r="P370" s="61"/>
      <c r="Q370" s="180"/>
      <c r="R370" s="115"/>
      <c r="S370" s="93"/>
      <c r="T370" s="61"/>
      <c r="U370" s="180"/>
      <c r="V370" s="115"/>
      <c r="W370" s="93"/>
      <c r="X370" s="61"/>
      <c r="Y370" s="112"/>
      <c r="Z370" s="181"/>
      <c r="AA370" s="182"/>
      <c r="AB370" s="183"/>
      <c r="AC370" s="112"/>
      <c r="AD370" s="115"/>
      <c r="AE370" s="151"/>
      <c r="AF370" s="184"/>
      <c r="AG370" s="188"/>
      <c r="AH370" s="188"/>
      <c r="AI370" s="188"/>
      <c r="AJ370" s="188"/>
      <c r="AK370" s="61"/>
      <c r="AL370" s="61"/>
      <c r="AM370" s="61"/>
      <c r="AN370" s="61"/>
      <c r="AO370" s="61"/>
    </row>
    <row r="371">
      <c r="A371" s="112"/>
      <c r="B371" s="149"/>
      <c r="C371" s="93"/>
      <c r="D371" s="61"/>
      <c r="E371" s="112"/>
      <c r="F371" s="149"/>
      <c r="G371" s="93"/>
      <c r="H371" s="61"/>
      <c r="I371" s="112"/>
      <c r="J371" s="149"/>
      <c r="K371" s="93"/>
      <c r="L371" s="61"/>
      <c r="M371" s="112"/>
      <c r="N371" s="115"/>
      <c r="O371" s="93"/>
      <c r="P371" s="61"/>
      <c r="Q371" s="180"/>
      <c r="R371" s="115"/>
      <c r="S371" s="93"/>
      <c r="T371" s="61"/>
      <c r="U371" s="180"/>
      <c r="V371" s="115"/>
      <c r="W371" s="93"/>
      <c r="X371" s="61"/>
      <c r="Y371" s="112"/>
      <c r="Z371" s="181"/>
      <c r="AA371" s="182"/>
      <c r="AB371" s="183"/>
      <c r="AC371" s="112"/>
      <c r="AD371" s="115"/>
      <c r="AE371" s="151"/>
      <c r="AF371" s="184"/>
      <c r="AG371" s="188"/>
      <c r="AH371" s="188"/>
      <c r="AI371" s="188"/>
      <c r="AJ371" s="188"/>
      <c r="AK371" s="61"/>
      <c r="AL371" s="61"/>
      <c r="AM371" s="61"/>
      <c r="AN371" s="61"/>
      <c r="AO371" s="61"/>
    </row>
    <row r="372">
      <c r="A372" s="112"/>
      <c r="B372" s="149"/>
      <c r="C372" s="93"/>
      <c r="D372" s="61"/>
      <c r="E372" s="112"/>
      <c r="F372" s="149"/>
      <c r="G372" s="93"/>
      <c r="H372" s="61"/>
      <c r="I372" s="112"/>
      <c r="J372" s="149"/>
      <c r="K372" s="93"/>
      <c r="L372" s="61"/>
      <c r="M372" s="112"/>
      <c r="N372" s="115"/>
      <c r="O372" s="93"/>
      <c r="P372" s="61"/>
      <c r="Q372" s="180"/>
      <c r="R372" s="115"/>
      <c r="S372" s="93"/>
      <c r="T372" s="61"/>
      <c r="U372" s="180"/>
      <c r="V372" s="115"/>
      <c r="W372" s="93"/>
      <c r="X372" s="61"/>
      <c r="Y372" s="112"/>
      <c r="Z372" s="181"/>
      <c r="AA372" s="182"/>
      <c r="AB372" s="183"/>
      <c r="AC372" s="112"/>
      <c r="AD372" s="115"/>
      <c r="AE372" s="151"/>
      <c r="AF372" s="184"/>
      <c r="AG372" s="188"/>
      <c r="AH372" s="188"/>
      <c r="AI372" s="188"/>
      <c r="AJ372" s="188"/>
      <c r="AK372" s="61"/>
      <c r="AL372" s="61"/>
      <c r="AM372" s="61"/>
      <c r="AN372" s="61"/>
      <c r="AO372" s="61"/>
    </row>
    <row r="373">
      <c r="A373" s="112"/>
      <c r="B373" s="149"/>
      <c r="C373" s="93"/>
      <c r="D373" s="61"/>
      <c r="E373" s="112"/>
      <c r="F373" s="149"/>
      <c r="G373" s="93"/>
      <c r="H373" s="61"/>
      <c r="I373" s="112"/>
      <c r="J373" s="149"/>
      <c r="K373" s="93"/>
      <c r="L373" s="61"/>
      <c r="M373" s="112"/>
      <c r="N373" s="115"/>
      <c r="O373" s="93"/>
      <c r="P373" s="61"/>
      <c r="Q373" s="180"/>
      <c r="R373" s="115"/>
      <c r="S373" s="93"/>
      <c r="T373" s="61"/>
      <c r="U373" s="180"/>
      <c r="V373" s="115"/>
      <c r="W373" s="93"/>
      <c r="X373" s="61"/>
      <c r="Y373" s="112"/>
      <c r="Z373" s="181"/>
      <c r="AA373" s="182"/>
      <c r="AB373" s="183"/>
      <c r="AC373" s="112"/>
      <c r="AD373" s="115"/>
      <c r="AE373" s="151"/>
      <c r="AF373" s="184"/>
      <c r="AG373" s="188"/>
      <c r="AH373" s="188"/>
      <c r="AI373" s="188"/>
      <c r="AJ373" s="188"/>
      <c r="AK373" s="61"/>
      <c r="AL373" s="61"/>
      <c r="AM373" s="61"/>
      <c r="AN373" s="61"/>
      <c r="AO373" s="61"/>
    </row>
    <row r="374">
      <c r="A374" s="112"/>
      <c r="B374" s="149"/>
      <c r="C374" s="93"/>
      <c r="D374" s="61"/>
      <c r="E374" s="112"/>
      <c r="F374" s="149"/>
      <c r="G374" s="93"/>
      <c r="H374" s="61"/>
      <c r="I374" s="112"/>
      <c r="J374" s="149"/>
      <c r="K374" s="93"/>
      <c r="L374" s="61"/>
      <c r="M374" s="112"/>
      <c r="N374" s="115"/>
      <c r="O374" s="93"/>
      <c r="P374" s="61"/>
      <c r="Q374" s="180"/>
      <c r="R374" s="115"/>
      <c r="S374" s="93"/>
      <c r="T374" s="61"/>
      <c r="U374" s="180"/>
      <c r="V374" s="115"/>
      <c r="W374" s="93"/>
      <c r="X374" s="61"/>
      <c r="Y374" s="112"/>
      <c r="Z374" s="181"/>
      <c r="AA374" s="182"/>
      <c r="AB374" s="183"/>
      <c r="AC374" s="112"/>
      <c r="AD374" s="115"/>
      <c r="AE374" s="151"/>
      <c r="AF374" s="184"/>
      <c r="AG374" s="188"/>
      <c r="AH374" s="188"/>
      <c r="AI374" s="188"/>
      <c r="AJ374" s="188"/>
      <c r="AK374" s="61"/>
      <c r="AL374" s="61"/>
      <c r="AM374" s="61"/>
      <c r="AN374" s="61"/>
      <c r="AO374" s="61"/>
    </row>
    <row r="375">
      <c r="A375" s="112"/>
      <c r="B375" s="149"/>
      <c r="C375" s="93"/>
      <c r="D375" s="61"/>
      <c r="E375" s="112"/>
      <c r="F375" s="149"/>
      <c r="G375" s="93"/>
      <c r="H375" s="61"/>
      <c r="I375" s="112"/>
      <c r="J375" s="149"/>
      <c r="K375" s="93"/>
      <c r="L375" s="61"/>
      <c r="M375" s="112"/>
      <c r="N375" s="115"/>
      <c r="O375" s="93"/>
      <c r="P375" s="61"/>
      <c r="Q375" s="180"/>
      <c r="R375" s="115"/>
      <c r="S375" s="93"/>
      <c r="T375" s="61"/>
      <c r="U375" s="180"/>
      <c r="V375" s="115"/>
      <c r="W375" s="93"/>
      <c r="X375" s="61"/>
      <c r="Y375" s="112"/>
      <c r="Z375" s="181"/>
      <c r="AA375" s="182"/>
      <c r="AB375" s="183"/>
      <c r="AC375" s="112"/>
      <c r="AD375" s="115"/>
      <c r="AE375" s="151"/>
      <c r="AF375" s="184"/>
      <c r="AG375" s="188"/>
      <c r="AH375" s="188"/>
      <c r="AI375" s="188"/>
      <c r="AJ375" s="188"/>
      <c r="AK375" s="61"/>
      <c r="AL375" s="61"/>
      <c r="AM375" s="61"/>
      <c r="AN375" s="61"/>
      <c r="AO375" s="61"/>
    </row>
    <row r="376">
      <c r="A376" s="112"/>
      <c r="B376" s="149"/>
      <c r="C376" s="93"/>
      <c r="D376" s="61"/>
      <c r="E376" s="112"/>
      <c r="F376" s="149"/>
      <c r="G376" s="93"/>
      <c r="H376" s="61"/>
      <c r="I376" s="112"/>
      <c r="J376" s="149"/>
      <c r="K376" s="93"/>
      <c r="L376" s="61"/>
      <c r="M376" s="112"/>
      <c r="N376" s="115"/>
      <c r="O376" s="93"/>
      <c r="P376" s="61"/>
      <c r="Q376" s="180"/>
      <c r="R376" s="115"/>
      <c r="S376" s="93"/>
      <c r="T376" s="61"/>
      <c r="U376" s="180"/>
      <c r="V376" s="115"/>
      <c r="W376" s="93"/>
      <c r="X376" s="61"/>
      <c r="Y376" s="112"/>
      <c r="Z376" s="181"/>
      <c r="AA376" s="182"/>
      <c r="AB376" s="183"/>
      <c r="AC376" s="112"/>
      <c r="AD376" s="115"/>
      <c r="AE376" s="151"/>
      <c r="AF376" s="184"/>
      <c r="AG376" s="188"/>
      <c r="AH376" s="188"/>
      <c r="AI376" s="188"/>
      <c r="AJ376" s="188"/>
      <c r="AK376" s="61"/>
      <c r="AL376" s="61"/>
      <c r="AM376" s="61"/>
      <c r="AN376" s="61"/>
      <c r="AO376" s="61"/>
    </row>
    <row r="377">
      <c r="A377" s="112"/>
      <c r="B377" s="149"/>
      <c r="C377" s="93"/>
      <c r="D377" s="61"/>
      <c r="E377" s="112"/>
      <c r="F377" s="149"/>
      <c r="G377" s="93"/>
      <c r="H377" s="61"/>
      <c r="I377" s="112"/>
      <c r="J377" s="149"/>
      <c r="K377" s="93"/>
      <c r="L377" s="61"/>
      <c r="M377" s="112"/>
      <c r="N377" s="115"/>
      <c r="O377" s="93"/>
      <c r="P377" s="61"/>
      <c r="Q377" s="180"/>
      <c r="R377" s="115"/>
      <c r="S377" s="93"/>
      <c r="T377" s="61"/>
      <c r="U377" s="180"/>
      <c r="V377" s="115"/>
      <c r="W377" s="93"/>
      <c r="X377" s="61"/>
      <c r="Y377" s="112"/>
      <c r="Z377" s="181"/>
      <c r="AA377" s="182"/>
      <c r="AB377" s="183"/>
      <c r="AC377" s="112"/>
      <c r="AD377" s="115"/>
      <c r="AE377" s="151"/>
      <c r="AF377" s="184"/>
      <c r="AG377" s="188"/>
      <c r="AH377" s="188"/>
      <c r="AI377" s="188"/>
      <c r="AJ377" s="188"/>
      <c r="AK377" s="61"/>
      <c r="AL377" s="61"/>
      <c r="AM377" s="61"/>
      <c r="AN377" s="61"/>
      <c r="AO377" s="61"/>
    </row>
    <row r="378">
      <c r="A378" s="112"/>
      <c r="B378" s="149"/>
      <c r="C378" s="93"/>
      <c r="D378" s="61"/>
      <c r="E378" s="112"/>
      <c r="F378" s="149"/>
      <c r="G378" s="93"/>
      <c r="H378" s="61"/>
      <c r="I378" s="112"/>
      <c r="J378" s="149"/>
      <c r="K378" s="93"/>
      <c r="L378" s="61"/>
      <c r="M378" s="112"/>
      <c r="N378" s="115"/>
      <c r="O378" s="93"/>
      <c r="P378" s="61"/>
      <c r="Q378" s="180"/>
      <c r="R378" s="115"/>
      <c r="S378" s="93"/>
      <c r="T378" s="61"/>
      <c r="U378" s="180"/>
      <c r="V378" s="115"/>
      <c r="W378" s="93"/>
      <c r="X378" s="61"/>
      <c r="Y378" s="112"/>
      <c r="Z378" s="181"/>
      <c r="AA378" s="182"/>
      <c r="AB378" s="183"/>
      <c r="AC378" s="112"/>
      <c r="AD378" s="115"/>
      <c r="AE378" s="151"/>
      <c r="AF378" s="184"/>
      <c r="AG378" s="188"/>
      <c r="AH378" s="188"/>
      <c r="AI378" s="188"/>
      <c r="AJ378" s="188"/>
      <c r="AK378" s="61"/>
      <c r="AL378" s="61"/>
      <c r="AM378" s="61"/>
      <c r="AN378" s="61"/>
      <c r="AO378" s="61"/>
    </row>
    <row r="379">
      <c r="A379" s="112"/>
      <c r="B379" s="149"/>
      <c r="C379" s="93"/>
      <c r="D379" s="61"/>
      <c r="E379" s="112"/>
      <c r="F379" s="149"/>
      <c r="G379" s="93"/>
      <c r="H379" s="61"/>
      <c r="I379" s="112"/>
      <c r="J379" s="149"/>
      <c r="K379" s="93"/>
      <c r="L379" s="61"/>
      <c r="M379" s="112"/>
      <c r="N379" s="115"/>
      <c r="O379" s="93"/>
      <c r="P379" s="61"/>
      <c r="Q379" s="180"/>
      <c r="R379" s="115"/>
      <c r="S379" s="93"/>
      <c r="T379" s="61"/>
      <c r="U379" s="180"/>
      <c r="V379" s="115"/>
      <c r="W379" s="93"/>
      <c r="X379" s="61"/>
      <c r="Y379" s="112"/>
      <c r="Z379" s="181"/>
      <c r="AA379" s="182"/>
      <c r="AB379" s="183"/>
      <c r="AC379" s="112"/>
      <c r="AD379" s="115"/>
      <c r="AE379" s="151"/>
      <c r="AF379" s="184"/>
      <c r="AG379" s="188"/>
      <c r="AH379" s="188"/>
      <c r="AI379" s="188"/>
      <c r="AJ379" s="188"/>
      <c r="AK379" s="61"/>
      <c r="AL379" s="61"/>
      <c r="AM379" s="61"/>
      <c r="AN379" s="61"/>
      <c r="AO379" s="61"/>
    </row>
    <row r="380">
      <c r="A380" s="112"/>
      <c r="B380" s="149"/>
      <c r="C380" s="93"/>
      <c r="D380" s="61"/>
      <c r="E380" s="112"/>
      <c r="F380" s="149"/>
      <c r="G380" s="93"/>
      <c r="H380" s="61"/>
      <c r="I380" s="112"/>
      <c r="J380" s="149"/>
      <c r="K380" s="93"/>
      <c r="L380" s="61"/>
      <c r="M380" s="112"/>
      <c r="N380" s="115"/>
      <c r="O380" s="93"/>
      <c r="P380" s="61"/>
      <c r="Q380" s="180"/>
      <c r="R380" s="115"/>
      <c r="S380" s="93"/>
      <c r="T380" s="61"/>
      <c r="U380" s="180"/>
      <c r="V380" s="115"/>
      <c r="W380" s="93"/>
      <c r="X380" s="61"/>
      <c r="Y380" s="112"/>
      <c r="Z380" s="181"/>
      <c r="AA380" s="182"/>
      <c r="AB380" s="183"/>
      <c r="AC380" s="112"/>
      <c r="AD380" s="115"/>
      <c r="AE380" s="151"/>
      <c r="AF380" s="184"/>
      <c r="AG380" s="188"/>
      <c r="AH380" s="188"/>
      <c r="AI380" s="188"/>
      <c r="AJ380" s="188"/>
      <c r="AK380" s="61"/>
      <c r="AL380" s="61"/>
      <c r="AM380" s="61"/>
      <c r="AN380" s="61"/>
      <c r="AO380" s="61"/>
    </row>
    <row r="381">
      <c r="A381" s="112"/>
      <c r="B381" s="149"/>
      <c r="C381" s="93"/>
      <c r="D381" s="61"/>
      <c r="E381" s="112"/>
      <c r="F381" s="149"/>
      <c r="G381" s="93"/>
      <c r="H381" s="61"/>
      <c r="I381" s="112"/>
      <c r="J381" s="149"/>
      <c r="K381" s="93"/>
      <c r="L381" s="61"/>
      <c r="M381" s="112"/>
      <c r="N381" s="115"/>
      <c r="O381" s="93"/>
      <c r="P381" s="61"/>
      <c r="Q381" s="180"/>
      <c r="R381" s="115"/>
      <c r="S381" s="93"/>
      <c r="T381" s="61"/>
      <c r="U381" s="180"/>
      <c r="V381" s="115"/>
      <c r="W381" s="93"/>
      <c r="X381" s="61"/>
      <c r="Y381" s="112"/>
      <c r="Z381" s="181"/>
      <c r="AA381" s="182"/>
      <c r="AB381" s="183"/>
      <c r="AC381" s="112"/>
      <c r="AD381" s="115"/>
      <c r="AE381" s="151"/>
      <c r="AF381" s="184"/>
      <c r="AG381" s="188"/>
      <c r="AH381" s="188"/>
      <c r="AI381" s="188"/>
      <c r="AJ381" s="188"/>
      <c r="AK381" s="61"/>
      <c r="AL381" s="61"/>
      <c r="AM381" s="61"/>
      <c r="AN381" s="61"/>
      <c r="AO381" s="61"/>
    </row>
    <row r="382">
      <c r="A382" s="112"/>
      <c r="B382" s="149"/>
      <c r="C382" s="93"/>
      <c r="D382" s="61"/>
      <c r="E382" s="112"/>
      <c r="F382" s="149"/>
      <c r="G382" s="93"/>
      <c r="H382" s="61"/>
      <c r="I382" s="112"/>
      <c r="J382" s="149"/>
      <c r="K382" s="93"/>
      <c r="L382" s="61"/>
      <c r="M382" s="112"/>
      <c r="N382" s="115"/>
      <c r="O382" s="93"/>
      <c r="P382" s="61"/>
      <c r="Q382" s="180"/>
      <c r="R382" s="115"/>
      <c r="S382" s="93"/>
      <c r="T382" s="61"/>
      <c r="U382" s="180"/>
      <c r="V382" s="115"/>
      <c r="W382" s="93"/>
      <c r="X382" s="61"/>
      <c r="Y382" s="112"/>
      <c r="Z382" s="181"/>
      <c r="AA382" s="182"/>
      <c r="AB382" s="183"/>
      <c r="AC382" s="112"/>
      <c r="AD382" s="115"/>
      <c r="AE382" s="151"/>
      <c r="AF382" s="184"/>
      <c r="AG382" s="188"/>
      <c r="AH382" s="188"/>
      <c r="AI382" s="188"/>
      <c r="AJ382" s="188"/>
      <c r="AK382" s="61"/>
      <c r="AL382" s="61"/>
      <c r="AM382" s="61"/>
      <c r="AN382" s="61"/>
      <c r="AO382" s="61"/>
    </row>
    <row r="383">
      <c r="A383" s="112"/>
      <c r="B383" s="149"/>
      <c r="C383" s="93"/>
      <c r="D383" s="61"/>
      <c r="E383" s="112"/>
      <c r="F383" s="149"/>
      <c r="G383" s="93"/>
      <c r="H383" s="61"/>
      <c r="I383" s="112"/>
      <c r="J383" s="149"/>
      <c r="K383" s="93"/>
      <c r="L383" s="61"/>
      <c r="M383" s="112"/>
      <c r="N383" s="115"/>
      <c r="O383" s="93"/>
      <c r="P383" s="61"/>
      <c r="Q383" s="180"/>
      <c r="R383" s="115"/>
      <c r="S383" s="93"/>
      <c r="T383" s="61"/>
      <c r="U383" s="180"/>
      <c r="V383" s="115"/>
      <c r="W383" s="93"/>
      <c r="X383" s="61"/>
      <c r="Y383" s="112"/>
      <c r="Z383" s="181"/>
      <c r="AA383" s="182"/>
      <c r="AB383" s="183"/>
      <c r="AC383" s="112"/>
      <c r="AD383" s="115"/>
      <c r="AE383" s="151"/>
      <c r="AF383" s="184"/>
      <c r="AG383" s="188"/>
      <c r="AH383" s="188"/>
      <c r="AI383" s="188"/>
      <c r="AJ383" s="188"/>
      <c r="AK383" s="61"/>
      <c r="AL383" s="61"/>
      <c r="AM383" s="61"/>
      <c r="AN383" s="61"/>
      <c r="AO383" s="61"/>
    </row>
    <row r="384">
      <c r="A384" s="112"/>
      <c r="B384" s="149"/>
      <c r="C384" s="93"/>
      <c r="D384" s="61"/>
      <c r="E384" s="112"/>
      <c r="F384" s="149"/>
      <c r="G384" s="93"/>
      <c r="H384" s="61"/>
      <c r="I384" s="112"/>
      <c r="J384" s="149"/>
      <c r="K384" s="93"/>
      <c r="L384" s="61"/>
      <c r="M384" s="112"/>
      <c r="N384" s="115"/>
      <c r="O384" s="93"/>
      <c r="P384" s="61"/>
      <c r="Q384" s="180"/>
      <c r="R384" s="115"/>
      <c r="S384" s="93"/>
      <c r="T384" s="61"/>
      <c r="U384" s="180"/>
      <c r="V384" s="115"/>
      <c r="W384" s="93"/>
      <c r="X384" s="61"/>
      <c r="Y384" s="112"/>
      <c r="Z384" s="181"/>
      <c r="AA384" s="182"/>
      <c r="AB384" s="183"/>
      <c r="AC384" s="112"/>
      <c r="AD384" s="115"/>
      <c r="AE384" s="151"/>
      <c r="AF384" s="184"/>
      <c r="AG384" s="188"/>
      <c r="AH384" s="188"/>
      <c r="AI384" s="188"/>
      <c r="AJ384" s="188"/>
      <c r="AK384" s="61"/>
      <c r="AL384" s="61"/>
      <c r="AM384" s="61"/>
      <c r="AN384" s="61"/>
      <c r="AO384" s="61"/>
    </row>
    <row r="385">
      <c r="A385" s="112"/>
      <c r="B385" s="149"/>
      <c r="C385" s="93"/>
      <c r="D385" s="61"/>
      <c r="E385" s="112"/>
      <c r="F385" s="149"/>
      <c r="G385" s="93"/>
      <c r="H385" s="61"/>
      <c r="I385" s="112"/>
      <c r="J385" s="149"/>
      <c r="K385" s="93"/>
      <c r="L385" s="61"/>
      <c r="M385" s="112"/>
      <c r="N385" s="115"/>
      <c r="O385" s="93"/>
      <c r="P385" s="61"/>
      <c r="Q385" s="180"/>
      <c r="R385" s="115"/>
      <c r="S385" s="93"/>
      <c r="T385" s="61"/>
      <c r="U385" s="180"/>
      <c r="V385" s="115"/>
      <c r="W385" s="93"/>
      <c r="X385" s="61"/>
      <c r="Y385" s="112"/>
      <c r="Z385" s="181"/>
      <c r="AA385" s="182"/>
      <c r="AB385" s="183"/>
      <c r="AC385" s="112"/>
      <c r="AD385" s="115"/>
      <c r="AE385" s="151"/>
      <c r="AF385" s="184"/>
      <c r="AG385" s="188"/>
      <c r="AH385" s="188"/>
      <c r="AI385" s="188"/>
      <c r="AJ385" s="188"/>
      <c r="AK385" s="61"/>
      <c r="AL385" s="61"/>
      <c r="AM385" s="61"/>
      <c r="AN385" s="61"/>
      <c r="AO385" s="61"/>
    </row>
    <row r="386">
      <c r="A386" s="112"/>
      <c r="B386" s="149"/>
      <c r="C386" s="93"/>
      <c r="D386" s="61"/>
      <c r="E386" s="112"/>
      <c r="F386" s="149"/>
      <c r="G386" s="93"/>
      <c r="H386" s="61"/>
      <c r="I386" s="112"/>
      <c r="J386" s="149"/>
      <c r="K386" s="93"/>
      <c r="L386" s="61"/>
      <c r="M386" s="112"/>
      <c r="N386" s="115"/>
      <c r="O386" s="93"/>
      <c r="P386" s="61"/>
      <c r="Q386" s="180"/>
      <c r="R386" s="115"/>
      <c r="S386" s="93"/>
      <c r="T386" s="61"/>
      <c r="U386" s="180"/>
      <c r="V386" s="115"/>
      <c r="W386" s="93"/>
      <c r="X386" s="61"/>
      <c r="Y386" s="112"/>
      <c r="Z386" s="181"/>
      <c r="AA386" s="182"/>
      <c r="AB386" s="183"/>
      <c r="AC386" s="112"/>
      <c r="AD386" s="115"/>
      <c r="AE386" s="151"/>
      <c r="AF386" s="184"/>
      <c r="AG386" s="188"/>
      <c r="AH386" s="188"/>
      <c r="AI386" s="188"/>
      <c r="AJ386" s="188"/>
      <c r="AK386" s="61"/>
      <c r="AL386" s="61"/>
      <c r="AM386" s="61"/>
      <c r="AN386" s="61"/>
      <c r="AO386" s="61"/>
    </row>
    <row r="387">
      <c r="A387" s="112"/>
      <c r="B387" s="149"/>
      <c r="C387" s="93"/>
      <c r="D387" s="61"/>
      <c r="E387" s="112"/>
      <c r="F387" s="149"/>
      <c r="G387" s="93"/>
      <c r="H387" s="61"/>
      <c r="I387" s="112"/>
      <c r="J387" s="149"/>
      <c r="K387" s="93"/>
      <c r="L387" s="61"/>
      <c r="M387" s="112"/>
      <c r="N387" s="115"/>
      <c r="O387" s="93"/>
      <c r="P387" s="61"/>
      <c r="Q387" s="180"/>
      <c r="R387" s="115"/>
      <c r="S387" s="93"/>
      <c r="T387" s="61"/>
      <c r="U387" s="180"/>
      <c r="V387" s="115"/>
      <c r="W387" s="93"/>
      <c r="X387" s="61"/>
      <c r="Y387" s="112"/>
      <c r="Z387" s="181"/>
      <c r="AA387" s="182"/>
      <c r="AB387" s="183"/>
      <c r="AC387" s="112"/>
      <c r="AD387" s="115"/>
      <c r="AE387" s="151"/>
      <c r="AF387" s="184"/>
      <c r="AG387" s="188"/>
      <c r="AH387" s="188"/>
      <c r="AI387" s="188"/>
      <c r="AJ387" s="188"/>
      <c r="AK387" s="61"/>
      <c r="AL387" s="61"/>
      <c r="AM387" s="61"/>
      <c r="AN387" s="61"/>
      <c r="AO387" s="61"/>
    </row>
    <row r="388">
      <c r="A388" s="112"/>
      <c r="B388" s="149"/>
      <c r="C388" s="93"/>
      <c r="D388" s="61"/>
      <c r="E388" s="112"/>
      <c r="F388" s="149"/>
      <c r="G388" s="93"/>
      <c r="H388" s="61"/>
      <c r="I388" s="112"/>
      <c r="J388" s="149"/>
      <c r="K388" s="93"/>
      <c r="L388" s="61"/>
      <c r="M388" s="112"/>
      <c r="N388" s="115"/>
      <c r="O388" s="93"/>
      <c r="P388" s="61"/>
      <c r="Q388" s="180"/>
      <c r="R388" s="115"/>
      <c r="S388" s="93"/>
      <c r="T388" s="61"/>
      <c r="U388" s="180"/>
      <c r="V388" s="115"/>
      <c r="W388" s="93"/>
      <c r="X388" s="61"/>
      <c r="Y388" s="112"/>
      <c r="Z388" s="181"/>
      <c r="AA388" s="182"/>
      <c r="AB388" s="183"/>
      <c r="AC388" s="112"/>
      <c r="AD388" s="115"/>
      <c r="AE388" s="151"/>
      <c r="AF388" s="184"/>
      <c r="AG388" s="188"/>
      <c r="AH388" s="188"/>
      <c r="AI388" s="188"/>
      <c r="AJ388" s="188"/>
      <c r="AK388" s="61"/>
      <c r="AL388" s="61"/>
      <c r="AM388" s="61"/>
      <c r="AN388" s="61"/>
      <c r="AO388" s="61"/>
    </row>
    <row r="389">
      <c r="A389" s="112"/>
      <c r="B389" s="149"/>
      <c r="C389" s="93"/>
      <c r="D389" s="61"/>
      <c r="E389" s="112"/>
      <c r="F389" s="149"/>
      <c r="G389" s="93"/>
      <c r="H389" s="61"/>
      <c r="I389" s="112"/>
      <c r="J389" s="149"/>
      <c r="K389" s="93"/>
      <c r="L389" s="61"/>
      <c r="M389" s="112"/>
      <c r="N389" s="115"/>
      <c r="O389" s="93"/>
      <c r="P389" s="61"/>
      <c r="Q389" s="180"/>
      <c r="R389" s="115"/>
      <c r="S389" s="93"/>
      <c r="T389" s="61"/>
      <c r="U389" s="180"/>
      <c r="V389" s="115"/>
      <c r="W389" s="93"/>
      <c r="X389" s="61"/>
      <c r="Y389" s="112"/>
      <c r="Z389" s="181"/>
      <c r="AA389" s="182"/>
      <c r="AB389" s="183"/>
      <c r="AC389" s="112"/>
      <c r="AD389" s="115"/>
      <c r="AE389" s="151"/>
      <c r="AF389" s="184"/>
      <c r="AG389" s="188"/>
      <c r="AH389" s="188"/>
      <c r="AI389" s="188"/>
      <c r="AJ389" s="188"/>
      <c r="AK389" s="61"/>
      <c r="AL389" s="61"/>
      <c r="AM389" s="61"/>
      <c r="AN389" s="61"/>
      <c r="AO389" s="61"/>
    </row>
    <row r="390">
      <c r="A390" s="112"/>
      <c r="B390" s="149"/>
      <c r="C390" s="93"/>
      <c r="D390" s="61"/>
      <c r="E390" s="112"/>
      <c r="F390" s="149"/>
      <c r="G390" s="93"/>
      <c r="H390" s="61"/>
      <c r="I390" s="112"/>
      <c r="J390" s="149"/>
      <c r="K390" s="93"/>
      <c r="L390" s="61"/>
      <c r="M390" s="112"/>
      <c r="N390" s="115"/>
      <c r="O390" s="93"/>
      <c r="P390" s="61"/>
      <c r="Q390" s="180"/>
      <c r="R390" s="115"/>
      <c r="S390" s="93"/>
      <c r="T390" s="61"/>
      <c r="U390" s="180"/>
      <c r="V390" s="115"/>
      <c r="W390" s="93"/>
      <c r="X390" s="61"/>
      <c r="Y390" s="112"/>
      <c r="Z390" s="181"/>
      <c r="AA390" s="182"/>
      <c r="AB390" s="183"/>
      <c r="AC390" s="112"/>
      <c r="AD390" s="115"/>
      <c r="AE390" s="151"/>
      <c r="AF390" s="184"/>
      <c r="AG390" s="188"/>
      <c r="AH390" s="188"/>
      <c r="AI390" s="188"/>
      <c r="AJ390" s="188"/>
      <c r="AK390" s="61"/>
      <c r="AL390" s="61"/>
      <c r="AM390" s="61"/>
      <c r="AN390" s="61"/>
      <c r="AO390" s="61"/>
    </row>
    <row r="391">
      <c r="A391" s="112"/>
      <c r="B391" s="149"/>
      <c r="C391" s="93"/>
      <c r="D391" s="61"/>
      <c r="E391" s="112"/>
      <c r="F391" s="149"/>
      <c r="G391" s="93"/>
      <c r="H391" s="61"/>
      <c r="I391" s="112"/>
      <c r="J391" s="149"/>
      <c r="K391" s="93"/>
      <c r="L391" s="61"/>
      <c r="M391" s="112"/>
      <c r="N391" s="115"/>
      <c r="O391" s="93"/>
      <c r="P391" s="61"/>
      <c r="Q391" s="180"/>
      <c r="R391" s="115"/>
      <c r="S391" s="93"/>
      <c r="T391" s="61"/>
      <c r="U391" s="180"/>
      <c r="V391" s="115"/>
      <c r="W391" s="93"/>
      <c r="X391" s="61"/>
      <c r="Y391" s="112"/>
      <c r="Z391" s="181"/>
      <c r="AA391" s="182"/>
      <c r="AB391" s="183"/>
      <c r="AC391" s="112"/>
      <c r="AD391" s="115"/>
      <c r="AE391" s="151"/>
      <c r="AF391" s="184"/>
      <c r="AG391" s="188"/>
      <c r="AH391" s="188"/>
      <c r="AI391" s="188"/>
      <c r="AJ391" s="188"/>
      <c r="AK391" s="61"/>
      <c r="AL391" s="61"/>
      <c r="AM391" s="61"/>
      <c r="AN391" s="61"/>
      <c r="AO391" s="61"/>
    </row>
    <row r="392">
      <c r="A392" s="112"/>
      <c r="B392" s="149"/>
      <c r="C392" s="93"/>
      <c r="D392" s="61"/>
      <c r="E392" s="112"/>
      <c r="F392" s="149"/>
      <c r="G392" s="93"/>
      <c r="H392" s="61"/>
      <c r="I392" s="112"/>
      <c r="J392" s="149"/>
      <c r="K392" s="93"/>
      <c r="L392" s="61"/>
      <c r="M392" s="112"/>
      <c r="N392" s="115"/>
      <c r="O392" s="93"/>
      <c r="P392" s="61"/>
      <c r="Q392" s="180"/>
      <c r="R392" s="115"/>
      <c r="S392" s="93"/>
      <c r="T392" s="61"/>
      <c r="U392" s="180"/>
      <c r="V392" s="115"/>
      <c r="W392" s="93"/>
      <c r="X392" s="61"/>
      <c r="Y392" s="112"/>
      <c r="Z392" s="181"/>
      <c r="AA392" s="182"/>
      <c r="AB392" s="183"/>
      <c r="AC392" s="112"/>
      <c r="AD392" s="115"/>
      <c r="AE392" s="151"/>
      <c r="AF392" s="184"/>
      <c r="AG392" s="188"/>
      <c r="AH392" s="188"/>
      <c r="AI392" s="188"/>
      <c r="AJ392" s="188"/>
      <c r="AK392" s="61"/>
      <c r="AL392" s="61"/>
      <c r="AM392" s="61"/>
      <c r="AN392" s="61"/>
      <c r="AO392" s="61"/>
    </row>
    <row r="393">
      <c r="A393" s="112"/>
      <c r="B393" s="149"/>
      <c r="C393" s="93"/>
      <c r="D393" s="61"/>
      <c r="E393" s="112"/>
      <c r="F393" s="149"/>
      <c r="G393" s="93"/>
      <c r="H393" s="61"/>
      <c r="I393" s="112"/>
      <c r="J393" s="149"/>
      <c r="K393" s="93"/>
      <c r="L393" s="61"/>
      <c r="M393" s="112"/>
      <c r="N393" s="115"/>
      <c r="O393" s="93"/>
      <c r="P393" s="61"/>
      <c r="Q393" s="180"/>
      <c r="R393" s="115"/>
      <c r="S393" s="93"/>
      <c r="T393" s="61"/>
      <c r="U393" s="180"/>
      <c r="V393" s="115"/>
      <c r="W393" s="93"/>
      <c r="X393" s="61"/>
      <c r="Y393" s="112"/>
      <c r="Z393" s="181"/>
      <c r="AA393" s="182"/>
      <c r="AB393" s="183"/>
      <c r="AC393" s="112"/>
      <c r="AD393" s="115"/>
      <c r="AE393" s="151"/>
      <c r="AF393" s="184"/>
      <c r="AG393" s="188"/>
      <c r="AH393" s="188"/>
      <c r="AI393" s="188"/>
      <c r="AJ393" s="188"/>
      <c r="AK393" s="61"/>
      <c r="AL393" s="61"/>
      <c r="AM393" s="61"/>
      <c r="AN393" s="61"/>
      <c r="AO393" s="61"/>
    </row>
    <row r="394">
      <c r="A394" s="112"/>
      <c r="B394" s="149"/>
      <c r="C394" s="93"/>
      <c r="D394" s="61"/>
      <c r="E394" s="112"/>
      <c r="F394" s="149"/>
      <c r="G394" s="93"/>
      <c r="H394" s="61"/>
      <c r="I394" s="112"/>
      <c r="J394" s="149"/>
      <c r="K394" s="93"/>
      <c r="L394" s="61"/>
      <c r="M394" s="112"/>
      <c r="N394" s="115"/>
      <c r="O394" s="93"/>
      <c r="P394" s="61"/>
      <c r="Q394" s="180"/>
      <c r="R394" s="115"/>
      <c r="S394" s="93"/>
      <c r="T394" s="61"/>
      <c r="U394" s="180"/>
      <c r="V394" s="115"/>
      <c r="W394" s="93"/>
      <c r="X394" s="61"/>
      <c r="Y394" s="112"/>
      <c r="Z394" s="181"/>
      <c r="AA394" s="182"/>
      <c r="AB394" s="183"/>
      <c r="AC394" s="112"/>
      <c r="AD394" s="115"/>
      <c r="AE394" s="151"/>
      <c r="AF394" s="184"/>
      <c r="AG394" s="188"/>
      <c r="AH394" s="188"/>
      <c r="AI394" s="188"/>
      <c r="AJ394" s="188"/>
      <c r="AK394" s="61"/>
      <c r="AL394" s="61"/>
      <c r="AM394" s="61"/>
      <c r="AN394" s="61"/>
      <c r="AO394" s="61"/>
    </row>
    <row r="395">
      <c r="A395" s="112"/>
      <c r="B395" s="149"/>
      <c r="C395" s="93"/>
      <c r="D395" s="61"/>
      <c r="E395" s="112"/>
      <c r="F395" s="149"/>
      <c r="G395" s="93"/>
      <c r="H395" s="61"/>
      <c r="I395" s="112"/>
      <c r="J395" s="149"/>
      <c r="K395" s="93"/>
      <c r="L395" s="61"/>
      <c r="M395" s="112"/>
      <c r="N395" s="115"/>
      <c r="O395" s="93"/>
      <c r="P395" s="61"/>
      <c r="Q395" s="180"/>
      <c r="R395" s="115"/>
      <c r="S395" s="93"/>
      <c r="T395" s="61"/>
      <c r="U395" s="180"/>
      <c r="V395" s="115"/>
      <c r="W395" s="93"/>
      <c r="X395" s="61"/>
      <c r="Y395" s="112"/>
      <c r="Z395" s="181"/>
      <c r="AA395" s="182"/>
      <c r="AB395" s="183"/>
      <c r="AC395" s="112"/>
      <c r="AD395" s="115"/>
      <c r="AE395" s="151"/>
      <c r="AF395" s="184"/>
      <c r="AG395" s="188"/>
      <c r="AH395" s="188"/>
      <c r="AI395" s="188"/>
      <c r="AJ395" s="188"/>
      <c r="AK395" s="61"/>
      <c r="AL395" s="61"/>
      <c r="AM395" s="61"/>
      <c r="AN395" s="61"/>
      <c r="AO395" s="61"/>
    </row>
    <row r="396">
      <c r="A396" s="112"/>
      <c r="B396" s="149"/>
      <c r="C396" s="93"/>
      <c r="D396" s="61"/>
      <c r="E396" s="112"/>
      <c r="F396" s="149"/>
      <c r="G396" s="93"/>
      <c r="H396" s="61"/>
      <c r="I396" s="112"/>
      <c r="J396" s="149"/>
      <c r="K396" s="93"/>
      <c r="L396" s="61"/>
      <c r="M396" s="112"/>
      <c r="N396" s="115"/>
      <c r="O396" s="93"/>
      <c r="P396" s="61"/>
      <c r="Q396" s="180"/>
      <c r="R396" s="115"/>
      <c r="S396" s="93"/>
      <c r="T396" s="61"/>
      <c r="U396" s="180"/>
      <c r="V396" s="115"/>
      <c r="W396" s="93"/>
      <c r="X396" s="61"/>
      <c r="Y396" s="112"/>
      <c r="Z396" s="181"/>
      <c r="AA396" s="182"/>
      <c r="AB396" s="183"/>
      <c r="AC396" s="112"/>
      <c r="AD396" s="115"/>
      <c r="AE396" s="151"/>
      <c r="AF396" s="184"/>
      <c r="AG396" s="188"/>
      <c r="AH396" s="188"/>
      <c r="AI396" s="188"/>
      <c r="AJ396" s="188"/>
      <c r="AK396" s="61"/>
      <c r="AL396" s="61"/>
      <c r="AM396" s="61"/>
      <c r="AN396" s="61"/>
      <c r="AO396" s="61"/>
    </row>
    <row r="397">
      <c r="A397" s="112"/>
      <c r="B397" s="149"/>
      <c r="C397" s="93"/>
      <c r="D397" s="61"/>
      <c r="E397" s="112"/>
      <c r="F397" s="149"/>
      <c r="G397" s="93"/>
      <c r="H397" s="61"/>
      <c r="I397" s="112"/>
      <c r="J397" s="149"/>
      <c r="K397" s="93"/>
      <c r="L397" s="61"/>
      <c r="M397" s="112"/>
      <c r="N397" s="115"/>
      <c r="O397" s="93"/>
      <c r="P397" s="61"/>
      <c r="Q397" s="180"/>
      <c r="R397" s="115"/>
      <c r="S397" s="93"/>
      <c r="T397" s="61"/>
      <c r="U397" s="180"/>
      <c r="V397" s="115"/>
      <c r="W397" s="93"/>
      <c r="X397" s="61"/>
      <c r="Y397" s="112"/>
      <c r="Z397" s="181"/>
      <c r="AA397" s="182"/>
      <c r="AB397" s="183"/>
      <c r="AC397" s="112"/>
      <c r="AD397" s="115"/>
      <c r="AE397" s="151"/>
      <c r="AF397" s="184"/>
      <c r="AG397" s="188"/>
      <c r="AH397" s="188"/>
      <c r="AI397" s="188"/>
      <c r="AJ397" s="188"/>
      <c r="AK397" s="61"/>
      <c r="AL397" s="61"/>
      <c r="AM397" s="61"/>
      <c r="AN397" s="61"/>
      <c r="AO397" s="61"/>
    </row>
    <row r="398">
      <c r="A398" s="112"/>
      <c r="B398" s="149"/>
      <c r="C398" s="93"/>
      <c r="D398" s="61"/>
      <c r="E398" s="112"/>
      <c r="F398" s="149"/>
      <c r="G398" s="93"/>
      <c r="H398" s="61"/>
      <c r="I398" s="112"/>
      <c r="J398" s="149"/>
      <c r="K398" s="93"/>
      <c r="L398" s="61"/>
      <c r="M398" s="112"/>
      <c r="N398" s="115"/>
      <c r="O398" s="93"/>
      <c r="P398" s="61"/>
      <c r="Q398" s="180"/>
      <c r="R398" s="115"/>
      <c r="S398" s="93"/>
      <c r="T398" s="61"/>
      <c r="U398" s="180"/>
      <c r="V398" s="115"/>
      <c r="W398" s="93"/>
      <c r="X398" s="61"/>
      <c r="Y398" s="112"/>
      <c r="Z398" s="181"/>
      <c r="AA398" s="182"/>
      <c r="AB398" s="183"/>
      <c r="AC398" s="112"/>
      <c r="AD398" s="115"/>
      <c r="AE398" s="151"/>
      <c r="AF398" s="184"/>
      <c r="AG398" s="188"/>
      <c r="AH398" s="188"/>
      <c r="AI398" s="188"/>
      <c r="AJ398" s="188"/>
      <c r="AK398" s="61"/>
      <c r="AL398" s="61"/>
      <c r="AM398" s="61"/>
      <c r="AN398" s="61"/>
      <c r="AO398" s="61"/>
    </row>
    <row r="399">
      <c r="A399" s="112"/>
      <c r="B399" s="149"/>
      <c r="C399" s="93"/>
      <c r="D399" s="61"/>
      <c r="E399" s="112"/>
      <c r="F399" s="149"/>
      <c r="G399" s="93"/>
      <c r="H399" s="61"/>
      <c r="I399" s="112"/>
      <c r="J399" s="149"/>
      <c r="K399" s="93"/>
      <c r="L399" s="61"/>
      <c r="M399" s="112"/>
      <c r="N399" s="115"/>
      <c r="O399" s="93"/>
      <c r="P399" s="61"/>
      <c r="Q399" s="180"/>
      <c r="R399" s="115"/>
      <c r="S399" s="93"/>
      <c r="T399" s="61"/>
      <c r="U399" s="180"/>
      <c r="V399" s="115"/>
      <c r="W399" s="93"/>
      <c r="X399" s="61"/>
      <c r="Y399" s="112"/>
      <c r="Z399" s="181"/>
      <c r="AA399" s="182"/>
      <c r="AB399" s="183"/>
      <c r="AC399" s="112"/>
      <c r="AD399" s="115"/>
      <c r="AE399" s="151"/>
      <c r="AF399" s="184"/>
      <c r="AG399" s="188"/>
      <c r="AH399" s="188"/>
      <c r="AI399" s="188"/>
      <c r="AJ399" s="188"/>
      <c r="AK399" s="61"/>
      <c r="AL399" s="61"/>
      <c r="AM399" s="61"/>
      <c r="AN399" s="61"/>
      <c r="AO399" s="61"/>
    </row>
    <row r="400">
      <c r="A400" s="112"/>
      <c r="B400" s="149"/>
      <c r="C400" s="93"/>
      <c r="D400" s="61"/>
      <c r="E400" s="112"/>
      <c r="F400" s="149"/>
      <c r="G400" s="93"/>
      <c r="H400" s="61"/>
      <c r="I400" s="112"/>
      <c r="J400" s="149"/>
      <c r="K400" s="93"/>
      <c r="L400" s="61"/>
      <c r="M400" s="112"/>
      <c r="N400" s="115"/>
      <c r="O400" s="93"/>
      <c r="P400" s="61"/>
      <c r="Q400" s="180"/>
      <c r="R400" s="115"/>
      <c r="S400" s="93"/>
      <c r="T400" s="61"/>
      <c r="U400" s="180"/>
      <c r="V400" s="115"/>
      <c r="W400" s="93"/>
      <c r="X400" s="61"/>
      <c r="Y400" s="112"/>
      <c r="Z400" s="181"/>
      <c r="AA400" s="182"/>
      <c r="AB400" s="183"/>
      <c r="AC400" s="112"/>
      <c r="AD400" s="115"/>
      <c r="AE400" s="151"/>
      <c r="AF400" s="184"/>
      <c r="AG400" s="188"/>
      <c r="AH400" s="188"/>
      <c r="AI400" s="188"/>
      <c r="AJ400" s="188"/>
      <c r="AK400" s="61"/>
      <c r="AL400" s="61"/>
      <c r="AM400" s="61"/>
      <c r="AN400" s="61"/>
      <c r="AO400" s="61"/>
    </row>
    <row r="401">
      <c r="A401" s="112"/>
      <c r="B401" s="149"/>
      <c r="C401" s="93"/>
      <c r="D401" s="61"/>
      <c r="E401" s="112"/>
      <c r="F401" s="149"/>
      <c r="G401" s="93"/>
      <c r="H401" s="61"/>
      <c r="I401" s="112"/>
      <c r="J401" s="149"/>
      <c r="K401" s="93"/>
      <c r="L401" s="61"/>
      <c r="M401" s="112"/>
      <c r="N401" s="115"/>
      <c r="O401" s="93"/>
      <c r="P401" s="61"/>
      <c r="Q401" s="180"/>
      <c r="R401" s="115"/>
      <c r="S401" s="93"/>
      <c r="T401" s="61"/>
      <c r="U401" s="180"/>
      <c r="V401" s="115"/>
      <c r="W401" s="93"/>
      <c r="X401" s="61"/>
      <c r="Y401" s="112"/>
      <c r="Z401" s="181"/>
      <c r="AA401" s="182"/>
      <c r="AB401" s="183"/>
      <c r="AC401" s="112"/>
      <c r="AD401" s="115"/>
      <c r="AE401" s="151"/>
      <c r="AF401" s="184"/>
      <c r="AG401" s="188"/>
      <c r="AH401" s="188"/>
      <c r="AI401" s="188"/>
      <c r="AJ401" s="188"/>
      <c r="AK401" s="61"/>
      <c r="AL401" s="61"/>
      <c r="AM401" s="61"/>
      <c r="AN401" s="61"/>
      <c r="AO401" s="61"/>
    </row>
    <row r="402">
      <c r="A402" s="112"/>
      <c r="B402" s="149"/>
      <c r="C402" s="93"/>
      <c r="D402" s="61"/>
      <c r="E402" s="112"/>
      <c r="F402" s="149"/>
      <c r="G402" s="93"/>
      <c r="H402" s="61"/>
      <c r="I402" s="112"/>
      <c r="J402" s="149"/>
      <c r="K402" s="93"/>
      <c r="L402" s="61"/>
      <c r="M402" s="112"/>
      <c r="N402" s="115"/>
      <c r="O402" s="93"/>
      <c r="P402" s="61"/>
      <c r="Q402" s="180"/>
      <c r="R402" s="115"/>
      <c r="S402" s="93"/>
      <c r="T402" s="61"/>
      <c r="U402" s="180"/>
      <c r="V402" s="115"/>
      <c r="W402" s="93"/>
      <c r="X402" s="61"/>
      <c r="Y402" s="112"/>
      <c r="Z402" s="181"/>
      <c r="AA402" s="182"/>
      <c r="AB402" s="183"/>
      <c r="AC402" s="112"/>
      <c r="AD402" s="115"/>
      <c r="AE402" s="151"/>
      <c r="AF402" s="184"/>
      <c r="AG402" s="188"/>
      <c r="AH402" s="188"/>
      <c r="AI402" s="188"/>
      <c r="AJ402" s="188"/>
      <c r="AK402" s="61"/>
      <c r="AL402" s="61"/>
      <c r="AM402" s="61"/>
      <c r="AN402" s="61"/>
      <c r="AO402" s="61"/>
    </row>
    <row r="403">
      <c r="A403" s="112"/>
      <c r="B403" s="149"/>
      <c r="C403" s="93"/>
      <c r="D403" s="61"/>
      <c r="E403" s="112"/>
      <c r="F403" s="149"/>
      <c r="G403" s="93"/>
      <c r="H403" s="61"/>
      <c r="I403" s="112"/>
      <c r="J403" s="149"/>
      <c r="K403" s="93"/>
      <c r="L403" s="61"/>
      <c r="M403" s="112"/>
      <c r="N403" s="115"/>
      <c r="O403" s="93"/>
      <c r="P403" s="61"/>
      <c r="Q403" s="180"/>
      <c r="R403" s="115"/>
      <c r="S403" s="93"/>
      <c r="T403" s="61"/>
      <c r="U403" s="180"/>
      <c r="V403" s="115"/>
      <c r="W403" s="93"/>
      <c r="X403" s="61"/>
      <c r="Y403" s="112"/>
      <c r="Z403" s="181"/>
      <c r="AA403" s="182"/>
      <c r="AB403" s="183"/>
      <c r="AC403" s="112"/>
      <c r="AD403" s="115"/>
      <c r="AE403" s="151"/>
      <c r="AF403" s="184"/>
      <c r="AG403" s="188"/>
      <c r="AH403" s="188"/>
      <c r="AI403" s="188"/>
      <c r="AJ403" s="188"/>
      <c r="AK403" s="61"/>
      <c r="AL403" s="61"/>
      <c r="AM403" s="61"/>
      <c r="AN403" s="61"/>
      <c r="AO403" s="61"/>
    </row>
    <row r="404">
      <c r="A404" s="112"/>
      <c r="B404" s="149"/>
      <c r="C404" s="93"/>
      <c r="D404" s="61"/>
      <c r="E404" s="112"/>
      <c r="F404" s="149"/>
      <c r="G404" s="93"/>
      <c r="H404" s="61"/>
      <c r="I404" s="112"/>
      <c r="J404" s="149"/>
      <c r="K404" s="93"/>
      <c r="L404" s="61"/>
      <c r="M404" s="112"/>
      <c r="N404" s="115"/>
      <c r="O404" s="93"/>
      <c r="P404" s="61"/>
      <c r="Q404" s="180"/>
      <c r="R404" s="115"/>
      <c r="S404" s="93"/>
      <c r="T404" s="61"/>
      <c r="U404" s="180"/>
      <c r="V404" s="115"/>
      <c r="W404" s="93"/>
      <c r="X404" s="61"/>
      <c r="Y404" s="112"/>
      <c r="Z404" s="181"/>
      <c r="AA404" s="182"/>
      <c r="AB404" s="183"/>
      <c r="AC404" s="112"/>
      <c r="AD404" s="115"/>
      <c r="AE404" s="151"/>
      <c r="AF404" s="184"/>
      <c r="AG404" s="188"/>
      <c r="AH404" s="188"/>
      <c r="AI404" s="188"/>
      <c r="AJ404" s="188"/>
      <c r="AK404" s="61"/>
      <c r="AL404" s="61"/>
      <c r="AM404" s="61"/>
      <c r="AN404" s="61"/>
      <c r="AO404" s="61"/>
    </row>
    <row r="405">
      <c r="A405" s="112"/>
      <c r="B405" s="149"/>
      <c r="C405" s="93"/>
      <c r="D405" s="61"/>
      <c r="E405" s="112"/>
      <c r="F405" s="149"/>
      <c r="G405" s="93"/>
      <c r="H405" s="61"/>
      <c r="I405" s="112"/>
      <c r="J405" s="149"/>
      <c r="K405" s="93"/>
      <c r="L405" s="61"/>
      <c r="M405" s="112"/>
      <c r="N405" s="115"/>
      <c r="O405" s="93"/>
      <c r="P405" s="61"/>
      <c r="Q405" s="180"/>
      <c r="R405" s="115"/>
      <c r="S405" s="93"/>
      <c r="T405" s="61"/>
      <c r="U405" s="180"/>
      <c r="V405" s="115"/>
      <c r="W405" s="93"/>
      <c r="X405" s="61"/>
      <c r="Y405" s="112"/>
      <c r="Z405" s="181"/>
      <c r="AA405" s="182"/>
      <c r="AB405" s="183"/>
      <c r="AC405" s="112"/>
      <c r="AD405" s="115"/>
      <c r="AE405" s="151"/>
      <c r="AF405" s="184"/>
      <c r="AG405" s="188"/>
      <c r="AH405" s="188"/>
      <c r="AI405" s="188"/>
      <c r="AJ405" s="188"/>
      <c r="AK405" s="61"/>
      <c r="AL405" s="61"/>
      <c r="AM405" s="61"/>
      <c r="AN405" s="61"/>
      <c r="AO405" s="61"/>
    </row>
    <row r="406">
      <c r="A406" s="112"/>
      <c r="B406" s="149"/>
      <c r="C406" s="93"/>
      <c r="D406" s="61"/>
      <c r="E406" s="112"/>
      <c r="F406" s="149"/>
      <c r="G406" s="93"/>
      <c r="H406" s="61"/>
      <c r="I406" s="112"/>
      <c r="J406" s="149"/>
      <c r="K406" s="93"/>
      <c r="L406" s="61"/>
      <c r="M406" s="112"/>
      <c r="N406" s="115"/>
      <c r="O406" s="93"/>
      <c r="P406" s="61"/>
      <c r="Q406" s="180"/>
      <c r="R406" s="115"/>
      <c r="S406" s="93"/>
      <c r="T406" s="61"/>
      <c r="U406" s="180"/>
      <c r="V406" s="115"/>
      <c r="W406" s="93"/>
      <c r="X406" s="61"/>
      <c r="Y406" s="112"/>
      <c r="Z406" s="181"/>
      <c r="AA406" s="182"/>
      <c r="AB406" s="183"/>
      <c r="AC406" s="112"/>
      <c r="AD406" s="115"/>
      <c r="AE406" s="151"/>
      <c r="AF406" s="184"/>
      <c r="AG406" s="188"/>
      <c r="AH406" s="188"/>
      <c r="AI406" s="188"/>
      <c r="AJ406" s="188"/>
      <c r="AK406" s="61"/>
      <c r="AL406" s="61"/>
      <c r="AM406" s="61"/>
      <c r="AN406" s="61"/>
      <c r="AO406" s="61"/>
    </row>
    <row r="407">
      <c r="A407" s="112"/>
      <c r="B407" s="149"/>
      <c r="C407" s="93"/>
      <c r="D407" s="61"/>
      <c r="E407" s="112"/>
      <c r="F407" s="149"/>
      <c r="G407" s="93"/>
      <c r="H407" s="61"/>
      <c r="I407" s="112"/>
      <c r="J407" s="149"/>
      <c r="K407" s="93"/>
      <c r="L407" s="61"/>
      <c r="M407" s="112"/>
      <c r="N407" s="115"/>
      <c r="O407" s="93"/>
      <c r="P407" s="61"/>
      <c r="Q407" s="180"/>
      <c r="R407" s="115"/>
      <c r="S407" s="93"/>
      <c r="T407" s="61"/>
      <c r="U407" s="180"/>
      <c r="V407" s="115"/>
      <c r="W407" s="93"/>
      <c r="X407" s="61"/>
      <c r="Y407" s="112"/>
      <c r="Z407" s="181"/>
      <c r="AA407" s="182"/>
      <c r="AB407" s="183"/>
      <c r="AC407" s="112"/>
      <c r="AD407" s="115"/>
      <c r="AE407" s="151"/>
      <c r="AF407" s="184"/>
      <c r="AG407" s="188"/>
      <c r="AH407" s="188"/>
      <c r="AI407" s="188"/>
      <c r="AJ407" s="188"/>
      <c r="AK407" s="61"/>
      <c r="AL407" s="61"/>
      <c r="AM407" s="61"/>
      <c r="AN407" s="61"/>
      <c r="AO407" s="61"/>
    </row>
    <row r="408">
      <c r="A408" s="112"/>
      <c r="B408" s="149"/>
      <c r="C408" s="93"/>
      <c r="D408" s="61"/>
      <c r="E408" s="112"/>
      <c r="F408" s="149"/>
      <c r="G408" s="93"/>
      <c r="H408" s="61"/>
      <c r="I408" s="112"/>
      <c r="J408" s="149"/>
      <c r="K408" s="93"/>
      <c r="L408" s="61"/>
      <c r="M408" s="112"/>
      <c r="N408" s="115"/>
      <c r="O408" s="93"/>
      <c r="P408" s="61"/>
      <c r="Q408" s="180"/>
      <c r="R408" s="115"/>
      <c r="S408" s="93"/>
      <c r="T408" s="61"/>
      <c r="U408" s="180"/>
      <c r="V408" s="115"/>
      <c r="W408" s="93"/>
      <c r="X408" s="61"/>
      <c r="Y408" s="112"/>
      <c r="Z408" s="181"/>
      <c r="AA408" s="182"/>
      <c r="AB408" s="183"/>
      <c r="AC408" s="112"/>
      <c r="AD408" s="115"/>
      <c r="AE408" s="151"/>
      <c r="AF408" s="184"/>
      <c r="AG408" s="188"/>
      <c r="AH408" s="188"/>
      <c r="AI408" s="188"/>
      <c r="AJ408" s="188"/>
      <c r="AK408" s="61"/>
      <c r="AL408" s="61"/>
      <c r="AM408" s="61"/>
      <c r="AN408" s="61"/>
      <c r="AO408" s="61"/>
    </row>
    <row r="409">
      <c r="A409" s="112"/>
      <c r="B409" s="149"/>
      <c r="C409" s="93"/>
      <c r="D409" s="61"/>
      <c r="E409" s="112"/>
      <c r="F409" s="149"/>
      <c r="G409" s="93"/>
      <c r="H409" s="61"/>
      <c r="I409" s="112"/>
      <c r="J409" s="149"/>
      <c r="K409" s="93"/>
      <c r="L409" s="61"/>
      <c r="M409" s="112"/>
      <c r="N409" s="115"/>
      <c r="O409" s="93"/>
      <c r="P409" s="61"/>
      <c r="Q409" s="180"/>
      <c r="R409" s="115"/>
      <c r="S409" s="93"/>
      <c r="T409" s="61"/>
      <c r="U409" s="180"/>
      <c r="V409" s="115"/>
      <c r="W409" s="93"/>
      <c r="X409" s="61"/>
      <c r="Y409" s="112"/>
      <c r="Z409" s="181"/>
      <c r="AA409" s="182"/>
      <c r="AB409" s="183"/>
      <c r="AC409" s="112"/>
      <c r="AD409" s="115"/>
      <c r="AE409" s="151"/>
      <c r="AF409" s="184"/>
      <c r="AG409" s="188"/>
      <c r="AH409" s="188"/>
      <c r="AI409" s="188"/>
      <c r="AJ409" s="188"/>
      <c r="AK409" s="61"/>
      <c r="AL409" s="61"/>
      <c r="AM409" s="61"/>
      <c r="AN409" s="61"/>
      <c r="AO409" s="61"/>
    </row>
    <row r="410">
      <c r="A410" s="112"/>
      <c r="B410" s="149"/>
      <c r="C410" s="93"/>
      <c r="D410" s="61"/>
      <c r="E410" s="112"/>
      <c r="F410" s="149"/>
      <c r="G410" s="93"/>
      <c r="H410" s="61"/>
      <c r="I410" s="112"/>
      <c r="J410" s="149"/>
      <c r="K410" s="93"/>
      <c r="L410" s="61"/>
      <c r="M410" s="112"/>
      <c r="N410" s="115"/>
      <c r="O410" s="93"/>
      <c r="P410" s="61"/>
      <c r="Q410" s="180"/>
      <c r="R410" s="115"/>
      <c r="S410" s="93"/>
      <c r="T410" s="61"/>
      <c r="U410" s="180"/>
      <c r="V410" s="115"/>
      <c r="W410" s="93"/>
      <c r="X410" s="61"/>
      <c r="Y410" s="112"/>
      <c r="Z410" s="181"/>
      <c r="AA410" s="182"/>
      <c r="AB410" s="183"/>
      <c r="AC410" s="112"/>
      <c r="AD410" s="115"/>
      <c r="AE410" s="151"/>
      <c r="AF410" s="184"/>
      <c r="AG410" s="188"/>
      <c r="AH410" s="188"/>
      <c r="AI410" s="188"/>
      <c r="AJ410" s="188"/>
      <c r="AK410" s="61"/>
      <c r="AL410" s="61"/>
      <c r="AM410" s="61"/>
      <c r="AN410" s="61"/>
      <c r="AO410" s="61"/>
    </row>
    <row r="411">
      <c r="A411" s="112"/>
      <c r="B411" s="149"/>
      <c r="C411" s="93"/>
      <c r="D411" s="61"/>
      <c r="E411" s="112"/>
      <c r="F411" s="149"/>
      <c r="G411" s="93"/>
      <c r="H411" s="61"/>
      <c r="I411" s="112"/>
      <c r="J411" s="149"/>
      <c r="K411" s="93"/>
      <c r="L411" s="61"/>
      <c r="M411" s="112"/>
      <c r="N411" s="115"/>
      <c r="O411" s="93"/>
      <c r="P411" s="61"/>
      <c r="Q411" s="180"/>
      <c r="R411" s="115"/>
      <c r="S411" s="93"/>
      <c r="T411" s="61"/>
      <c r="U411" s="180"/>
      <c r="V411" s="115"/>
      <c r="W411" s="93"/>
      <c r="X411" s="61"/>
      <c r="Y411" s="112"/>
      <c r="Z411" s="181"/>
      <c r="AA411" s="182"/>
      <c r="AB411" s="183"/>
      <c r="AC411" s="112"/>
      <c r="AD411" s="115"/>
      <c r="AE411" s="151"/>
      <c r="AF411" s="184"/>
      <c r="AG411" s="188"/>
      <c r="AH411" s="188"/>
      <c r="AI411" s="188"/>
      <c r="AJ411" s="188"/>
      <c r="AK411" s="61"/>
      <c r="AL411" s="61"/>
      <c r="AM411" s="61"/>
      <c r="AN411" s="61"/>
      <c r="AO411" s="61"/>
    </row>
    <row r="412">
      <c r="A412" s="112"/>
      <c r="B412" s="149"/>
      <c r="C412" s="93"/>
      <c r="D412" s="61"/>
      <c r="E412" s="112"/>
      <c r="F412" s="149"/>
      <c r="G412" s="93"/>
      <c r="H412" s="61"/>
      <c r="I412" s="112"/>
      <c r="J412" s="149"/>
      <c r="K412" s="93"/>
      <c r="L412" s="61"/>
      <c r="M412" s="112"/>
      <c r="N412" s="115"/>
      <c r="O412" s="93"/>
      <c r="P412" s="61"/>
      <c r="Q412" s="180"/>
      <c r="R412" s="115"/>
      <c r="S412" s="93"/>
      <c r="T412" s="61"/>
      <c r="U412" s="180"/>
      <c r="V412" s="115"/>
      <c r="W412" s="93"/>
      <c r="X412" s="61"/>
      <c r="Y412" s="112"/>
      <c r="Z412" s="181"/>
      <c r="AA412" s="182"/>
      <c r="AB412" s="183"/>
      <c r="AC412" s="112"/>
      <c r="AD412" s="115"/>
      <c r="AE412" s="151"/>
      <c r="AF412" s="184"/>
      <c r="AG412" s="188"/>
      <c r="AH412" s="188"/>
      <c r="AI412" s="188"/>
      <c r="AJ412" s="188"/>
      <c r="AK412" s="61"/>
      <c r="AL412" s="61"/>
      <c r="AM412" s="61"/>
      <c r="AN412" s="61"/>
      <c r="AO412" s="61"/>
    </row>
    <row r="413">
      <c r="A413" s="112"/>
      <c r="B413" s="149"/>
      <c r="C413" s="93"/>
      <c r="D413" s="61"/>
      <c r="E413" s="112"/>
      <c r="F413" s="149"/>
      <c r="G413" s="93"/>
      <c r="H413" s="61"/>
      <c r="I413" s="112"/>
      <c r="J413" s="149"/>
      <c r="K413" s="93"/>
      <c r="L413" s="61"/>
      <c r="M413" s="112"/>
      <c r="N413" s="115"/>
      <c r="O413" s="93"/>
      <c r="P413" s="61"/>
      <c r="Q413" s="180"/>
      <c r="R413" s="115"/>
      <c r="S413" s="93"/>
      <c r="T413" s="61"/>
      <c r="U413" s="180"/>
      <c r="V413" s="115"/>
      <c r="W413" s="93"/>
      <c r="X413" s="61"/>
      <c r="Y413" s="112"/>
      <c r="Z413" s="181"/>
      <c r="AA413" s="182"/>
      <c r="AB413" s="183"/>
      <c r="AC413" s="112"/>
      <c r="AD413" s="115"/>
      <c r="AE413" s="151"/>
      <c r="AF413" s="184"/>
      <c r="AG413" s="188"/>
      <c r="AH413" s="188"/>
      <c r="AI413" s="188"/>
      <c r="AJ413" s="188"/>
      <c r="AK413" s="61"/>
      <c r="AL413" s="61"/>
      <c r="AM413" s="61"/>
      <c r="AN413" s="61"/>
      <c r="AO413" s="61"/>
    </row>
    <row r="414">
      <c r="A414" s="112"/>
      <c r="B414" s="149"/>
      <c r="C414" s="93"/>
      <c r="D414" s="61"/>
      <c r="E414" s="112"/>
      <c r="F414" s="149"/>
      <c r="G414" s="93"/>
      <c r="H414" s="61"/>
      <c r="I414" s="112"/>
      <c r="J414" s="149"/>
      <c r="K414" s="93"/>
      <c r="L414" s="61"/>
      <c r="M414" s="112"/>
      <c r="N414" s="115"/>
      <c r="O414" s="93"/>
      <c r="P414" s="61"/>
      <c r="Q414" s="180"/>
      <c r="R414" s="115"/>
      <c r="S414" s="93"/>
      <c r="T414" s="61"/>
      <c r="U414" s="180"/>
      <c r="V414" s="115"/>
      <c r="W414" s="93"/>
      <c r="X414" s="61"/>
      <c r="Y414" s="112"/>
      <c r="Z414" s="181"/>
      <c r="AA414" s="182"/>
      <c r="AB414" s="183"/>
      <c r="AC414" s="112"/>
      <c r="AD414" s="115"/>
      <c r="AE414" s="151"/>
      <c r="AF414" s="184"/>
      <c r="AG414" s="188"/>
      <c r="AH414" s="188"/>
      <c r="AI414" s="188"/>
      <c r="AJ414" s="188"/>
      <c r="AK414" s="61"/>
      <c r="AL414" s="61"/>
      <c r="AM414" s="61"/>
      <c r="AN414" s="61"/>
      <c r="AO414" s="61"/>
    </row>
    <row r="415">
      <c r="A415" s="112"/>
      <c r="B415" s="149"/>
      <c r="C415" s="93"/>
      <c r="D415" s="61"/>
      <c r="E415" s="112"/>
      <c r="F415" s="149"/>
      <c r="G415" s="93"/>
      <c r="H415" s="61"/>
      <c r="I415" s="112"/>
      <c r="J415" s="149"/>
      <c r="K415" s="93"/>
      <c r="L415" s="61"/>
      <c r="M415" s="112"/>
      <c r="N415" s="115"/>
      <c r="O415" s="93"/>
      <c r="P415" s="61"/>
      <c r="Q415" s="180"/>
      <c r="R415" s="115"/>
      <c r="S415" s="93"/>
      <c r="T415" s="61"/>
      <c r="U415" s="180"/>
      <c r="V415" s="115"/>
      <c r="W415" s="93"/>
      <c r="X415" s="61"/>
      <c r="Y415" s="112"/>
      <c r="Z415" s="181"/>
      <c r="AA415" s="182"/>
      <c r="AB415" s="183"/>
      <c r="AC415" s="112"/>
      <c r="AD415" s="115"/>
      <c r="AE415" s="151"/>
      <c r="AF415" s="184"/>
      <c r="AG415" s="188"/>
      <c r="AH415" s="188"/>
      <c r="AI415" s="188"/>
      <c r="AJ415" s="188"/>
      <c r="AK415" s="61"/>
      <c r="AL415" s="61"/>
      <c r="AM415" s="61"/>
      <c r="AN415" s="61"/>
      <c r="AO415" s="61"/>
    </row>
    <row r="416">
      <c r="A416" s="112"/>
      <c r="B416" s="149"/>
      <c r="C416" s="93"/>
      <c r="D416" s="61"/>
      <c r="E416" s="112"/>
      <c r="F416" s="149"/>
      <c r="G416" s="93"/>
      <c r="H416" s="61"/>
      <c r="I416" s="112"/>
      <c r="J416" s="149"/>
      <c r="K416" s="93"/>
      <c r="L416" s="61"/>
      <c r="M416" s="112"/>
      <c r="N416" s="115"/>
      <c r="O416" s="93"/>
      <c r="P416" s="61"/>
      <c r="Q416" s="180"/>
      <c r="R416" s="115"/>
      <c r="S416" s="93"/>
      <c r="T416" s="61"/>
      <c r="U416" s="180"/>
      <c r="V416" s="115"/>
      <c r="W416" s="93"/>
      <c r="X416" s="61"/>
      <c r="Y416" s="112"/>
      <c r="Z416" s="181"/>
      <c r="AA416" s="182"/>
      <c r="AB416" s="183"/>
      <c r="AC416" s="112"/>
      <c r="AD416" s="115"/>
      <c r="AE416" s="151"/>
      <c r="AF416" s="184"/>
      <c r="AG416" s="188"/>
      <c r="AH416" s="188"/>
      <c r="AI416" s="188"/>
      <c r="AJ416" s="188"/>
      <c r="AK416" s="61"/>
      <c r="AL416" s="61"/>
      <c r="AM416" s="61"/>
      <c r="AN416" s="61"/>
      <c r="AO416" s="61"/>
    </row>
    <row r="417">
      <c r="A417" s="112"/>
      <c r="B417" s="149"/>
      <c r="C417" s="93"/>
      <c r="D417" s="61"/>
      <c r="E417" s="112"/>
      <c r="F417" s="149"/>
      <c r="G417" s="93"/>
      <c r="H417" s="61"/>
      <c r="I417" s="112"/>
      <c r="J417" s="149"/>
      <c r="K417" s="93"/>
      <c r="L417" s="61"/>
      <c r="M417" s="112"/>
      <c r="N417" s="115"/>
      <c r="O417" s="93"/>
      <c r="P417" s="61"/>
      <c r="Q417" s="180"/>
      <c r="R417" s="115"/>
      <c r="S417" s="93"/>
      <c r="T417" s="61"/>
      <c r="U417" s="180"/>
      <c r="V417" s="115"/>
      <c r="W417" s="93"/>
      <c r="X417" s="61"/>
      <c r="Y417" s="112"/>
      <c r="Z417" s="181"/>
      <c r="AA417" s="182"/>
      <c r="AB417" s="183"/>
      <c r="AC417" s="112"/>
      <c r="AD417" s="115"/>
      <c r="AE417" s="151"/>
      <c r="AF417" s="184"/>
      <c r="AG417" s="188"/>
      <c r="AH417" s="188"/>
      <c r="AI417" s="188"/>
      <c r="AJ417" s="188"/>
      <c r="AK417" s="61"/>
      <c r="AL417" s="61"/>
      <c r="AM417" s="61"/>
      <c r="AN417" s="61"/>
      <c r="AO417" s="61"/>
    </row>
    <row r="418">
      <c r="A418" s="112"/>
      <c r="B418" s="149"/>
      <c r="C418" s="93"/>
      <c r="D418" s="61"/>
      <c r="E418" s="112"/>
      <c r="F418" s="149"/>
      <c r="G418" s="93"/>
      <c r="H418" s="61"/>
      <c r="I418" s="112"/>
      <c r="J418" s="149"/>
      <c r="K418" s="93"/>
      <c r="L418" s="61"/>
      <c r="M418" s="112"/>
      <c r="N418" s="115"/>
      <c r="O418" s="93"/>
      <c r="P418" s="61"/>
      <c r="Q418" s="180"/>
      <c r="R418" s="115"/>
      <c r="S418" s="93"/>
      <c r="T418" s="61"/>
      <c r="U418" s="180"/>
      <c r="V418" s="115"/>
      <c r="W418" s="93"/>
      <c r="X418" s="61"/>
      <c r="Y418" s="112"/>
      <c r="Z418" s="181"/>
      <c r="AA418" s="182"/>
      <c r="AB418" s="183"/>
      <c r="AC418" s="112"/>
      <c r="AD418" s="115"/>
      <c r="AE418" s="151"/>
      <c r="AF418" s="184"/>
      <c r="AG418" s="188"/>
      <c r="AH418" s="188"/>
      <c r="AI418" s="188"/>
      <c r="AJ418" s="188"/>
      <c r="AK418" s="61"/>
      <c r="AL418" s="61"/>
      <c r="AM418" s="61"/>
      <c r="AN418" s="61"/>
      <c r="AO418" s="61"/>
    </row>
    <row r="419">
      <c r="A419" s="112"/>
      <c r="B419" s="149"/>
      <c r="C419" s="93"/>
      <c r="D419" s="61"/>
      <c r="E419" s="112"/>
      <c r="F419" s="149"/>
      <c r="G419" s="93"/>
      <c r="H419" s="61"/>
      <c r="I419" s="112"/>
      <c r="J419" s="149"/>
      <c r="K419" s="93"/>
      <c r="L419" s="61"/>
      <c r="M419" s="112"/>
      <c r="N419" s="115"/>
      <c r="O419" s="93"/>
      <c r="P419" s="61"/>
      <c r="Q419" s="180"/>
      <c r="R419" s="115"/>
      <c r="S419" s="93"/>
      <c r="T419" s="61"/>
      <c r="U419" s="180"/>
      <c r="V419" s="115"/>
      <c r="W419" s="93"/>
      <c r="X419" s="61"/>
      <c r="Y419" s="112"/>
      <c r="Z419" s="181"/>
      <c r="AA419" s="182"/>
      <c r="AB419" s="183"/>
      <c r="AC419" s="112"/>
      <c r="AD419" s="115"/>
      <c r="AE419" s="151"/>
      <c r="AF419" s="184"/>
      <c r="AG419" s="188"/>
      <c r="AH419" s="188"/>
      <c r="AI419" s="188"/>
      <c r="AJ419" s="188"/>
      <c r="AK419" s="61"/>
      <c r="AL419" s="61"/>
      <c r="AM419" s="61"/>
      <c r="AN419" s="61"/>
      <c r="AO419" s="61"/>
    </row>
    <row r="420">
      <c r="A420" s="112"/>
      <c r="B420" s="149"/>
      <c r="C420" s="93"/>
      <c r="D420" s="61"/>
      <c r="E420" s="112"/>
      <c r="F420" s="149"/>
      <c r="G420" s="93"/>
      <c r="H420" s="61"/>
      <c r="I420" s="112"/>
      <c r="J420" s="149"/>
      <c r="K420" s="93"/>
      <c r="L420" s="61"/>
      <c r="M420" s="112"/>
      <c r="N420" s="115"/>
      <c r="O420" s="93"/>
      <c r="P420" s="61"/>
      <c r="Q420" s="180"/>
      <c r="R420" s="115"/>
      <c r="S420" s="93"/>
      <c r="T420" s="61"/>
      <c r="U420" s="180"/>
      <c r="V420" s="115"/>
      <c r="W420" s="93"/>
      <c r="X420" s="61"/>
      <c r="Y420" s="112"/>
      <c r="Z420" s="181"/>
      <c r="AA420" s="182"/>
      <c r="AB420" s="183"/>
      <c r="AC420" s="112"/>
      <c r="AD420" s="115"/>
      <c r="AE420" s="151"/>
      <c r="AF420" s="184"/>
      <c r="AG420" s="188"/>
      <c r="AH420" s="188"/>
      <c r="AI420" s="188"/>
      <c r="AJ420" s="188"/>
      <c r="AK420" s="61"/>
      <c r="AL420" s="61"/>
      <c r="AM420" s="61"/>
      <c r="AN420" s="61"/>
      <c r="AO420" s="61"/>
    </row>
    <row r="421">
      <c r="A421" s="112"/>
      <c r="B421" s="149"/>
      <c r="C421" s="93"/>
      <c r="D421" s="61"/>
      <c r="E421" s="112"/>
      <c r="F421" s="149"/>
      <c r="G421" s="93"/>
      <c r="H421" s="61"/>
      <c r="I421" s="112"/>
      <c r="J421" s="149"/>
      <c r="K421" s="93"/>
      <c r="L421" s="61"/>
      <c r="M421" s="112"/>
      <c r="N421" s="115"/>
      <c r="O421" s="93"/>
      <c r="P421" s="61"/>
      <c r="Q421" s="180"/>
      <c r="R421" s="115"/>
      <c r="S421" s="93"/>
      <c r="T421" s="61"/>
      <c r="U421" s="180"/>
      <c r="V421" s="115"/>
      <c r="W421" s="93"/>
      <c r="X421" s="61"/>
      <c r="Y421" s="112"/>
      <c r="Z421" s="181"/>
      <c r="AA421" s="182"/>
      <c r="AB421" s="183"/>
      <c r="AC421" s="112"/>
      <c r="AD421" s="115"/>
      <c r="AE421" s="151"/>
      <c r="AF421" s="184"/>
      <c r="AG421" s="188"/>
      <c r="AH421" s="188"/>
      <c r="AI421" s="188"/>
      <c r="AJ421" s="188"/>
      <c r="AK421" s="61"/>
      <c r="AL421" s="61"/>
      <c r="AM421" s="61"/>
      <c r="AN421" s="61"/>
      <c r="AO421" s="61"/>
    </row>
    <row r="422">
      <c r="A422" s="112"/>
      <c r="B422" s="149"/>
      <c r="C422" s="93"/>
      <c r="D422" s="61"/>
      <c r="E422" s="112"/>
      <c r="F422" s="149"/>
      <c r="G422" s="93"/>
      <c r="H422" s="61"/>
      <c r="I422" s="112"/>
      <c r="J422" s="149"/>
      <c r="K422" s="93"/>
      <c r="L422" s="61"/>
      <c r="M422" s="112"/>
      <c r="N422" s="115"/>
      <c r="O422" s="93"/>
      <c r="P422" s="61"/>
      <c r="Q422" s="180"/>
      <c r="R422" s="115"/>
      <c r="S422" s="93"/>
      <c r="T422" s="61"/>
      <c r="U422" s="180"/>
      <c r="V422" s="115"/>
      <c r="W422" s="93"/>
      <c r="X422" s="61"/>
      <c r="Y422" s="112"/>
      <c r="Z422" s="181"/>
      <c r="AA422" s="182"/>
      <c r="AB422" s="183"/>
      <c r="AC422" s="112"/>
      <c r="AD422" s="115"/>
      <c r="AE422" s="151"/>
      <c r="AF422" s="184"/>
      <c r="AG422" s="188"/>
      <c r="AH422" s="188"/>
      <c r="AI422" s="188"/>
      <c r="AJ422" s="188"/>
      <c r="AK422" s="61"/>
      <c r="AL422" s="61"/>
      <c r="AM422" s="61"/>
      <c r="AN422" s="61"/>
      <c r="AO422" s="61"/>
    </row>
    <row r="423">
      <c r="A423" s="112"/>
      <c r="B423" s="149"/>
      <c r="C423" s="93"/>
      <c r="D423" s="61"/>
      <c r="E423" s="112"/>
      <c r="F423" s="149"/>
      <c r="G423" s="93"/>
      <c r="H423" s="61"/>
      <c r="I423" s="112"/>
      <c r="J423" s="149"/>
      <c r="K423" s="93"/>
      <c r="L423" s="61"/>
      <c r="M423" s="112"/>
      <c r="N423" s="115"/>
      <c r="O423" s="93"/>
      <c r="P423" s="61"/>
      <c r="Q423" s="180"/>
      <c r="R423" s="115"/>
      <c r="S423" s="93"/>
      <c r="T423" s="61"/>
      <c r="U423" s="180"/>
      <c r="V423" s="115"/>
      <c r="W423" s="93"/>
      <c r="X423" s="61"/>
      <c r="Y423" s="112"/>
      <c r="Z423" s="181"/>
      <c r="AA423" s="182"/>
      <c r="AB423" s="183"/>
      <c r="AC423" s="112"/>
      <c r="AD423" s="115"/>
      <c r="AE423" s="151"/>
      <c r="AF423" s="184"/>
      <c r="AG423" s="188"/>
      <c r="AH423" s="188"/>
      <c r="AI423" s="188"/>
      <c r="AJ423" s="188"/>
      <c r="AK423" s="61"/>
      <c r="AL423" s="61"/>
      <c r="AM423" s="61"/>
      <c r="AN423" s="61"/>
      <c r="AO423" s="61"/>
    </row>
    <row r="424">
      <c r="A424" s="112"/>
      <c r="B424" s="149"/>
      <c r="C424" s="93"/>
      <c r="D424" s="61"/>
      <c r="E424" s="112"/>
      <c r="F424" s="149"/>
      <c r="G424" s="93"/>
      <c r="H424" s="61"/>
      <c r="I424" s="112"/>
      <c r="J424" s="149"/>
      <c r="K424" s="93"/>
      <c r="L424" s="61"/>
      <c r="M424" s="112"/>
      <c r="N424" s="115"/>
      <c r="O424" s="93"/>
      <c r="P424" s="61"/>
      <c r="Q424" s="180"/>
      <c r="R424" s="115"/>
      <c r="S424" s="93"/>
      <c r="T424" s="61"/>
      <c r="U424" s="180"/>
      <c r="V424" s="115"/>
      <c r="W424" s="93"/>
      <c r="X424" s="61"/>
      <c r="Y424" s="112"/>
      <c r="Z424" s="181"/>
      <c r="AA424" s="182"/>
      <c r="AB424" s="183"/>
      <c r="AC424" s="112"/>
      <c r="AD424" s="115"/>
      <c r="AE424" s="151"/>
      <c r="AF424" s="184"/>
      <c r="AG424" s="188"/>
      <c r="AH424" s="188"/>
      <c r="AI424" s="188"/>
      <c r="AJ424" s="188"/>
      <c r="AK424" s="61"/>
      <c r="AL424" s="61"/>
      <c r="AM424" s="61"/>
      <c r="AN424" s="61"/>
      <c r="AO424" s="61"/>
    </row>
    <row r="425">
      <c r="A425" s="112"/>
      <c r="B425" s="149"/>
      <c r="C425" s="93"/>
      <c r="D425" s="61"/>
      <c r="E425" s="112"/>
      <c r="F425" s="149"/>
      <c r="G425" s="93"/>
      <c r="H425" s="61"/>
      <c r="I425" s="112"/>
      <c r="J425" s="149"/>
      <c r="K425" s="93"/>
      <c r="L425" s="61"/>
      <c r="M425" s="112"/>
      <c r="N425" s="115"/>
      <c r="O425" s="93"/>
      <c r="P425" s="61"/>
      <c r="Q425" s="180"/>
      <c r="R425" s="115"/>
      <c r="S425" s="93"/>
      <c r="T425" s="61"/>
      <c r="U425" s="180"/>
      <c r="V425" s="115"/>
      <c r="W425" s="93"/>
      <c r="X425" s="61"/>
      <c r="Y425" s="112"/>
      <c r="Z425" s="181"/>
      <c r="AA425" s="182"/>
      <c r="AB425" s="183"/>
      <c r="AC425" s="112"/>
      <c r="AD425" s="115"/>
      <c r="AE425" s="151"/>
      <c r="AF425" s="184"/>
      <c r="AG425" s="188"/>
      <c r="AH425" s="188"/>
      <c r="AI425" s="188"/>
      <c r="AJ425" s="188"/>
      <c r="AK425" s="61"/>
      <c r="AL425" s="61"/>
      <c r="AM425" s="61"/>
      <c r="AN425" s="61"/>
      <c r="AO425" s="61"/>
    </row>
    <row r="426">
      <c r="A426" s="112"/>
      <c r="B426" s="149"/>
      <c r="C426" s="93"/>
      <c r="D426" s="61"/>
      <c r="E426" s="112"/>
      <c r="F426" s="149"/>
      <c r="G426" s="93"/>
      <c r="H426" s="61"/>
      <c r="I426" s="112"/>
      <c r="J426" s="149"/>
      <c r="K426" s="93"/>
      <c r="L426" s="61"/>
      <c r="M426" s="112"/>
      <c r="N426" s="115"/>
      <c r="O426" s="93"/>
      <c r="P426" s="61"/>
      <c r="Q426" s="180"/>
      <c r="R426" s="115"/>
      <c r="S426" s="93"/>
      <c r="T426" s="61"/>
      <c r="U426" s="180"/>
      <c r="V426" s="115"/>
      <c r="W426" s="93"/>
      <c r="X426" s="61"/>
      <c r="Y426" s="112"/>
      <c r="Z426" s="181"/>
      <c r="AA426" s="182"/>
      <c r="AB426" s="183"/>
      <c r="AC426" s="112"/>
      <c r="AD426" s="115"/>
      <c r="AE426" s="151"/>
      <c r="AF426" s="184"/>
      <c r="AG426" s="188"/>
      <c r="AH426" s="188"/>
      <c r="AI426" s="188"/>
      <c r="AJ426" s="188"/>
      <c r="AK426" s="61"/>
      <c r="AL426" s="61"/>
      <c r="AM426" s="61"/>
      <c r="AN426" s="61"/>
      <c r="AO426" s="61"/>
    </row>
    <row r="427">
      <c r="A427" s="112"/>
      <c r="B427" s="149"/>
      <c r="C427" s="93"/>
      <c r="D427" s="61"/>
      <c r="E427" s="112"/>
      <c r="F427" s="149"/>
      <c r="G427" s="93"/>
      <c r="H427" s="61"/>
      <c r="I427" s="112"/>
      <c r="J427" s="149"/>
      <c r="K427" s="93"/>
      <c r="L427" s="61"/>
      <c r="M427" s="112"/>
      <c r="N427" s="115"/>
      <c r="O427" s="93"/>
      <c r="P427" s="61"/>
      <c r="Q427" s="180"/>
      <c r="R427" s="115"/>
      <c r="S427" s="93"/>
      <c r="T427" s="61"/>
      <c r="U427" s="180"/>
      <c r="V427" s="115"/>
      <c r="W427" s="93"/>
      <c r="X427" s="61"/>
      <c r="Y427" s="112"/>
      <c r="Z427" s="181"/>
      <c r="AA427" s="182"/>
      <c r="AB427" s="183"/>
      <c r="AC427" s="112"/>
      <c r="AD427" s="115"/>
      <c r="AE427" s="151"/>
      <c r="AF427" s="184"/>
      <c r="AG427" s="188"/>
      <c r="AH427" s="188"/>
      <c r="AI427" s="188"/>
      <c r="AJ427" s="188"/>
      <c r="AK427" s="61"/>
      <c r="AL427" s="61"/>
      <c r="AM427" s="61"/>
      <c r="AN427" s="61"/>
      <c r="AO427" s="61"/>
    </row>
    <row r="428">
      <c r="A428" s="112"/>
      <c r="B428" s="149"/>
      <c r="C428" s="93"/>
      <c r="D428" s="61"/>
      <c r="E428" s="112"/>
      <c r="F428" s="149"/>
      <c r="G428" s="93"/>
      <c r="H428" s="61"/>
      <c r="I428" s="112"/>
      <c r="J428" s="149"/>
      <c r="K428" s="93"/>
      <c r="L428" s="61"/>
      <c r="M428" s="112"/>
      <c r="N428" s="115"/>
      <c r="O428" s="93"/>
      <c r="P428" s="61"/>
      <c r="Q428" s="180"/>
      <c r="R428" s="115"/>
      <c r="S428" s="93"/>
      <c r="T428" s="61"/>
      <c r="U428" s="180"/>
      <c r="V428" s="115"/>
      <c r="W428" s="93"/>
      <c r="X428" s="61"/>
      <c r="Y428" s="112"/>
      <c r="Z428" s="181"/>
      <c r="AA428" s="182"/>
      <c r="AB428" s="183"/>
      <c r="AC428" s="112"/>
      <c r="AD428" s="115"/>
      <c r="AE428" s="151"/>
      <c r="AF428" s="184"/>
      <c r="AG428" s="188"/>
      <c r="AH428" s="188"/>
      <c r="AI428" s="188"/>
      <c r="AJ428" s="188"/>
      <c r="AK428" s="61"/>
      <c r="AL428" s="61"/>
      <c r="AM428" s="61"/>
      <c r="AN428" s="61"/>
      <c r="AO428" s="61"/>
    </row>
    <row r="429">
      <c r="A429" s="112"/>
      <c r="B429" s="149"/>
      <c r="C429" s="93"/>
      <c r="D429" s="61"/>
      <c r="E429" s="112"/>
      <c r="F429" s="149"/>
      <c r="G429" s="93"/>
      <c r="H429" s="61"/>
      <c r="I429" s="112"/>
      <c r="J429" s="149"/>
      <c r="K429" s="93"/>
      <c r="L429" s="61"/>
      <c r="M429" s="112"/>
      <c r="N429" s="115"/>
      <c r="O429" s="93"/>
      <c r="P429" s="61"/>
      <c r="Q429" s="180"/>
      <c r="R429" s="115"/>
      <c r="S429" s="93"/>
      <c r="T429" s="61"/>
      <c r="U429" s="180"/>
      <c r="V429" s="115"/>
      <c r="W429" s="93"/>
      <c r="X429" s="61"/>
      <c r="Y429" s="112"/>
      <c r="Z429" s="181"/>
      <c r="AA429" s="182"/>
      <c r="AB429" s="183"/>
      <c r="AC429" s="112"/>
      <c r="AD429" s="115"/>
      <c r="AE429" s="151"/>
      <c r="AF429" s="184"/>
      <c r="AG429" s="188"/>
      <c r="AH429" s="188"/>
      <c r="AI429" s="188"/>
      <c r="AJ429" s="188"/>
      <c r="AK429" s="61"/>
      <c r="AL429" s="61"/>
      <c r="AM429" s="61"/>
      <c r="AN429" s="61"/>
      <c r="AO429" s="61"/>
    </row>
    <row r="430">
      <c r="A430" s="112"/>
      <c r="B430" s="149"/>
      <c r="C430" s="93"/>
      <c r="D430" s="61"/>
      <c r="E430" s="112"/>
      <c r="F430" s="149"/>
      <c r="G430" s="93"/>
      <c r="H430" s="61"/>
      <c r="I430" s="112"/>
      <c r="J430" s="149"/>
      <c r="K430" s="93"/>
      <c r="L430" s="61"/>
      <c r="M430" s="112"/>
      <c r="N430" s="115"/>
      <c r="O430" s="93"/>
      <c r="P430" s="61"/>
      <c r="Q430" s="180"/>
      <c r="R430" s="115"/>
      <c r="S430" s="93"/>
      <c r="T430" s="61"/>
      <c r="U430" s="180"/>
      <c r="V430" s="115"/>
      <c r="W430" s="93"/>
      <c r="X430" s="61"/>
      <c r="Y430" s="112"/>
      <c r="Z430" s="181"/>
      <c r="AA430" s="182"/>
      <c r="AB430" s="183"/>
      <c r="AC430" s="112"/>
      <c r="AD430" s="115"/>
      <c r="AE430" s="151"/>
      <c r="AF430" s="184"/>
      <c r="AG430" s="188"/>
      <c r="AH430" s="188"/>
      <c r="AI430" s="188"/>
      <c r="AJ430" s="188"/>
      <c r="AK430" s="61"/>
      <c r="AL430" s="61"/>
      <c r="AM430" s="61"/>
      <c r="AN430" s="61"/>
      <c r="AO430" s="61"/>
    </row>
    <row r="431">
      <c r="A431" s="112"/>
      <c r="B431" s="149"/>
      <c r="C431" s="93"/>
      <c r="D431" s="61"/>
      <c r="E431" s="112"/>
      <c r="F431" s="149"/>
      <c r="G431" s="93"/>
      <c r="H431" s="61"/>
      <c r="I431" s="112"/>
      <c r="J431" s="149"/>
      <c r="K431" s="93"/>
      <c r="L431" s="61"/>
      <c r="M431" s="112"/>
      <c r="N431" s="115"/>
      <c r="O431" s="93"/>
      <c r="P431" s="61"/>
      <c r="Q431" s="180"/>
      <c r="R431" s="115"/>
      <c r="S431" s="93"/>
      <c r="T431" s="61"/>
      <c r="U431" s="180"/>
      <c r="V431" s="115"/>
      <c r="W431" s="93"/>
      <c r="X431" s="61"/>
      <c r="Y431" s="112"/>
      <c r="Z431" s="181"/>
      <c r="AA431" s="182"/>
      <c r="AB431" s="183"/>
      <c r="AC431" s="112"/>
      <c r="AD431" s="115"/>
      <c r="AE431" s="151"/>
      <c r="AF431" s="184"/>
      <c r="AG431" s="188"/>
      <c r="AH431" s="188"/>
      <c r="AI431" s="188"/>
      <c r="AJ431" s="188"/>
      <c r="AK431" s="61"/>
      <c r="AL431" s="61"/>
      <c r="AM431" s="61"/>
      <c r="AN431" s="61"/>
      <c r="AO431" s="61"/>
    </row>
    <row r="432">
      <c r="A432" s="112"/>
      <c r="B432" s="149"/>
      <c r="C432" s="93"/>
      <c r="D432" s="61"/>
      <c r="E432" s="112"/>
      <c r="F432" s="149"/>
      <c r="G432" s="93"/>
      <c r="H432" s="61"/>
      <c r="I432" s="112"/>
      <c r="J432" s="149"/>
      <c r="K432" s="93"/>
      <c r="L432" s="61"/>
      <c r="M432" s="112"/>
      <c r="N432" s="115"/>
      <c r="O432" s="93"/>
      <c r="P432" s="61"/>
      <c r="Q432" s="180"/>
      <c r="R432" s="115"/>
      <c r="S432" s="93"/>
      <c r="T432" s="61"/>
      <c r="U432" s="180"/>
      <c r="V432" s="115"/>
      <c r="W432" s="93"/>
      <c r="X432" s="61"/>
      <c r="Y432" s="112"/>
      <c r="Z432" s="181"/>
      <c r="AA432" s="182"/>
      <c r="AB432" s="183"/>
      <c r="AC432" s="112"/>
      <c r="AD432" s="115"/>
      <c r="AE432" s="151"/>
      <c r="AF432" s="184"/>
      <c r="AG432" s="188"/>
      <c r="AH432" s="188"/>
      <c r="AI432" s="188"/>
      <c r="AJ432" s="188"/>
      <c r="AK432" s="61"/>
      <c r="AL432" s="61"/>
      <c r="AM432" s="61"/>
      <c r="AN432" s="61"/>
      <c r="AO432" s="61"/>
    </row>
    <row r="433">
      <c r="A433" s="112"/>
      <c r="B433" s="149"/>
      <c r="C433" s="93"/>
      <c r="D433" s="61"/>
      <c r="E433" s="112"/>
      <c r="F433" s="149"/>
      <c r="G433" s="93"/>
      <c r="H433" s="61"/>
      <c r="I433" s="112"/>
      <c r="J433" s="149"/>
      <c r="K433" s="93"/>
      <c r="L433" s="61"/>
      <c r="M433" s="112"/>
      <c r="N433" s="115"/>
      <c r="O433" s="93"/>
      <c r="P433" s="61"/>
      <c r="Q433" s="180"/>
      <c r="R433" s="115"/>
      <c r="S433" s="93"/>
      <c r="T433" s="61"/>
      <c r="U433" s="180"/>
      <c r="V433" s="115"/>
      <c r="W433" s="93"/>
      <c r="X433" s="61"/>
      <c r="Y433" s="112"/>
      <c r="Z433" s="181"/>
      <c r="AA433" s="182"/>
      <c r="AB433" s="183"/>
      <c r="AC433" s="112"/>
      <c r="AD433" s="115"/>
      <c r="AE433" s="151"/>
      <c r="AF433" s="184"/>
      <c r="AG433" s="188"/>
      <c r="AH433" s="188"/>
      <c r="AI433" s="188"/>
      <c r="AJ433" s="188"/>
      <c r="AK433" s="61"/>
      <c r="AL433" s="61"/>
      <c r="AM433" s="61"/>
      <c r="AN433" s="61"/>
      <c r="AO433" s="61"/>
    </row>
    <row r="434">
      <c r="A434" s="112"/>
      <c r="B434" s="149"/>
      <c r="C434" s="93"/>
      <c r="D434" s="61"/>
      <c r="E434" s="112"/>
      <c r="F434" s="149"/>
      <c r="G434" s="93"/>
      <c r="H434" s="61"/>
      <c r="I434" s="112"/>
      <c r="J434" s="149"/>
      <c r="K434" s="93"/>
      <c r="L434" s="61"/>
      <c r="M434" s="112"/>
      <c r="N434" s="115"/>
      <c r="O434" s="93"/>
      <c r="P434" s="61"/>
      <c r="Q434" s="180"/>
      <c r="R434" s="115"/>
      <c r="S434" s="93"/>
      <c r="T434" s="61"/>
      <c r="U434" s="180"/>
      <c r="V434" s="115"/>
      <c r="W434" s="93"/>
      <c r="X434" s="61"/>
      <c r="Y434" s="112"/>
      <c r="Z434" s="181"/>
      <c r="AA434" s="182"/>
      <c r="AB434" s="183"/>
      <c r="AC434" s="112"/>
      <c r="AD434" s="115"/>
      <c r="AE434" s="151"/>
      <c r="AF434" s="184"/>
      <c r="AG434" s="188"/>
      <c r="AH434" s="188"/>
      <c r="AI434" s="188"/>
      <c r="AJ434" s="188"/>
      <c r="AK434" s="61"/>
      <c r="AL434" s="61"/>
      <c r="AM434" s="61"/>
      <c r="AN434" s="61"/>
      <c r="AO434" s="61"/>
    </row>
    <row r="435">
      <c r="A435" s="112"/>
      <c r="B435" s="149"/>
      <c r="C435" s="93"/>
      <c r="D435" s="61"/>
      <c r="E435" s="112"/>
      <c r="F435" s="149"/>
      <c r="G435" s="93"/>
      <c r="H435" s="61"/>
      <c r="I435" s="112"/>
      <c r="J435" s="149"/>
      <c r="K435" s="93"/>
      <c r="L435" s="61"/>
      <c r="M435" s="112"/>
      <c r="N435" s="115"/>
      <c r="O435" s="93"/>
      <c r="P435" s="61"/>
      <c r="Q435" s="180"/>
      <c r="R435" s="115"/>
      <c r="S435" s="93"/>
      <c r="T435" s="61"/>
      <c r="U435" s="180"/>
      <c r="V435" s="115"/>
      <c r="W435" s="93"/>
      <c r="X435" s="61"/>
      <c r="Y435" s="112"/>
      <c r="Z435" s="181"/>
      <c r="AA435" s="182"/>
      <c r="AB435" s="183"/>
      <c r="AC435" s="112"/>
      <c r="AD435" s="115"/>
      <c r="AE435" s="151"/>
      <c r="AF435" s="184"/>
      <c r="AG435" s="188"/>
      <c r="AH435" s="188"/>
      <c r="AI435" s="188"/>
      <c r="AJ435" s="188"/>
      <c r="AK435" s="61"/>
      <c r="AL435" s="61"/>
      <c r="AM435" s="61"/>
      <c r="AN435" s="61"/>
      <c r="AO435" s="61"/>
    </row>
    <row r="436">
      <c r="A436" s="112"/>
      <c r="B436" s="149"/>
      <c r="C436" s="93"/>
      <c r="D436" s="61"/>
      <c r="E436" s="112"/>
      <c r="F436" s="149"/>
      <c r="G436" s="93"/>
      <c r="H436" s="61"/>
      <c r="I436" s="112"/>
      <c r="J436" s="149"/>
      <c r="K436" s="93"/>
      <c r="L436" s="61"/>
      <c r="M436" s="112"/>
      <c r="N436" s="115"/>
      <c r="O436" s="93"/>
      <c r="P436" s="61"/>
      <c r="Q436" s="180"/>
      <c r="R436" s="115"/>
      <c r="S436" s="93"/>
      <c r="T436" s="61"/>
      <c r="U436" s="180"/>
      <c r="V436" s="115"/>
      <c r="W436" s="93"/>
      <c r="X436" s="61"/>
      <c r="Y436" s="112"/>
      <c r="Z436" s="181"/>
      <c r="AA436" s="182"/>
      <c r="AB436" s="183"/>
      <c r="AC436" s="112"/>
      <c r="AD436" s="115"/>
      <c r="AE436" s="151"/>
      <c r="AF436" s="184"/>
      <c r="AG436" s="188"/>
      <c r="AH436" s="188"/>
      <c r="AI436" s="188"/>
      <c r="AJ436" s="188"/>
      <c r="AK436" s="61"/>
      <c r="AL436" s="61"/>
      <c r="AM436" s="61"/>
      <c r="AN436" s="61"/>
      <c r="AO436" s="61"/>
    </row>
    <row r="437">
      <c r="A437" s="112"/>
      <c r="B437" s="149"/>
      <c r="C437" s="93"/>
      <c r="D437" s="61"/>
      <c r="E437" s="112"/>
      <c r="F437" s="149"/>
      <c r="G437" s="93"/>
      <c r="H437" s="61"/>
      <c r="I437" s="112"/>
      <c r="J437" s="149"/>
      <c r="K437" s="93"/>
      <c r="L437" s="61"/>
      <c r="M437" s="112"/>
      <c r="N437" s="115"/>
      <c r="O437" s="93"/>
      <c r="P437" s="61"/>
      <c r="Q437" s="180"/>
      <c r="R437" s="115"/>
      <c r="S437" s="93"/>
      <c r="T437" s="61"/>
      <c r="U437" s="180"/>
      <c r="V437" s="115"/>
      <c r="W437" s="93"/>
      <c r="X437" s="61"/>
      <c r="Y437" s="112"/>
      <c r="Z437" s="181"/>
      <c r="AA437" s="182"/>
      <c r="AB437" s="183"/>
      <c r="AC437" s="112"/>
      <c r="AD437" s="115"/>
      <c r="AE437" s="151"/>
      <c r="AF437" s="184"/>
      <c r="AG437" s="188"/>
      <c r="AH437" s="188"/>
      <c r="AI437" s="188"/>
      <c r="AJ437" s="188"/>
      <c r="AK437" s="61"/>
      <c r="AL437" s="61"/>
      <c r="AM437" s="61"/>
      <c r="AN437" s="61"/>
      <c r="AO437" s="61"/>
    </row>
    <row r="438">
      <c r="A438" s="112"/>
      <c r="B438" s="149"/>
      <c r="C438" s="93"/>
      <c r="D438" s="61"/>
      <c r="E438" s="112"/>
      <c r="F438" s="149"/>
      <c r="G438" s="93"/>
      <c r="H438" s="61"/>
      <c r="I438" s="112"/>
      <c r="J438" s="149"/>
      <c r="K438" s="93"/>
      <c r="L438" s="61"/>
      <c r="M438" s="112"/>
      <c r="N438" s="115"/>
      <c r="O438" s="93"/>
      <c r="P438" s="61"/>
      <c r="Q438" s="180"/>
      <c r="R438" s="115"/>
      <c r="S438" s="93"/>
      <c r="T438" s="61"/>
      <c r="U438" s="180"/>
      <c r="V438" s="115"/>
      <c r="W438" s="93"/>
      <c r="X438" s="61"/>
      <c r="Y438" s="112"/>
      <c r="Z438" s="181"/>
      <c r="AA438" s="182"/>
      <c r="AB438" s="183"/>
      <c r="AC438" s="112"/>
      <c r="AD438" s="115"/>
      <c r="AE438" s="151"/>
      <c r="AF438" s="184"/>
      <c r="AG438" s="188"/>
      <c r="AH438" s="188"/>
      <c r="AI438" s="188"/>
      <c r="AJ438" s="188"/>
      <c r="AK438" s="61"/>
      <c r="AL438" s="61"/>
      <c r="AM438" s="61"/>
      <c r="AN438" s="61"/>
      <c r="AO438" s="61"/>
    </row>
    <row r="439">
      <c r="A439" s="112"/>
      <c r="B439" s="149"/>
      <c r="C439" s="93"/>
      <c r="D439" s="61"/>
      <c r="E439" s="112"/>
      <c r="F439" s="149"/>
      <c r="G439" s="93"/>
      <c r="H439" s="61"/>
      <c r="I439" s="112"/>
      <c r="J439" s="149"/>
      <c r="K439" s="93"/>
      <c r="L439" s="61"/>
      <c r="M439" s="112"/>
      <c r="N439" s="115"/>
      <c r="O439" s="93"/>
      <c r="P439" s="61"/>
      <c r="Q439" s="180"/>
      <c r="R439" s="115"/>
      <c r="S439" s="93"/>
      <c r="T439" s="61"/>
      <c r="U439" s="180"/>
      <c r="V439" s="115"/>
      <c r="W439" s="93"/>
      <c r="X439" s="61"/>
      <c r="Y439" s="112"/>
      <c r="Z439" s="181"/>
      <c r="AA439" s="182"/>
      <c r="AB439" s="183"/>
      <c r="AC439" s="112"/>
      <c r="AD439" s="115"/>
      <c r="AE439" s="151"/>
      <c r="AF439" s="184"/>
      <c r="AG439" s="188"/>
      <c r="AH439" s="188"/>
      <c r="AI439" s="188"/>
      <c r="AJ439" s="188"/>
      <c r="AK439" s="61"/>
      <c r="AL439" s="61"/>
      <c r="AM439" s="61"/>
      <c r="AN439" s="61"/>
      <c r="AO439" s="61"/>
    </row>
    <row r="440">
      <c r="A440" s="112"/>
      <c r="B440" s="149"/>
      <c r="C440" s="93"/>
      <c r="D440" s="61"/>
      <c r="E440" s="112"/>
      <c r="F440" s="149"/>
      <c r="G440" s="93"/>
      <c r="H440" s="61"/>
      <c r="I440" s="112"/>
      <c r="J440" s="149"/>
      <c r="K440" s="93"/>
      <c r="L440" s="61"/>
      <c r="M440" s="112"/>
      <c r="N440" s="115"/>
      <c r="O440" s="93"/>
      <c r="P440" s="61"/>
      <c r="Q440" s="180"/>
      <c r="R440" s="115"/>
      <c r="S440" s="93"/>
      <c r="T440" s="61"/>
      <c r="U440" s="180"/>
      <c r="V440" s="115"/>
      <c r="W440" s="93"/>
      <c r="X440" s="61"/>
      <c r="Y440" s="112"/>
      <c r="Z440" s="181"/>
      <c r="AA440" s="182"/>
      <c r="AB440" s="183"/>
      <c r="AC440" s="112"/>
      <c r="AD440" s="115"/>
      <c r="AE440" s="151"/>
      <c r="AF440" s="184"/>
      <c r="AG440" s="188"/>
      <c r="AH440" s="188"/>
      <c r="AI440" s="188"/>
      <c r="AJ440" s="188"/>
      <c r="AK440" s="61"/>
      <c r="AL440" s="61"/>
      <c r="AM440" s="61"/>
      <c r="AN440" s="61"/>
      <c r="AO440" s="61"/>
    </row>
    <row r="441">
      <c r="A441" s="112"/>
      <c r="B441" s="149"/>
      <c r="C441" s="93"/>
      <c r="D441" s="61"/>
      <c r="E441" s="112"/>
      <c r="F441" s="149"/>
      <c r="G441" s="93"/>
      <c r="H441" s="61"/>
      <c r="I441" s="112"/>
      <c r="J441" s="149"/>
      <c r="K441" s="93"/>
      <c r="L441" s="61"/>
      <c r="M441" s="112"/>
      <c r="N441" s="115"/>
      <c r="O441" s="93"/>
      <c r="P441" s="61"/>
      <c r="Q441" s="180"/>
      <c r="R441" s="115"/>
      <c r="S441" s="93"/>
      <c r="T441" s="61"/>
      <c r="U441" s="180"/>
      <c r="V441" s="115"/>
      <c r="W441" s="93"/>
      <c r="X441" s="61"/>
      <c r="Y441" s="112"/>
      <c r="Z441" s="181"/>
      <c r="AA441" s="182"/>
      <c r="AB441" s="183"/>
      <c r="AC441" s="112"/>
      <c r="AD441" s="115"/>
      <c r="AE441" s="151"/>
      <c r="AF441" s="184"/>
      <c r="AG441" s="188"/>
      <c r="AH441" s="188"/>
      <c r="AI441" s="188"/>
      <c r="AJ441" s="188"/>
      <c r="AK441" s="61"/>
      <c r="AL441" s="61"/>
      <c r="AM441" s="61"/>
      <c r="AN441" s="61"/>
      <c r="AO441" s="61"/>
    </row>
    <row r="442">
      <c r="A442" s="112"/>
      <c r="B442" s="149"/>
      <c r="C442" s="93"/>
      <c r="D442" s="61"/>
      <c r="E442" s="112"/>
      <c r="F442" s="149"/>
      <c r="G442" s="93"/>
      <c r="H442" s="61"/>
      <c r="I442" s="112"/>
      <c r="J442" s="149"/>
      <c r="K442" s="93"/>
      <c r="L442" s="61"/>
      <c r="M442" s="112"/>
      <c r="N442" s="115"/>
      <c r="O442" s="93"/>
      <c r="P442" s="61"/>
      <c r="Q442" s="180"/>
      <c r="R442" s="115"/>
      <c r="S442" s="93"/>
      <c r="T442" s="61"/>
      <c r="U442" s="180"/>
      <c r="V442" s="115"/>
      <c r="W442" s="93"/>
      <c r="X442" s="61"/>
      <c r="Y442" s="112"/>
      <c r="Z442" s="181"/>
      <c r="AA442" s="182"/>
      <c r="AB442" s="183"/>
      <c r="AC442" s="112"/>
      <c r="AD442" s="115"/>
      <c r="AE442" s="151"/>
      <c r="AF442" s="184"/>
      <c r="AG442" s="188"/>
      <c r="AH442" s="188"/>
      <c r="AI442" s="188"/>
      <c r="AJ442" s="188"/>
      <c r="AK442" s="61"/>
      <c r="AL442" s="61"/>
      <c r="AM442" s="61"/>
      <c r="AN442" s="61"/>
      <c r="AO442" s="61"/>
    </row>
    <row r="443">
      <c r="A443" s="112"/>
      <c r="B443" s="149"/>
      <c r="C443" s="93"/>
      <c r="D443" s="61"/>
      <c r="E443" s="112"/>
      <c r="F443" s="149"/>
      <c r="G443" s="93"/>
      <c r="H443" s="61"/>
      <c r="I443" s="112"/>
      <c r="J443" s="149"/>
      <c r="K443" s="93"/>
      <c r="L443" s="61"/>
      <c r="M443" s="112"/>
      <c r="N443" s="115"/>
      <c r="O443" s="93"/>
      <c r="P443" s="61"/>
      <c r="Q443" s="180"/>
      <c r="R443" s="115"/>
      <c r="S443" s="93"/>
      <c r="T443" s="61"/>
      <c r="U443" s="180"/>
      <c r="V443" s="115"/>
      <c r="W443" s="93"/>
      <c r="X443" s="61"/>
      <c r="Y443" s="112"/>
      <c r="Z443" s="181"/>
      <c r="AA443" s="182"/>
      <c r="AB443" s="183"/>
      <c r="AC443" s="112"/>
      <c r="AD443" s="115"/>
      <c r="AE443" s="151"/>
      <c r="AF443" s="184"/>
      <c r="AG443" s="188"/>
      <c r="AH443" s="188"/>
      <c r="AI443" s="188"/>
      <c r="AJ443" s="188"/>
      <c r="AK443" s="61"/>
      <c r="AL443" s="61"/>
      <c r="AM443" s="61"/>
      <c r="AN443" s="61"/>
      <c r="AO443" s="61"/>
    </row>
    <row r="444">
      <c r="A444" s="112"/>
      <c r="B444" s="149"/>
      <c r="C444" s="93"/>
      <c r="D444" s="61"/>
      <c r="E444" s="112"/>
      <c r="F444" s="149"/>
      <c r="G444" s="93"/>
      <c r="H444" s="61"/>
      <c r="I444" s="112"/>
      <c r="J444" s="149"/>
      <c r="K444" s="93"/>
      <c r="L444" s="61"/>
      <c r="M444" s="112"/>
      <c r="N444" s="115"/>
      <c r="O444" s="93"/>
      <c r="P444" s="61"/>
      <c r="Q444" s="180"/>
      <c r="R444" s="115"/>
      <c r="S444" s="93"/>
      <c r="T444" s="61"/>
      <c r="U444" s="180"/>
      <c r="V444" s="115"/>
      <c r="W444" s="93"/>
      <c r="X444" s="61"/>
      <c r="Y444" s="112"/>
      <c r="Z444" s="181"/>
      <c r="AA444" s="182"/>
      <c r="AB444" s="183"/>
      <c r="AC444" s="112"/>
      <c r="AD444" s="115"/>
      <c r="AE444" s="151"/>
      <c r="AF444" s="184"/>
      <c r="AG444" s="188"/>
      <c r="AH444" s="188"/>
      <c r="AI444" s="188"/>
      <c r="AJ444" s="188"/>
      <c r="AK444" s="61"/>
      <c r="AL444" s="61"/>
      <c r="AM444" s="61"/>
      <c r="AN444" s="61"/>
      <c r="AO444" s="61"/>
    </row>
    <row r="445">
      <c r="A445" s="112"/>
      <c r="B445" s="149"/>
      <c r="C445" s="93"/>
      <c r="D445" s="61"/>
      <c r="E445" s="112"/>
      <c r="F445" s="149"/>
      <c r="G445" s="93"/>
      <c r="H445" s="61"/>
      <c r="I445" s="112"/>
      <c r="J445" s="149"/>
      <c r="K445" s="93"/>
      <c r="L445" s="61"/>
      <c r="M445" s="112"/>
      <c r="N445" s="115"/>
      <c r="O445" s="93"/>
      <c r="P445" s="61"/>
      <c r="Q445" s="180"/>
      <c r="R445" s="115"/>
      <c r="S445" s="93"/>
      <c r="T445" s="61"/>
      <c r="U445" s="180"/>
      <c r="V445" s="115"/>
      <c r="W445" s="93"/>
      <c r="X445" s="61"/>
      <c r="Y445" s="112"/>
      <c r="Z445" s="181"/>
      <c r="AA445" s="182"/>
      <c r="AB445" s="183"/>
      <c r="AC445" s="112"/>
      <c r="AD445" s="115"/>
      <c r="AE445" s="151"/>
      <c r="AF445" s="184"/>
      <c r="AG445" s="188"/>
      <c r="AH445" s="188"/>
      <c r="AI445" s="188"/>
      <c r="AJ445" s="188"/>
      <c r="AK445" s="61"/>
      <c r="AL445" s="61"/>
      <c r="AM445" s="61"/>
      <c r="AN445" s="61"/>
      <c r="AO445" s="61"/>
    </row>
    <row r="446">
      <c r="A446" s="112"/>
      <c r="B446" s="149"/>
      <c r="C446" s="93"/>
      <c r="D446" s="61"/>
      <c r="E446" s="112"/>
      <c r="F446" s="149"/>
      <c r="G446" s="93"/>
      <c r="H446" s="61"/>
      <c r="I446" s="112"/>
      <c r="J446" s="149"/>
      <c r="K446" s="93"/>
      <c r="L446" s="61"/>
      <c r="M446" s="112"/>
      <c r="N446" s="115"/>
      <c r="O446" s="93"/>
      <c r="P446" s="61"/>
      <c r="Q446" s="180"/>
      <c r="R446" s="115"/>
      <c r="S446" s="93"/>
      <c r="T446" s="61"/>
      <c r="U446" s="180"/>
      <c r="V446" s="115"/>
      <c r="W446" s="93"/>
      <c r="X446" s="61"/>
      <c r="Y446" s="112"/>
      <c r="Z446" s="181"/>
      <c r="AA446" s="182"/>
      <c r="AB446" s="183"/>
      <c r="AC446" s="112"/>
      <c r="AD446" s="115"/>
      <c r="AE446" s="151"/>
      <c r="AF446" s="184"/>
      <c r="AG446" s="188"/>
      <c r="AH446" s="188"/>
      <c r="AI446" s="188"/>
      <c r="AJ446" s="188"/>
      <c r="AK446" s="61"/>
      <c r="AL446" s="61"/>
      <c r="AM446" s="61"/>
      <c r="AN446" s="61"/>
      <c r="AO446" s="61"/>
    </row>
    <row r="447">
      <c r="A447" s="112"/>
      <c r="B447" s="149"/>
      <c r="C447" s="93"/>
      <c r="D447" s="61"/>
      <c r="E447" s="112"/>
      <c r="F447" s="149"/>
      <c r="G447" s="93"/>
      <c r="H447" s="61"/>
      <c r="I447" s="112"/>
      <c r="J447" s="149"/>
      <c r="K447" s="93"/>
      <c r="L447" s="61"/>
      <c r="M447" s="112"/>
      <c r="N447" s="115"/>
      <c r="O447" s="93"/>
      <c r="P447" s="61"/>
      <c r="Q447" s="180"/>
      <c r="R447" s="115"/>
      <c r="S447" s="93"/>
      <c r="T447" s="61"/>
      <c r="U447" s="180"/>
      <c r="V447" s="115"/>
      <c r="W447" s="93"/>
      <c r="X447" s="61"/>
      <c r="Y447" s="112"/>
      <c r="Z447" s="181"/>
      <c r="AA447" s="182"/>
      <c r="AB447" s="183"/>
      <c r="AC447" s="112"/>
      <c r="AD447" s="115"/>
      <c r="AE447" s="151"/>
      <c r="AF447" s="184"/>
      <c r="AG447" s="188"/>
      <c r="AH447" s="188"/>
      <c r="AI447" s="188"/>
      <c r="AJ447" s="188"/>
      <c r="AK447" s="61"/>
      <c r="AL447" s="61"/>
      <c r="AM447" s="61"/>
      <c r="AN447" s="61"/>
      <c r="AO447" s="61"/>
    </row>
    <row r="448">
      <c r="A448" s="112"/>
      <c r="B448" s="149"/>
      <c r="C448" s="93"/>
      <c r="D448" s="61"/>
      <c r="E448" s="112"/>
      <c r="F448" s="149"/>
      <c r="G448" s="93"/>
      <c r="H448" s="61"/>
      <c r="I448" s="112"/>
      <c r="J448" s="149"/>
      <c r="K448" s="93"/>
      <c r="L448" s="61"/>
      <c r="M448" s="112"/>
      <c r="N448" s="115"/>
      <c r="O448" s="93"/>
      <c r="P448" s="61"/>
      <c r="Q448" s="180"/>
      <c r="R448" s="115"/>
      <c r="S448" s="93"/>
      <c r="T448" s="61"/>
      <c r="U448" s="180"/>
      <c r="V448" s="115"/>
      <c r="W448" s="93"/>
      <c r="X448" s="61"/>
      <c r="Y448" s="112"/>
      <c r="Z448" s="181"/>
      <c r="AA448" s="182"/>
      <c r="AB448" s="183"/>
      <c r="AC448" s="112"/>
      <c r="AD448" s="115"/>
      <c r="AE448" s="151"/>
      <c r="AF448" s="184"/>
      <c r="AG448" s="188"/>
      <c r="AH448" s="188"/>
      <c r="AI448" s="188"/>
      <c r="AJ448" s="188"/>
      <c r="AK448" s="61"/>
      <c r="AL448" s="61"/>
      <c r="AM448" s="61"/>
      <c r="AN448" s="61"/>
      <c r="AO448" s="61"/>
    </row>
    <row r="449">
      <c r="A449" s="112"/>
      <c r="B449" s="149"/>
      <c r="C449" s="93"/>
      <c r="D449" s="61"/>
      <c r="E449" s="112"/>
      <c r="F449" s="149"/>
      <c r="G449" s="93"/>
      <c r="H449" s="61"/>
      <c r="I449" s="112"/>
      <c r="J449" s="149"/>
      <c r="K449" s="93"/>
      <c r="L449" s="61"/>
      <c r="M449" s="112"/>
      <c r="N449" s="115"/>
      <c r="O449" s="93"/>
      <c r="P449" s="61"/>
      <c r="Q449" s="180"/>
      <c r="R449" s="115"/>
      <c r="S449" s="93"/>
      <c r="T449" s="61"/>
      <c r="U449" s="180"/>
      <c r="V449" s="115"/>
      <c r="W449" s="93"/>
      <c r="X449" s="61"/>
      <c r="Y449" s="112"/>
      <c r="Z449" s="181"/>
      <c r="AA449" s="182"/>
      <c r="AB449" s="183"/>
      <c r="AC449" s="112"/>
      <c r="AD449" s="115"/>
      <c r="AE449" s="151"/>
      <c r="AF449" s="184"/>
      <c r="AG449" s="188"/>
      <c r="AH449" s="188"/>
      <c r="AI449" s="188"/>
      <c r="AJ449" s="188"/>
      <c r="AK449" s="61"/>
      <c r="AL449" s="61"/>
      <c r="AM449" s="61"/>
      <c r="AN449" s="61"/>
      <c r="AO449" s="61"/>
    </row>
    <row r="450">
      <c r="A450" s="112"/>
      <c r="B450" s="149"/>
      <c r="C450" s="93"/>
      <c r="D450" s="61"/>
      <c r="E450" s="112"/>
      <c r="F450" s="149"/>
      <c r="G450" s="93"/>
      <c r="H450" s="61"/>
      <c r="I450" s="112"/>
      <c r="J450" s="149"/>
      <c r="K450" s="93"/>
      <c r="L450" s="61"/>
      <c r="M450" s="112"/>
      <c r="N450" s="115"/>
      <c r="O450" s="93"/>
      <c r="P450" s="61"/>
      <c r="Q450" s="180"/>
      <c r="R450" s="115"/>
      <c r="S450" s="93"/>
      <c r="T450" s="61"/>
      <c r="U450" s="180"/>
      <c r="V450" s="115"/>
      <c r="W450" s="93"/>
      <c r="X450" s="61"/>
      <c r="Y450" s="112"/>
      <c r="Z450" s="181"/>
      <c r="AA450" s="182"/>
      <c r="AB450" s="183"/>
      <c r="AC450" s="112"/>
      <c r="AD450" s="115"/>
      <c r="AE450" s="151"/>
      <c r="AF450" s="184"/>
      <c r="AG450" s="188"/>
      <c r="AH450" s="188"/>
      <c r="AI450" s="188"/>
      <c r="AJ450" s="188"/>
      <c r="AK450" s="61"/>
      <c r="AL450" s="61"/>
      <c r="AM450" s="61"/>
      <c r="AN450" s="61"/>
      <c r="AO450" s="61"/>
    </row>
    <row r="451">
      <c r="A451" s="112"/>
      <c r="B451" s="149"/>
      <c r="C451" s="93"/>
      <c r="D451" s="61"/>
      <c r="E451" s="112"/>
      <c r="F451" s="149"/>
      <c r="G451" s="93"/>
      <c r="H451" s="61"/>
      <c r="I451" s="112"/>
      <c r="J451" s="149"/>
      <c r="K451" s="93"/>
      <c r="L451" s="61"/>
      <c r="M451" s="112"/>
      <c r="N451" s="115"/>
      <c r="O451" s="93"/>
      <c r="P451" s="61"/>
      <c r="Q451" s="180"/>
      <c r="R451" s="115"/>
      <c r="S451" s="93"/>
      <c r="T451" s="61"/>
      <c r="U451" s="180"/>
      <c r="V451" s="115"/>
      <c r="W451" s="93"/>
      <c r="X451" s="61"/>
      <c r="Y451" s="112"/>
      <c r="Z451" s="181"/>
      <c r="AA451" s="182"/>
      <c r="AB451" s="183"/>
      <c r="AC451" s="112"/>
      <c r="AD451" s="115"/>
      <c r="AE451" s="151"/>
      <c r="AF451" s="184"/>
      <c r="AG451" s="188"/>
      <c r="AH451" s="188"/>
      <c r="AI451" s="188"/>
      <c r="AJ451" s="188"/>
      <c r="AK451" s="61"/>
      <c r="AL451" s="61"/>
      <c r="AM451" s="61"/>
      <c r="AN451" s="61"/>
      <c r="AO451" s="61"/>
    </row>
    <row r="452">
      <c r="A452" s="112"/>
      <c r="B452" s="149"/>
      <c r="C452" s="93"/>
      <c r="D452" s="61"/>
      <c r="E452" s="112"/>
      <c r="F452" s="149"/>
      <c r="G452" s="93"/>
      <c r="H452" s="61"/>
      <c r="I452" s="112"/>
      <c r="J452" s="149"/>
      <c r="K452" s="93"/>
      <c r="L452" s="61"/>
      <c r="M452" s="112"/>
      <c r="N452" s="115"/>
      <c r="O452" s="93"/>
      <c r="P452" s="61"/>
      <c r="Q452" s="180"/>
      <c r="R452" s="115"/>
      <c r="S452" s="93"/>
      <c r="T452" s="61"/>
      <c r="U452" s="180"/>
      <c r="V452" s="115"/>
      <c r="W452" s="93"/>
      <c r="X452" s="61"/>
      <c r="Y452" s="112"/>
      <c r="Z452" s="181"/>
      <c r="AA452" s="182"/>
      <c r="AB452" s="183"/>
      <c r="AC452" s="112"/>
      <c r="AD452" s="115"/>
      <c r="AE452" s="151"/>
      <c r="AF452" s="184"/>
      <c r="AG452" s="188"/>
      <c r="AH452" s="188"/>
      <c r="AI452" s="188"/>
      <c r="AJ452" s="188"/>
      <c r="AK452" s="61"/>
      <c r="AL452" s="61"/>
      <c r="AM452" s="61"/>
      <c r="AN452" s="61"/>
      <c r="AO452" s="61"/>
    </row>
    <row r="453">
      <c r="A453" s="112"/>
      <c r="B453" s="149"/>
      <c r="C453" s="93"/>
      <c r="D453" s="61"/>
      <c r="E453" s="112"/>
      <c r="F453" s="149"/>
      <c r="G453" s="93"/>
      <c r="H453" s="61"/>
      <c r="I453" s="112"/>
      <c r="J453" s="149"/>
      <c r="K453" s="93"/>
      <c r="L453" s="61"/>
      <c r="M453" s="112"/>
      <c r="N453" s="115"/>
      <c r="O453" s="93"/>
      <c r="P453" s="61"/>
      <c r="Q453" s="180"/>
      <c r="R453" s="115"/>
      <c r="S453" s="93"/>
      <c r="T453" s="61"/>
      <c r="U453" s="180"/>
      <c r="V453" s="115"/>
      <c r="W453" s="93"/>
      <c r="X453" s="61"/>
      <c r="Y453" s="112"/>
      <c r="Z453" s="181"/>
      <c r="AA453" s="182"/>
      <c r="AB453" s="183"/>
      <c r="AC453" s="112"/>
      <c r="AD453" s="115"/>
      <c r="AE453" s="151"/>
      <c r="AF453" s="184"/>
      <c r="AG453" s="188"/>
      <c r="AH453" s="188"/>
      <c r="AI453" s="188"/>
      <c r="AJ453" s="188"/>
      <c r="AK453" s="61"/>
      <c r="AL453" s="61"/>
      <c r="AM453" s="61"/>
      <c r="AN453" s="61"/>
      <c r="AO453" s="61"/>
    </row>
    <row r="454">
      <c r="A454" s="112"/>
      <c r="B454" s="149"/>
      <c r="C454" s="93"/>
      <c r="D454" s="61"/>
      <c r="E454" s="112"/>
      <c r="F454" s="149"/>
      <c r="G454" s="93"/>
      <c r="H454" s="61"/>
      <c r="I454" s="112"/>
      <c r="J454" s="149"/>
      <c r="K454" s="93"/>
      <c r="L454" s="61"/>
      <c r="M454" s="112"/>
      <c r="N454" s="115"/>
      <c r="O454" s="93"/>
      <c r="P454" s="61"/>
      <c r="Q454" s="180"/>
      <c r="R454" s="115"/>
      <c r="S454" s="93"/>
      <c r="T454" s="61"/>
      <c r="U454" s="180"/>
      <c r="V454" s="115"/>
      <c r="W454" s="93"/>
      <c r="X454" s="61"/>
      <c r="Y454" s="112"/>
      <c r="Z454" s="181"/>
      <c r="AA454" s="182"/>
      <c r="AB454" s="183"/>
      <c r="AC454" s="112"/>
      <c r="AD454" s="115"/>
      <c r="AE454" s="151"/>
      <c r="AF454" s="184"/>
      <c r="AG454" s="188"/>
      <c r="AH454" s="188"/>
      <c r="AI454" s="188"/>
      <c r="AJ454" s="188"/>
      <c r="AK454" s="61"/>
      <c r="AL454" s="61"/>
      <c r="AM454" s="61"/>
      <c r="AN454" s="61"/>
      <c r="AO454" s="61"/>
    </row>
    <row r="455">
      <c r="A455" s="112"/>
      <c r="B455" s="149"/>
      <c r="C455" s="93"/>
      <c r="D455" s="61"/>
      <c r="E455" s="112"/>
      <c r="F455" s="149"/>
      <c r="G455" s="93"/>
      <c r="H455" s="61"/>
      <c r="I455" s="112"/>
      <c r="J455" s="149"/>
      <c r="K455" s="93"/>
      <c r="L455" s="61"/>
      <c r="M455" s="112"/>
      <c r="N455" s="115"/>
      <c r="O455" s="93"/>
      <c r="P455" s="61"/>
      <c r="Q455" s="180"/>
      <c r="R455" s="115"/>
      <c r="S455" s="93"/>
      <c r="T455" s="61"/>
      <c r="U455" s="180"/>
      <c r="V455" s="115"/>
      <c r="W455" s="93"/>
      <c r="X455" s="61"/>
      <c r="Y455" s="112"/>
      <c r="Z455" s="181"/>
      <c r="AA455" s="182"/>
      <c r="AB455" s="183"/>
      <c r="AC455" s="112"/>
      <c r="AD455" s="115"/>
      <c r="AE455" s="151"/>
      <c r="AF455" s="184"/>
      <c r="AG455" s="188"/>
      <c r="AH455" s="188"/>
      <c r="AI455" s="188"/>
      <c r="AJ455" s="188"/>
      <c r="AK455" s="61"/>
      <c r="AL455" s="61"/>
      <c r="AM455" s="61"/>
      <c r="AN455" s="61"/>
      <c r="AO455" s="61"/>
    </row>
    <row r="456">
      <c r="A456" s="112"/>
      <c r="B456" s="149"/>
      <c r="C456" s="93"/>
      <c r="D456" s="61"/>
      <c r="E456" s="112"/>
      <c r="F456" s="149"/>
      <c r="G456" s="93"/>
      <c r="H456" s="61"/>
      <c r="I456" s="112"/>
      <c r="J456" s="149"/>
      <c r="K456" s="93"/>
      <c r="L456" s="61"/>
      <c r="M456" s="112"/>
      <c r="N456" s="115"/>
      <c r="O456" s="93"/>
      <c r="P456" s="61"/>
      <c r="Q456" s="180"/>
      <c r="R456" s="115"/>
      <c r="S456" s="93"/>
      <c r="T456" s="61"/>
      <c r="U456" s="180"/>
      <c r="V456" s="115"/>
      <c r="W456" s="93"/>
      <c r="X456" s="61"/>
      <c r="Y456" s="112"/>
      <c r="Z456" s="181"/>
      <c r="AA456" s="182"/>
      <c r="AB456" s="183"/>
      <c r="AC456" s="112"/>
      <c r="AD456" s="115"/>
      <c r="AE456" s="151"/>
      <c r="AF456" s="184"/>
      <c r="AG456" s="188"/>
      <c r="AH456" s="188"/>
      <c r="AI456" s="188"/>
      <c r="AJ456" s="188"/>
      <c r="AK456" s="61"/>
      <c r="AL456" s="61"/>
      <c r="AM456" s="61"/>
      <c r="AN456" s="61"/>
      <c r="AO456" s="61"/>
    </row>
    <row r="457">
      <c r="A457" s="112"/>
      <c r="B457" s="149"/>
      <c r="C457" s="93"/>
      <c r="D457" s="61"/>
      <c r="E457" s="112"/>
      <c r="F457" s="149"/>
      <c r="G457" s="93"/>
      <c r="H457" s="61"/>
      <c r="I457" s="112"/>
      <c r="J457" s="149"/>
      <c r="K457" s="93"/>
      <c r="L457" s="61"/>
      <c r="M457" s="112"/>
      <c r="N457" s="115"/>
      <c r="O457" s="93"/>
      <c r="P457" s="61"/>
      <c r="Q457" s="180"/>
      <c r="R457" s="115"/>
      <c r="S457" s="93"/>
      <c r="T457" s="61"/>
      <c r="U457" s="180"/>
      <c r="V457" s="115"/>
      <c r="W457" s="93"/>
      <c r="X457" s="61"/>
      <c r="Y457" s="112"/>
      <c r="Z457" s="181"/>
      <c r="AA457" s="182"/>
      <c r="AB457" s="183"/>
      <c r="AC457" s="112"/>
      <c r="AD457" s="115"/>
      <c r="AE457" s="151"/>
      <c r="AF457" s="184"/>
      <c r="AG457" s="188"/>
      <c r="AH457" s="188"/>
      <c r="AI457" s="188"/>
      <c r="AJ457" s="188"/>
      <c r="AK457" s="61"/>
      <c r="AL457" s="61"/>
      <c r="AM457" s="61"/>
      <c r="AN457" s="61"/>
      <c r="AO457" s="61"/>
    </row>
    <row r="458">
      <c r="A458" s="112"/>
      <c r="B458" s="149"/>
      <c r="C458" s="93"/>
      <c r="D458" s="61"/>
      <c r="E458" s="112"/>
      <c r="F458" s="149"/>
      <c r="G458" s="93"/>
      <c r="H458" s="61"/>
      <c r="I458" s="112"/>
      <c r="J458" s="149"/>
      <c r="K458" s="93"/>
      <c r="L458" s="61"/>
      <c r="M458" s="112"/>
      <c r="N458" s="115"/>
      <c r="O458" s="93"/>
      <c r="P458" s="61"/>
      <c r="Q458" s="180"/>
      <c r="R458" s="115"/>
      <c r="S458" s="93"/>
      <c r="T458" s="61"/>
      <c r="U458" s="180"/>
      <c r="V458" s="115"/>
      <c r="W458" s="93"/>
      <c r="X458" s="61"/>
      <c r="Y458" s="112"/>
      <c r="Z458" s="181"/>
      <c r="AA458" s="182"/>
      <c r="AB458" s="183"/>
      <c r="AC458" s="112"/>
      <c r="AD458" s="115"/>
      <c r="AE458" s="151"/>
      <c r="AF458" s="184"/>
      <c r="AG458" s="188"/>
      <c r="AH458" s="188"/>
      <c r="AI458" s="188"/>
      <c r="AJ458" s="188"/>
      <c r="AK458" s="61"/>
      <c r="AL458" s="61"/>
      <c r="AM458" s="61"/>
      <c r="AN458" s="61"/>
      <c r="AO458" s="61"/>
    </row>
    <row r="459">
      <c r="A459" s="112"/>
      <c r="B459" s="149"/>
      <c r="C459" s="93"/>
      <c r="D459" s="61"/>
      <c r="E459" s="112"/>
      <c r="F459" s="149"/>
      <c r="G459" s="93"/>
      <c r="H459" s="61"/>
      <c r="I459" s="112"/>
      <c r="J459" s="149"/>
      <c r="K459" s="93"/>
      <c r="L459" s="61"/>
      <c r="M459" s="112"/>
      <c r="N459" s="115"/>
      <c r="O459" s="93"/>
      <c r="P459" s="61"/>
      <c r="Q459" s="180"/>
      <c r="R459" s="115"/>
      <c r="S459" s="93"/>
      <c r="T459" s="61"/>
      <c r="U459" s="180"/>
      <c r="V459" s="115"/>
      <c r="W459" s="93"/>
      <c r="X459" s="61"/>
      <c r="Y459" s="112"/>
      <c r="Z459" s="181"/>
      <c r="AA459" s="182"/>
      <c r="AB459" s="183"/>
      <c r="AC459" s="112"/>
      <c r="AD459" s="115"/>
      <c r="AE459" s="151"/>
      <c r="AF459" s="184"/>
      <c r="AG459" s="188"/>
      <c r="AH459" s="188"/>
      <c r="AI459" s="188"/>
      <c r="AJ459" s="188"/>
      <c r="AK459" s="61"/>
      <c r="AL459" s="61"/>
      <c r="AM459" s="61"/>
      <c r="AN459" s="61"/>
      <c r="AO459" s="61"/>
    </row>
    <row r="460">
      <c r="A460" s="112"/>
      <c r="B460" s="149"/>
      <c r="C460" s="93"/>
      <c r="D460" s="61"/>
      <c r="E460" s="112"/>
      <c r="F460" s="149"/>
      <c r="G460" s="93"/>
      <c r="H460" s="61"/>
      <c r="I460" s="112"/>
      <c r="J460" s="149"/>
      <c r="K460" s="93"/>
      <c r="L460" s="61"/>
      <c r="M460" s="112"/>
      <c r="N460" s="115"/>
      <c r="O460" s="93"/>
      <c r="P460" s="61"/>
      <c r="Q460" s="180"/>
      <c r="R460" s="115"/>
      <c r="S460" s="93"/>
      <c r="T460" s="61"/>
      <c r="U460" s="180"/>
      <c r="V460" s="115"/>
      <c r="W460" s="93"/>
      <c r="X460" s="61"/>
      <c r="Y460" s="112"/>
      <c r="Z460" s="181"/>
      <c r="AA460" s="182"/>
      <c r="AB460" s="183"/>
      <c r="AC460" s="112"/>
      <c r="AD460" s="115"/>
      <c r="AE460" s="151"/>
      <c r="AF460" s="184"/>
      <c r="AG460" s="188"/>
      <c r="AH460" s="188"/>
      <c r="AI460" s="188"/>
      <c r="AJ460" s="188"/>
      <c r="AK460" s="61"/>
      <c r="AL460" s="61"/>
      <c r="AM460" s="61"/>
      <c r="AN460" s="61"/>
      <c r="AO460" s="61"/>
    </row>
    <row r="461">
      <c r="A461" s="112"/>
      <c r="B461" s="149"/>
      <c r="C461" s="93"/>
      <c r="D461" s="61"/>
      <c r="E461" s="112"/>
      <c r="F461" s="149"/>
      <c r="G461" s="93"/>
      <c r="H461" s="61"/>
      <c r="I461" s="112"/>
      <c r="J461" s="149"/>
      <c r="K461" s="93"/>
      <c r="L461" s="61"/>
      <c r="M461" s="112"/>
      <c r="N461" s="115"/>
      <c r="O461" s="93"/>
      <c r="P461" s="61"/>
      <c r="Q461" s="180"/>
      <c r="R461" s="115"/>
      <c r="S461" s="93"/>
      <c r="T461" s="61"/>
      <c r="U461" s="180"/>
      <c r="V461" s="115"/>
      <c r="W461" s="93"/>
      <c r="X461" s="61"/>
      <c r="Y461" s="112"/>
      <c r="Z461" s="181"/>
      <c r="AA461" s="182"/>
      <c r="AB461" s="183"/>
      <c r="AC461" s="112"/>
      <c r="AD461" s="115"/>
      <c r="AE461" s="151"/>
      <c r="AF461" s="184"/>
      <c r="AG461" s="188"/>
      <c r="AH461" s="188"/>
      <c r="AI461" s="188"/>
      <c r="AJ461" s="188"/>
      <c r="AK461" s="61"/>
      <c r="AL461" s="61"/>
      <c r="AM461" s="61"/>
      <c r="AN461" s="61"/>
      <c r="AO461" s="61"/>
    </row>
    <row r="462">
      <c r="A462" s="112"/>
      <c r="B462" s="149"/>
      <c r="C462" s="93"/>
      <c r="D462" s="61"/>
      <c r="E462" s="112"/>
      <c r="F462" s="149"/>
      <c r="G462" s="93"/>
      <c r="H462" s="61"/>
      <c r="I462" s="112"/>
      <c r="J462" s="149"/>
      <c r="K462" s="93"/>
      <c r="L462" s="61"/>
      <c r="M462" s="112"/>
      <c r="N462" s="115"/>
      <c r="O462" s="93"/>
      <c r="P462" s="61"/>
      <c r="Q462" s="180"/>
      <c r="R462" s="115"/>
      <c r="S462" s="93"/>
      <c r="T462" s="61"/>
      <c r="U462" s="180"/>
      <c r="V462" s="115"/>
      <c r="W462" s="93"/>
      <c r="X462" s="61"/>
      <c r="Y462" s="112"/>
      <c r="Z462" s="181"/>
      <c r="AA462" s="182"/>
      <c r="AB462" s="183"/>
      <c r="AC462" s="112"/>
      <c r="AD462" s="115"/>
      <c r="AE462" s="151"/>
      <c r="AF462" s="184"/>
      <c r="AG462" s="188"/>
      <c r="AH462" s="188"/>
      <c r="AI462" s="188"/>
      <c r="AJ462" s="188"/>
      <c r="AK462" s="61"/>
      <c r="AL462" s="61"/>
      <c r="AM462" s="61"/>
      <c r="AN462" s="61"/>
      <c r="AO462" s="61"/>
    </row>
    <row r="463">
      <c r="A463" s="112"/>
      <c r="B463" s="149"/>
      <c r="C463" s="93"/>
      <c r="D463" s="61"/>
      <c r="E463" s="112"/>
      <c r="F463" s="149"/>
      <c r="G463" s="93"/>
      <c r="H463" s="61"/>
      <c r="I463" s="112"/>
      <c r="J463" s="149"/>
      <c r="K463" s="93"/>
      <c r="L463" s="61"/>
      <c r="M463" s="112"/>
      <c r="N463" s="115"/>
      <c r="O463" s="93"/>
      <c r="P463" s="61"/>
      <c r="Q463" s="180"/>
      <c r="R463" s="115"/>
      <c r="S463" s="93"/>
      <c r="T463" s="61"/>
      <c r="U463" s="180"/>
      <c r="V463" s="115"/>
      <c r="W463" s="93"/>
      <c r="X463" s="61"/>
      <c r="Y463" s="112"/>
      <c r="Z463" s="181"/>
      <c r="AA463" s="182"/>
      <c r="AB463" s="183"/>
      <c r="AC463" s="112"/>
      <c r="AD463" s="115"/>
      <c r="AE463" s="151"/>
      <c r="AF463" s="184"/>
      <c r="AG463" s="188"/>
      <c r="AH463" s="188"/>
      <c r="AI463" s="188"/>
      <c r="AJ463" s="188"/>
      <c r="AK463" s="61"/>
      <c r="AL463" s="61"/>
      <c r="AM463" s="61"/>
      <c r="AN463" s="61"/>
      <c r="AO463" s="61"/>
    </row>
    <row r="464">
      <c r="A464" s="112"/>
      <c r="B464" s="149"/>
      <c r="C464" s="93"/>
      <c r="D464" s="61"/>
      <c r="E464" s="112"/>
      <c r="F464" s="149"/>
      <c r="G464" s="93"/>
      <c r="H464" s="61"/>
      <c r="I464" s="112"/>
      <c r="J464" s="149"/>
      <c r="K464" s="93"/>
      <c r="L464" s="61"/>
      <c r="M464" s="112"/>
      <c r="N464" s="115"/>
      <c r="O464" s="93"/>
      <c r="P464" s="61"/>
      <c r="Q464" s="180"/>
      <c r="R464" s="115"/>
      <c r="S464" s="93"/>
      <c r="T464" s="61"/>
      <c r="U464" s="180"/>
      <c r="V464" s="115"/>
      <c r="W464" s="93"/>
      <c r="X464" s="61"/>
      <c r="Y464" s="112"/>
      <c r="Z464" s="181"/>
      <c r="AA464" s="182"/>
      <c r="AB464" s="183"/>
      <c r="AC464" s="112"/>
      <c r="AD464" s="115"/>
      <c r="AE464" s="151"/>
      <c r="AF464" s="184"/>
      <c r="AG464" s="188"/>
      <c r="AH464" s="188"/>
      <c r="AI464" s="188"/>
      <c r="AJ464" s="188"/>
      <c r="AK464" s="61"/>
      <c r="AL464" s="61"/>
      <c r="AM464" s="61"/>
      <c r="AN464" s="61"/>
      <c r="AO464" s="61"/>
    </row>
    <row r="465">
      <c r="A465" s="112"/>
      <c r="B465" s="149"/>
      <c r="C465" s="93"/>
      <c r="D465" s="61"/>
      <c r="E465" s="112"/>
      <c r="F465" s="149"/>
      <c r="G465" s="93"/>
      <c r="H465" s="61"/>
      <c r="I465" s="112"/>
      <c r="J465" s="149"/>
      <c r="K465" s="93"/>
      <c r="L465" s="61"/>
      <c r="M465" s="112"/>
      <c r="N465" s="115"/>
      <c r="O465" s="93"/>
      <c r="P465" s="61"/>
      <c r="Q465" s="180"/>
      <c r="R465" s="115"/>
      <c r="S465" s="93"/>
      <c r="T465" s="61"/>
      <c r="U465" s="180"/>
      <c r="V465" s="115"/>
      <c r="W465" s="93"/>
      <c r="X465" s="61"/>
      <c r="Y465" s="112"/>
      <c r="Z465" s="181"/>
      <c r="AA465" s="182"/>
      <c r="AB465" s="183"/>
      <c r="AC465" s="112"/>
      <c r="AD465" s="115"/>
      <c r="AE465" s="151"/>
      <c r="AF465" s="184"/>
      <c r="AG465" s="188"/>
      <c r="AH465" s="188"/>
      <c r="AI465" s="188"/>
      <c r="AJ465" s="188"/>
      <c r="AK465" s="61"/>
      <c r="AL465" s="61"/>
      <c r="AM465" s="61"/>
      <c r="AN465" s="61"/>
      <c r="AO465" s="61"/>
    </row>
    <row r="466">
      <c r="A466" s="112"/>
      <c r="B466" s="149"/>
      <c r="C466" s="93"/>
      <c r="D466" s="61"/>
      <c r="E466" s="112"/>
      <c r="F466" s="149"/>
      <c r="G466" s="93"/>
      <c r="H466" s="61"/>
      <c r="I466" s="112"/>
      <c r="J466" s="149"/>
      <c r="K466" s="93"/>
      <c r="L466" s="61"/>
      <c r="M466" s="112"/>
      <c r="N466" s="115"/>
      <c r="O466" s="93"/>
      <c r="P466" s="61"/>
      <c r="Q466" s="180"/>
      <c r="R466" s="115"/>
      <c r="S466" s="93"/>
      <c r="T466" s="61"/>
      <c r="U466" s="180"/>
      <c r="V466" s="115"/>
      <c r="W466" s="93"/>
      <c r="X466" s="61"/>
      <c r="Y466" s="112"/>
      <c r="Z466" s="181"/>
      <c r="AA466" s="182"/>
      <c r="AB466" s="183"/>
      <c r="AC466" s="112"/>
      <c r="AD466" s="115"/>
      <c r="AE466" s="151"/>
      <c r="AF466" s="184"/>
      <c r="AG466" s="188"/>
      <c r="AH466" s="188"/>
      <c r="AI466" s="188"/>
      <c r="AJ466" s="188"/>
      <c r="AK466" s="61"/>
      <c r="AL466" s="61"/>
      <c r="AM466" s="61"/>
      <c r="AN466" s="61"/>
      <c r="AO466" s="61"/>
    </row>
    <row r="467">
      <c r="A467" s="112"/>
      <c r="B467" s="149"/>
      <c r="C467" s="93"/>
      <c r="D467" s="61"/>
      <c r="E467" s="112"/>
      <c r="F467" s="149"/>
      <c r="G467" s="93"/>
      <c r="H467" s="61"/>
      <c r="I467" s="112"/>
      <c r="J467" s="149"/>
      <c r="K467" s="93"/>
      <c r="L467" s="61"/>
      <c r="M467" s="112"/>
      <c r="N467" s="115"/>
      <c r="O467" s="93"/>
      <c r="P467" s="61"/>
      <c r="Q467" s="180"/>
      <c r="R467" s="115"/>
      <c r="S467" s="93"/>
      <c r="T467" s="61"/>
      <c r="U467" s="180"/>
      <c r="V467" s="115"/>
      <c r="W467" s="93"/>
      <c r="X467" s="61"/>
      <c r="Y467" s="112"/>
      <c r="Z467" s="181"/>
      <c r="AA467" s="182"/>
      <c r="AB467" s="183"/>
      <c r="AC467" s="112"/>
      <c r="AD467" s="115"/>
      <c r="AE467" s="151"/>
      <c r="AF467" s="184"/>
      <c r="AG467" s="188"/>
      <c r="AH467" s="188"/>
      <c r="AI467" s="188"/>
      <c r="AJ467" s="188"/>
      <c r="AK467" s="61"/>
      <c r="AL467" s="61"/>
      <c r="AM467" s="61"/>
      <c r="AN467" s="61"/>
      <c r="AO467" s="61"/>
    </row>
    <row r="468">
      <c r="A468" s="112"/>
      <c r="B468" s="149"/>
      <c r="C468" s="93"/>
      <c r="D468" s="61"/>
      <c r="E468" s="112"/>
      <c r="F468" s="149"/>
      <c r="G468" s="93"/>
      <c r="H468" s="61"/>
      <c r="I468" s="112"/>
      <c r="J468" s="149"/>
      <c r="K468" s="93"/>
      <c r="L468" s="61"/>
      <c r="M468" s="112"/>
      <c r="N468" s="115"/>
      <c r="O468" s="93"/>
      <c r="P468" s="61"/>
      <c r="Q468" s="180"/>
      <c r="R468" s="115"/>
      <c r="S468" s="93"/>
      <c r="T468" s="61"/>
      <c r="U468" s="180"/>
      <c r="V468" s="115"/>
      <c r="W468" s="93"/>
      <c r="X468" s="61"/>
      <c r="Y468" s="112"/>
      <c r="Z468" s="181"/>
      <c r="AA468" s="182"/>
      <c r="AB468" s="183"/>
      <c r="AC468" s="112"/>
      <c r="AD468" s="115"/>
      <c r="AE468" s="151"/>
      <c r="AF468" s="184"/>
      <c r="AG468" s="188"/>
      <c r="AH468" s="188"/>
      <c r="AI468" s="188"/>
      <c r="AJ468" s="188"/>
      <c r="AK468" s="61"/>
      <c r="AL468" s="61"/>
      <c r="AM468" s="61"/>
      <c r="AN468" s="61"/>
      <c r="AO468" s="61"/>
    </row>
    <row r="469">
      <c r="A469" s="112"/>
      <c r="B469" s="149"/>
      <c r="C469" s="93"/>
      <c r="D469" s="61"/>
      <c r="E469" s="112"/>
      <c r="F469" s="149"/>
      <c r="G469" s="93"/>
      <c r="H469" s="61"/>
      <c r="I469" s="112"/>
      <c r="J469" s="149"/>
      <c r="K469" s="93"/>
      <c r="L469" s="61"/>
      <c r="M469" s="112"/>
      <c r="N469" s="115"/>
      <c r="O469" s="93"/>
      <c r="P469" s="61"/>
      <c r="Q469" s="180"/>
      <c r="R469" s="115"/>
      <c r="S469" s="93"/>
      <c r="T469" s="61"/>
      <c r="U469" s="180"/>
      <c r="V469" s="115"/>
      <c r="W469" s="93"/>
      <c r="X469" s="61"/>
      <c r="Y469" s="112"/>
      <c r="Z469" s="181"/>
      <c r="AA469" s="182"/>
      <c r="AB469" s="183"/>
      <c r="AC469" s="112"/>
      <c r="AD469" s="115"/>
      <c r="AE469" s="151"/>
      <c r="AF469" s="184"/>
      <c r="AG469" s="188"/>
      <c r="AH469" s="188"/>
      <c r="AI469" s="188"/>
      <c r="AJ469" s="188"/>
      <c r="AK469" s="61"/>
      <c r="AL469" s="61"/>
      <c r="AM469" s="61"/>
      <c r="AN469" s="61"/>
      <c r="AO469" s="61"/>
    </row>
    <row r="470">
      <c r="A470" s="112"/>
      <c r="B470" s="149"/>
      <c r="C470" s="93"/>
      <c r="D470" s="61"/>
      <c r="E470" s="112"/>
      <c r="F470" s="149"/>
      <c r="G470" s="93"/>
      <c r="H470" s="61"/>
      <c r="I470" s="112"/>
      <c r="J470" s="149"/>
      <c r="K470" s="93"/>
      <c r="L470" s="61"/>
      <c r="M470" s="112"/>
      <c r="N470" s="115"/>
      <c r="O470" s="93"/>
      <c r="P470" s="61"/>
      <c r="Q470" s="180"/>
      <c r="R470" s="115"/>
      <c r="S470" s="93"/>
      <c r="T470" s="61"/>
      <c r="U470" s="180"/>
      <c r="V470" s="115"/>
      <c r="W470" s="93"/>
      <c r="X470" s="61"/>
      <c r="Y470" s="112"/>
      <c r="Z470" s="181"/>
      <c r="AA470" s="182"/>
      <c r="AB470" s="183"/>
      <c r="AC470" s="112"/>
      <c r="AD470" s="115"/>
      <c r="AE470" s="151"/>
      <c r="AF470" s="184"/>
      <c r="AG470" s="188"/>
      <c r="AH470" s="188"/>
      <c r="AI470" s="188"/>
      <c r="AJ470" s="188"/>
      <c r="AK470" s="61"/>
      <c r="AL470" s="61"/>
      <c r="AM470" s="61"/>
      <c r="AN470" s="61"/>
      <c r="AO470" s="61"/>
    </row>
    <row r="471">
      <c r="A471" s="112"/>
      <c r="B471" s="149"/>
      <c r="C471" s="93"/>
      <c r="D471" s="61"/>
      <c r="E471" s="112"/>
      <c r="F471" s="149"/>
      <c r="G471" s="93"/>
      <c r="H471" s="61"/>
      <c r="I471" s="112"/>
      <c r="J471" s="149"/>
      <c r="K471" s="93"/>
      <c r="L471" s="61"/>
      <c r="M471" s="112"/>
      <c r="N471" s="115"/>
      <c r="O471" s="93"/>
      <c r="P471" s="61"/>
      <c r="Q471" s="180"/>
      <c r="R471" s="115"/>
      <c r="S471" s="93"/>
      <c r="T471" s="61"/>
      <c r="U471" s="180"/>
      <c r="V471" s="115"/>
      <c r="W471" s="93"/>
      <c r="X471" s="61"/>
      <c r="Y471" s="112"/>
      <c r="Z471" s="181"/>
      <c r="AA471" s="182"/>
      <c r="AB471" s="183"/>
      <c r="AC471" s="112"/>
      <c r="AD471" s="115"/>
      <c r="AE471" s="151"/>
      <c r="AF471" s="184"/>
      <c r="AG471" s="188"/>
      <c r="AH471" s="188"/>
      <c r="AI471" s="188"/>
      <c r="AJ471" s="188"/>
      <c r="AK471" s="61"/>
      <c r="AL471" s="61"/>
      <c r="AM471" s="61"/>
      <c r="AN471" s="61"/>
      <c r="AO471" s="61"/>
    </row>
    <row r="472">
      <c r="A472" s="112"/>
      <c r="B472" s="149"/>
      <c r="C472" s="93"/>
      <c r="D472" s="61"/>
      <c r="E472" s="112"/>
      <c r="F472" s="149"/>
      <c r="G472" s="93"/>
      <c r="H472" s="61"/>
      <c r="I472" s="112"/>
      <c r="J472" s="149"/>
      <c r="K472" s="93"/>
      <c r="L472" s="61"/>
      <c r="M472" s="112"/>
      <c r="N472" s="115"/>
      <c r="O472" s="93"/>
      <c r="P472" s="61"/>
      <c r="Q472" s="180"/>
      <c r="R472" s="115"/>
      <c r="S472" s="93"/>
      <c r="T472" s="61"/>
      <c r="U472" s="180"/>
      <c r="V472" s="115"/>
      <c r="W472" s="93"/>
      <c r="X472" s="61"/>
      <c r="Y472" s="112"/>
      <c r="Z472" s="181"/>
      <c r="AA472" s="182"/>
      <c r="AB472" s="183"/>
      <c r="AC472" s="112"/>
      <c r="AD472" s="115"/>
      <c r="AE472" s="151"/>
      <c r="AF472" s="184"/>
      <c r="AG472" s="188"/>
      <c r="AH472" s="188"/>
      <c r="AI472" s="188"/>
      <c r="AJ472" s="188"/>
      <c r="AK472" s="61"/>
      <c r="AL472" s="61"/>
      <c r="AM472" s="61"/>
      <c r="AN472" s="61"/>
      <c r="AO472" s="61"/>
    </row>
    <row r="473">
      <c r="A473" s="112"/>
      <c r="B473" s="149"/>
      <c r="C473" s="93"/>
      <c r="D473" s="61"/>
      <c r="E473" s="112"/>
      <c r="F473" s="149"/>
      <c r="G473" s="93"/>
      <c r="H473" s="61"/>
      <c r="I473" s="112"/>
      <c r="J473" s="149"/>
      <c r="K473" s="93"/>
      <c r="L473" s="61"/>
      <c r="M473" s="112"/>
      <c r="N473" s="115"/>
      <c r="O473" s="93"/>
      <c r="P473" s="61"/>
      <c r="Q473" s="180"/>
      <c r="R473" s="115"/>
      <c r="S473" s="93"/>
      <c r="T473" s="61"/>
      <c r="U473" s="180"/>
      <c r="V473" s="115"/>
      <c r="W473" s="93"/>
      <c r="X473" s="61"/>
      <c r="Y473" s="112"/>
      <c r="Z473" s="181"/>
      <c r="AA473" s="182"/>
      <c r="AB473" s="183"/>
      <c r="AC473" s="112"/>
      <c r="AD473" s="115"/>
      <c r="AE473" s="151"/>
      <c r="AF473" s="184"/>
      <c r="AG473" s="188"/>
      <c r="AH473" s="188"/>
      <c r="AI473" s="188"/>
      <c r="AJ473" s="188"/>
      <c r="AK473" s="61"/>
      <c r="AL473" s="61"/>
      <c r="AM473" s="61"/>
      <c r="AN473" s="61"/>
      <c r="AO473" s="61"/>
    </row>
    <row r="474">
      <c r="A474" s="112"/>
      <c r="B474" s="149"/>
      <c r="C474" s="93"/>
      <c r="D474" s="61"/>
      <c r="E474" s="112"/>
      <c r="F474" s="149"/>
      <c r="G474" s="93"/>
      <c r="H474" s="61"/>
      <c r="I474" s="112"/>
      <c r="J474" s="149"/>
      <c r="K474" s="93"/>
      <c r="L474" s="61"/>
      <c r="M474" s="112"/>
      <c r="N474" s="115"/>
      <c r="O474" s="93"/>
      <c r="P474" s="61"/>
      <c r="Q474" s="180"/>
      <c r="R474" s="115"/>
      <c r="S474" s="93"/>
      <c r="T474" s="61"/>
      <c r="U474" s="180"/>
      <c r="V474" s="115"/>
      <c r="W474" s="93"/>
      <c r="X474" s="61"/>
      <c r="Y474" s="112"/>
      <c r="Z474" s="181"/>
      <c r="AA474" s="182"/>
      <c r="AB474" s="183"/>
      <c r="AC474" s="112"/>
      <c r="AD474" s="115"/>
      <c r="AE474" s="151"/>
      <c r="AF474" s="184"/>
      <c r="AG474" s="188"/>
      <c r="AH474" s="188"/>
      <c r="AI474" s="188"/>
      <c r="AJ474" s="188"/>
      <c r="AK474" s="61"/>
      <c r="AL474" s="61"/>
      <c r="AM474" s="61"/>
      <c r="AN474" s="61"/>
      <c r="AO474" s="61"/>
    </row>
    <row r="475">
      <c r="A475" s="112"/>
      <c r="B475" s="149"/>
      <c r="C475" s="93"/>
      <c r="D475" s="61"/>
      <c r="E475" s="112"/>
      <c r="F475" s="149"/>
      <c r="G475" s="93"/>
      <c r="H475" s="61"/>
      <c r="I475" s="112"/>
      <c r="J475" s="149"/>
      <c r="K475" s="93"/>
      <c r="L475" s="61"/>
      <c r="M475" s="112"/>
      <c r="N475" s="115"/>
      <c r="O475" s="93"/>
      <c r="P475" s="61"/>
      <c r="Q475" s="180"/>
      <c r="R475" s="115"/>
      <c r="S475" s="93"/>
      <c r="T475" s="61"/>
      <c r="U475" s="180"/>
      <c r="V475" s="115"/>
      <c r="W475" s="93"/>
      <c r="X475" s="61"/>
      <c r="Y475" s="112"/>
      <c r="Z475" s="181"/>
      <c r="AA475" s="182"/>
      <c r="AB475" s="183"/>
      <c r="AC475" s="112"/>
      <c r="AD475" s="115"/>
      <c r="AE475" s="151"/>
      <c r="AF475" s="184"/>
      <c r="AG475" s="188"/>
      <c r="AH475" s="188"/>
      <c r="AI475" s="188"/>
      <c r="AJ475" s="188"/>
      <c r="AK475" s="61"/>
      <c r="AL475" s="61"/>
      <c r="AM475" s="61"/>
      <c r="AN475" s="61"/>
      <c r="AO475" s="61"/>
    </row>
    <row r="476">
      <c r="A476" s="112"/>
      <c r="B476" s="149"/>
      <c r="C476" s="93"/>
      <c r="D476" s="61"/>
      <c r="E476" s="112"/>
      <c r="F476" s="149"/>
      <c r="G476" s="93"/>
      <c r="H476" s="61"/>
      <c r="I476" s="112"/>
      <c r="J476" s="149"/>
      <c r="K476" s="93"/>
      <c r="L476" s="61"/>
      <c r="M476" s="112"/>
      <c r="N476" s="115"/>
      <c r="O476" s="93"/>
      <c r="P476" s="61"/>
      <c r="Q476" s="180"/>
      <c r="R476" s="115"/>
      <c r="S476" s="93"/>
      <c r="T476" s="61"/>
      <c r="U476" s="180"/>
      <c r="V476" s="115"/>
      <c r="W476" s="93"/>
      <c r="X476" s="61"/>
      <c r="Y476" s="112"/>
      <c r="Z476" s="181"/>
      <c r="AA476" s="182"/>
      <c r="AB476" s="183"/>
      <c r="AC476" s="112"/>
      <c r="AD476" s="115"/>
      <c r="AE476" s="151"/>
      <c r="AF476" s="184"/>
      <c r="AG476" s="188"/>
      <c r="AH476" s="188"/>
      <c r="AI476" s="188"/>
      <c r="AJ476" s="188"/>
      <c r="AK476" s="61"/>
      <c r="AL476" s="61"/>
      <c r="AM476" s="61"/>
      <c r="AN476" s="61"/>
      <c r="AO476" s="61"/>
    </row>
    <row r="477">
      <c r="A477" s="112"/>
      <c r="B477" s="149"/>
      <c r="C477" s="93"/>
      <c r="D477" s="61"/>
      <c r="E477" s="112"/>
      <c r="F477" s="149"/>
      <c r="G477" s="93"/>
      <c r="H477" s="61"/>
      <c r="I477" s="112"/>
      <c r="J477" s="149"/>
      <c r="K477" s="93"/>
      <c r="L477" s="61"/>
      <c r="M477" s="112"/>
      <c r="N477" s="115"/>
      <c r="O477" s="93"/>
      <c r="P477" s="61"/>
      <c r="Q477" s="180"/>
      <c r="R477" s="115"/>
      <c r="S477" s="93"/>
      <c r="T477" s="61"/>
      <c r="U477" s="180"/>
      <c r="V477" s="115"/>
      <c r="W477" s="93"/>
      <c r="X477" s="61"/>
      <c r="Y477" s="112"/>
      <c r="Z477" s="181"/>
      <c r="AA477" s="182"/>
      <c r="AB477" s="183"/>
      <c r="AC477" s="112"/>
      <c r="AD477" s="115"/>
      <c r="AE477" s="151"/>
      <c r="AF477" s="184"/>
      <c r="AG477" s="188"/>
      <c r="AH477" s="188"/>
      <c r="AI477" s="188"/>
      <c r="AJ477" s="188"/>
      <c r="AK477" s="61"/>
      <c r="AL477" s="61"/>
      <c r="AM477" s="61"/>
      <c r="AN477" s="61"/>
      <c r="AO477" s="61"/>
    </row>
    <row r="478">
      <c r="A478" s="112"/>
      <c r="B478" s="149"/>
      <c r="C478" s="93"/>
      <c r="D478" s="61"/>
      <c r="E478" s="112"/>
      <c r="F478" s="149"/>
      <c r="G478" s="93"/>
      <c r="H478" s="61"/>
      <c r="I478" s="112"/>
      <c r="J478" s="149"/>
      <c r="K478" s="93"/>
      <c r="L478" s="61"/>
      <c r="M478" s="112"/>
      <c r="N478" s="115"/>
      <c r="O478" s="93"/>
      <c r="P478" s="61"/>
      <c r="Q478" s="180"/>
      <c r="R478" s="115"/>
      <c r="S478" s="93"/>
      <c r="T478" s="61"/>
      <c r="U478" s="180"/>
      <c r="V478" s="115"/>
      <c r="W478" s="93"/>
      <c r="X478" s="61"/>
      <c r="Y478" s="112"/>
      <c r="Z478" s="181"/>
      <c r="AA478" s="182"/>
      <c r="AB478" s="183"/>
      <c r="AC478" s="112"/>
      <c r="AD478" s="115"/>
      <c r="AE478" s="151"/>
      <c r="AF478" s="184"/>
      <c r="AG478" s="188"/>
      <c r="AH478" s="188"/>
      <c r="AI478" s="188"/>
      <c r="AJ478" s="188"/>
      <c r="AK478" s="61"/>
      <c r="AL478" s="61"/>
      <c r="AM478" s="61"/>
      <c r="AN478" s="61"/>
      <c r="AO478" s="61"/>
    </row>
    <row r="479">
      <c r="A479" s="112"/>
      <c r="B479" s="149"/>
      <c r="C479" s="93"/>
      <c r="D479" s="61"/>
      <c r="E479" s="112"/>
      <c r="F479" s="149"/>
      <c r="G479" s="93"/>
      <c r="H479" s="61"/>
      <c r="I479" s="112"/>
      <c r="J479" s="149"/>
      <c r="K479" s="93"/>
      <c r="L479" s="61"/>
      <c r="M479" s="112"/>
      <c r="N479" s="115"/>
      <c r="O479" s="93"/>
      <c r="P479" s="61"/>
      <c r="Q479" s="180"/>
      <c r="R479" s="115"/>
      <c r="S479" s="93"/>
      <c r="T479" s="61"/>
      <c r="U479" s="180"/>
      <c r="V479" s="115"/>
      <c r="W479" s="93"/>
      <c r="X479" s="61"/>
      <c r="Y479" s="112"/>
      <c r="Z479" s="181"/>
      <c r="AA479" s="182"/>
      <c r="AB479" s="183"/>
      <c r="AC479" s="112"/>
      <c r="AD479" s="115"/>
      <c r="AE479" s="151"/>
      <c r="AF479" s="184"/>
      <c r="AG479" s="188"/>
      <c r="AH479" s="188"/>
      <c r="AI479" s="188"/>
      <c r="AJ479" s="188"/>
      <c r="AK479" s="61"/>
      <c r="AL479" s="61"/>
      <c r="AM479" s="61"/>
      <c r="AN479" s="61"/>
      <c r="AO479" s="61"/>
    </row>
    <row r="480">
      <c r="A480" s="112"/>
      <c r="B480" s="149"/>
      <c r="C480" s="93"/>
      <c r="D480" s="61"/>
      <c r="E480" s="112"/>
      <c r="F480" s="149"/>
      <c r="G480" s="93"/>
      <c r="H480" s="61"/>
      <c r="I480" s="112"/>
      <c r="J480" s="149"/>
      <c r="K480" s="93"/>
      <c r="L480" s="61"/>
      <c r="M480" s="112"/>
      <c r="N480" s="115"/>
      <c r="O480" s="93"/>
      <c r="P480" s="61"/>
      <c r="Q480" s="180"/>
      <c r="R480" s="115"/>
      <c r="S480" s="93"/>
      <c r="T480" s="61"/>
      <c r="U480" s="180"/>
      <c r="V480" s="115"/>
      <c r="W480" s="93"/>
      <c r="X480" s="61"/>
      <c r="Y480" s="112"/>
      <c r="Z480" s="181"/>
      <c r="AA480" s="182"/>
      <c r="AB480" s="183"/>
      <c r="AC480" s="112"/>
      <c r="AD480" s="115"/>
      <c r="AE480" s="151"/>
      <c r="AF480" s="184"/>
      <c r="AG480" s="188"/>
      <c r="AH480" s="188"/>
      <c r="AI480" s="188"/>
      <c r="AJ480" s="188"/>
      <c r="AK480" s="61"/>
      <c r="AL480" s="61"/>
      <c r="AM480" s="61"/>
      <c r="AN480" s="61"/>
      <c r="AO480" s="61"/>
    </row>
    <row r="481">
      <c r="A481" s="112"/>
      <c r="B481" s="149"/>
      <c r="C481" s="93"/>
      <c r="D481" s="61"/>
      <c r="E481" s="112"/>
      <c r="F481" s="149"/>
      <c r="G481" s="93"/>
      <c r="H481" s="61"/>
      <c r="I481" s="112"/>
      <c r="J481" s="149"/>
      <c r="K481" s="93"/>
      <c r="L481" s="61"/>
      <c r="M481" s="112"/>
      <c r="N481" s="115"/>
      <c r="O481" s="93"/>
      <c r="P481" s="61"/>
      <c r="Q481" s="180"/>
      <c r="R481" s="115"/>
      <c r="S481" s="93"/>
      <c r="T481" s="61"/>
      <c r="U481" s="180"/>
      <c r="V481" s="115"/>
      <c r="W481" s="93"/>
      <c r="X481" s="61"/>
      <c r="Y481" s="112"/>
      <c r="Z481" s="181"/>
      <c r="AA481" s="182"/>
      <c r="AB481" s="183"/>
      <c r="AC481" s="112"/>
      <c r="AD481" s="115"/>
      <c r="AE481" s="151"/>
      <c r="AF481" s="184"/>
      <c r="AG481" s="188"/>
      <c r="AH481" s="188"/>
      <c r="AI481" s="188"/>
      <c r="AJ481" s="188"/>
      <c r="AK481" s="61"/>
      <c r="AL481" s="61"/>
      <c r="AM481" s="61"/>
      <c r="AN481" s="61"/>
      <c r="AO481" s="61"/>
    </row>
    <row r="482">
      <c r="A482" s="112"/>
      <c r="B482" s="149"/>
      <c r="C482" s="93"/>
      <c r="D482" s="61"/>
      <c r="E482" s="112"/>
      <c r="F482" s="149"/>
      <c r="G482" s="93"/>
      <c r="H482" s="61"/>
      <c r="I482" s="112"/>
      <c r="J482" s="149"/>
      <c r="K482" s="93"/>
      <c r="L482" s="61"/>
      <c r="M482" s="112"/>
      <c r="N482" s="115"/>
      <c r="O482" s="93"/>
      <c r="P482" s="61"/>
      <c r="Q482" s="180"/>
      <c r="R482" s="115"/>
      <c r="S482" s="93"/>
      <c r="T482" s="61"/>
      <c r="U482" s="180"/>
      <c r="V482" s="115"/>
      <c r="W482" s="93"/>
      <c r="X482" s="61"/>
      <c r="Y482" s="112"/>
      <c r="Z482" s="181"/>
      <c r="AA482" s="182"/>
      <c r="AB482" s="183"/>
      <c r="AC482" s="112"/>
      <c r="AD482" s="115"/>
      <c r="AE482" s="151"/>
      <c r="AF482" s="184"/>
      <c r="AG482" s="188"/>
      <c r="AH482" s="188"/>
      <c r="AI482" s="188"/>
      <c r="AJ482" s="188"/>
      <c r="AK482" s="61"/>
      <c r="AL482" s="61"/>
      <c r="AM482" s="61"/>
      <c r="AN482" s="61"/>
      <c r="AO482" s="61"/>
    </row>
    <row r="483">
      <c r="A483" s="112"/>
      <c r="B483" s="149"/>
      <c r="C483" s="93"/>
      <c r="D483" s="61"/>
      <c r="E483" s="112"/>
      <c r="F483" s="149"/>
      <c r="G483" s="93"/>
      <c r="H483" s="61"/>
      <c r="I483" s="112"/>
      <c r="J483" s="149"/>
      <c r="K483" s="93"/>
      <c r="L483" s="61"/>
      <c r="M483" s="112"/>
      <c r="N483" s="115"/>
      <c r="O483" s="93"/>
      <c r="P483" s="61"/>
      <c r="Q483" s="180"/>
      <c r="R483" s="115"/>
      <c r="S483" s="93"/>
      <c r="T483" s="61"/>
      <c r="U483" s="180"/>
      <c r="V483" s="115"/>
      <c r="W483" s="93"/>
      <c r="X483" s="61"/>
      <c r="Y483" s="112"/>
      <c r="Z483" s="181"/>
      <c r="AA483" s="182"/>
      <c r="AB483" s="183"/>
      <c r="AC483" s="112"/>
      <c r="AD483" s="115"/>
      <c r="AE483" s="151"/>
      <c r="AF483" s="184"/>
      <c r="AG483" s="188"/>
      <c r="AH483" s="188"/>
      <c r="AI483" s="188"/>
      <c r="AJ483" s="188"/>
      <c r="AK483" s="61"/>
      <c r="AL483" s="61"/>
      <c r="AM483" s="61"/>
      <c r="AN483" s="61"/>
      <c r="AO483" s="61"/>
    </row>
    <row r="484">
      <c r="A484" s="112"/>
      <c r="B484" s="149"/>
      <c r="C484" s="93"/>
      <c r="D484" s="61"/>
      <c r="E484" s="112"/>
      <c r="F484" s="149"/>
      <c r="G484" s="93"/>
      <c r="H484" s="61"/>
      <c r="I484" s="112"/>
      <c r="J484" s="149"/>
      <c r="K484" s="93"/>
      <c r="L484" s="61"/>
      <c r="M484" s="112"/>
      <c r="N484" s="115"/>
      <c r="O484" s="93"/>
      <c r="P484" s="61"/>
      <c r="Q484" s="180"/>
      <c r="R484" s="115"/>
      <c r="S484" s="93"/>
      <c r="T484" s="61"/>
      <c r="U484" s="180"/>
      <c r="V484" s="115"/>
      <c r="W484" s="93"/>
      <c r="X484" s="61"/>
      <c r="Y484" s="112"/>
      <c r="Z484" s="181"/>
      <c r="AA484" s="182"/>
      <c r="AB484" s="183"/>
      <c r="AC484" s="112"/>
      <c r="AD484" s="115"/>
      <c r="AE484" s="151"/>
      <c r="AF484" s="184"/>
      <c r="AG484" s="188"/>
      <c r="AH484" s="188"/>
      <c r="AI484" s="188"/>
      <c r="AJ484" s="188"/>
      <c r="AK484" s="61"/>
      <c r="AL484" s="61"/>
      <c r="AM484" s="61"/>
      <c r="AN484" s="61"/>
      <c r="AO484" s="61"/>
    </row>
    <row r="485">
      <c r="A485" s="112"/>
      <c r="B485" s="149"/>
      <c r="C485" s="93"/>
      <c r="D485" s="61"/>
      <c r="E485" s="112"/>
      <c r="F485" s="149"/>
      <c r="G485" s="93"/>
      <c r="H485" s="61"/>
      <c r="I485" s="112"/>
      <c r="J485" s="149"/>
      <c r="K485" s="93"/>
      <c r="L485" s="61"/>
      <c r="M485" s="112"/>
      <c r="N485" s="115"/>
      <c r="O485" s="93"/>
      <c r="P485" s="61"/>
      <c r="Q485" s="180"/>
      <c r="R485" s="115"/>
      <c r="S485" s="93"/>
      <c r="T485" s="61"/>
      <c r="U485" s="180"/>
      <c r="V485" s="115"/>
      <c r="W485" s="93"/>
      <c r="X485" s="61"/>
      <c r="Y485" s="112"/>
      <c r="Z485" s="181"/>
      <c r="AA485" s="182"/>
      <c r="AB485" s="183"/>
      <c r="AC485" s="112"/>
      <c r="AD485" s="115"/>
      <c r="AE485" s="151"/>
      <c r="AF485" s="184"/>
      <c r="AG485" s="188"/>
      <c r="AH485" s="188"/>
      <c r="AI485" s="188"/>
      <c r="AJ485" s="188"/>
      <c r="AK485" s="61"/>
      <c r="AL485" s="61"/>
      <c r="AM485" s="61"/>
      <c r="AN485" s="61"/>
      <c r="AO485" s="61"/>
    </row>
    <row r="486">
      <c r="A486" s="112"/>
      <c r="B486" s="149"/>
      <c r="C486" s="93"/>
      <c r="D486" s="61"/>
      <c r="E486" s="112"/>
      <c r="F486" s="149"/>
      <c r="G486" s="93"/>
      <c r="H486" s="61"/>
      <c r="I486" s="112"/>
      <c r="J486" s="149"/>
      <c r="K486" s="93"/>
      <c r="L486" s="61"/>
      <c r="M486" s="112"/>
      <c r="N486" s="115"/>
      <c r="O486" s="93"/>
      <c r="P486" s="61"/>
      <c r="Q486" s="180"/>
      <c r="R486" s="115"/>
      <c r="S486" s="93"/>
      <c r="T486" s="61"/>
      <c r="U486" s="180"/>
      <c r="V486" s="115"/>
      <c r="W486" s="93"/>
      <c r="X486" s="61"/>
      <c r="Y486" s="112"/>
      <c r="Z486" s="181"/>
      <c r="AA486" s="182"/>
      <c r="AB486" s="183"/>
      <c r="AC486" s="112"/>
      <c r="AD486" s="115"/>
      <c r="AE486" s="151"/>
      <c r="AF486" s="184"/>
      <c r="AG486" s="188"/>
      <c r="AH486" s="188"/>
      <c r="AI486" s="188"/>
      <c r="AJ486" s="188"/>
      <c r="AK486" s="61"/>
      <c r="AL486" s="61"/>
      <c r="AM486" s="61"/>
      <c r="AN486" s="61"/>
      <c r="AO486" s="61"/>
    </row>
    <row r="487">
      <c r="A487" s="112"/>
      <c r="B487" s="149"/>
      <c r="C487" s="93"/>
      <c r="D487" s="61"/>
      <c r="E487" s="112"/>
      <c r="F487" s="149"/>
      <c r="G487" s="93"/>
      <c r="H487" s="61"/>
      <c r="I487" s="112"/>
      <c r="J487" s="149"/>
      <c r="K487" s="93"/>
      <c r="L487" s="61"/>
      <c r="M487" s="112"/>
      <c r="N487" s="115"/>
      <c r="O487" s="93"/>
      <c r="P487" s="61"/>
      <c r="Q487" s="180"/>
      <c r="R487" s="115"/>
      <c r="S487" s="93"/>
      <c r="T487" s="61"/>
      <c r="U487" s="180"/>
      <c r="V487" s="115"/>
      <c r="W487" s="93"/>
      <c r="X487" s="61"/>
      <c r="Y487" s="112"/>
      <c r="Z487" s="181"/>
      <c r="AA487" s="182"/>
      <c r="AB487" s="183"/>
      <c r="AC487" s="112"/>
      <c r="AD487" s="115"/>
      <c r="AE487" s="151"/>
      <c r="AF487" s="184"/>
      <c r="AG487" s="188"/>
      <c r="AH487" s="188"/>
      <c r="AI487" s="188"/>
      <c r="AJ487" s="188"/>
      <c r="AK487" s="61"/>
      <c r="AL487" s="61"/>
      <c r="AM487" s="61"/>
      <c r="AN487" s="61"/>
      <c r="AO487" s="61"/>
    </row>
    <row r="488">
      <c r="A488" s="112"/>
      <c r="B488" s="149"/>
      <c r="C488" s="93"/>
      <c r="D488" s="61"/>
      <c r="E488" s="112"/>
      <c r="F488" s="149"/>
      <c r="G488" s="93"/>
      <c r="H488" s="61"/>
      <c r="I488" s="112"/>
      <c r="J488" s="149"/>
      <c r="K488" s="93"/>
      <c r="L488" s="61"/>
      <c r="M488" s="112"/>
      <c r="N488" s="115"/>
      <c r="O488" s="93"/>
      <c r="P488" s="61"/>
      <c r="Q488" s="180"/>
      <c r="R488" s="115"/>
      <c r="S488" s="93"/>
      <c r="T488" s="61"/>
      <c r="U488" s="180"/>
      <c r="V488" s="115"/>
      <c r="W488" s="93"/>
      <c r="X488" s="61"/>
      <c r="Y488" s="112"/>
      <c r="Z488" s="181"/>
      <c r="AA488" s="182"/>
      <c r="AB488" s="183"/>
      <c r="AC488" s="112"/>
      <c r="AD488" s="115"/>
      <c r="AE488" s="151"/>
      <c r="AF488" s="184"/>
      <c r="AG488" s="188"/>
      <c r="AH488" s="188"/>
      <c r="AI488" s="188"/>
      <c r="AJ488" s="188"/>
      <c r="AK488" s="61"/>
      <c r="AL488" s="61"/>
      <c r="AM488" s="61"/>
      <c r="AN488" s="61"/>
      <c r="AO488" s="61"/>
    </row>
    <row r="489">
      <c r="A489" s="112"/>
      <c r="B489" s="149"/>
      <c r="C489" s="93"/>
      <c r="D489" s="61"/>
      <c r="E489" s="112"/>
      <c r="F489" s="149"/>
      <c r="G489" s="93"/>
      <c r="H489" s="61"/>
      <c r="I489" s="112"/>
      <c r="J489" s="149"/>
      <c r="K489" s="93"/>
      <c r="L489" s="61"/>
      <c r="M489" s="112"/>
      <c r="N489" s="115"/>
      <c r="O489" s="93"/>
      <c r="P489" s="61"/>
      <c r="Q489" s="180"/>
      <c r="R489" s="115"/>
      <c r="S489" s="93"/>
      <c r="T489" s="61"/>
      <c r="U489" s="180"/>
      <c r="V489" s="115"/>
      <c r="W489" s="93"/>
      <c r="X489" s="61"/>
      <c r="Y489" s="112"/>
      <c r="Z489" s="181"/>
      <c r="AA489" s="182"/>
      <c r="AB489" s="183"/>
      <c r="AC489" s="112"/>
      <c r="AD489" s="115"/>
      <c r="AE489" s="151"/>
      <c r="AF489" s="184"/>
      <c r="AG489" s="188"/>
      <c r="AH489" s="188"/>
      <c r="AI489" s="188"/>
      <c r="AJ489" s="188"/>
      <c r="AK489" s="61"/>
      <c r="AL489" s="61"/>
      <c r="AM489" s="61"/>
      <c r="AN489" s="61"/>
      <c r="AO489" s="61"/>
    </row>
    <row r="490">
      <c r="A490" s="112"/>
      <c r="B490" s="149"/>
      <c r="C490" s="93"/>
      <c r="D490" s="61"/>
      <c r="E490" s="112"/>
      <c r="F490" s="149"/>
      <c r="G490" s="93"/>
      <c r="H490" s="61"/>
      <c r="I490" s="112"/>
      <c r="J490" s="149"/>
      <c r="K490" s="93"/>
      <c r="L490" s="61"/>
      <c r="M490" s="112"/>
      <c r="N490" s="115"/>
      <c r="O490" s="93"/>
      <c r="P490" s="61"/>
      <c r="Q490" s="180"/>
      <c r="R490" s="115"/>
      <c r="S490" s="93"/>
      <c r="T490" s="61"/>
      <c r="U490" s="180"/>
      <c r="V490" s="115"/>
      <c r="W490" s="93"/>
      <c r="X490" s="61"/>
      <c r="Y490" s="112"/>
      <c r="Z490" s="181"/>
      <c r="AA490" s="182"/>
      <c r="AB490" s="183"/>
      <c r="AC490" s="112"/>
      <c r="AD490" s="115"/>
      <c r="AE490" s="151"/>
      <c r="AF490" s="184"/>
      <c r="AG490" s="188"/>
      <c r="AH490" s="188"/>
      <c r="AI490" s="188"/>
      <c r="AJ490" s="188"/>
      <c r="AK490" s="61"/>
      <c r="AL490" s="61"/>
      <c r="AM490" s="61"/>
      <c r="AN490" s="61"/>
      <c r="AO490" s="61"/>
    </row>
    <row r="491">
      <c r="A491" s="112"/>
      <c r="B491" s="149"/>
      <c r="C491" s="93"/>
      <c r="D491" s="61"/>
      <c r="E491" s="112"/>
      <c r="F491" s="149"/>
      <c r="G491" s="93"/>
      <c r="H491" s="61"/>
      <c r="I491" s="112"/>
      <c r="J491" s="149"/>
      <c r="K491" s="93"/>
      <c r="L491" s="61"/>
      <c r="M491" s="112"/>
      <c r="N491" s="115"/>
      <c r="O491" s="93"/>
      <c r="P491" s="61"/>
      <c r="Q491" s="180"/>
      <c r="R491" s="115"/>
      <c r="S491" s="93"/>
      <c r="T491" s="61"/>
      <c r="U491" s="180"/>
      <c r="V491" s="115"/>
      <c r="W491" s="93"/>
      <c r="X491" s="61"/>
      <c r="Y491" s="112"/>
      <c r="Z491" s="181"/>
      <c r="AA491" s="182"/>
      <c r="AB491" s="183"/>
      <c r="AC491" s="112"/>
      <c r="AD491" s="115"/>
      <c r="AE491" s="151"/>
      <c r="AF491" s="184"/>
      <c r="AG491" s="188"/>
      <c r="AH491" s="188"/>
      <c r="AI491" s="188"/>
      <c r="AJ491" s="188"/>
      <c r="AK491" s="61"/>
      <c r="AL491" s="61"/>
      <c r="AM491" s="61"/>
      <c r="AN491" s="61"/>
      <c r="AO491" s="61"/>
    </row>
    <row r="492">
      <c r="A492" s="112"/>
      <c r="B492" s="149"/>
      <c r="C492" s="93"/>
      <c r="D492" s="61"/>
      <c r="E492" s="112"/>
      <c r="F492" s="149"/>
      <c r="G492" s="93"/>
      <c r="H492" s="61"/>
      <c r="I492" s="112"/>
      <c r="J492" s="149"/>
      <c r="K492" s="93"/>
      <c r="L492" s="61"/>
      <c r="M492" s="112"/>
      <c r="N492" s="115"/>
      <c r="O492" s="93"/>
      <c r="P492" s="61"/>
      <c r="Q492" s="180"/>
      <c r="R492" s="115"/>
      <c r="S492" s="93"/>
      <c r="T492" s="61"/>
      <c r="U492" s="180"/>
      <c r="V492" s="115"/>
      <c r="W492" s="93"/>
      <c r="X492" s="61"/>
      <c r="Y492" s="112"/>
      <c r="Z492" s="181"/>
      <c r="AA492" s="182"/>
      <c r="AB492" s="183"/>
      <c r="AC492" s="112"/>
      <c r="AD492" s="115"/>
      <c r="AE492" s="151"/>
      <c r="AF492" s="184"/>
      <c r="AG492" s="188"/>
      <c r="AH492" s="188"/>
      <c r="AI492" s="188"/>
      <c r="AJ492" s="188"/>
      <c r="AK492" s="61"/>
      <c r="AL492" s="61"/>
      <c r="AM492" s="61"/>
      <c r="AN492" s="61"/>
      <c r="AO492" s="61"/>
    </row>
    <row r="493">
      <c r="A493" s="112"/>
      <c r="B493" s="149"/>
      <c r="C493" s="93"/>
      <c r="D493" s="61"/>
      <c r="E493" s="112"/>
      <c r="F493" s="149"/>
      <c r="G493" s="93"/>
      <c r="H493" s="61"/>
      <c r="I493" s="112"/>
      <c r="J493" s="149"/>
      <c r="K493" s="93"/>
      <c r="L493" s="61"/>
      <c r="M493" s="112"/>
      <c r="N493" s="115"/>
      <c r="O493" s="93"/>
      <c r="P493" s="61"/>
      <c r="Q493" s="180"/>
      <c r="R493" s="115"/>
      <c r="S493" s="93"/>
      <c r="T493" s="61"/>
      <c r="U493" s="180"/>
      <c r="V493" s="115"/>
      <c r="W493" s="93"/>
      <c r="X493" s="61"/>
      <c r="Y493" s="112"/>
      <c r="Z493" s="181"/>
      <c r="AA493" s="182"/>
      <c r="AB493" s="183"/>
      <c r="AC493" s="112"/>
      <c r="AD493" s="115"/>
      <c r="AE493" s="151"/>
      <c r="AF493" s="184"/>
      <c r="AG493" s="188"/>
      <c r="AH493" s="188"/>
      <c r="AI493" s="188"/>
      <c r="AJ493" s="188"/>
      <c r="AK493" s="61"/>
      <c r="AL493" s="61"/>
      <c r="AM493" s="61"/>
      <c r="AN493" s="61"/>
      <c r="AO493" s="61"/>
    </row>
    <row r="494">
      <c r="A494" s="112"/>
      <c r="B494" s="149"/>
      <c r="C494" s="93"/>
      <c r="D494" s="61"/>
      <c r="E494" s="112"/>
      <c r="F494" s="149"/>
      <c r="G494" s="93"/>
      <c r="H494" s="61"/>
      <c r="I494" s="112"/>
      <c r="J494" s="149"/>
      <c r="K494" s="93"/>
      <c r="L494" s="61"/>
      <c r="M494" s="112"/>
      <c r="N494" s="115"/>
      <c r="O494" s="93"/>
      <c r="P494" s="61"/>
      <c r="Q494" s="180"/>
      <c r="R494" s="115"/>
      <c r="S494" s="93"/>
      <c r="T494" s="61"/>
      <c r="U494" s="180"/>
      <c r="V494" s="115"/>
      <c r="W494" s="93"/>
      <c r="X494" s="61"/>
      <c r="Y494" s="112"/>
      <c r="Z494" s="181"/>
      <c r="AA494" s="182"/>
      <c r="AB494" s="183"/>
      <c r="AC494" s="112"/>
      <c r="AD494" s="115"/>
      <c r="AE494" s="151"/>
      <c r="AF494" s="184"/>
      <c r="AG494" s="188"/>
      <c r="AH494" s="188"/>
      <c r="AI494" s="188"/>
      <c r="AJ494" s="188"/>
      <c r="AK494" s="61"/>
      <c r="AL494" s="61"/>
      <c r="AM494" s="61"/>
      <c r="AN494" s="61"/>
      <c r="AO494" s="61"/>
    </row>
    <row r="495">
      <c r="A495" s="112"/>
      <c r="B495" s="149"/>
      <c r="C495" s="93"/>
      <c r="D495" s="61"/>
      <c r="E495" s="112"/>
      <c r="F495" s="149"/>
      <c r="G495" s="93"/>
      <c r="H495" s="61"/>
      <c r="I495" s="112"/>
      <c r="J495" s="149"/>
      <c r="K495" s="93"/>
      <c r="L495" s="61"/>
      <c r="M495" s="112"/>
      <c r="N495" s="115"/>
      <c r="O495" s="93"/>
      <c r="P495" s="61"/>
      <c r="Q495" s="180"/>
      <c r="R495" s="115"/>
      <c r="S495" s="93"/>
      <c r="T495" s="61"/>
      <c r="U495" s="180"/>
      <c r="V495" s="115"/>
      <c r="W495" s="93"/>
      <c r="X495" s="61"/>
      <c r="Y495" s="112"/>
      <c r="Z495" s="181"/>
      <c r="AA495" s="182"/>
      <c r="AB495" s="183"/>
      <c r="AC495" s="112"/>
      <c r="AD495" s="115"/>
      <c r="AE495" s="151"/>
      <c r="AF495" s="184"/>
      <c r="AG495" s="188"/>
      <c r="AH495" s="188"/>
      <c r="AI495" s="188"/>
      <c r="AJ495" s="188"/>
      <c r="AK495" s="61"/>
      <c r="AL495" s="61"/>
      <c r="AM495" s="61"/>
      <c r="AN495" s="61"/>
      <c r="AO495" s="61"/>
    </row>
    <row r="496">
      <c r="A496" s="112"/>
      <c r="B496" s="149"/>
      <c r="C496" s="93"/>
      <c r="D496" s="61"/>
      <c r="E496" s="112"/>
      <c r="F496" s="149"/>
      <c r="G496" s="93"/>
      <c r="H496" s="61"/>
      <c r="I496" s="112"/>
      <c r="J496" s="149"/>
      <c r="K496" s="93"/>
      <c r="L496" s="61"/>
      <c r="M496" s="112"/>
      <c r="N496" s="115"/>
      <c r="O496" s="93"/>
      <c r="P496" s="61"/>
      <c r="Q496" s="180"/>
      <c r="R496" s="115"/>
      <c r="S496" s="93"/>
      <c r="T496" s="61"/>
      <c r="U496" s="180"/>
      <c r="V496" s="115"/>
      <c r="W496" s="93"/>
      <c r="X496" s="61"/>
      <c r="Y496" s="112"/>
      <c r="Z496" s="181"/>
      <c r="AA496" s="182"/>
      <c r="AB496" s="183"/>
      <c r="AC496" s="112"/>
      <c r="AD496" s="115"/>
      <c r="AE496" s="151"/>
      <c r="AF496" s="184"/>
      <c r="AG496" s="188"/>
      <c r="AH496" s="188"/>
      <c r="AI496" s="188"/>
      <c r="AJ496" s="188"/>
      <c r="AK496" s="61"/>
      <c r="AL496" s="61"/>
      <c r="AM496" s="61"/>
      <c r="AN496" s="61"/>
      <c r="AO496" s="61"/>
    </row>
    <row r="497">
      <c r="A497" s="112"/>
      <c r="B497" s="149"/>
      <c r="C497" s="93"/>
      <c r="D497" s="61"/>
      <c r="E497" s="112"/>
      <c r="F497" s="149"/>
      <c r="G497" s="93"/>
      <c r="H497" s="61"/>
      <c r="I497" s="112"/>
      <c r="J497" s="149"/>
      <c r="K497" s="93"/>
      <c r="L497" s="61"/>
      <c r="M497" s="112"/>
      <c r="N497" s="115"/>
      <c r="O497" s="93"/>
      <c r="P497" s="61"/>
      <c r="Q497" s="180"/>
      <c r="R497" s="115"/>
      <c r="S497" s="93"/>
      <c r="T497" s="61"/>
      <c r="U497" s="180"/>
      <c r="V497" s="115"/>
      <c r="W497" s="93"/>
      <c r="X497" s="61"/>
      <c r="Y497" s="112"/>
      <c r="Z497" s="181"/>
      <c r="AA497" s="182"/>
      <c r="AB497" s="183"/>
      <c r="AC497" s="112"/>
      <c r="AD497" s="115"/>
      <c r="AE497" s="151"/>
      <c r="AF497" s="184"/>
      <c r="AG497" s="188"/>
      <c r="AH497" s="188"/>
      <c r="AI497" s="188"/>
      <c r="AJ497" s="188"/>
      <c r="AK497" s="61"/>
      <c r="AL497" s="61"/>
      <c r="AM497" s="61"/>
      <c r="AN497" s="61"/>
      <c r="AO497" s="61"/>
    </row>
    <row r="498">
      <c r="A498" s="112"/>
      <c r="B498" s="149"/>
      <c r="C498" s="93"/>
      <c r="D498" s="61"/>
      <c r="E498" s="112"/>
      <c r="F498" s="149"/>
      <c r="G498" s="93"/>
      <c r="H498" s="61"/>
      <c r="I498" s="112"/>
      <c r="J498" s="149"/>
      <c r="K498" s="93"/>
      <c r="L498" s="61"/>
      <c r="M498" s="112"/>
      <c r="N498" s="115"/>
      <c r="O498" s="93"/>
      <c r="P498" s="61"/>
      <c r="Q498" s="180"/>
      <c r="R498" s="115"/>
      <c r="S498" s="93"/>
      <c r="T498" s="61"/>
      <c r="U498" s="180"/>
      <c r="V498" s="115"/>
      <c r="W498" s="93"/>
      <c r="X498" s="61"/>
      <c r="Y498" s="112"/>
      <c r="Z498" s="181"/>
      <c r="AA498" s="182"/>
      <c r="AB498" s="183"/>
      <c r="AC498" s="112"/>
      <c r="AD498" s="115"/>
      <c r="AE498" s="151"/>
      <c r="AF498" s="184"/>
      <c r="AG498" s="188"/>
      <c r="AH498" s="188"/>
      <c r="AI498" s="188"/>
      <c r="AJ498" s="188"/>
      <c r="AK498" s="61"/>
      <c r="AL498" s="61"/>
      <c r="AM498" s="61"/>
      <c r="AN498" s="61"/>
      <c r="AO498" s="61"/>
    </row>
    <row r="499">
      <c r="A499" s="112"/>
      <c r="B499" s="149"/>
      <c r="C499" s="93"/>
      <c r="D499" s="61"/>
      <c r="E499" s="112"/>
      <c r="F499" s="149"/>
      <c r="G499" s="93"/>
      <c r="H499" s="61"/>
      <c r="I499" s="112"/>
      <c r="J499" s="149"/>
      <c r="K499" s="93"/>
      <c r="L499" s="61"/>
      <c r="M499" s="112"/>
      <c r="N499" s="115"/>
      <c r="O499" s="93"/>
      <c r="P499" s="61"/>
      <c r="Q499" s="180"/>
      <c r="R499" s="115"/>
      <c r="S499" s="93"/>
      <c r="T499" s="61"/>
      <c r="U499" s="180"/>
      <c r="V499" s="115"/>
      <c r="W499" s="93"/>
      <c r="X499" s="61"/>
      <c r="Y499" s="112"/>
      <c r="Z499" s="181"/>
      <c r="AA499" s="182"/>
      <c r="AB499" s="183"/>
      <c r="AC499" s="112"/>
      <c r="AD499" s="115"/>
      <c r="AE499" s="151"/>
      <c r="AF499" s="184"/>
      <c r="AG499" s="188"/>
      <c r="AH499" s="188"/>
      <c r="AI499" s="188"/>
      <c r="AJ499" s="188"/>
      <c r="AK499" s="61"/>
      <c r="AL499" s="61"/>
      <c r="AM499" s="61"/>
      <c r="AN499" s="61"/>
      <c r="AO499" s="61"/>
    </row>
    <row r="500">
      <c r="A500" s="112"/>
      <c r="B500" s="149"/>
      <c r="C500" s="93"/>
      <c r="D500" s="61"/>
      <c r="E500" s="112"/>
      <c r="F500" s="149"/>
      <c r="G500" s="93"/>
      <c r="H500" s="61"/>
      <c r="I500" s="112"/>
      <c r="J500" s="149"/>
      <c r="K500" s="93"/>
      <c r="L500" s="61"/>
      <c r="M500" s="112"/>
      <c r="N500" s="115"/>
      <c r="O500" s="93"/>
      <c r="P500" s="61"/>
      <c r="Q500" s="180"/>
      <c r="R500" s="115"/>
      <c r="S500" s="93"/>
      <c r="T500" s="61"/>
      <c r="U500" s="180"/>
      <c r="V500" s="115"/>
      <c r="W500" s="93"/>
      <c r="X500" s="61"/>
      <c r="Y500" s="112"/>
      <c r="Z500" s="181"/>
      <c r="AA500" s="182"/>
      <c r="AB500" s="183"/>
      <c r="AC500" s="112"/>
      <c r="AD500" s="115"/>
      <c r="AE500" s="151"/>
      <c r="AF500" s="184"/>
      <c r="AG500" s="188"/>
      <c r="AH500" s="188"/>
      <c r="AI500" s="188"/>
      <c r="AJ500" s="188"/>
      <c r="AK500" s="61"/>
      <c r="AL500" s="61"/>
      <c r="AM500" s="61"/>
      <c r="AN500" s="61"/>
      <c r="AO500" s="61"/>
    </row>
    <row r="501">
      <c r="A501" s="112"/>
      <c r="B501" s="149"/>
      <c r="C501" s="93"/>
      <c r="D501" s="61"/>
      <c r="E501" s="112"/>
      <c r="F501" s="149"/>
      <c r="G501" s="93"/>
      <c r="H501" s="61"/>
      <c r="I501" s="112"/>
      <c r="J501" s="149"/>
      <c r="K501" s="93"/>
      <c r="L501" s="61"/>
      <c r="M501" s="112"/>
      <c r="N501" s="115"/>
      <c r="O501" s="93"/>
      <c r="P501" s="61"/>
      <c r="Q501" s="180"/>
      <c r="R501" s="115"/>
      <c r="S501" s="93"/>
      <c r="T501" s="61"/>
      <c r="U501" s="180"/>
      <c r="V501" s="115"/>
      <c r="W501" s="93"/>
      <c r="X501" s="61"/>
      <c r="Y501" s="112"/>
      <c r="Z501" s="181"/>
      <c r="AA501" s="182"/>
      <c r="AB501" s="183"/>
      <c r="AC501" s="112"/>
      <c r="AD501" s="115"/>
      <c r="AE501" s="151"/>
      <c r="AF501" s="184"/>
      <c r="AG501" s="188"/>
      <c r="AH501" s="188"/>
      <c r="AI501" s="188"/>
      <c r="AJ501" s="188"/>
      <c r="AK501" s="61"/>
      <c r="AL501" s="61"/>
      <c r="AM501" s="61"/>
      <c r="AN501" s="61"/>
      <c r="AO501" s="61"/>
    </row>
    <row r="502">
      <c r="A502" s="112"/>
      <c r="B502" s="149"/>
      <c r="C502" s="93"/>
      <c r="D502" s="61"/>
      <c r="E502" s="112"/>
      <c r="F502" s="149"/>
      <c r="G502" s="93"/>
      <c r="H502" s="61"/>
      <c r="I502" s="112"/>
      <c r="J502" s="149"/>
      <c r="K502" s="93"/>
      <c r="L502" s="61"/>
      <c r="M502" s="112"/>
      <c r="N502" s="115"/>
      <c r="O502" s="93"/>
      <c r="P502" s="61"/>
      <c r="Q502" s="180"/>
      <c r="R502" s="115"/>
      <c r="S502" s="93"/>
      <c r="T502" s="61"/>
      <c r="U502" s="180"/>
      <c r="V502" s="115"/>
      <c r="W502" s="93"/>
      <c r="X502" s="61"/>
      <c r="Y502" s="112"/>
      <c r="Z502" s="181"/>
      <c r="AA502" s="182"/>
      <c r="AB502" s="183"/>
      <c r="AC502" s="112"/>
      <c r="AD502" s="115"/>
      <c r="AE502" s="151"/>
      <c r="AF502" s="184"/>
      <c r="AG502" s="188"/>
      <c r="AH502" s="188"/>
      <c r="AI502" s="188"/>
      <c r="AJ502" s="188"/>
      <c r="AK502" s="61"/>
      <c r="AL502" s="61"/>
      <c r="AM502" s="61"/>
      <c r="AN502" s="61"/>
      <c r="AO502" s="61"/>
    </row>
    <row r="503">
      <c r="A503" s="112"/>
      <c r="B503" s="149"/>
      <c r="C503" s="93"/>
      <c r="D503" s="61"/>
      <c r="E503" s="112"/>
      <c r="F503" s="149"/>
      <c r="G503" s="93"/>
      <c r="H503" s="61"/>
      <c r="I503" s="112"/>
      <c r="J503" s="149"/>
      <c r="K503" s="93"/>
      <c r="L503" s="61"/>
      <c r="M503" s="112"/>
      <c r="N503" s="115"/>
      <c r="O503" s="93"/>
      <c r="P503" s="61"/>
      <c r="Q503" s="180"/>
      <c r="R503" s="115"/>
      <c r="S503" s="93"/>
      <c r="T503" s="61"/>
      <c r="U503" s="180"/>
      <c r="V503" s="115"/>
      <c r="W503" s="93"/>
      <c r="X503" s="61"/>
      <c r="Y503" s="112"/>
      <c r="Z503" s="181"/>
      <c r="AA503" s="182"/>
      <c r="AB503" s="183"/>
      <c r="AC503" s="112"/>
      <c r="AD503" s="115"/>
      <c r="AE503" s="151"/>
      <c r="AF503" s="184"/>
      <c r="AG503" s="188"/>
      <c r="AH503" s="188"/>
      <c r="AI503" s="188"/>
      <c r="AJ503" s="188"/>
      <c r="AK503" s="61"/>
      <c r="AL503" s="61"/>
      <c r="AM503" s="61"/>
      <c r="AN503" s="61"/>
      <c r="AO503" s="61"/>
    </row>
    <row r="504">
      <c r="A504" s="112"/>
      <c r="B504" s="149"/>
      <c r="C504" s="93"/>
      <c r="D504" s="61"/>
      <c r="E504" s="112"/>
      <c r="F504" s="149"/>
      <c r="G504" s="93"/>
      <c r="H504" s="61"/>
      <c r="I504" s="112"/>
      <c r="J504" s="149"/>
      <c r="K504" s="93"/>
      <c r="L504" s="61"/>
      <c r="M504" s="112"/>
      <c r="N504" s="115"/>
      <c r="O504" s="93"/>
      <c r="P504" s="61"/>
      <c r="Q504" s="180"/>
      <c r="R504" s="115"/>
      <c r="S504" s="93"/>
      <c r="T504" s="61"/>
      <c r="U504" s="180"/>
      <c r="V504" s="115"/>
      <c r="W504" s="93"/>
      <c r="X504" s="61"/>
      <c r="Y504" s="112"/>
      <c r="Z504" s="181"/>
      <c r="AA504" s="182"/>
      <c r="AB504" s="183"/>
      <c r="AC504" s="112"/>
      <c r="AD504" s="115"/>
      <c r="AE504" s="151"/>
      <c r="AF504" s="184"/>
      <c r="AG504" s="188"/>
      <c r="AH504" s="188"/>
      <c r="AI504" s="188"/>
      <c r="AJ504" s="188"/>
      <c r="AK504" s="61"/>
      <c r="AL504" s="61"/>
      <c r="AM504" s="61"/>
      <c r="AN504" s="61"/>
      <c r="AO504" s="61"/>
    </row>
    <row r="505">
      <c r="A505" s="112"/>
      <c r="B505" s="149"/>
      <c r="C505" s="93"/>
      <c r="D505" s="61"/>
      <c r="E505" s="112"/>
      <c r="F505" s="149"/>
      <c r="G505" s="93"/>
      <c r="H505" s="61"/>
      <c r="I505" s="112"/>
      <c r="J505" s="149"/>
      <c r="K505" s="93"/>
      <c r="L505" s="61"/>
      <c r="M505" s="112"/>
      <c r="N505" s="115"/>
      <c r="O505" s="93"/>
      <c r="P505" s="61"/>
      <c r="Q505" s="180"/>
      <c r="R505" s="115"/>
      <c r="S505" s="93"/>
      <c r="T505" s="61"/>
      <c r="U505" s="180"/>
      <c r="V505" s="115"/>
      <c r="W505" s="93"/>
      <c r="X505" s="61"/>
      <c r="Y505" s="112"/>
      <c r="Z505" s="181"/>
      <c r="AA505" s="182"/>
      <c r="AB505" s="183"/>
      <c r="AC505" s="112"/>
      <c r="AD505" s="115"/>
      <c r="AE505" s="151"/>
      <c r="AF505" s="184"/>
      <c r="AG505" s="188"/>
      <c r="AH505" s="188"/>
      <c r="AI505" s="188"/>
      <c r="AJ505" s="188"/>
      <c r="AK505" s="61"/>
      <c r="AL505" s="61"/>
      <c r="AM505" s="61"/>
      <c r="AN505" s="61"/>
      <c r="AO505" s="61"/>
    </row>
    <row r="506">
      <c r="A506" s="112"/>
      <c r="B506" s="149"/>
      <c r="C506" s="93"/>
      <c r="D506" s="61"/>
      <c r="E506" s="112"/>
      <c r="F506" s="149"/>
      <c r="G506" s="93"/>
      <c r="H506" s="61"/>
      <c r="I506" s="112"/>
      <c r="J506" s="149"/>
      <c r="K506" s="93"/>
      <c r="L506" s="61"/>
      <c r="M506" s="112"/>
      <c r="N506" s="115"/>
      <c r="O506" s="93"/>
      <c r="P506" s="61"/>
      <c r="Q506" s="180"/>
      <c r="R506" s="115"/>
      <c r="S506" s="93"/>
      <c r="T506" s="61"/>
      <c r="U506" s="180"/>
      <c r="V506" s="115"/>
      <c r="W506" s="93"/>
      <c r="X506" s="61"/>
      <c r="Y506" s="112"/>
      <c r="Z506" s="181"/>
      <c r="AA506" s="182"/>
      <c r="AB506" s="183"/>
      <c r="AC506" s="112"/>
      <c r="AD506" s="115"/>
      <c r="AE506" s="151"/>
      <c r="AF506" s="184"/>
      <c r="AG506" s="188"/>
      <c r="AH506" s="188"/>
      <c r="AI506" s="188"/>
      <c r="AJ506" s="188"/>
      <c r="AK506" s="61"/>
      <c r="AL506" s="61"/>
      <c r="AM506" s="61"/>
      <c r="AN506" s="61"/>
      <c r="AO506" s="61"/>
    </row>
    <row r="507">
      <c r="A507" s="112"/>
      <c r="B507" s="149"/>
      <c r="C507" s="93"/>
      <c r="D507" s="61"/>
      <c r="E507" s="112"/>
      <c r="F507" s="149"/>
      <c r="G507" s="93"/>
      <c r="H507" s="61"/>
      <c r="I507" s="112"/>
      <c r="J507" s="149"/>
      <c r="K507" s="93"/>
      <c r="L507" s="61"/>
      <c r="M507" s="112"/>
      <c r="N507" s="115"/>
      <c r="O507" s="93"/>
      <c r="P507" s="61"/>
      <c r="Q507" s="180"/>
      <c r="R507" s="115"/>
      <c r="S507" s="93"/>
      <c r="T507" s="61"/>
      <c r="U507" s="180"/>
      <c r="V507" s="115"/>
      <c r="W507" s="93"/>
      <c r="X507" s="61"/>
      <c r="Y507" s="112"/>
      <c r="Z507" s="181"/>
      <c r="AA507" s="182"/>
      <c r="AB507" s="183"/>
      <c r="AC507" s="112"/>
      <c r="AD507" s="115"/>
      <c r="AE507" s="151"/>
      <c r="AF507" s="184"/>
      <c r="AG507" s="188"/>
      <c r="AH507" s="188"/>
      <c r="AI507" s="188"/>
      <c r="AJ507" s="188"/>
      <c r="AK507" s="61"/>
      <c r="AL507" s="61"/>
      <c r="AM507" s="61"/>
      <c r="AN507" s="61"/>
      <c r="AO507" s="61"/>
    </row>
    <row r="508">
      <c r="A508" s="112"/>
      <c r="B508" s="149"/>
      <c r="C508" s="93"/>
      <c r="D508" s="61"/>
      <c r="E508" s="112"/>
      <c r="F508" s="149"/>
      <c r="G508" s="93"/>
      <c r="H508" s="61"/>
      <c r="I508" s="112"/>
      <c r="J508" s="149"/>
      <c r="K508" s="93"/>
      <c r="L508" s="61"/>
      <c r="M508" s="112"/>
      <c r="N508" s="115"/>
      <c r="O508" s="93"/>
      <c r="P508" s="61"/>
      <c r="Q508" s="180"/>
      <c r="R508" s="115"/>
      <c r="S508" s="93"/>
      <c r="T508" s="61"/>
      <c r="U508" s="180"/>
      <c r="V508" s="115"/>
      <c r="W508" s="93"/>
      <c r="X508" s="61"/>
      <c r="Y508" s="112"/>
      <c r="Z508" s="181"/>
      <c r="AA508" s="182"/>
      <c r="AB508" s="183"/>
      <c r="AC508" s="112"/>
      <c r="AD508" s="115"/>
      <c r="AE508" s="151"/>
      <c r="AF508" s="184"/>
      <c r="AG508" s="188"/>
      <c r="AH508" s="188"/>
      <c r="AI508" s="188"/>
      <c r="AJ508" s="188"/>
      <c r="AK508" s="61"/>
      <c r="AL508" s="61"/>
      <c r="AM508" s="61"/>
      <c r="AN508" s="61"/>
      <c r="AO508" s="61"/>
    </row>
    <row r="509">
      <c r="A509" s="112"/>
      <c r="B509" s="149"/>
      <c r="C509" s="93"/>
      <c r="D509" s="61"/>
      <c r="E509" s="112"/>
      <c r="F509" s="149"/>
      <c r="G509" s="93"/>
      <c r="H509" s="61"/>
      <c r="I509" s="112"/>
      <c r="J509" s="149"/>
      <c r="K509" s="93"/>
      <c r="L509" s="61"/>
      <c r="M509" s="112"/>
      <c r="N509" s="115"/>
      <c r="O509" s="93"/>
      <c r="P509" s="61"/>
      <c r="Q509" s="180"/>
      <c r="R509" s="115"/>
      <c r="S509" s="93"/>
      <c r="T509" s="61"/>
      <c r="U509" s="180"/>
      <c r="V509" s="115"/>
      <c r="W509" s="93"/>
      <c r="X509" s="61"/>
      <c r="Y509" s="112"/>
      <c r="Z509" s="181"/>
      <c r="AA509" s="182"/>
      <c r="AB509" s="183"/>
      <c r="AC509" s="112"/>
      <c r="AD509" s="115"/>
      <c r="AE509" s="151"/>
      <c r="AF509" s="184"/>
      <c r="AG509" s="188"/>
      <c r="AH509" s="188"/>
      <c r="AI509" s="188"/>
      <c r="AJ509" s="188"/>
      <c r="AK509" s="61"/>
      <c r="AL509" s="61"/>
      <c r="AM509" s="61"/>
      <c r="AN509" s="61"/>
      <c r="AO509" s="61"/>
    </row>
    <row r="510">
      <c r="A510" s="112"/>
      <c r="B510" s="149"/>
      <c r="C510" s="93"/>
      <c r="D510" s="61"/>
      <c r="E510" s="112"/>
      <c r="F510" s="149"/>
      <c r="G510" s="93"/>
      <c r="H510" s="61"/>
      <c r="I510" s="112"/>
      <c r="J510" s="149"/>
      <c r="K510" s="93"/>
      <c r="L510" s="61"/>
      <c r="M510" s="112"/>
      <c r="N510" s="115"/>
      <c r="O510" s="93"/>
      <c r="P510" s="61"/>
      <c r="Q510" s="180"/>
      <c r="R510" s="115"/>
      <c r="S510" s="93"/>
      <c r="T510" s="61"/>
      <c r="U510" s="180"/>
      <c r="V510" s="115"/>
      <c r="W510" s="93"/>
      <c r="X510" s="61"/>
      <c r="Y510" s="112"/>
      <c r="Z510" s="181"/>
      <c r="AA510" s="182"/>
      <c r="AB510" s="183"/>
      <c r="AC510" s="112"/>
      <c r="AD510" s="115"/>
      <c r="AE510" s="151"/>
      <c r="AF510" s="184"/>
      <c r="AG510" s="188"/>
      <c r="AH510" s="188"/>
      <c r="AI510" s="188"/>
      <c r="AJ510" s="188"/>
      <c r="AK510" s="61"/>
      <c r="AL510" s="61"/>
      <c r="AM510" s="61"/>
      <c r="AN510" s="61"/>
      <c r="AO510" s="61"/>
    </row>
    <row r="511">
      <c r="A511" s="112"/>
      <c r="B511" s="149"/>
      <c r="C511" s="93"/>
      <c r="D511" s="61"/>
      <c r="E511" s="112"/>
      <c r="F511" s="149"/>
      <c r="G511" s="93"/>
      <c r="H511" s="61"/>
      <c r="I511" s="112"/>
      <c r="J511" s="149"/>
      <c r="K511" s="93"/>
      <c r="L511" s="61"/>
      <c r="M511" s="112"/>
      <c r="N511" s="115"/>
      <c r="O511" s="93"/>
      <c r="P511" s="61"/>
      <c r="Q511" s="180"/>
      <c r="R511" s="115"/>
      <c r="S511" s="93"/>
      <c r="T511" s="61"/>
      <c r="U511" s="180"/>
      <c r="V511" s="115"/>
      <c r="W511" s="93"/>
      <c r="X511" s="61"/>
      <c r="Y511" s="112"/>
      <c r="Z511" s="181"/>
      <c r="AA511" s="182"/>
      <c r="AB511" s="183"/>
      <c r="AC511" s="112"/>
      <c r="AD511" s="115"/>
      <c r="AE511" s="151"/>
      <c r="AF511" s="184"/>
      <c r="AG511" s="188"/>
      <c r="AH511" s="188"/>
      <c r="AI511" s="188"/>
      <c r="AJ511" s="188"/>
      <c r="AK511" s="61"/>
      <c r="AL511" s="61"/>
      <c r="AM511" s="61"/>
      <c r="AN511" s="61"/>
      <c r="AO511" s="61"/>
    </row>
    <row r="512">
      <c r="A512" s="112"/>
      <c r="B512" s="149"/>
      <c r="C512" s="93"/>
      <c r="D512" s="61"/>
      <c r="E512" s="112"/>
      <c r="F512" s="149"/>
      <c r="G512" s="93"/>
      <c r="H512" s="61"/>
      <c r="I512" s="112"/>
      <c r="J512" s="149"/>
      <c r="K512" s="93"/>
      <c r="L512" s="61"/>
      <c r="M512" s="112"/>
      <c r="N512" s="115"/>
      <c r="O512" s="93"/>
      <c r="P512" s="61"/>
      <c r="Q512" s="180"/>
      <c r="R512" s="115"/>
      <c r="S512" s="93"/>
      <c r="T512" s="61"/>
      <c r="U512" s="180"/>
      <c r="V512" s="115"/>
      <c r="W512" s="93"/>
      <c r="X512" s="61"/>
      <c r="Y512" s="112"/>
      <c r="Z512" s="181"/>
      <c r="AA512" s="182"/>
      <c r="AB512" s="183"/>
      <c r="AC512" s="112"/>
      <c r="AD512" s="115"/>
      <c r="AE512" s="151"/>
      <c r="AF512" s="184"/>
      <c r="AG512" s="188"/>
      <c r="AH512" s="188"/>
      <c r="AI512" s="188"/>
      <c r="AJ512" s="188"/>
      <c r="AK512" s="61"/>
      <c r="AL512" s="61"/>
      <c r="AM512" s="61"/>
      <c r="AN512" s="61"/>
      <c r="AO512" s="61"/>
    </row>
    <row r="513">
      <c r="A513" s="112"/>
      <c r="B513" s="149"/>
      <c r="C513" s="93"/>
      <c r="D513" s="61"/>
      <c r="E513" s="112"/>
      <c r="F513" s="149"/>
      <c r="G513" s="93"/>
      <c r="H513" s="61"/>
      <c r="I513" s="112"/>
      <c r="J513" s="149"/>
      <c r="K513" s="93"/>
      <c r="L513" s="61"/>
      <c r="M513" s="112"/>
      <c r="N513" s="115"/>
      <c r="O513" s="93"/>
      <c r="P513" s="61"/>
      <c r="Q513" s="180"/>
      <c r="R513" s="115"/>
      <c r="S513" s="93"/>
      <c r="T513" s="61"/>
      <c r="U513" s="180"/>
      <c r="V513" s="115"/>
      <c r="W513" s="93"/>
      <c r="X513" s="61"/>
      <c r="Y513" s="112"/>
      <c r="Z513" s="181"/>
      <c r="AA513" s="182"/>
      <c r="AB513" s="183"/>
      <c r="AC513" s="112"/>
      <c r="AD513" s="115"/>
      <c r="AE513" s="151"/>
      <c r="AF513" s="184"/>
      <c r="AG513" s="188"/>
      <c r="AH513" s="188"/>
      <c r="AI513" s="188"/>
      <c r="AJ513" s="188"/>
      <c r="AK513" s="61"/>
      <c r="AL513" s="61"/>
      <c r="AM513" s="61"/>
      <c r="AN513" s="61"/>
      <c r="AO513" s="61"/>
    </row>
    <row r="514">
      <c r="A514" s="112"/>
      <c r="B514" s="149"/>
      <c r="C514" s="93"/>
      <c r="D514" s="61"/>
      <c r="E514" s="112"/>
      <c r="F514" s="149"/>
      <c r="G514" s="93"/>
      <c r="H514" s="61"/>
      <c r="I514" s="112"/>
      <c r="J514" s="149"/>
      <c r="K514" s="93"/>
      <c r="L514" s="61"/>
      <c r="M514" s="112"/>
      <c r="N514" s="115"/>
      <c r="O514" s="93"/>
      <c r="P514" s="61"/>
      <c r="Q514" s="180"/>
      <c r="R514" s="115"/>
      <c r="S514" s="93"/>
      <c r="T514" s="61"/>
      <c r="U514" s="180"/>
      <c r="V514" s="115"/>
      <c r="W514" s="93"/>
      <c r="X514" s="61"/>
      <c r="Y514" s="112"/>
      <c r="Z514" s="181"/>
      <c r="AA514" s="182"/>
      <c r="AB514" s="183"/>
      <c r="AC514" s="112"/>
      <c r="AD514" s="115"/>
      <c r="AE514" s="151"/>
      <c r="AF514" s="184"/>
      <c r="AG514" s="188"/>
      <c r="AH514" s="188"/>
      <c r="AI514" s="188"/>
      <c r="AJ514" s="188"/>
      <c r="AK514" s="61"/>
      <c r="AL514" s="61"/>
      <c r="AM514" s="61"/>
      <c r="AN514" s="61"/>
      <c r="AO514" s="61"/>
    </row>
    <row r="515">
      <c r="A515" s="112"/>
      <c r="B515" s="149"/>
      <c r="C515" s="93"/>
      <c r="D515" s="61"/>
      <c r="E515" s="112"/>
      <c r="F515" s="149"/>
      <c r="G515" s="93"/>
      <c r="H515" s="61"/>
      <c r="I515" s="112"/>
      <c r="J515" s="149"/>
      <c r="K515" s="93"/>
      <c r="L515" s="61"/>
      <c r="M515" s="112"/>
      <c r="N515" s="115"/>
      <c r="O515" s="93"/>
      <c r="P515" s="61"/>
      <c r="Q515" s="180"/>
      <c r="R515" s="115"/>
      <c r="S515" s="93"/>
      <c r="T515" s="61"/>
      <c r="U515" s="180"/>
      <c r="V515" s="115"/>
      <c r="W515" s="93"/>
      <c r="X515" s="61"/>
      <c r="Y515" s="112"/>
      <c r="Z515" s="181"/>
      <c r="AA515" s="182"/>
      <c r="AB515" s="183"/>
      <c r="AC515" s="112"/>
      <c r="AD515" s="115"/>
      <c r="AE515" s="151"/>
      <c r="AF515" s="184"/>
      <c r="AG515" s="188"/>
      <c r="AH515" s="188"/>
      <c r="AI515" s="188"/>
      <c r="AJ515" s="188"/>
      <c r="AK515" s="61"/>
      <c r="AL515" s="61"/>
      <c r="AM515" s="61"/>
      <c r="AN515" s="61"/>
      <c r="AO515" s="61"/>
    </row>
    <row r="516">
      <c r="A516" s="112"/>
      <c r="B516" s="149"/>
      <c r="C516" s="93"/>
      <c r="D516" s="61"/>
      <c r="E516" s="112"/>
      <c r="F516" s="149"/>
      <c r="G516" s="93"/>
      <c r="H516" s="61"/>
      <c r="I516" s="112"/>
      <c r="J516" s="149"/>
      <c r="K516" s="93"/>
      <c r="L516" s="61"/>
      <c r="M516" s="112"/>
      <c r="N516" s="115"/>
      <c r="O516" s="93"/>
      <c r="P516" s="61"/>
      <c r="Q516" s="180"/>
      <c r="R516" s="115"/>
      <c r="S516" s="93"/>
      <c r="T516" s="61"/>
      <c r="U516" s="180"/>
      <c r="V516" s="115"/>
      <c r="W516" s="93"/>
      <c r="X516" s="61"/>
      <c r="Y516" s="112"/>
      <c r="Z516" s="181"/>
      <c r="AA516" s="182"/>
      <c r="AB516" s="183"/>
      <c r="AC516" s="112"/>
      <c r="AD516" s="115"/>
      <c r="AE516" s="151"/>
      <c r="AF516" s="184"/>
      <c r="AG516" s="188"/>
      <c r="AH516" s="188"/>
      <c r="AI516" s="188"/>
      <c r="AJ516" s="188"/>
      <c r="AK516" s="61"/>
      <c r="AL516" s="61"/>
      <c r="AM516" s="61"/>
      <c r="AN516" s="61"/>
      <c r="AO516" s="61"/>
    </row>
    <row r="517">
      <c r="A517" s="112"/>
      <c r="B517" s="149"/>
      <c r="C517" s="93"/>
      <c r="D517" s="61"/>
      <c r="E517" s="112"/>
      <c r="F517" s="149"/>
      <c r="G517" s="93"/>
      <c r="H517" s="61"/>
      <c r="I517" s="112"/>
      <c r="J517" s="149"/>
      <c r="K517" s="93"/>
      <c r="L517" s="61"/>
      <c r="M517" s="112"/>
      <c r="N517" s="115"/>
      <c r="O517" s="93"/>
      <c r="P517" s="61"/>
      <c r="Q517" s="180"/>
      <c r="R517" s="115"/>
      <c r="S517" s="93"/>
      <c r="T517" s="61"/>
      <c r="U517" s="180"/>
      <c r="V517" s="115"/>
      <c r="W517" s="93"/>
      <c r="X517" s="61"/>
      <c r="Y517" s="112"/>
      <c r="Z517" s="181"/>
      <c r="AA517" s="182"/>
      <c r="AB517" s="183"/>
      <c r="AC517" s="112"/>
      <c r="AD517" s="115"/>
      <c r="AE517" s="151"/>
      <c r="AF517" s="184"/>
      <c r="AG517" s="188"/>
      <c r="AH517" s="188"/>
      <c r="AI517" s="188"/>
      <c r="AJ517" s="188"/>
      <c r="AK517" s="61"/>
      <c r="AL517" s="61"/>
      <c r="AM517" s="61"/>
      <c r="AN517" s="61"/>
      <c r="AO517" s="61"/>
    </row>
    <row r="518">
      <c r="A518" s="112"/>
      <c r="B518" s="149"/>
      <c r="C518" s="93"/>
      <c r="D518" s="61"/>
      <c r="E518" s="112"/>
      <c r="F518" s="149"/>
      <c r="G518" s="93"/>
      <c r="H518" s="61"/>
      <c r="I518" s="112"/>
      <c r="J518" s="149"/>
      <c r="K518" s="93"/>
      <c r="L518" s="61"/>
      <c r="M518" s="112"/>
      <c r="N518" s="115"/>
      <c r="O518" s="93"/>
      <c r="P518" s="61"/>
      <c r="Q518" s="180"/>
      <c r="R518" s="115"/>
      <c r="S518" s="93"/>
      <c r="T518" s="61"/>
      <c r="U518" s="180"/>
      <c r="V518" s="115"/>
      <c r="W518" s="93"/>
      <c r="X518" s="61"/>
      <c r="Y518" s="112"/>
      <c r="Z518" s="181"/>
      <c r="AA518" s="182"/>
      <c r="AB518" s="183"/>
      <c r="AC518" s="112"/>
      <c r="AD518" s="115"/>
      <c r="AE518" s="151"/>
      <c r="AF518" s="184"/>
      <c r="AG518" s="188"/>
      <c r="AH518" s="188"/>
      <c r="AI518" s="188"/>
      <c r="AJ518" s="188"/>
      <c r="AK518" s="61"/>
      <c r="AL518" s="61"/>
      <c r="AM518" s="61"/>
      <c r="AN518" s="61"/>
      <c r="AO518" s="61"/>
    </row>
    <row r="519">
      <c r="A519" s="112"/>
      <c r="B519" s="149"/>
      <c r="C519" s="93"/>
      <c r="D519" s="61"/>
      <c r="E519" s="112"/>
      <c r="F519" s="149"/>
      <c r="G519" s="93"/>
      <c r="H519" s="61"/>
      <c r="I519" s="112"/>
      <c r="J519" s="149"/>
      <c r="K519" s="93"/>
      <c r="L519" s="61"/>
      <c r="M519" s="112"/>
      <c r="N519" s="115"/>
      <c r="O519" s="93"/>
      <c r="P519" s="61"/>
      <c r="Q519" s="180"/>
      <c r="R519" s="115"/>
      <c r="S519" s="93"/>
      <c r="T519" s="61"/>
      <c r="U519" s="180"/>
      <c r="V519" s="115"/>
      <c r="W519" s="93"/>
      <c r="X519" s="61"/>
      <c r="Y519" s="112"/>
      <c r="Z519" s="181"/>
      <c r="AA519" s="182"/>
      <c r="AB519" s="183"/>
      <c r="AC519" s="112"/>
      <c r="AD519" s="115"/>
      <c r="AE519" s="151"/>
      <c r="AF519" s="184"/>
      <c r="AG519" s="188"/>
      <c r="AH519" s="188"/>
      <c r="AI519" s="188"/>
      <c r="AJ519" s="188"/>
      <c r="AK519" s="61"/>
      <c r="AL519" s="61"/>
      <c r="AM519" s="61"/>
      <c r="AN519" s="61"/>
      <c r="AO519" s="61"/>
    </row>
    <row r="520">
      <c r="A520" s="112"/>
      <c r="B520" s="149"/>
      <c r="C520" s="93"/>
      <c r="D520" s="61"/>
      <c r="E520" s="112"/>
      <c r="F520" s="149"/>
      <c r="G520" s="93"/>
      <c r="H520" s="61"/>
      <c r="I520" s="112"/>
      <c r="J520" s="149"/>
      <c r="K520" s="93"/>
      <c r="L520" s="61"/>
      <c r="M520" s="112"/>
      <c r="N520" s="115"/>
      <c r="O520" s="93"/>
      <c r="P520" s="61"/>
      <c r="Q520" s="180"/>
      <c r="R520" s="115"/>
      <c r="S520" s="93"/>
      <c r="T520" s="61"/>
      <c r="U520" s="180"/>
      <c r="V520" s="115"/>
      <c r="W520" s="93"/>
      <c r="X520" s="61"/>
      <c r="Y520" s="112"/>
      <c r="Z520" s="181"/>
      <c r="AA520" s="182"/>
      <c r="AB520" s="183"/>
      <c r="AC520" s="112"/>
      <c r="AD520" s="115"/>
      <c r="AE520" s="151"/>
      <c r="AF520" s="184"/>
      <c r="AG520" s="188"/>
      <c r="AH520" s="188"/>
      <c r="AI520" s="188"/>
      <c r="AJ520" s="188"/>
      <c r="AK520" s="61"/>
      <c r="AL520" s="61"/>
      <c r="AM520" s="61"/>
      <c r="AN520" s="61"/>
      <c r="AO520" s="61"/>
    </row>
    <row r="521">
      <c r="A521" s="112"/>
      <c r="B521" s="149"/>
      <c r="C521" s="93"/>
      <c r="D521" s="61"/>
      <c r="E521" s="112"/>
      <c r="F521" s="149"/>
      <c r="G521" s="93"/>
      <c r="H521" s="61"/>
      <c r="I521" s="112"/>
      <c r="J521" s="149"/>
      <c r="K521" s="93"/>
      <c r="L521" s="61"/>
      <c r="M521" s="112"/>
      <c r="N521" s="115"/>
      <c r="O521" s="93"/>
      <c r="P521" s="61"/>
      <c r="Q521" s="180"/>
      <c r="R521" s="115"/>
      <c r="S521" s="93"/>
      <c r="T521" s="61"/>
      <c r="U521" s="180"/>
      <c r="V521" s="115"/>
      <c r="W521" s="93"/>
      <c r="X521" s="61"/>
      <c r="Y521" s="112"/>
      <c r="Z521" s="181"/>
      <c r="AA521" s="182"/>
      <c r="AB521" s="183"/>
      <c r="AC521" s="112"/>
      <c r="AD521" s="115"/>
      <c r="AE521" s="151"/>
      <c r="AF521" s="184"/>
      <c r="AG521" s="188"/>
      <c r="AH521" s="188"/>
      <c r="AI521" s="188"/>
      <c r="AJ521" s="188"/>
      <c r="AK521" s="61"/>
      <c r="AL521" s="61"/>
      <c r="AM521" s="61"/>
      <c r="AN521" s="61"/>
      <c r="AO521" s="61"/>
    </row>
    <row r="522">
      <c r="A522" s="112"/>
      <c r="B522" s="149"/>
      <c r="C522" s="93"/>
      <c r="D522" s="61"/>
      <c r="E522" s="112"/>
      <c r="F522" s="149"/>
      <c r="G522" s="93"/>
      <c r="H522" s="61"/>
      <c r="I522" s="112"/>
      <c r="J522" s="149"/>
      <c r="K522" s="93"/>
      <c r="L522" s="61"/>
      <c r="M522" s="112"/>
      <c r="N522" s="115"/>
      <c r="O522" s="93"/>
      <c r="P522" s="61"/>
      <c r="Q522" s="180"/>
      <c r="R522" s="115"/>
      <c r="S522" s="93"/>
      <c r="T522" s="61"/>
      <c r="U522" s="180"/>
      <c r="V522" s="115"/>
      <c r="W522" s="93"/>
      <c r="X522" s="61"/>
      <c r="Y522" s="112"/>
      <c r="Z522" s="181"/>
      <c r="AA522" s="182"/>
      <c r="AB522" s="183"/>
      <c r="AC522" s="112"/>
      <c r="AD522" s="115"/>
      <c r="AE522" s="151"/>
      <c r="AF522" s="184"/>
      <c r="AG522" s="188"/>
      <c r="AH522" s="188"/>
      <c r="AI522" s="188"/>
      <c r="AJ522" s="188"/>
      <c r="AK522" s="61"/>
      <c r="AL522" s="61"/>
      <c r="AM522" s="61"/>
      <c r="AN522" s="61"/>
      <c r="AO522" s="61"/>
    </row>
    <row r="523">
      <c r="A523" s="112"/>
      <c r="B523" s="149"/>
      <c r="C523" s="93"/>
      <c r="D523" s="61"/>
      <c r="E523" s="112"/>
      <c r="F523" s="149"/>
      <c r="G523" s="93"/>
      <c r="H523" s="61"/>
      <c r="I523" s="112"/>
      <c r="J523" s="149"/>
      <c r="K523" s="93"/>
      <c r="L523" s="61"/>
      <c r="M523" s="112"/>
      <c r="N523" s="115"/>
      <c r="O523" s="93"/>
      <c r="P523" s="61"/>
      <c r="Q523" s="180"/>
      <c r="R523" s="115"/>
      <c r="S523" s="93"/>
      <c r="T523" s="61"/>
      <c r="U523" s="180"/>
      <c r="V523" s="115"/>
      <c r="W523" s="93"/>
      <c r="X523" s="61"/>
      <c r="Y523" s="112"/>
      <c r="Z523" s="181"/>
      <c r="AA523" s="182"/>
      <c r="AB523" s="183"/>
      <c r="AC523" s="112"/>
      <c r="AD523" s="115"/>
      <c r="AE523" s="151"/>
      <c r="AF523" s="184"/>
      <c r="AG523" s="188"/>
      <c r="AH523" s="188"/>
      <c r="AI523" s="188"/>
      <c r="AJ523" s="188"/>
      <c r="AK523" s="61"/>
      <c r="AL523" s="61"/>
      <c r="AM523" s="61"/>
      <c r="AN523" s="61"/>
      <c r="AO523" s="61"/>
    </row>
    <row r="524">
      <c r="A524" s="112"/>
      <c r="B524" s="149"/>
      <c r="C524" s="93"/>
      <c r="D524" s="61"/>
      <c r="E524" s="112"/>
      <c r="F524" s="149"/>
      <c r="G524" s="93"/>
      <c r="H524" s="61"/>
      <c r="I524" s="112"/>
      <c r="J524" s="149"/>
      <c r="K524" s="93"/>
      <c r="L524" s="61"/>
      <c r="M524" s="112"/>
      <c r="N524" s="115"/>
      <c r="O524" s="93"/>
      <c r="P524" s="61"/>
      <c r="Q524" s="180"/>
      <c r="R524" s="115"/>
      <c r="S524" s="93"/>
      <c r="T524" s="61"/>
      <c r="U524" s="180"/>
      <c r="V524" s="115"/>
      <c r="W524" s="93"/>
      <c r="X524" s="61"/>
      <c r="Y524" s="112"/>
      <c r="Z524" s="181"/>
      <c r="AA524" s="182"/>
      <c r="AB524" s="183"/>
      <c r="AC524" s="112"/>
      <c r="AD524" s="115"/>
      <c r="AE524" s="151"/>
      <c r="AF524" s="184"/>
      <c r="AG524" s="188"/>
      <c r="AH524" s="188"/>
      <c r="AI524" s="188"/>
      <c r="AJ524" s="188"/>
      <c r="AK524" s="61"/>
      <c r="AL524" s="61"/>
      <c r="AM524" s="61"/>
      <c r="AN524" s="61"/>
      <c r="AO524" s="61"/>
    </row>
    <row r="525">
      <c r="A525" s="112"/>
      <c r="B525" s="149"/>
      <c r="C525" s="93"/>
      <c r="D525" s="61"/>
      <c r="E525" s="112"/>
      <c r="F525" s="149"/>
      <c r="G525" s="93"/>
      <c r="H525" s="61"/>
      <c r="I525" s="112"/>
      <c r="J525" s="149"/>
      <c r="K525" s="93"/>
      <c r="L525" s="61"/>
      <c r="M525" s="112"/>
      <c r="N525" s="115"/>
      <c r="O525" s="93"/>
      <c r="P525" s="61"/>
      <c r="Q525" s="180"/>
      <c r="R525" s="115"/>
      <c r="S525" s="93"/>
      <c r="T525" s="61"/>
      <c r="U525" s="180"/>
      <c r="V525" s="115"/>
      <c r="W525" s="93"/>
      <c r="X525" s="61"/>
      <c r="Y525" s="112"/>
      <c r="Z525" s="181"/>
      <c r="AA525" s="182"/>
      <c r="AB525" s="183"/>
      <c r="AC525" s="112"/>
      <c r="AD525" s="115"/>
      <c r="AE525" s="151"/>
      <c r="AF525" s="184"/>
      <c r="AG525" s="188"/>
      <c r="AH525" s="188"/>
      <c r="AI525" s="188"/>
      <c r="AJ525" s="188"/>
      <c r="AK525" s="61"/>
      <c r="AL525" s="61"/>
      <c r="AM525" s="61"/>
      <c r="AN525" s="61"/>
      <c r="AO525" s="61"/>
    </row>
    <row r="526">
      <c r="A526" s="112"/>
      <c r="B526" s="149"/>
      <c r="C526" s="93"/>
      <c r="D526" s="61"/>
      <c r="E526" s="112"/>
      <c r="F526" s="149"/>
      <c r="G526" s="93"/>
      <c r="H526" s="61"/>
      <c r="I526" s="112"/>
      <c r="J526" s="149"/>
      <c r="K526" s="93"/>
      <c r="L526" s="61"/>
      <c r="M526" s="112"/>
      <c r="N526" s="115"/>
      <c r="O526" s="93"/>
      <c r="P526" s="61"/>
      <c r="Q526" s="180"/>
      <c r="R526" s="115"/>
      <c r="S526" s="93"/>
      <c r="T526" s="61"/>
      <c r="U526" s="180"/>
      <c r="V526" s="115"/>
      <c r="W526" s="93"/>
      <c r="X526" s="61"/>
      <c r="Y526" s="112"/>
      <c r="Z526" s="181"/>
      <c r="AA526" s="182"/>
      <c r="AB526" s="183"/>
      <c r="AC526" s="112"/>
      <c r="AD526" s="115"/>
      <c r="AE526" s="151"/>
      <c r="AF526" s="184"/>
      <c r="AG526" s="188"/>
      <c r="AH526" s="188"/>
      <c r="AI526" s="188"/>
      <c r="AJ526" s="188"/>
      <c r="AK526" s="61"/>
      <c r="AL526" s="61"/>
      <c r="AM526" s="61"/>
      <c r="AN526" s="61"/>
      <c r="AO526" s="61"/>
    </row>
    <row r="527">
      <c r="A527" s="112"/>
      <c r="B527" s="149"/>
      <c r="C527" s="93"/>
      <c r="D527" s="61"/>
      <c r="E527" s="112"/>
      <c r="F527" s="149"/>
      <c r="G527" s="93"/>
      <c r="H527" s="61"/>
      <c r="I527" s="112"/>
      <c r="J527" s="149"/>
      <c r="K527" s="93"/>
      <c r="L527" s="61"/>
      <c r="M527" s="112"/>
      <c r="N527" s="115"/>
      <c r="O527" s="93"/>
      <c r="P527" s="61"/>
      <c r="Q527" s="180"/>
      <c r="R527" s="115"/>
      <c r="S527" s="93"/>
      <c r="T527" s="61"/>
      <c r="U527" s="180"/>
      <c r="V527" s="115"/>
      <c r="W527" s="93"/>
      <c r="X527" s="61"/>
      <c r="Y527" s="112"/>
      <c r="Z527" s="181"/>
      <c r="AA527" s="182"/>
      <c r="AB527" s="183"/>
      <c r="AC527" s="112"/>
      <c r="AD527" s="115"/>
      <c r="AE527" s="151"/>
      <c r="AF527" s="184"/>
      <c r="AG527" s="188"/>
      <c r="AH527" s="188"/>
      <c r="AI527" s="188"/>
      <c r="AJ527" s="188"/>
      <c r="AK527" s="61"/>
      <c r="AL527" s="61"/>
      <c r="AM527" s="61"/>
      <c r="AN527" s="61"/>
      <c r="AO527" s="61"/>
    </row>
    <row r="528">
      <c r="A528" s="112"/>
      <c r="B528" s="149"/>
      <c r="C528" s="93"/>
      <c r="D528" s="61"/>
      <c r="E528" s="112"/>
      <c r="F528" s="149"/>
      <c r="G528" s="93"/>
      <c r="H528" s="61"/>
      <c r="I528" s="112"/>
      <c r="J528" s="149"/>
      <c r="K528" s="93"/>
      <c r="L528" s="61"/>
      <c r="M528" s="112"/>
      <c r="N528" s="115"/>
      <c r="O528" s="93"/>
      <c r="P528" s="61"/>
      <c r="Q528" s="180"/>
      <c r="R528" s="115"/>
      <c r="S528" s="93"/>
      <c r="T528" s="61"/>
      <c r="U528" s="180"/>
      <c r="V528" s="115"/>
      <c r="W528" s="93"/>
      <c r="X528" s="61"/>
      <c r="Y528" s="112"/>
      <c r="Z528" s="181"/>
      <c r="AA528" s="182"/>
      <c r="AB528" s="183"/>
      <c r="AC528" s="112"/>
      <c r="AD528" s="115"/>
      <c r="AE528" s="151"/>
      <c r="AF528" s="184"/>
      <c r="AG528" s="188"/>
      <c r="AH528" s="188"/>
      <c r="AI528" s="188"/>
      <c r="AJ528" s="188"/>
      <c r="AK528" s="61"/>
      <c r="AL528" s="61"/>
      <c r="AM528" s="61"/>
      <c r="AN528" s="61"/>
      <c r="AO528" s="61"/>
    </row>
    <row r="529">
      <c r="A529" s="112"/>
      <c r="B529" s="149"/>
      <c r="C529" s="93"/>
      <c r="D529" s="61"/>
      <c r="E529" s="112"/>
      <c r="F529" s="149"/>
      <c r="G529" s="93"/>
      <c r="H529" s="61"/>
      <c r="I529" s="112"/>
      <c r="J529" s="149"/>
      <c r="K529" s="93"/>
      <c r="L529" s="61"/>
      <c r="M529" s="112"/>
      <c r="N529" s="115"/>
      <c r="O529" s="93"/>
      <c r="P529" s="61"/>
      <c r="Q529" s="180"/>
      <c r="R529" s="115"/>
      <c r="S529" s="93"/>
      <c r="T529" s="61"/>
      <c r="U529" s="180"/>
      <c r="V529" s="115"/>
      <c r="W529" s="93"/>
      <c r="X529" s="61"/>
      <c r="Y529" s="112"/>
      <c r="Z529" s="181"/>
      <c r="AA529" s="182"/>
      <c r="AB529" s="183"/>
      <c r="AC529" s="112"/>
      <c r="AD529" s="115"/>
      <c r="AE529" s="151"/>
      <c r="AF529" s="184"/>
      <c r="AG529" s="188"/>
      <c r="AH529" s="188"/>
      <c r="AI529" s="188"/>
      <c r="AJ529" s="188"/>
      <c r="AK529" s="61"/>
      <c r="AL529" s="61"/>
      <c r="AM529" s="61"/>
      <c r="AN529" s="61"/>
      <c r="AO529" s="61"/>
    </row>
    <row r="530">
      <c r="A530" s="112"/>
      <c r="B530" s="149"/>
      <c r="C530" s="93"/>
      <c r="D530" s="61"/>
      <c r="E530" s="112"/>
      <c r="F530" s="149"/>
      <c r="G530" s="93"/>
      <c r="H530" s="61"/>
      <c r="I530" s="112"/>
      <c r="J530" s="149"/>
      <c r="K530" s="93"/>
      <c r="L530" s="61"/>
      <c r="M530" s="112"/>
      <c r="N530" s="115"/>
      <c r="O530" s="93"/>
      <c r="P530" s="61"/>
      <c r="Q530" s="180"/>
      <c r="R530" s="115"/>
      <c r="S530" s="93"/>
      <c r="T530" s="61"/>
      <c r="U530" s="180"/>
      <c r="V530" s="115"/>
      <c r="W530" s="93"/>
      <c r="X530" s="61"/>
      <c r="Y530" s="112"/>
      <c r="Z530" s="181"/>
      <c r="AA530" s="182"/>
      <c r="AB530" s="183"/>
      <c r="AC530" s="112"/>
      <c r="AD530" s="115"/>
      <c r="AE530" s="151"/>
      <c r="AF530" s="184"/>
      <c r="AG530" s="188"/>
      <c r="AH530" s="188"/>
      <c r="AI530" s="188"/>
      <c r="AJ530" s="188"/>
      <c r="AK530" s="61"/>
      <c r="AL530" s="61"/>
      <c r="AM530" s="61"/>
      <c r="AN530" s="61"/>
      <c r="AO530" s="61"/>
    </row>
    <row r="531">
      <c r="A531" s="112"/>
      <c r="B531" s="149"/>
      <c r="C531" s="93"/>
      <c r="D531" s="61"/>
      <c r="E531" s="112"/>
      <c r="F531" s="149"/>
      <c r="G531" s="93"/>
      <c r="H531" s="61"/>
      <c r="I531" s="112"/>
      <c r="J531" s="149"/>
      <c r="K531" s="93"/>
      <c r="L531" s="61"/>
      <c r="M531" s="112"/>
      <c r="N531" s="115"/>
      <c r="O531" s="93"/>
      <c r="P531" s="61"/>
      <c r="Q531" s="180"/>
      <c r="R531" s="115"/>
      <c r="S531" s="93"/>
      <c r="T531" s="61"/>
      <c r="U531" s="180"/>
      <c r="V531" s="115"/>
      <c r="W531" s="93"/>
      <c r="X531" s="61"/>
      <c r="Y531" s="112"/>
      <c r="Z531" s="181"/>
      <c r="AA531" s="182"/>
      <c r="AB531" s="183"/>
      <c r="AC531" s="112"/>
      <c r="AD531" s="115"/>
      <c r="AE531" s="151"/>
      <c r="AF531" s="184"/>
      <c r="AG531" s="188"/>
      <c r="AH531" s="188"/>
      <c r="AI531" s="188"/>
      <c r="AJ531" s="188"/>
      <c r="AK531" s="61"/>
      <c r="AL531" s="61"/>
      <c r="AM531" s="61"/>
      <c r="AN531" s="61"/>
      <c r="AO531" s="61"/>
    </row>
    <row r="532">
      <c r="A532" s="112"/>
      <c r="B532" s="149"/>
      <c r="C532" s="93"/>
      <c r="D532" s="61"/>
      <c r="E532" s="112"/>
      <c r="F532" s="149"/>
      <c r="G532" s="93"/>
      <c r="H532" s="61"/>
      <c r="I532" s="112"/>
      <c r="J532" s="149"/>
      <c r="K532" s="93"/>
      <c r="L532" s="61"/>
      <c r="M532" s="112"/>
      <c r="N532" s="115"/>
      <c r="O532" s="93"/>
      <c r="P532" s="61"/>
      <c r="Q532" s="180"/>
      <c r="R532" s="115"/>
      <c r="S532" s="93"/>
      <c r="T532" s="61"/>
      <c r="U532" s="180"/>
      <c r="V532" s="115"/>
      <c r="W532" s="93"/>
      <c r="X532" s="61"/>
      <c r="Y532" s="112"/>
      <c r="Z532" s="181"/>
      <c r="AA532" s="182"/>
      <c r="AB532" s="183"/>
      <c r="AC532" s="112"/>
      <c r="AD532" s="115"/>
      <c r="AE532" s="151"/>
      <c r="AF532" s="184"/>
      <c r="AG532" s="188"/>
      <c r="AH532" s="188"/>
      <c r="AI532" s="188"/>
      <c r="AJ532" s="188"/>
      <c r="AK532" s="61"/>
      <c r="AL532" s="61"/>
      <c r="AM532" s="61"/>
      <c r="AN532" s="61"/>
      <c r="AO532" s="61"/>
    </row>
    <row r="533">
      <c r="A533" s="112"/>
      <c r="B533" s="149"/>
      <c r="C533" s="93"/>
      <c r="D533" s="61"/>
      <c r="E533" s="112"/>
      <c r="F533" s="149"/>
      <c r="G533" s="93"/>
      <c r="H533" s="61"/>
      <c r="I533" s="112"/>
      <c r="J533" s="149"/>
      <c r="K533" s="93"/>
      <c r="L533" s="61"/>
      <c r="M533" s="112"/>
      <c r="N533" s="115"/>
      <c r="O533" s="93"/>
      <c r="P533" s="61"/>
      <c r="Q533" s="180"/>
      <c r="R533" s="115"/>
      <c r="S533" s="93"/>
      <c r="T533" s="61"/>
      <c r="U533" s="180"/>
      <c r="V533" s="115"/>
      <c r="W533" s="93"/>
      <c r="X533" s="61"/>
      <c r="Y533" s="112"/>
      <c r="Z533" s="181"/>
      <c r="AA533" s="182"/>
      <c r="AB533" s="183"/>
      <c r="AC533" s="112"/>
      <c r="AD533" s="115"/>
      <c r="AE533" s="151"/>
      <c r="AF533" s="184"/>
      <c r="AG533" s="188"/>
      <c r="AH533" s="188"/>
      <c r="AI533" s="188"/>
      <c r="AJ533" s="188"/>
      <c r="AK533" s="61"/>
      <c r="AL533" s="61"/>
      <c r="AM533" s="61"/>
      <c r="AN533" s="61"/>
      <c r="AO533" s="61"/>
    </row>
    <row r="534">
      <c r="A534" s="112"/>
      <c r="B534" s="149"/>
      <c r="C534" s="93"/>
      <c r="D534" s="61"/>
      <c r="E534" s="112"/>
      <c r="F534" s="149"/>
      <c r="G534" s="93"/>
      <c r="H534" s="61"/>
      <c r="I534" s="112"/>
      <c r="J534" s="149"/>
      <c r="K534" s="93"/>
      <c r="L534" s="61"/>
      <c r="M534" s="112"/>
      <c r="N534" s="115"/>
      <c r="O534" s="93"/>
      <c r="P534" s="61"/>
      <c r="Q534" s="180"/>
      <c r="R534" s="115"/>
      <c r="S534" s="93"/>
      <c r="T534" s="61"/>
      <c r="U534" s="180"/>
      <c r="V534" s="115"/>
      <c r="W534" s="93"/>
      <c r="X534" s="61"/>
      <c r="Y534" s="112"/>
      <c r="Z534" s="181"/>
      <c r="AA534" s="182"/>
      <c r="AB534" s="183"/>
      <c r="AC534" s="112"/>
      <c r="AD534" s="115"/>
      <c r="AE534" s="151"/>
      <c r="AF534" s="184"/>
      <c r="AG534" s="188"/>
      <c r="AH534" s="188"/>
      <c r="AI534" s="188"/>
      <c r="AJ534" s="188"/>
      <c r="AK534" s="61"/>
      <c r="AL534" s="61"/>
      <c r="AM534" s="61"/>
      <c r="AN534" s="61"/>
      <c r="AO534" s="61"/>
    </row>
    <row r="535">
      <c r="A535" s="112"/>
      <c r="B535" s="149"/>
      <c r="C535" s="93"/>
      <c r="D535" s="61"/>
      <c r="E535" s="112"/>
      <c r="F535" s="149"/>
      <c r="G535" s="93"/>
      <c r="H535" s="61"/>
      <c r="I535" s="112"/>
      <c r="J535" s="149"/>
      <c r="K535" s="93"/>
      <c r="L535" s="61"/>
      <c r="M535" s="112"/>
      <c r="N535" s="115"/>
      <c r="O535" s="93"/>
      <c r="P535" s="61"/>
      <c r="Q535" s="180"/>
      <c r="R535" s="115"/>
      <c r="S535" s="93"/>
      <c r="T535" s="61"/>
      <c r="U535" s="180"/>
      <c r="V535" s="115"/>
      <c r="W535" s="93"/>
      <c r="X535" s="61"/>
      <c r="Y535" s="112"/>
      <c r="Z535" s="181"/>
      <c r="AA535" s="182"/>
      <c r="AB535" s="183"/>
      <c r="AC535" s="112"/>
      <c r="AD535" s="115"/>
      <c r="AE535" s="151"/>
      <c r="AF535" s="184"/>
      <c r="AG535" s="188"/>
      <c r="AH535" s="188"/>
      <c r="AI535" s="188"/>
      <c r="AJ535" s="188"/>
      <c r="AK535" s="61"/>
      <c r="AL535" s="61"/>
      <c r="AM535" s="61"/>
      <c r="AN535" s="61"/>
      <c r="AO535" s="61"/>
    </row>
    <row r="536">
      <c r="A536" s="112"/>
      <c r="B536" s="149"/>
      <c r="C536" s="93"/>
      <c r="D536" s="61"/>
      <c r="E536" s="112"/>
      <c r="F536" s="149"/>
      <c r="G536" s="93"/>
      <c r="H536" s="61"/>
      <c r="I536" s="112"/>
      <c r="J536" s="149"/>
      <c r="K536" s="93"/>
      <c r="L536" s="61"/>
      <c r="M536" s="112"/>
      <c r="N536" s="115"/>
      <c r="O536" s="93"/>
      <c r="P536" s="61"/>
      <c r="Q536" s="180"/>
      <c r="R536" s="115"/>
      <c r="S536" s="93"/>
      <c r="T536" s="61"/>
      <c r="U536" s="180"/>
      <c r="V536" s="115"/>
      <c r="W536" s="93"/>
      <c r="X536" s="61"/>
      <c r="Y536" s="112"/>
      <c r="Z536" s="181"/>
      <c r="AA536" s="182"/>
      <c r="AB536" s="183"/>
      <c r="AC536" s="112"/>
      <c r="AD536" s="115"/>
      <c r="AE536" s="151"/>
      <c r="AF536" s="184"/>
      <c r="AG536" s="188"/>
      <c r="AH536" s="188"/>
      <c r="AI536" s="188"/>
      <c r="AJ536" s="188"/>
      <c r="AK536" s="61"/>
      <c r="AL536" s="61"/>
      <c r="AM536" s="61"/>
      <c r="AN536" s="61"/>
      <c r="AO536" s="61"/>
    </row>
    <row r="537">
      <c r="A537" s="112"/>
      <c r="B537" s="149"/>
      <c r="C537" s="93"/>
      <c r="D537" s="61"/>
      <c r="E537" s="112"/>
      <c r="F537" s="149"/>
      <c r="G537" s="93"/>
      <c r="H537" s="61"/>
      <c r="I537" s="112"/>
      <c r="J537" s="149"/>
      <c r="K537" s="93"/>
      <c r="L537" s="61"/>
      <c r="M537" s="112"/>
      <c r="N537" s="115"/>
      <c r="O537" s="93"/>
      <c r="P537" s="61"/>
      <c r="Q537" s="180"/>
      <c r="R537" s="115"/>
      <c r="S537" s="93"/>
      <c r="T537" s="61"/>
      <c r="U537" s="180"/>
      <c r="V537" s="115"/>
      <c r="W537" s="93"/>
      <c r="X537" s="61"/>
      <c r="Y537" s="112"/>
      <c r="Z537" s="181"/>
      <c r="AA537" s="182"/>
      <c r="AB537" s="183"/>
      <c r="AC537" s="112"/>
      <c r="AD537" s="115"/>
      <c r="AE537" s="151"/>
      <c r="AF537" s="184"/>
      <c r="AG537" s="188"/>
      <c r="AH537" s="188"/>
      <c r="AI537" s="188"/>
      <c r="AJ537" s="188"/>
      <c r="AK537" s="61"/>
      <c r="AL537" s="61"/>
      <c r="AM537" s="61"/>
      <c r="AN537" s="61"/>
      <c r="AO537" s="61"/>
    </row>
    <row r="538">
      <c r="A538" s="112"/>
      <c r="B538" s="149"/>
      <c r="C538" s="93"/>
      <c r="D538" s="61"/>
      <c r="E538" s="112"/>
      <c r="F538" s="149"/>
      <c r="G538" s="93"/>
      <c r="H538" s="61"/>
      <c r="I538" s="112"/>
      <c r="J538" s="149"/>
      <c r="K538" s="93"/>
      <c r="L538" s="61"/>
      <c r="M538" s="112"/>
      <c r="N538" s="115"/>
      <c r="O538" s="93"/>
      <c r="P538" s="61"/>
      <c r="Q538" s="180"/>
      <c r="R538" s="115"/>
      <c r="S538" s="93"/>
      <c r="T538" s="61"/>
      <c r="U538" s="180"/>
      <c r="V538" s="115"/>
      <c r="W538" s="93"/>
      <c r="X538" s="61"/>
      <c r="Y538" s="112"/>
      <c r="Z538" s="181"/>
      <c r="AA538" s="182"/>
      <c r="AB538" s="183"/>
      <c r="AC538" s="112"/>
      <c r="AD538" s="115"/>
      <c r="AE538" s="151"/>
      <c r="AF538" s="184"/>
      <c r="AG538" s="188"/>
      <c r="AH538" s="188"/>
      <c r="AI538" s="188"/>
      <c r="AJ538" s="188"/>
      <c r="AK538" s="61"/>
      <c r="AL538" s="61"/>
      <c r="AM538" s="61"/>
      <c r="AN538" s="61"/>
      <c r="AO538" s="61"/>
    </row>
    <row r="539">
      <c r="A539" s="112"/>
      <c r="B539" s="149"/>
      <c r="C539" s="93"/>
      <c r="D539" s="61"/>
      <c r="E539" s="112"/>
      <c r="F539" s="149"/>
      <c r="G539" s="93"/>
      <c r="H539" s="61"/>
      <c r="I539" s="112"/>
      <c r="J539" s="149"/>
      <c r="K539" s="93"/>
      <c r="L539" s="61"/>
      <c r="M539" s="112"/>
      <c r="N539" s="115"/>
      <c r="O539" s="93"/>
      <c r="P539" s="61"/>
      <c r="Q539" s="180"/>
      <c r="R539" s="115"/>
      <c r="S539" s="93"/>
      <c r="T539" s="61"/>
      <c r="U539" s="180"/>
      <c r="V539" s="115"/>
      <c r="W539" s="93"/>
      <c r="X539" s="61"/>
      <c r="Y539" s="112"/>
      <c r="Z539" s="181"/>
      <c r="AA539" s="182"/>
      <c r="AB539" s="183"/>
      <c r="AC539" s="112"/>
      <c r="AD539" s="115"/>
      <c r="AE539" s="151"/>
      <c r="AF539" s="184"/>
      <c r="AG539" s="188"/>
      <c r="AH539" s="188"/>
      <c r="AI539" s="188"/>
      <c r="AJ539" s="188"/>
      <c r="AK539" s="61"/>
      <c r="AL539" s="61"/>
      <c r="AM539" s="61"/>
      <c r="AN539" s="61"/>
      <c r="AO539" s="61"/>
    </row>
    <row r="540">
      <c r="A540" s="112"/>
      <c r="B540" s="149"/>
      <c r="C540" s="93"/>
      <c r="D540" s="61"/>
      <c r="E540" s="112"/>
      <c r="F540" s="149"/>
      <c r="G540" s="93"/>
      <c r="H540" s="61"/>
      <c r="I540" s="112"/>
      <c r="J540" s="149"/>
      <c r="K540" s="93"/>
      <c r="L540" s="61"/>
      <c r="M540" s="112"/>
      <c r="N540" s="115"/>
      <c r="O540" s="93"/>
      <c r="P540" s="61"/>
      <c r="Q540" s="180"/>
      <c r="R540" s="115"/>
      <c r="S540" s="93"/>
      <c r="T540" s="61"/>
      <c r="U540" s="180"/>
      <c r="V540" s="115"/>
      <c r="W540" s="93"/>
      <c r="X540" s="61"/>
      <c r="Y540" s="112"/>
      <c r="Z540" s="181"/>
      <c r="AA540" s="182"/>
      <c r="AB540" s="183"/>
      <c r="AC540" s="112"/>
      <c r="AD540" s="115"/>
      <c r="AE540" s="151"/>
      <c r="AF540" s="184"/>
      <c r="AG540" s="188"/>
      <c r="AH540" s="188"/>
      <c r="AI540" s="188"/>
      <c r="AJ540" s="188"/>
      <c r="AK540" s="61"/>
      <c r="AL540" s="61"/>
      <c r="AM540" s="61"/>
      <c r="AN540" s="61"/>
      <c r="AO540" s="61"/>
    </row>
    <row r="541">
      <c r="A541" s="112"/>
      <c r="B541" s="149"/>
      <c r="C541" s="93"/>
      <c r="D541" s="61"/>
      <c r="E541" s="112"/>
      <c r="F541" s="149"/>
      <c r="G541" s="93"/>
      <c r="H541" s="61"/>
      <c r="I541" s="112"/>
      <c r="J541" s="149"/>
      <c r="K541" s="93"/>
      <c r="L541" s="61"/>
      <c r="M541" s="112"/>
      <c r="N541" s="115"/>
      <c r="O541" s="93"/>
      <c r="P541" s="61"/>
      <c r="Q541" s="180"/>
      <c r="R541" s="115"/>
      <c r="S541" s="93"/>
      <c r="T541" s="61"/>
      <c r="U541" s="180"/>
      <c r="V541" s="115"/>
      <c r="W541" s="93"/>
      <c r="X541" s="61"/>
      <c r="Y541" s="112"/>
      <c r="Z541" s="181"/>
      <c r="AA541" s="182"/>
      <c r="AB541" s="183"/>
      <c r="AC541" s="112"/>
      <c r="AD541" s="115"/>
      <c r="AE541" s="151"/>
      <c r="AF541" s="184"/>
      <c r="AG541" s="188"/>
      <c r="AH541" s="188"/>
      <c r="AI541" s="188"/>
      <c r="AJ541" s="188"/>
      <c r="AK541" s="61"/>
      <c r="AL541" s="61"/>
      <c r="AM541" s="61"/>
      <c r="AN541" s="61"/>
      <c r="AO541" s="61"/>
    </row>
    <row r="542">
      <c r="A542" s="112"/>
      <c r="B542" s="149"/>
      <c r="C542" s="93"/>
      <c r="D542" s="61"/>
      <c r="E542" s="112"/>
      <c r="F542" s="149"/>
      <c r="G542" s="93"/>
      <c r="H542" s="61"/>
      <c r="I542" s="112"/>
      <c r="J542" s="149"/>
      <c r="K542" s="93"/>
      <c r="L542" s="61"/>
      <c r="M542" s="112"/>
      <c r="N542" s="115"/>
      <c r="O542" s="93"/>
      <c r="P542" s="61"/>
      <c r="Q542" s="180"/>
      <c r="R542" s="115"/>
      <c r="S542" s="93"/>
      <c r="T542" s="61"/>
      <c r="U542" s="180"/>
      <c r="V542" s="115"/>
      <c r="W542" s="93"/>
      <c r="X542" s="61"/>
      <c r="Y542" s="112"/>
      <c r="Z542" s="181"/>
      <c r="AA542" s="182"/>
      <c r="AB542" s="183"/>
      <c r="AC542" s="112"/>
      <c r="AD542" s="115"/>
      <c r="AE542" s="151"/>
      <c r="AF542" s="184"/>
      <c r="AG542" s="188"/>
      <c r="AH542" s="188"/>
      <c r="AI542" s="188"/>
      <c r="AJ542" s="188"/>
      <c r="AK542" s="61"/>
      <c r="AL542" s="61"/>
      <c r="AM542" s="61"/>
      <c r="AN542" s="61"/>
      <c r="AO542" s="61"/>
    </row>
    <row r="543">
      <c r="A543" s="112"/>
      <c r="B543" s="149"/>
      <c r="C543" s="93"/>
      <c r="D543" s="61"/>
      <c r="E543" s="112"/>
      <c r="F543" s="149"/>
      <c r="G543" s="93"/>
      <c r="H543" s="61"/>
      <c r="I543" s="112"/>
      <c r="J543" s="149"/>
      <c r="K543" s="93"/>
      <c r="L543" s="61"/>
      <c r="M543" s="112"/>
      <c r="N543" s="115"/>
      <c r="O543" s="93"/>
      <c r="P543" s="61"/>
      <c r="Q543" s="180"/>
      <c r="R543" s="115"/>
      <c r="S543" s="93"/>
      <c r="T543" s="61"/>
      <c r="U543" s="180"/>
      <c r="V543" s="115"/>
      <c r="W543" s="93"/>
      <c r="X543" s="61"/>
      <c r="Y543" s="112"/>
      <c r="Z543" s="181"/>
      <c r="AA543" s="182"/>
      <c r="AB543" s="183"/>
      <c r="AC543" s="112"/>
      <c r="AD543" s="115"/>
      <c r="AE543" s="151"/>
      <c r="AF543" s="184"/>
      <c r="AG543" s="188"/>
      <c r="AH543" s="188"/>
      <c r="AI543" s="188"/>
      <c r="AJ543" s="188"/>
      <c r="AK543" s="61"/>
      <c r="AL543" s="61"/>
      <c r="AM543" s="61"/>
      <c r="AN543" s="61"/>
      <c r="AO543" s="61"/>
    </row>
    <row r="544">
      <c r="A544" s="112"/>
      <c r="B544" s="149"/>
      <c r="C544" s="93"/>
      <c r="D544" s="61"/>
      <c r="E544" s="112"/>
      <c r="F544" s="149"/>
      <c r="G544" s="93"/>
      <c r="H544" s="61"/>
      <c r="I544" s="112"/>
      <c r="J544" s="149"/>
      <c r="K544" s="93"/>
      <c r="L544" s="61"/>
      <c r="M544" s="112"/>
      <c r="N544" s="115"/>
      <c r="O544" s="93"/>
      <c r="P544" s="61"/>
      <c r="Q544" s="180"/>
      <c r="R544" s="115"/>
      <c r="S544" s="93"/>
      <c r="T544" s="61"/>
      <c r="U544" s="180"/>
      <c r="V544" s="115"/>
      <c r="W544" s="93"/>
      <c r="X544" s="61"/>
      <c r="Y544" s="112"/>
      <c r="Z544" s="181"/>
      <c r="AA544" s="182"/>
      <c r="AB544" s="183"/>
      <c r="AC544" s="112"/>
      <c r="AD544" s="115"/>
      <c r="AE544" s="151"/>
      <c r="AF544" s="184"/>
      <c r="AG544" s="188"/>
      <c r="AH544" s="188"/>
      <c r="AI544" s="188"/>
      <c r="AJ544" s="188"/>
      <c r="AK544" s="61"/>
      <c r="AL544" s="61"/>
      <c r="AM544" s="61"/>
      <c r="AN544" s="61"/>
      <c r="AO544" s="61"/>
    </row>
    <row r="545">
      <c r="A545" s="112"/>
      <c r="B545" s="149"/>
      <c r="C545" s="93"/>
      <c r="D545" s="61"/>
      <c r="E545" s="112"/>
      <c r="F545" s="149"/>
      <c r="G545" s="93"/>
      <c r="H545" s="61"/>
      <c r="I545" s="112"/>
      <c r="J545" s="149"/>
      <c r="K545" s="93"/>
      <c r="L545" s="61"/>
      <c r="M545" s="112"/>
      <c r="N545" s="115"/>
      <c r="O545" s="93"/>
      <c r="P545" s="61"/>
      <c r="Q545" s="180"/>
      <c r="R545" s="115"/>
      <c r="S545" s="93"/>
      <c r="T545" s="61"/>
      <c r="U545" s="180"/>
      <c r="V545" s="115"/>
      <c r="W545" s="93"/>
      <c r="X545" s="61"/>
      <c r="Y545" s="112"/>
      <c r="Z545" s="181"/>
      <c r="AA545" s="182"/>
      <c r="AB545" s="183"/>
      <c r="AC545" s="112"/>
      <c r="AD545" s="115"/>
      <c r="AE545" s="151"/>
      <c r="AF545" s="184"/>
      <c r="AG545" s="188"/>
      <c r="AH545" s="188"/>
      <c r="AI545" s="188"/>
      <c r="AJ545" s="188"/>
      <c r="AK545" s="61"/>
      <c r="AL545" s="61"/>
      <c r="AM545" s="61"/>
      <c r="AN545" s="61"/>
      <c r="AO545" s="61"/>
    </row>
    <row r="546">
      <c r="A546" s="112"/>
      <c r="B546" s="149"/>
      <c r="C546" s="93"/>
      <c r="D546" s="61"/>
      <c r="E546" s="112"/>
      <c r="F546" s="149"/>
      <c r="G546" s="93"/>
      <c r="H546" s="61"/>
      <c r="I546" s="112"/>
      <c r="J546" s="149"/>
      <c r="K546" s="93"/>
      <c r="L546" s="61"/>
      <c r="M546" s="112"/>
      <c r="N546" s="115"/>
      <c r="O546" s="93"/>
      <c r="P546" s="61"/>
      <c r="Q546" s="180"/>
      <c r="R546" s="115"/>
      <c r="S546" s="93"/>
      <c r="T546" s="61"/>
      <c r="U546" s="180"/>
      <c r="V546" s="115"/>
      <c r="W546" s="93"/>
      <c r="X546" s="61"/>
      <c r="Y546" s="112"/>
      <c r="Z546" s="181"/>
      <c r="AA546" s="182"/>
      <c r="AB546" s="183"/>
      <c r="AC546" s="112"/>
      <c r="AD546" s="115"/>
      <c r="AE546" s="151"/>
      <c r="AF546" s="184"/>
      <c r="AG546" s="188"/>
      <c r="AH546" s="188"/>
      <c r="AI546" s="188"/>
      <c r="AJ546" s="188"/>
      <c r="AK546" s="61"/>
      <c r="AL546" s="61"/>
      <c r="AM546" s="61"/>
      <c r="AN546" s="61"/>
      <c r="AO546" s="61"/>
    </row>
    <row r="547">
      <c r="A547" s="112"/>
      <c r="B547" s="149"/>
      <c r="C547" s="93"/>
      <c r="D547" s="61"/>
      <c r="E547" s="112"/>
      <c r="F547" s="149"/>
      <c r="G547" s="93"/>
      <c r="H547" s="61"/>
      <c r="I547" s="112"/>
      <c r="J547" s="149"/>
      <c r="K547" s="93"/>
      <c r="L547" s="61"/>
      <c r="M547" s="112"/>
      <c r="N547" s="115"/>
      <c r="O547" s="93"/>
      <c r="P547" s="61"/>
      <c r="Q547" s="180"/>
      <c r="R547" s="115"/>
      <c r="S547" s="93"/>
      <c r="T547" s="61"/>
      <c r="U547" s="180"/>
      <c r="V547" s="115"/>
      <c r="W547" s="93"/>
      <c r="X547" s="61"/>
      <c r="Y547" s="112"/>
      <c r="Z547" s="181"/>
      <c r="AA547" s="182"/>
      <c r="AB547" s="183"/>
      <c r="AC547" s="112"/>
      <c r="AD547" s="115"/>
      <c r="AE547" s="151"/>
      <c r="AF547" s="184"/>
      <c r="AG547" s="188"/>
      <c r="AH547" s="188"/>
      <c r="AI547" s="188"/>
      <c r="AJ547" s="188"/>
      <c r="AK547" s="61"/>
      <c r="AL547" s="61"/>
      <c r="AM547" s="61"/>
      <c r="AN547" s="61"/>
      <c r="AO547" s="61"/>
    </row>
    <row r="548">
      <c r="A548" s="112"/>
      <c r="B548" s="149"/>
      <c r="C548" s="93"/>
      <c r="D548" s="61"/>
      <c r="E548" s="112"/>
      <c r="F548" s="149"/>
      <c r="G548" s="93"/>
      <c r="H548" s="61"/>
      <c r="I548" s="112"/>
      <c r="J548" s="149"/>
      <c r="K548" s="93"/>
      <c r="L548" s="61"/>
      <c r="M548" s="112"/>
      <c r="N548" s="115"/>
      <c r="O548" s="93"/>
      <c r="P548" s="61"/>
      <c r="Q548" s="180"/>
      <c r="R548" s="115"/>
      <c r="S548" s="93"/>
      <c r="T548" s="61"/>
      <c r="U548" s="180"/>
      <c r="V548" s="115"/>
      <c r="W548" s="93"/>
      <c r="X548" s="61"/>
      <c r="Y548" s="112"/>
      <c r="Z548" s="181"/>
      <c r="AA548" s="182"/>
      <c r="AB548" s="183"/>
      <c r="AC548" s="112"/>
      <c r="AD548" s="115"/>
      <c r="AE548" s="151"/>
      <c r="AF548" s="184"/>
      <c r="AG548" s="188"/>
      <c r="AH548" s="188"/>
      <c r="AI548" s="188"/>
      <c r="AJ548" s="188"/>
      <c r="AK548" s="61"/>
      <c r="AL548" s="61"/>
      <c r="AM548" s="61"/>
      <c r="AN548" s="61"/>
      <c r="AO548" s="61"/>
    </row>
    <row r="549">
      <c r="A549" s="112"/>
      <c r="B549" s="149"/>
      <c r="C549" s="93"/>
      <c r="D549" s="61"/>
      <c r="E549" s="112"/>
      <c r="F549" s="149"/>
      <c r="G549" s="93"/>
      <c r="H549" s="61"/>
      <c r="I549" s="112"/>
      <c r="J549" s="149"/>
      <c r="K549" s="93"/>
      <c r="L549" s="61"/>
      <c r="M549" s="112"/>
      <c r="N549" s="115"/>
      <c r="O549" s="93"/>
      <c r="P549" s="61"/>
      <c r="Q549" s="180"/>
      <c r="R549" s="115"/>
      <c r="S549" s="93"/>
      <c r="T549" s="61"/>
      <c r="U549" s="180"/>
      <c r="V549" s="115"/>
      <c r="W549" s="93"/>
      <c r="X549" s="61"/>
      <c r="Y549" s="112"/>
      <c r="Z549" s="181"/>
      <c r="AA549" s="182"/>
      <c r="AB549" s="183"/>
      <c r="AC549" s="112"/>
      <c r="AD549" s="115"/>
      <c r="AE549" s="151"/>
      <c r="AF549" s="184"/>
      <c r="AG549" s="188"/>
      <c r="AH549" s="188"/>
      <c r="AI549" s="188"/>
      <c r="AJ549" s="188"/>
      <c r="AK549" s="61"/>
      <c r="AL549" s="61"/>
      <c r="AM549" s="61"/>
      <c r="AN549" s="61"/>
      <c r="AO549" s="61"/>
    </row>
    <row r="550">
      <c r="A550" s="112"/>
      <c r="B550" s="149"/>
      <c r="C550" s="93"/>
      <c r="D550" s="61"/>
      <c r="E550" s="112"/>
      <c r="F550" s="149"/>
      <c r="G550" s="93"/>
      <c r="H550" s="61"/>
      <c r="I550" s="112"/>
      <c r="J550" s="149"/>
      <c r="K550" s="93"/>
      <c r="L550" s="61"/>
      <c r="M550" s="112"/>
      <c r="N550" s="115"/>
      <c r="O550" s="93"/>
      <c r="P550" s="61"/>
      <c r="Q550" s="180"/>
      <c r="R550" s="115"/>
      <c r="S550" s="93"/>
      <c r="T550" s="61"/>
      <c r="U550" s="180"/>
      <c r="V550" s="115"/>
      <c r="W550" s="93"/>
      <c r="X550" s="61"/>
      <c r="Y550" s="112"/>
      <c r="Z550" s="181"/>
      <c r="AA550" s="182"/>
      <c r="AB550" s="183"/>
      <c r="AC550" s="112"/>
      <c r="AD550" s="115"/>
      <c r="AE550" s="151"/>
      <c r="AF550" s="184"/>
      <c r="AG550" s="188"/>
      <c r="AH550" s="188"/>
      <c r="AI550" s="188"/>
      <c r="AJ550" s="188"/>
      <c r="AK550" s="61"/>
      <c r="AL550" s="61"/>
      <c r="AM550" s="61"/>
      <c r="AN550" s="61"/>
      <c r="AO550" s="61"/>
    </row>
    <row r="551">
      <c r="A551" s="112"/>
      <c r="B551" s="149"/>
      <c r="C551" s="93"/>
      <c r="D551" s="61"/>
      <c r="E551" s="112"/>
      <c r="F551" s="149"/>
      <c r="G551" s="93"/>
      <c r="H551" s="61"/>
      <c r="I551" s="112"/>
      <c r="J551" s="149"/>
      <c r="K551" s="93"/>
      <c r="L551" s="61"/>
      <c r="M551" s="112"/>
      <c r="N551" s="115"/>
      <c r="O551" s="93"/>
      <c r="P551" s="61"/>
      <c r="Q551" s="180"/>
      <c r="R551" s="115"/>
      <c r="S551" s="93"/>
      <c r="T551" s="61"/>
      <c r="U551" s="180"/>
      <c r="V551" s="115"/>
      <c r="W551" s="93"/>
      <c r="X551" s="61"/>
      <c r="Y551" s="112"/>
      <c r="Z551" s="181"/>
      <c r="AA551" s="182"/>
      <c r="AB551" s="183"/>
      <c r="AC551" s="112"/>
      <c r="AD551" s="115"/>
      <c r="AE551" s="151"/>
      <c r="AF551" s="184"/>
      <c r="AG551" s="188"/>
      <c r="AH551" s="188"/>
      <c r="AI551" s="188"/>
      <c r="AJ551" s="188"/>
      <c r="AK551" s="61"/>
      <c r="AL551" s="61"/>
      <c r="AM551" s="61"/>
      <c r="AN551" s="61"/>
      <c r="AO551" s="61"/>
    </row>
    <row r="552">
      <c r="A552" s="112"/>
      <c r="B552" s="149"/>
      <c r="C552" s="93"/>
      <c r="D552" s="61"/>
      <c r="E552" s="112"/>
      <c r="F552" s="149"/>
      <c r="G552" s="93"/>
      <c r="H552" s="61"/>
      <c r="I552" s="112"/>
      <c r="J552" s="149"/>
      <c r="K552" s="93"/>
      <c r="L552" s="61"/>
      <c r="M552" s="112"/>
      <c r="N552" s="115"/>
      <c r="O552" s="93"/>
      <c r="P552" s="61"/>
      <c r="Q552" s="180"/>
      <c r="R552" s="115"/>
      <c r="S552" s="93"/>
      <c r="T552" s="61"/>
      <c r="U552" s="180"/>
      <c r="V552" s="115"/>
      <c r="W552" s="93"/>
      <c r="X552" s="61"/>
      <c r="Y552" s="112"/>
      <c r="Z552" s="181"/>
      <c r="AA552" s="182"/>
      <c r="AB552" s="183"/>
      <c r="AC552" s="112"/>
      <c r="AD552" s="115"/>
      <c r="AE552" s="151"/>
      <c r="AF552" s="184"/>
      <c r="AG552" s="188"/>
      <c r="AH552" s="188"/>
      <c r="AI552" s="188"/>
      <c r="AJ552" s="188"/>
      <c r="AK552" s="61"/>
      <c r="AL552" s="61"/>
      <c r="AM552" s="61"/>
      <c r="AN552" s="61"/>
      <c r="AO552" s="61"/>
    </row>
    <row r="553">
      <c r="A553" s="112"/>
      <c r="B553" s="149"/>
      <c r="C553" s="93"/>
      <c r="D553" s="61"/>
      <c r="E553" s="112"/>
      <c r="F553" s="149"/>
      <c r="G553" s="93"/>
      <c r="H553" s="61"/>
      <c r="I553" s="112"/>
      <c r="J553" s="149"/>
      <c r="K553" s="93"/>
      <c r="L553" s="61"/>
      <c r="M553" s="112"/>
      <c r="N553" s="115"/>
      <c r="O553" s="93"/>
      <c r="P553" s="61"/>
      <c r="Q553" s="180"/>
      <c r="R553" s="115"/>
      <c r="S553" s="93"/>
      <c r="T553" s="61"/>
      <c r="U553" s="180"/>
      <c r="V553" s="115"/>
      <c r="W553" s="93"/>
      <c r="X553" s="61"/>
      <c r="Y553" s="112"/>
      <c r="Z553" s="181"/>
      <c r="AA553" s="182"/>
      <c r="AB553" s="183"/>
      <c r="AC553" s="112"/>
      <c r="AD553" s="115"/>
      <c r="AE553" s="151"/>
      <c r="AF553" s="184"/>
      <c r="AG553" s="188"/>
      <c r="AH553" s="188"/>
      <c r="AI553" s="188"/>
      <c r="AJ553" s="188"/>
      <c r="AK553" s="61"/>
      <c r="AL553" s="61"/>
      <c r="AM553" s="61"/>
      <c r="AN553" s="61"/>
      <c r="AO553" s="61"/>
    </row>
    <row r="554">
      <c r="A554" s="112"/>
      <c r="B554" s="149"/>
      <c r="C554" s="93"/>
      <c r="D554" s="61"/>
      <c r="E554" s="112"/>
      <c r="F554" s="149"/>
      <c r="G554" s="93"/>
      <c r="H554" s="61"/>
      <c r="I554" s="112"/>
      <c r="J554" s="149"/>
      <c r="K554" s="93"/>
      <c r="L554" s="61"/>
      <c r="M554" s="112"/>
      <c r="N554" s="115"/>
      <c r="O554" s="93"/>
      <c r="P554" s="61"/>
      <c r="Q554" s="180"/>
      <c r="R554" s="115"/>
      <c r="S554" s="93"/>
      <c r="T554" s="61"/>
      <c r="U554" s="180"/>
      <c r="V554" s="115"/>
      <c r="W554" s="93"/>
      <c r="X554" s="61"/>
      <c r="Y554" s="112"/>
      <c r="Z554" s="181"/>
      <c r="AA554" s="182"/>
      <c r="AB554" s="183"/>
      <c r="AC554" s="112"/>
      <c r="AD554" s="115"/>
      <c r="AE554" s="151"/>
      <c r="AF554" s="184"/>
      <c r="AG554" s="188"/>
      <c r="AH554" s="188"/>
      <c r="AI554" s="188"/>
      <c r="AJ554" s="188"/>
      <c r="AK554" s="61"/>
      <c r="AL554" s="61"/>
      <c r="AM554" s="61"/>
      <c r="AN554" s="61"/>
      <c r="AO554" s="61"/>
    </row>
    <row r="555">
      <c r="A555" s="112"/>
      <c r="B555" s="149"/>
      <c r="C555" s="93"/>
      <c r="D555" s="61"/>
      <c r="E555" s="112"/>
      <c r="F555" s="149"/>
      <c r="G555" s="93"/>
      <c r="H555" s="61"/>
      <c r="I555" s="112"/>
      <c r="J555" s="149"/>
      <c r="K555" s="93"/>
      <c r="L555" s="61"/>
      <c r="M555" s="112"/>
      <c r="N555" s="115"/>
      <c r="O555" s="93"/>
      <c r="P555" s="61"/>
      <c r="Q555" s="180"/>
      <c r="R555" s="115"/>
      <c r="S555" s="93"/>
      <c r="T555" s="61"/>
      <c r="U555" s="180"/>
      <c r="V555" s="115"/>
      <c r="W555" s="93"/>
      <c r="X555" s="61"/>
      <c r="Y555" s="112"/>
      <c r="Z555" s="181"/>
      <c r="AA555" s="182"/>
      <c r="AB555" s="183"/>
      <c r="AC555" s="112"/>
      <c r="AD555" s="115"/>
      <c r="AE555" s="151"/>
      <c r="AF555" s="184"/>
      <c r="AG555" s="188"/>
      <c r="AH555" s="188"/>
      <c r="AI555" s="188"/>
      <c r="AJ555" s="188"/>
      <c r="AK555" s="61"/>
      <c r="AL555" s="61"/>
      <c r="AM555" s="61"/>
      <c r="AN555" s="61"/>
      <c r="AO555" s="61"/>
    </row>
    <row r="556">
      <c r="A556" s="112"/>
      <c r="B556" s="149"/>
      <c r="C556" s="93"/>
      <c r="D556" s="61"/>
      <c r="E556" s="112"/>
      <c r="F556" s="149"/>
      <c r="G556" s="93"/>
      <c r="H556" s="61"/>
      <c r="I556" s="112"/>
      <c r="J556" s="149"/>
      <c r="K556" s="93"/>
      <c r="L556" s="61"/>
      <c r="M556" s="112"/>
      <c r="N556" s="115"/>
      <c r="O556" s="93"/>
      <c r="P556" s="61"/>
      <c r="Q556" s="180"/>
      <c r="R556" s="115"/>
      <c r="S556" s="93"/>
      <c r="T556" s="61"/>
      <c r="U556" s="180"/>
      <c r="V556" s="115"/>
      <c r="W556" s="93"/>
      <c r="X556" s="61"/>
      <c r="Y556" s="112"/>
      <c r="Z556" s="181"/>
      <c r="AA556" s="182"/>
      <c r="AB556" s="183"/>
      <c r="AC556" s="112"/>
      <c r="AD556" s="115"/>
      <c r="AE556" s="151"/>
      <c r="AF556" s="184"/>
      <c r="AG556" s="188"/>
      <c r="AH556" s="188"/>
      <c r="AI556" s="188"/>
      <c r="AJ556" s="188"/>
      <c r="AK556" s="61"/>
      <c r="AL556" s="61"/>
      <c r="AM556" s="61"/>
      <c r="AN556" s="61"/>
      <c r="AO556" s="61"/>
    </row>
    <row r="557">
      <c r="A557" s="112"/>
      <c r="B557" s="149"/>
      <c r="C557" s="93"/>
      <c r="D557" s="61"/>
      <c r="E557" s="112"/>
      <c r="F557" s="149"/>
      <c r="G557" s="93"/>
      <c r="H557" s="61"/>
      <c r="I557" s="112"/>
      <c r="J557" s="149"/>
      <c r="K557" s="93"/>
      <c r="L557" s="61"/>
      <c r="M557" s="112"/>
      <c r="N557" s="115"/>
      <c r="O557" s="93"/>
      <c r="P557" s="61"/>
      <c r="Q557" s="180"/>
      <c r="R557" s="115"/>
      <c r="S557" s="93"/>
      <c r="T557" s="61"/>
      <c r="U557" s="180"/>
      <c r="V557" s="115"/>
      <c r="W557" s="93"/>
      <c r="X557" s="61"/>
      <c r="Y557" s="112"/>
      <c r="Z557" s="181"/>
      <c r="AA557" s="182"/>
      <c r="AB557" s="183"/>
      <c r="AC557" s="112"/>
      <c r="AD557" s="115"/>
      <c r="AE557" s="151"/>
      <c r="AF557" s="184"/>
      <c r="AG557" s="188"/>
      <c r="AH557" s="188"/>
      <c r="AI557" s="188"/>
      <c r="AJ557" s="188"/>
      <c r="AK557" s="61"/>
      <c r="AL557" s="61"/>
      <c r="AM557" s="61"/>
      <c r="AN557" s="61"/>
      <c r="AO557" s="61"/>
    </row>
    <row r="558">
      <c r="A558" s="112"/>
      <c r="B558" s="149"/>
      <c r="C558" s="93"/>
      <c r="D558" s="61"/>
      <c r="E558" s="112"/>
      <c r="F558" s="149"/>
      <c r="G558" s="93"/>
      <c r="H558" s="61"/>
      <c r="I558" s="112"/>
      <c r="J558" s="149"/>
      <c r="K558" s="93"/>
      <c r="L558" s="61"/>
      <c r="M558" s="112"/>
      <c r="N558" s="115"/>
      <c r="O558" s="93"/>
      <c r="P558" s="61"/>
      <c r="Q558" s="180"/>
      <c r="R558" s="115"/>
      <c r="S558" s="93"/>
      <c r="T558" s="61"/>
      <c r="U558" s="180"/>
      <c r="V558" s="115"/>
      <c r="W558" s="93"/>
      <c r="X558" s="61"/>
      <c r="Y558" s="112"/>
      <c r="Z558" s="181"/>
      <c r="AA558" s="182"/>
      <c r="AB558" s="183"/>
      <c r="AC558" s="112"/>
      <c r="AD558" s="115"/>
      <c r="AE558" s="151"/>
      <c r="AF558" s="184"/>
      <c r="AG558" s="188"/>
      <c r="AH558" s="188"/>
      <c r="AI558" s="188"/>
      <c r="AJ558" s="188"/>
      <c r="AK558" s="61"/>
      <c r="AL558" s="61"/>
      <c r="AM558" s="61"/>
      <c r="AN558" s="61"/>
      <c r="AO558" s="61"/>
    </row>
    <row r="559">
      <c r="A559" s="112"/>
      <c r="B559" s="149"/>
      <c r="C559" s="93"/>
      <c r="D559" s="61"/>
      <c r="E559" s="112"/>
      <c r="F559" s="149"/>
      <c r="G559" s="93"/>
      <c r="H559" s="61"/>
      <c r="I559" s="112"/>
      <c r="J559" s="149"/>
      <c r="K559" s="93"/>
      <c r="L559" s="61"/>
      <c r="M559" s="112"/>
      <c r="N559" s="115"/>
      <c r="O559" s="93"/>
      <c r="P559" s="61"/>
      <c r="Q559" s="180"/>
      <c r="R559" s="115"/>
      <c r="S559" s="93"/>
      <c r="T559" s="61"/>
      <c r="U559" s="180"/>
      <c r="V559" s="115"/>
      <c r="W559" s="93"/>
      <c r="X559" s="61"/>
      <c r="Y559" s="112"/>
      <c r="Z559" s="181"/>
      <c r="AA559" s="182"/>
      <c r="AB559" s="183"/>
      <c r="AC559" s="112"/>
      <c r="AD559" s="115"/>
      <c r="AE559" s="151"/>
      <c r="AF559" s="184"/>
      <c r="AG559" s="188"/>
      <c r="AH559" s="188"/>
      <c r="AI559" s="188"/>
      <c r="AJ559" s="188"/>
      <c r="AK559" s="61"/>
      <c r="AL559" s="61"/>
      <c r="AM559" s="61"/>
      <c r="AN559" s="61"/>
      <c r="AO559" s="61"/>
    </row>
    <row r="560">
      <c r="A560" s="112"/>
      <c r="B560" s="149"/>
      <c r="C560" s="93"/>
      <c r="D560" s="61"/>
      <c r="E560" s="112"/>
      <c r="F560" s="149"/>
      <c r="G560" s="93"/>
      <c r="H560" s="61"/>
      <c r="I560" s="112"/>
      <c r="J560" s="149"/>
      <c r="K560" s="93"/>
      <c r="L560" s="61"/>
      <c r="M560" s="112"/>
      <c r="N560" s="115"/>
      <c r="O560" s="93"/>
      <c r="P560" s="61"/>
      <c r="Q560" s="180"/>
      <c r="R560" s="115"/>
      <c r="S560" s="93"/>
      <c r="T560" s="61"/>
      <c r="U560" s="180"/>
      <c r="V560" s="115"/>
      <c r="W560" s="93"/>
      <c r="X560" s="61"/>
      <c r="Y560" s="112"/>
      <c r="Z560" s="181"/>
      <c r="AA560" s="182"/>
      <c r="AB560" s="183"/>
      <c r="AC560" s="112"/>
      <c r="AD560" s="115"/>
      <c r="AE560" s="151"/>
      <c r="AF560" s="184"/>
      <c r="AG560" s="188"/>
      <c r="AH560" s="188"/>
      <c r="AI560" s="188"/>
      <c r="AJ560" s="188"/>
      <c r="AK560" s="61"/>
      <c r="AL560" s="61"/>
      <c r="AM560" s="61"/>
      <c r="AN560" s="61"/>
      <c r="AO560" s="61"/>
    </row>
    <row r="561">
      <c r="A561" s="112"/>
      <c r="B561" s="149"/>
      <c r="C561" s="93"/>
      <c r="D561" s="61"/>
      <c r="E561" s="112"/>
      <c r="F561" s="149"/>
      <c r="G561" s="93"/>
      <c r="H561" s="61"/>
      <c r="I561" s="112"/>
      <c r="J561" s="149"/>
      <c r="K561" s="93"/>
      <c r="L561" s="61"/>
      <c r="M561" s="112"/>
      <c r="N561" s="115"/>
      <c r="O561" s="93"/>
      <c r="P561" s="61"/>
      <c r="Q561" s="180"/>
      <c r="R561" s="115"/>
      <c r="S561" s="93"/>
      <c r="T561" s="61"/>
      <c r="U561" s="180"/>
      <c r="V561" s="115"/>
      <c r="W561" s="93"/>
      <c r="X561" s="61"/>
      <c r="Y561" s="112"/>
      <c r="Z561" s="181"/>
      <c r="AA561" s="182"/>
      <c r="AB561" s="183"/>
      <c r="AC561" s="112"/>
      <c r="AD561" s="115"/>
      <c r="AE561" s="151"/>
      <c r="AF561" s="184"/>
      <c r="AG561" s="188"/>
      <c r="AH561" s="188"/>
      <c r="AI561" s="188"/>
      <c r="AJ561" s="188"/>
      <c r="AK561" s="61"/>
      <c r="AL561" s="61"/>
      <c r="AM561" s="61"/>
      <c r="AN561" s="61"/>
      <c r="AO561" s="61"/>
    </row>
    <row r="562">
      <c r="A562" s="112"/>
      <c r="B562" s="149"/>
      <c r="C562" s="93"/>
      <c r="D562" s="61"/>
      <c r="E562" s="112"/>
      <c r="F562" s="149"/>
      <c r="G562" s="93"/>
      <c r="H562" s="61"/>
      <c r="I562" s="112"/>
      <c r="J562" s="149"/>
      <c r="K562" s="93"/>
      <c r="L562" s="61"/>
      <c r="M562" s="112"/>
      <c r="N562" s="115"/>
      <c r="O562" s="93"/>
      <c r="P562" s="61"/>
      <c r="Q562" s="180"/>
      <c r="R562" s="115"/>
      <c r="S562" s="93"/>
      <c r="T562" s="61"/>
      <c r="U562" s="180"/>
      <c r="V562" s="115"/>
      <c r="W562" s="93"/>
      <c r="X562" s="61"/>
      <c r="Y562" s="112"/>
      <c r="Z562" s="181"/>
      <c r="AA562" s="182"/>
      <c r="AB562" s="183"/>
      <c r="AC562" s="112"/>
      <c r="AD562" s="115"/>
      <c r="AE562" s="151"/>
      <c r="AF562" s="184"/>
      <c r="AG562" s="188"/>
      <c r="AH562" s="188"/>
      <c r="AI562" s="188"/>
      <c r="AJ562" s="188"/>
      <c r="AK562" s="61"/>
      <c r="AL562" s="61"/>
      <c r="AM562" s="61"/>
      <c r="AN562" s="61"/>
      <c r="AO562" s="61"/>
    </row>
    <row r="563">
      <c r="A563" s="112"/>
      <c r="B563" s="149"/>
      <c r="C563" s="93"/>
      <c r="D563" s="61"/>
      <c r="E563" s="112"/>
      <c r="F563" s="149"/>
      <c r="G563" s="93"/>
      <c r="H563" s="61"/>
      <c r="I563" s="112"/>
      <c r="J563" s="149"/>
      <c r="K563" s="93"/>
      <c r="L563" s="61"/>
      <c r="M563" s="112"/>
      <c r="N563" s="115"/>
      <c r="O563" s="93"/>
      <c r="P563" s="61"/>
      <c r="Q563" s="180"/>
      <c r="R563" s="115"/>
      <c r="S563" s="93"/>
      <c r="T563" s="61"/>
      <c r="U563" s="180"/>
      <c r="V563" s="115"/>
      <c r="W563" s="93"/>
      <c r="X563" s="61"/>
      <c r="Y563" s="112"/>
      <c r="Z563" s="181"/>
      <c r="AA563" s="182"/>
      <c r="AB563" s="183"/>
      <c r="AC563" s="112"/>
      <c r="AD563" s="115"/>
      <c r="AE563" s="151"/>
      <c r="AF563" s="184"/>
      <c r="AG563" s="188"/>
      <c r="AH563" s="188"/>
      <c r="AI563" s="188"/>
      <c r="AJ563" s="188"/>
      <c r="AK563" s="61"/>
      <c r="AL563" s="61"/>
      <c r="AM563" s="61"/>
      <c r="AN563" s="61"/>
      <c r="AO563" s="61"/>
    </row>
    <row r="564">
      <c r="A564" s="112"/>
      <c r="B564" s="149"/>
      <c r="C564" s="93"/>
      <c r="D564" s="61"/>
      <c r="E564" s="112"/>
      <c r="F564" s="149"/>
      <c r="G564" s="93"/>
      <c r="H564" s="61"/>
      <c r="I564" s="112"/>
      <c r="J564" s="149"/>
      <c r="K564" s="93"/>
      <c r="L564" s="61"/>
      <c r="M564" s="112"/>
      <c r="N564" s="115"/>
      <c r="O564" s="93"/>
      <c r="P564" s="61"/>
      <c r="Q564" s="180"/>
      <c r="R564" s="115"/>
      <c r="S564" s="93"/>
      <c r="T564" s="61"/>
      <c r="U564" s="180"/>
      <c r="V564" s="115"/>
      <c r="W564" s="93"/>
      <c r="X564" s="61"/>
      <c r="Y564" s="112"/>
      <c r="Z564" s="181"/>
      <c r="AA564" s="182"/>
      <c r="AB564" s="183"/>
      <c r="AC564" s="112"/>
      <c r="AD564" s="115"/>
      <c r="AE564" s="151"/>
      <c r="AF564" s="184"/>
      <c r="AG564" s="188"/>
      <c r="AH564" s="188"/>
      <c r="AI564" s="188"/>
      <c r="AJ564" s="188"/>
      <c r="AK564" s="61"/>
      <c r="AL564" s="61"/>
      <c r="AM564" s="61"/>
      <c r="AN564" s="61"/>
      <c r="AO564" s="61"/>
    </row>
    <row r="565">
      <c r="A565" s="112"/>
      <c r="B565" s="149"/>
      <c r="C565" s="93"/>
      <c r="D565" s="61"/>
      <c r="E565" s="112"/>
      <c r="F565" s="149"/>
      <c r="G565" s="93"/>
      <c r="H565" s="61"/>
      <c r="I565" s="112"/>
      <c r="J565" s="149"/>
      <c r="K565" s="93"/>
      <c r="L565" s="61"/>
      <c r="M565" s="112"/>
      <c r="N565" s="115"/>
      <c r="O565" s="93"/>
      <c r="P565" s="61"/>
      <c r="Q565" s="180"/>
      <c r="R565" s="115"/>
      <c r="S565" s="93"/>
      <c r="T565" s="61"/>
      <c r="U565" s="180"/>
      <c r="V565" s="115"/>
      <c r="W565" s="93"/>
      <c r="X565" s="61"/>
      <c r="Y565" s="112"/>
      <c r="Z565" s="181"/>
      <c r="AA565" s="182"/>
      <c r="AB565" s="183"/>
      <c r="AC565" s="112"/>
      <c r="AD565" s="115"/>
      <c r="AE565" s="151"/>
      <c r="AF565" s="184"/>
      <c r="AG565" s="188"/>
      <c r="AH565" s="188"/>
      <c r="AI565" s="188"/>
      <c r="AJ565" s="188"/>
      <c r="AK565" s="61"/>
      <c r="AL565" s="61"/>
      <c r="AM565" s="61"/>
      <c r="AN565" s="61"/>
      <c r="AO565" s="61"/>
    </row>
    <row r="566">
      <c r="A566" s="112"/>
      <c r="B566" s="149"/>
      <c r="C566" s="93"/>
      <c r="D566" s="61"/>
      <c r="E566" s="112"/>
      <c r="F566" s="149"/>
      <c r="G566" s="93"/>
      <c r="H566" s="61"/>
      <c r="I566" s="112"/>
      <c r="J566" s="149"/>
      <c r="K566" s="93"/>
      <c r="L566" s="61"/>
      <c r="M566" s="112"/>
      <c r="N566" s="115"/>
      <c r="O566" s="93"/>
      <c r="P566" s="61"/>
      <c r="Q566" s="180"/>
      <c r="R566" s="115"/>
      <c r="S566" s="93"/>
      <c r="T566" s="61"/>
      <c r="U566" s="180"/>
      <c r="V566" s="115"/>
      <c r="W566" s="93"/>
      <c r="X566" s="61"/>
      <c r="Y566" s="112"/>
      <c r="Z566" s="181"/>
      <c r="AA566" s="182"/>
      <c r="AB566" s="183"/>
      <c r="AC566" s="112"/>
      <c r="AD566" s="115"/>
      <c r="AE566" s="151"/>
      <c r="AF566" s="184"/>
      <c r="AG566" s="188"/>
      <c r="AH566" s="188"/>
      <c r="AI566" s="188"/>
      <c r="AJ566" s="188"/>
      <c r="AK566" s="61"/>
      <c r="AL566" s="61"/>
      <c r="AM566" s="61"/>
      <c r="AN566" s="61"/>
      <c r="AO566" s="61"/>
    </row>
    <row r="567">
      <c r="A567" s="112"/>
      <c r="B567" s="149"/>
      <c r="C567" s="93"/>
      <c r="D567" s="61"/>
      <c r="E567" s="112"/>
      <c r="F567" s="149"/>
      <c r="G567" s="93"/>
      <c r="H567" s="61"/>
      <c r="I567" s="112"/>
      <c r="J567" s="149"/>
      <c r="K567" s="93"/>
      <c r="L567" s="61"/>
      <c r="M567" s="112"/>
      <c r="N567" s="115"/>
      <c r="O567" s="93"/>
      <c r="P567" s="61"/>
      <c r="Q567" s="180"/>
      <c r="R567" s="115"/>
      <c r="S567" s="93"/>
      <c r="T567" s="61"/>
      <c r="U567" s="180"/>
      <c r="V567" s="115"/>
      <c r="W567" s="93"/>
      <c r="X567" s="61"/>
      <c r="Y567" s="112"/>
      <c r="Z567" s="181"/>
      <c r="AA567" s="182"/>
      <c r="AB567" s="183"/>
      <c r="AC567" s="112"/>
      <c r="AD567" s="115"/>
      <c r="AE567" s="151"/>
      <c r="AF567" s="184"/>
      <c r="AG567" s="188"/>
      <c r="AH567" s="188"/>
      <c r="AI567" s="188"/>
      <c r="AJ567" s="188"/>
      <c r="AK567" s="61"/>
      <c r="AL567" s="61"/>
      <c r="AM567" s="61"/>
      <c r="AN567" s="61"/>
      <c r="AO567" s="61"/>
    </row>
    <row r="568">
      <c r="A568" s="112"/>
      <c r="B568" s="149"/>
      <c r="C568" s="93"/>
      <c r="D568" s="61"/>
      <c r="E568" s="112"/>
      <c r="F568" s="149"/>
      <c r="G568" s="93"/>
      <c r="H568" s="61"/>
      <c r="I568" s="112"/>
      <c r="J568" s="149"/>
      <c r="K568" s="93"/>
      <c r="L568" s="61"/>
      <c r="M568" s="112"/>
      <c r="N568" s="115"/>
      <c r="O568" s="93"/>
      <c r="P568" s="61"/>
      <c r="Q568" s="180"/>
      <c r="R568" s="115"/>
      <c r="S568" s="93"/>
      <c r="T568" s="61"/>
      <c r="U568" s="180"/>
      <c r="V568" s="115"/>
      <c r="W568" s="93"/>
      <c r="X568" s="61"/>
      <c r="Y568" s="112"/>
      <c r="Z568" s="181"/>
      <c r="AA568" s="182"/>
      <c r="AB568" s="183"/>
      <c r="AC568" s="112"/>
      <c r="AD568" s="115"/>
      <c r="AE568" s="151"/>
      <c r="AF568" s="184"/>
      <c r="AG568" s="188"/>
      <c r="AH568" s="188"/>
      <c r="AI568" s="188"/>
      <c r="AJ568" s="188"/>
      <c r="AK568" s="61"/>
      <c r="AL568" s="61"/>
      <c r="AM568" s="61"/>
      <c r="AN568" s="61"/>
      <c r="AO568" s="61"/>
    </row>
    <row r="569">
      <c r="A569" s="112"/>
      <c r="B569" s="149"/>
      <c r="C569" s="93"/>
      <c r="D569" s="61"/>
      <c r="E569" s="112"/>
      <c r="F569" s="149"/>
      <c r="G569" s="93"/>
      <c r="H569" s="61"/>
      <c r="I569" s="112"/>
      <c r="J569" s="149"/>
      <c r="K569" s="93"/>
      <c r="L569" s="61"/>
      <c r="M569" s="112"/>
      <c r="N569" s="115"/>
      <c r="O569" s="93"/>
      <c r="P569" s="61"/>
      <c r="Q569" s="180"/>
      <c r="R569" s="115"/>
      <c r="S569" s="93"/>
      <c r="T569" s="61"/>
      <c r="U569" s="180"/>
      <c r="V569" s="115"/>
      <c r="W569" s="93"/>
      <c r="X569" s="61"/>
      <c r="Y569" s="112"/>
      <c r="Z569" s="181"/>
      <c r="AA569" s="182"/>
      <c r="AB569" s="183"/>
      <c r="AC569" s="112"/>
      <c r="AD569" s="115"/>
      <c r="AE569" s="151"/>
      <c r="AF569" s="184"/>
      <c r="AG569" s="188"/>
      <c r="AH569" s="188"/>
      <c r="AI569" s="188"/>
      <c r="AJ569" s="188"/>
      <c r="AK569" s="61"/>
      <c r="AL569" s="61"/>
      <c r="AM569" s="61"/>
      <c r="AN569" s="61"/>
      <c r="AO569" s="61"/>
    </row>
    <row r="570">
      <c r="A570" s="112"/>
      <c r="B570" s="149"/>
      <c r="C570" s="93"/>
      <c r="D570" s="61"/>
      <c r="E570" s="112"/>
      <c r="F570" s="149"/>
      <c r="G570" s="93"/>
      <c r="H570" s="61"/>
      <c r="I570" s="112"/>
      <c r="J570" s="149"/>
      <c r="K570" s="93"/>
      <c r="L570" s="61"/>
      <c r="M570" s="112"/>
      <c r="N570" s="115"/>
      <c r="O570" s="93"/>
      <c r="P570" s="61"/>
      <c r="Q570" s="180"/>
      <c r="R570" s="115"/>
      <c r="S570" s="93"/>
      <c r="T570" s="61"/>
      <c r="U570" s="180"/>
      <c r="V570" s="115"/>
      <c r="W570" s="93"/>
      <c r="X570" s="61"/>
      <c r="Y570" s="112"/>
      <c r="Z570" s="181"/>
      <c r="AA570" s="182"/>
      <c r="AB570" s="183"/>
      <c r="AC570" s="112"/>
      <c r="AD570" s="115"/>
      <c r="AE570" s="151"/>
      <c r="AF570" s="184"/>
      <c r="AG570" s="188"/>
      <c r="AH570" s="188"/>
      <c r="AI570" s="188"/>
      <c r="AJ570" s="188"/>
      <c r="AK570" s="61"/>
      <c r="AL570" s="61"/>
      <c r="AM570" s="61"/>
      <c r="AN570" s="61"/>
      <c r="AO570" s="61"/>
    </row>
    <row r="571">
      <c r="A571" s="112"/>
      <c r="B571" s="149"/>
      <c r="C571" s="93"/>
      <c r="D571" s="61"/>
      <c r="E571" s="112"/>
      <c r="F571" s="149"/>
      <c r="G571" s="93"/>
      <c r="H571" s="61"/>
      <c r="I571" s="112"/>
      <c r="J571" s="149"/>
      <c r="K571" s="93"/>
      <c r="L571" s="61"/>
      <c r="M571" s="112"/>
      <c r="N571" s="115"/>
      <c r="O571" s="93"/>
      <c r="P571" s="61"/>
      <c r="Q571" s="180"/>
      <c r="R571" s="115"/>
      <c r="S571" s="93"/>
      <c r="T571" s="61"/>
      <c r="U571" s="180"/>
      <c r="V571" s="115"/>
      <c r="W571" s="93"/>
      <c r="X571" s="61"/>
      <c r="Y571" s="112"/>
      <c r="Z571" s="181"/>
      <c r="AA571" s="182"/>
      <c r="AB571" s="183"/>
      <c r="AC571" s="112"/>
      <c r="AD571" s="115"/>
      <c r="AE571" s="151"/>
      <c r="AF571" s="184"/>
      <c r="AG571" s="188"/>
      <c r="AH571" s="188"/>
      <c r="AI571" s="188"/>
      <c r="AJ571" s="188"/>
      <c r="AK571" s="61"/>
      <c r="AL571" s="61"/>
      <c r="AM571" s="61"/>
      <c r="AN571" s="61"/>
      <c r="AO571" s="61"/>
    </row>
    <row r="572">
      <c r="A572" s="112"/>
      <c r="B572" s="149"/>
      <c r="C572" s="93"/>
      <c r="D572" s="61"/>
      <c r="E572" s="112"/>
      <c r="F572" s="149"/>
      <c r="G572" s="93"/>
      <c r="H572" s="61"/>
      <c r="I572" s="112"/>
      <c r="J572" s="149"/>
      <c r="K572" s="93"/>
      <c r="L572" s="61"/>
      <c r="M572" s="112"/>
      <c r="N572" s="115"/>
      <c r="O572" s="93"/>
      <c r="P572" s="61"/>
      <c r="Q572" s="180"/>
      <c r="R572" s="115"/>
      <c r="S572" s="93"/>
      <c r="T572" s="61"/>
      <c r="U572" s="180"/>
      <c r="V572" s="115"/>
      <c r="W572" s="93"/>
      <c r="X572" s="61"/>
      <c r="Y572" s="112"/>
      <c r="Z572" s="181"/>
      <c r="AA572" s="182"/>
      <c r="AB572" s="183"/>
      <c r="AC572" s="112"/>
      <c r="AD572" s="115"/>
      <c r="AE572" s="151"/>
      <c r="AF572" s="184"/>
      <c r="AG572" s="188"/>
      <c r="AH572" s="188"/>
      <c r="AI572" s="188"/>
      <c r="AJ572" s="188"/>
      <c r="AK572" s="61"/>
      <c r="AL572" s="61"/>
      <c r="AM572" s="61"/>
      <c r="AN572" s="61"/>
      <c r="AO572" s="61"/>
    </row>
    <row r="573">
      <c r="A573" s="112"/>
      <c r="B573" s="149"/>
      <c r="C573" s="93"/>
      <c r="D573" s="61"/>
      <c r="E573" s="112"/>
      <c r="F573" s="149"/>
      <c r="G573" s="93"/>
      <c r="H573" s="61"/>
      <c r="I573" s="112"/>
      <c r="J573" s="149"/>
      <c r="K573" s="93"/>
      <c r="L573" s="61"/>
      <c r="M573" s="112"/>
      <c r="N573" s="115"/>
      <c r="O573" s="93"/>
      <c r="P573" s="61"/>
      <c r="Q573" s="180"/>
      <c r="R573" s="115"/>
      <c r="S573" s="93"/>
      <c r="T573" s="61"/>
      <c r="U573" s="180"/>
      <c r="V573" s="115"/>
      <c r="W573" s="93"/>
      <c r="X573" s="61"/>
      <c r="Y573" s="112"/>
      <c r="Z573" s="181"/>
      <c r="AA573" s="182"/>
      <c r="AB573" s="183"/>
      <c r="AC573" s="112"/>
      <c r="AD573" s="115"/>
      <c r="AE573" s="151"/>
      <c r="AF573" s="184"/>
      <c r="AG573" s="188"/>
      <c r="AH573" s="188"/>
      <c r="AI573" s="188"/>
      <c r="AJ573" s="188"/>
      <c r="AK573" s="61"/>
      <c r="AL573" s="61"/>
      <c r="AM573" s="61"/>
      <c r="AN573" s="61"/>
      <c r="AO573" s="61"/>
    </row>
    <row r="574">
      <c r="A574" s="112"/>
      <c r="B574" s="149"/>
      <c r="C574" s="93"/>
      <c r="D574" s="61"/>
      <c r="E574" s="112"/>
      <c r="F574" s="149"/>
      <c r="G574" s="93"/>
      <c r="H574" s="61"/>
      <c r="I574" s="112"/>
      <c r="J574" s="149"/>
      <c r="K574" s="93"/>
      <c r="L574" s="61"/>
      <c r="M574" s="112"/>
      <c r="N574" s="115"/>
      <c r="O574" s="93"/>
      <c r="P574" s="61"/>
      <c r="Q574" s="180"/>
      <c r="R574" s="115"/>
      <c r="S574" s="93"/>
      <c r="T574" s="61"/>
      <c r="U574" s="180"/>
      <c r="V574" s="115"/>
      <c r="W574" s="93"/>
      <c r="X574" s="61"/>
      <c r="Y574" s="112"/>
      <c r="Z574" s="181"/>
      <c r="AA574" s="182"/>
      <c r="AB574" s="183"/>
      <c r="AC574" s="112"/>
      <c r="AD574" s="115"/>
      <c r="AE574" s="151"/>
      <c r="AF574" s="184"/>
      <c r="AG574" s="188"/>
      <c r="AH574" s="188"/>
      <c r="AI574" s="188"/>
      <c r="AJ574" s="188"/>
      <c r="AK574" s="61"/>
      <c r="AL574" s="61"/>
      <c r="AM574" s="61"/>
      <c r="AN574" s="61"/>
      <c r="AO574" s="61"/>
    </row>
    <row r="575">
      <c r="A575" s="112"/>
      <c r="B575" s="149"/>
      <c r="C575" s="93"/>
      <c r="D575" s="61"/>
      <c r="E575" s="112"/>
      <c r="F575" s="149"/>
      <c r="G575" s="93"/>
      <c r="H575" s="61"/>
      <c r="I575" s="112"/>
      <c r="J575" s="149"/>
      <c r="K575" s="93"/>
      <c r="L575" s="61"/>
      <c r="M575" s="112"/>
      <c r="N575" s="115"/>
      <c r="O575" s="93"/>
      <c r="P575" s="61"/>
      <c r="Q575" s="180"/>
      <c r="R575" s="115"/>
      <c r="S575" s="93"/>
      <c r="T575" s="61"/>
      <c r="U575" s="180"/>
      <c r="V575" s="115"/>
      <c r="W575" s="93"/>
      <c r="X575" s="61"/>
      <c r="Y575" s="112"/>
      <c r="Z575" s="181"/>
      <c r="AA575" s="182"/>
      <c r="AB575" s="183"/>
      <c r="AC575" s="112"/>
      <c r="AD575" s="115"/>
      <c r="AE575" s="151"/>
      <c r="AF575" s="184"/>
      <c r="AG575" s="188"/>
      <c r="AH575" s="188"/>
      <c r="AI575" s="188"/>
      <c r="AJ575" s="188"/>
      <c r="AK575" s="61"/>
      <c r="AL575" s="61"/>
      <c r="AM575" s="61"/>
      <c r="AN575" s="61"/>
      <c r="AO575" s="61"/>
    </row>
    <row r="576">
      <c r="A576" s="112"/>
      <c r="B576" s="149"/>
      <c r="C576" s="93"/>
      <c r="D576" s="61"/>
      <c r="E576" s="112"/>
      <c r="F576" s="149"/>
      <c r="G576" s="93"/>
      <c r="H576" s="61"/>
      <c r="I576" s="112"/>
      <c r="J576" s="149"/>
      <c r="K576" s="93"/>
      <c r="L576" s="61"/>
      <c r="M576" s="112"/>
      <c r="N576" s="115"/>
      <c r="O576" s="93"/>
      <c r="P576" s="61"/>
      <c r="Q576" s="180"/>
      <c r="R576" s="115"/>
      <c r="S576" s="93"/>
      <c r="T576" s="61"/>
      <c r="U576" s="180"/>
      <c r="V576" s="115"/>
      <c r="W576" s="93"/>
      <c r="X576" s="61"/>
      <c r="Y576" s="112"/>
      <c r="Z576" s="181"/>
      <c r="AA576" s="182"/>
      <c r="AB576" s="183"/>
      <c r="AC576" s="112"/>
      <c r="AD576" s="115"/>
      <c r="AE576" s="151"/>
      <c r="AF576" s="184"/>
      <c r="AG576" s="188"/>
      <c r="AH576" s="188"/>
      <c r="AI576" s="188"/>
      <c r="AJ576" s="188"/>
      <c r="AK576" s="61"/>
      <c r="AL576" s="61"/>
      <c r="AM576" s="61"/>
      <c r="AN576" s="61"/>
      <c r="AO576" s="61"/>
    </row>
    <row r="577">
      <c r="A577" s="112"/>
      <c r="B577" s="149"/>
      <c r="C577" s="93"/>
      <c r="D577" s="61"/>
      <c r="E577" s="112"/>
      <c r="F577" s="149"/>
      <c r="G577" s="93"/>
      <c r="H577" s="61"/>
      <c r="I577" s="112"/>
      <c r="J577" s="149"/>
      <c r="K577" s="93"/>
      <c r="L577" s="61"/>
      <c r="M577" s="112"/>
      <c r="N577" s="115"/>
      <c r="O577" s="93"/>
      <c r="P577" s="61"/>
      <c r="Q577" s="180"/>
      <c r="R577" s="115"/>
      <c r="S577" s="93"/>
      <c r="T577" s="61"/>
      <c r="U577" s="180"/>
      <c r="V577" s="115"/>
      <c r="W577" s="93"/>
      <c r="X577" s="61"/>
      <c r="Y577" s="112"/>
      <c r="Z577" s="181"/>
      <c r="AA577" s="182"/>
      <c r="AB577" s="183"/>
      <c r="AC577" s="112"/>
      <c r="AD577" s="115"/>
      <c r="AE577" s="151"/>
      <c r="AF577" s="184"/>
      <c r="AG577" s="188"/>
      <c r="AH577" s="188"/>
      <c r="AI577" s="188"/>
      <c r="AJ577" s="188"/>
      <c r="AK577" s="61"/>
      <c r="AL577" s="61"/>
      <c r="AM577" s="61"/>
      <c r="AN577" s="61"/>
      <c r="AO577" s="61"/>
    </row>
    <row r="578">
      <c r="A578" s="112"/>
      <c r="B578" s="149"/>
      <c r="C578" s="93"/>
      <c r="D578" s="61"/>
      <c r="E578" s="112"/>
      <c r="F578" s="149"/>
      <c r="G578" s="93"/>
      <c r="H578" s="61"/>
      <c r="I578" s="112"/>
      <c r="J578" s="149"/>
      <c r="K578" s="93"/>
      <c r="L578" s="61"/>
      <c r="M578" s="112"/>
      <c r="N578" s="115"/>
      <c r="O578" s="93"/>
      <c r="P578" s="61"/>
      <c r="Q578" s="180"/>
      <c r="R578" s="115"/>
      <c r="S578" s="93"/>
      <c r="T578" s="61"/>
      <c r="U578" s="180"/>
      <c r="V578" s="115"/>
      <c r="W578" s="93"/>
      <c r="X578" s="61"/>
      <c r="Y578" s="112"/>
      <c r="Z578" s="181"/>
      <c r="AA578" s="182"/>
      <c r="AB578" s="183"/>
      <c r="AC578" s="112"/>
      <c r="AD578" s="115"/>
      <c r="AE578" s="151"/>
      <c r="AF578" s="184"/>
      <c r="AG578" s="188"/>
      <c r="AH578" s="188"/>
      <c r="AI578" s="188"/>
      <c r="AJ578" s="188"/>
      <c r="AK578" s="61"/>
      <c r="AL578" s="61"/>
      <c r="AM578" s="61"/>
      <c r="AN578" s="61"/>
      <c r="AO578" s="61"/>
    </row>
    <row r="579">
      <c r="A579" s="112"/>
      <c r="B579" s="149"/>
      <c r="C579" s="93"/>
      <c r="D579" s="61"/>
      <c r="E579" s="112"/>
      <c r="F579" s="149"/>
      <c r="G579" s="93"/>
      <c r="H579" s="61"/>
      <c r="I579" s="112"/>
      <c r="J579" s="149"/>
      <c r="K579" s="93"/>
      <c r="L579" s="61"/>
      <c r="M579" s="112"/>
      <c r="N579" s="115"/>
      <c r="O579" s="93"/>
      <c r="P579" s="61"/>
      <c r="Q579" s="180"/>
      <c r="R579" s="115"/>
      <c r="S579" s="93"/>
      <c r="T579" s="61"/>
      <c r="U579" s="180"/>
      <c r="V579" s="115"/>
      <c r="W579" s="93"/>
      <c r="X579" s="61"/>
      <c r="Y579" s="112"/>
      <c r="Z579" s="181"/>
      <c r="AA579" s="182"/>
      <c r="AB579" s="183"/>
      <c r="AC579" s="112"/>
      <c r="AD579" s="115"/>
      <c r="AE579" s="151"/>
      <c r="AF579" s="184"/>
      <c r="AG579" s="188"/>
      <c r="AH579" s="188"/>
      <c r="AI579" s="188"/>
      <c r="AJ579" s="188"/>
      <c r="AK579" s="61"/>
      <c r="AL579" s="61"/>
      <c r="AM579" s="61"/>
      <c r="AN579" s="61"/>
      <c r="AO579" s="61"/>
    </row>
    <row r="580">
      <c r="A580" s="112"/>
      <c r="B580" s="149"/>
      <c r="C580" s="93"/>
      <c r="D580" s="61"/>
      <c r="E580" s="112"/>
      <c r="F580" s="149"/>
      <c r="G580" s="93"/>
      <c r="H580" s="61"/>
      <c r="I580" s="112"/>
      <c r="J580" s="149"/>
      <c r="K580" s="93"/>
      <c r="L580" s="61"/>
      <c r="M580" s="112"/>
      <c r="N580" s="115"/>
      <c r="O580" s="93"/>
      <c r="P580" s="61"/>
      <c r="Q580" s="180"/>
      <c r="R580" s="115"/>
      <c r="S580" s="93"/>
      <c r="T580" s="61"/>
      <c r="U580" s="180"/>
      <c r="V580" s="115"/>
      <c r="W580" s="93"/>
      <c r="X580" s="61"/>
      <c r="Y580" s="112"/>
      <c r="Z580" s="181"/>
      <c r="AA580" s="182"/>
      <c r="AB580" s="183"/>
      <c r="AC580" s="112"/>
      <c r="AD580" s="115"/>
      <c r="AE580" s="151"/>
      <c r="AF580" s="184"/>
      <c r="AG580" s="188"/>
      <c r="AH580" s="188"/>
      <c r="AI580" s="188"/>
      <c r="AJ580" s="188"/>
      <c r="AK580" s="61"/>
      <c r="AL580" s="61"/>
      <c r="AM580" s="61"/>
      <c r="AN580" s="61"/>
      <c r="AO580" s="61"/>
    </row>
    <row r="581">
      <c r="A581" s="112"/>
      <c r="B581" s="149"/>
      <c r="C581" s="93"/>
      <c r="D581" s="61"/>
      <c r="E581" s="112"/>
      <c r="F581" s="149"/>
      <c r="G581" s="93"/>
      <c r="H581" s="61"/>
      <c r="I581" s="112"/>
      <c r="J581" s="149"/>
      <c r="K581" s="93"/>
      <c r="L581" s="61"/>
      <c r="M581" s="112"/>
      <c r="N581" s="115"/>
      <c r="O581" s="93"/>
      <c r="P581" s="61"/>
      <c r="Q581" s="180"/>
      <c r="R581" s="115"/>
      <c r="S581" s="93"/>
      <c r="T581" s="61"/>
      <c r="U581" s="180"/>
      <c r="V581" s="115"/>
      <c r="W581" s="93"/>
      <c r="X581" s="61"/>
      <c r="Y581" s="112"/>
      <c r="Z581" s="181"/>
      <c r="AA581" s="182"/>
      <c r="AB581" s="183"/>
      <c r="AC581" s="112"/>
      <c r="AD581" s="115"/>
      <c r="AE581" s="151"/>
      <c r="AF581" s="184"/>
      <c r="AG581" s="188"/>
      <c r="AH581" s="188"/>
      <c r="AI581" s="188"/>
      <c r="AJ581" s="188"/>
      <c r="AK581" s="61"/>
      <c r="AL581" s="61"/>
      <c r="AM581" s="61"/>
      <c r="AN581" s="61"/>
      <c r="AO581" s="61"/>
    </row>
    <row r="582">
      <c r="A582" s="112"/>
      <c r="B582" s="149"/>
      <c r="C582" s="93"/>
      <c r="D582" s="61"/>
      <c r="E582" s="112"/>
      <c r="F582" s="149"/>
      <c r="G582" s="93"/>
      <c r="H582" s="61"/>
      <c r="I582" s="112"/>
      <c r="J582" s="149"/>
      <c r="K582" s="93"/>
      <c r="L582" s="61"/>
      <c r="M582" s="112"/>
      <c r="N582" s="115"/>
      <c r="O582" s="93"/>
      <c r="P582" s="61"/>
      <c r="Q582" s="180"/>
      <c r="R582" s="115"/>
      <c r="S582" s="93"/>
      <c r="T582" s="61"/>
      <c r="U582" s="180"/>
      <c r="V582" s="115"/>
      <c r="W582" s="93"/>
      <c r="X582" s="61"/>
      <c r="Y582" s="112"/>
      <c r="Z582" s="181"/>
      <c r="AA582" s="182"/>
      <c r="AB582" s="183"/>
      <c r="AC582" s="112"/>
      <c r="AD582" s="115"/>
      <c r="AE582" s="151"/>
      <c r="AF582" s="184"/>
      <c r="AG582" s="188"/>
      <c r="AH582" s="188"/>
      <c r="AI582" s="188"/>
      <c r="AJ582" s="188"/>
      <c r="AK582" s="61"/>
      <c r="AL582" s="61"/>
      <c r="AM582" s="61"/>
      <c r="AN582" s="61"/>
      <c r="AO582" s="61"/>
    </row>
    <row r="583">
      <c r="A583" s="112"/>
      <c r="B583" s="149"/>
      <c r="C583" s="93"/>
      <c r="D583" s="61"/>
      <c r="E583" s="112"/>
      <c r="F583" s="149"/>
      <c r="G583" s="93"/>
      <c r="H583" s="61"/>
      <c r="I583" s="112"/>
      <c r="J583" s="149"/>
      <c r="K583" s="93"/>
      <c r="L583" s="61"/>
      <c r="M583" s="112"/>
      <c r="N583" s="115"/>
      <c r="O583" s="93"/>
      <c r="P583" s="61"/>
      <c r="Q583" s="180"/>
      <c r="R583" s="115"/>
      <c r="S583" s="93"/>
      <c r="T583" s="61"/>
      <c r="U583" s="180"/>
      <c r="V583" s="115"/>
      <c r="W583" s="93"/>
      <c r="X583" s="61"/>
      <c r="Y583" s="112"/>
      <c r="Z583" s="181"/>
      <c r="AA583" s="182"/>
      <c r="AB583" s="183"/>
      <c r="AC583" s="112"/>
      <c r="AD583" s="115"/>
      <c r="AE583" s="151"/>
      <c r="AF583" s="184"/>
      <c r="AG583" s="188"/>
      <c r="AH583" s="188"/>
      <c r="AI583" s="188"/>
      <c r="AJ583" s="188"/>
      <c r="AK583" s="61"/>
      <c r="AL583" s="61"/>
      <c r="AM583" s="61"/>
      <c r="AN583" s="61"/>
      <c r="AO583" s="61"/>
    </row>
    <row r="584">
      <c r="A584" s="112"/>
      <c r="B584" s="149"/>
      <c r="C584" s="93"/>
      <c r="D584" s="61"/>
      <c r="E584" s="112"/>
      <c r="F584" s="149"/>
      <c r="G584" s="93"/>
      <c r="H584" s="61"/>
      <c r="I584" s="112"/>
      <c r="J584" s="149"/>
      <c r="K584" s="93"/>
      <c r="L584" s="61"/>
      <c r="M584" s="112"/>
      <c r="N584" s="115"/>
      <c r="O584" s="93"/>
      <c r="P584" s="61"/>
      <c r="Q584" s="180"/>
      <c r="R584" s="115"/>
      <c r="S584" s="93"/>
      <c r="T584" s="61"/>
      <c r="U584" s="180"/>
      <c r="V584" s="115"/>
      <c r="W584" s="93"/>
      <c r="X584" s="61"/>
      <c r="Y584" s="112"/>
      <c r="Z584" s="181"/>
      <c r="AA584" s="182"/>
      <c r="AB584" s="183"/>
      <c r="AC584" s="112"/>
      <c r="AD584" s="115"/>
      <c r="AE584" s="151"/>
      <c r="AF584" s="184"/>
      <c r="AG584" s="188"/>
      <c r="AH584" s="188"/>
      <c r="AI584" s="188"/>
      <c r="AJ584" s="188"/>
      <c r="AK584" s="61"/>
      <c r="AL584" s="61"/>
      <c r="AM584" s="61"/>
      <c r="AN584" s="61"/>
      <c r="AO584" s="61"/>
    </row>
    <row r="585">
      <c r="A585" s="112"/>
      <c r="B585" s="149"/>
      <c r="C585" s="93"/>
      <c r="D585" s="61"/>
      <c r="E585" s="112"/>
      <c r="F585" s="149"/>
      <c r="G585" s="93"/>
      <c r="H585" s="61"/>
      <c r="I585" s="112"/>
      <c r="J585" s="149"/>
      <c r="K585" s="93"/>
      <c r="L585" s="61"/>
      <c r="M585" s="112"/>
      <c r="N585" s="115"/>
      <c r="O585" s="93"/>
      <c r="P585" s="61"/>
      <c r="Q585" s="180"/>
      <c r="R585" s="115"/>
      <c r="S585" s="93"/>
      <c r="T585" s="61"/>
      <c r="U585" s="180"/>
      <c r="V585" s="115"/>
      <c r="W585" s="93"/>
      <c r="X585" s="61"/>
      <c r="Y585" s="112"/>
      <c r="Z585" s="181"/>
      <c r="AA585" s="182"/>
      <c r="AB585" s="183"/>
      <c r="AC585" s="112"/>
      <c r="AD585" s="115"/>
      <c r="AE585" s="151"/>
      <c r="AF585" s="184"/>
      <c r="AG585" s="188"/>
      <c r="AH585" s="188"/>
      <c r="AI585" s="188"/>
      <c r="AJ585" s="188"/>
      <c r="AK585" s="61"/>
      <c r="AL585" s="61"/>
      <c r="AM585" s="61"/>
      <c r="AN585" s="61"/>
      <c r="AO585" s="61"/>
    </row>
    <row r="586">
      <c r="A586" s="112"/>
      <c r="B586" s="149"/>
      <c r="C586" s="93"/>
      <c r="D586" s="61"/>
      <c r="E586" s="112"/>
      <c r="F586" s="149"/>
      <c r="G586" s="93"/>
      <c r="H586" s="61"/>
      <c r="I586" s="112"/>
      <c r="J586" s="149"/>
      <c r="K586" s="93"/>
      <c r="L586" s="61"/>
      <c r="M586" s="112"/>
      <c r="N586" s="115"/>
      <c r="O586" s="93"/>
      <c r="P586" s="61"/>
      <c r="Q586" s="180"/>
      <c r="R586" s="115"/>
      <c r="S586" s="93"/>
      <c r="T586" s="61"/>
      <c r="U586" s="180"/>
      <c r="V586" s="115"/>
      <c r="W586" s="93"/>
      <c r="X586" s="61"/>
      <c r="Y586" s="112"/>
      <c r="Z586" s="181"/>
      <c r="AA586" s="182"/>
      <c r="AB586" s="183"/>
      <c r="AC586" s="112"/>
      <c r="AD586" s="115"/>
      <c r="AE586" s="151"/>
      <c r="AF586" s="184"/>
      <c r="AG586" s="188"/>
      <c r="AH586" s="188"/>
      <c r="AI586" s="188"/>
      <c r="AJ586" s="188"/>
      <c r="AK586" s="61"/>
      <c r="AL586" s="61"/>
      <c r="AM586" s="61"/>
      <c r="AN586" s="61"/>
      <c r="AO586" s="61"/>
    </row>
    <row r="587">
      <c r="A587" s="112"/>
      <c r="B587" s="149"/>
      <c r="C587" s="93"/>
      <c r="D587" s="61"/>
      <c r="E587" s="112"/>
      <c r="F587" s="149"/>
      <c r="G587" s="93"/>
      <c r="H587" s="61"/>
      <c r="I587" s="112"/>
      <c r="J587" s="149"/>
      <c r="K587" s="93"/>
      <c r="L587" s="61"/>
      <c r="M587" s="112"/>
      <c r="N587" s="115"/>
      <c r="O587" s="93"/>
      <c r="P587" s="61"/>
      <c r="Q587" s="180"/>
      <c r="R587" s="115"/>
      <c r="S587" s="93"/>
      <c r="T587" s="61"/>
      <c r="U587" s="180"/>
      <c r="V587" s="115"/>
      <c r="W587" s="93"/>
      <c r="X587" s="61"/>
      <c r="Y587" s="112"/>
      <c r="Z587" s="181"/>
      <c r="AA587" s="182"/>
      <c r="AB587" s="183"/>
      <c r="AC587" s="112"/>
      <c r="AD587" s="115"/>
      <c r="AE587" s="151"/>
      <c r="AF587" s="184"/>
      <c r="AG587" s="188"/>
      <c r="AH587" s="188"/>
      <c r="AI587" s="188"/>
      <c r="AJ587" s="188"/>
      <c r="AK587" s="61"/>
      <c r="AL587" s="61"/>
      <c r="AM587" s="61"/>
      <c r="AN587" s="61"/>
      <c r="AO587" s="61"/>
    </row>
    <row r="588">
      <c r="A588" s="112"/>
      <c r="B588" s="149"/>
      <c r="C588" s="93"/>
      <c r="D588" s="61"/>
      <c r="E588" s="112"/>
      <c r="F588" s="149"/>
      <c r="G588" s="93"/>
      <c r="H588" s="61"/>
      <c r="I588" s="112"/>
      <c r="J588" s="149"/>
      <c r="K588" s="93"/>
      <c r="L588" s="61"/>
      <c r="M588" s="112"/>
      <c r="N588" s="115"/>
      <c r="O588" s="93"/>
      <c r="P588" s="61"/>
      <c r="Q588" s="180"/>
      <c r="R588" s="115"/>
      <c r="S588" s="93"/>
      <c r="T588" s="61"/>
      <c r="U588" s="180"/>
      <c r="V588" s="115"/>
      <c r="W588" s="93"/>
      <c r="X588" s="61"/>
      <c r="Y588" s="112"/>
      <c r="Z588" s="181"/>
      <c r="AA588" s="182"/>
      <c r="AB588" s="183"/>
      <c r="AC588" s="112"/>
      <c r="AD588" s="115"/>
      <c r="AE588" s="151"/>
      <c r="AF588" s="184"/>
      <c r="AG588" s="188"/>
      <c r="AH588" s="188"/>
      <c r="AI588" s="188"/>
      <c r="AJ588" s="188"/>
      <c r="AK588" s="61"/>
      <c r="AL588" s="61"/>
      <c r="AM588" s="61"/>
      <c r="AN588" s="61"/>
      <c r="AO588" s="61"/>
    </row>
    <row r="589">
      <c r="A589" s="112"/>
      <c r="B589" s="149"/>
      <c r="C589" s="93"/>
      <c r="D589" s="61"/>
      <c r="E589" s="112"/>
      <c r="F589" s="149"/>
      <c r="G589" s="93"/>
      <c r="H589" s="61"/>
      <c r="I589" s="112"/>
      <c r="J589" s="149"/>
      <c r="K589" s="93"/>
      <c r="L589" s="61"/>
      <c r="M589" s="112"/>
      <c r="N589" s="115"/>
      <c r="O589" s="93"/>
      <c r="P589" s="61"/>
      <c r="Q589" s="180"/>
      <c r="R589" s="115"/>
      <c r="S589" s="93"/>
      <c r="T589" s="61"/>
      <c r="U589" s="180"/>
      <c r="V589" s="115"/>
      <c r="W589" s="93"/>
      <c r="X589" s="61"/>
      <c r="Y589" s="112"/>
      <c r="Z589" s="181"/>
      <c r="AA589" s="182"/>
      <c r="AB589" s="183"/>
      <c r="AC589" s="112"/>
      <c r="AD589" s="115"/>
      <c r="AE589" s="151"/>
      <c r="AF589" s="184"/>
      <c r="AG589" s="188"/>
      <c r="AH589" s="188"/>
      <c r="AI589" s="188"/>
      <c r="AJ589" s="188"/>
      <c r="AK589" s="61"/>
      <c r="AL589" s="61"/>
      <c r="AM589" s="61"/>
      <c r="AN589" s="61"/>
      <c r="AO589" s="61"/>
    </row>
    <row r="590">
      <c r="A590" s="112"/>
      <c r="B590" s="149"/>
      <c r="C590" s="93"/>
      <c r="D590" s="61"/>
      <c r="E590" s="112"/>
      <c r="F590" s="149"/>
      <c r="G590" s="93"/>
      <c r="H590" s="61"/>
      <c r="I590" s="112"/>
      <c r="J590" s="149"/>
      <c r="K590" s="93"/>
      <c r="L590" s="61"/>
      <c r="M590" s="112"/>
      <c r="N590" s="115"/>
      <c r="O590" s="93"/>
      <c r="P590" s="61"/>
      <c r="Q590" s="180"/>
      <c r="R590" s="115"/>
      <c r="S590" s="93"/>
      <c r="T590" s="61"/>
      <c r="U590" s="180"/>
      <c r="V590" s="115"/>
      <c r="W590" s="93"/>
      <c r="X590" s="61"/>
      <c r="Y590" s="112"/>
      <c r="Z590" s="181"/>
      <c r="AA590" s="182"/>
      <c r="AB590" s="183"/>
      <c r="AC590" s="112"/>
      <c r="AD590" s="115"/>
      <c r="AE590" s="151"/>
      <c r="AF590" s="184"/>
      <c r="AG590" s="188"/>
      <c r="AH590" s="188"/>
      <c r="AI590" s="188"/>
      <c r="AJ590" s="188"/>
      <c r="AK590" s="61"/>
      <c r="AL590" s="61"/>
      <c r="AM590" s="61"/>
      <c r="AN590" s="61"/>
      <c r="AO590" s="61"/>
    </row>
    <row r="591">
      <c r="A591" s="112"/>
      <c r="B591" s="149"/>
      <c r="C591" s="93"/>
      <c r="D591" s="61"/>
      <c r="E591" s="112"/>
      <c r="F591" s="149"/>
      <c r="G591" s="93"/>
      <c r="H591" s="61"/>
      <c r="I591" s="112"/>
      <c r="J591" s="149"/>
      <c r="K591" s="93"/>
      <c r="L591" s="61"/>
      <c r="M591" s="112"/>
      <c r="N591" s="115"/>
      <c r="O591" s="93"/>
      <c r="P591" s="61"/>
      <c r="Q591" s="180"/>
      <c r="R591" s="115"/>
      <c r="S591" s="93"/>
      <c r="T591" s="61"/>
      <c r="U591" s="180"/>
      <c r="V591" s="115"/>
      <c r="W591" s="93"/>
      <c r="X591" s="61"/>
      <c r="Y591" s="112"/>
      <c r="Z591" s="181"/>
      <c r="AA591" s="182"/>
      <c r="AB591" s="183"/>
      <c r="AC591" s="112"/>
      <c r="AD591" s="115"/>
      <c r="AE591" s="151"/>
      <c r="AF591" s="184"/>
      <c r="AG591" s="188"/>
      <c r="AH591" s="188"/>
      <c r="AI591" s="188"/>
      <c r="AJ591" s="188"/>
      <c r="AK591" s="61"/>
      <c r="AL591" s="61"/>
      <c r="AM591" s="61"/>
      <c r="AN591" s="61"/>
      <c r="AO591" s="61"/>
    </row>
    <row r="592">
      <c r="A592" s="112"/>
      <c r="B592" s="149"/>
      <c r="C592" s="93"/>
      <c r="D592" s="61"/>
      <c r="E592" s="112"/>
      <c r="F592" s="149"/>
      <c r="G592" s="93"/>
      <c r="H592" s="61"/>
      <c r="I592" s="112"/>
      <c r="J592" s="149"/>
      <c r="K592" s="93"/>
      <c r="L592" s="61"/>
      <c r="M592" s="112"/>
      <c r="N592" s="115"/>
      <c r="O592" s="93"/>
      <c r="P592" s="61"/>
      <c r="Q592" s="180"/>
      <c r="R592" s="115"/>
      <c r="S592" s="93"/>
      <c r="T592" s="61"/>
      <c r="U592" s="180"/>
      <c r="V592" s="115"/>
      <c r="W592" s="93"/>
      <c r="X592" s="61"/>
      <c r="Y592" s="112"/>
      <c r="Z592" s="181"/>
      <c r="AA592" s="182"/>
      <c r="AB592" s="183"/>
      <c r="AC592" s="112"/>
      <c r="AD592" s="115"/>
      <c r="AE592" s="151"/>
      <c r="AF592" s="184"/>
      <c r="AG592" s="188"/>
      <c r="AH592" s="188"/>
      <c r="AI592" s="188"/>
      <c r="AJ592" s="188"/>
      <c r="AK592" s="61"/>
      <c r="AL592" s="61"/>
      <c r="AM592" s="61"/>
      <c r="AN592" s="61"/>
      <c r="AO592" s="61"/>
    </row>
    <row r="593">
      <c r="A593" s="112"/>
      <c r="B593" s="149"/>
      <c r="C593" s="93"/>
      <c r="D593" s="61"/>
      <c r="E593" s="112"/>
      <c r="F593" s="149"/>
      <c r="G593" s="93"/>
      <c r="H593" s="61"/>
      <c r="I593" s="112"/>
      <c r="J593" s="149"/>
      <c r="K593" s="93"/>
      <c r="L593" s="61"/>
      <c r="M593" s="112"/>
      <c r="N593" s="115"/>
      <c r="O593" s="93"/>
      <c r="P593" s="61"/>
      <c r="Q593" s="180"/>
      <c r="R593" s="115"/>
      <c r="S593" s="93"/>
      <c r="T593" s="61"/>
      <c r="U593" s="180"/>
      <c r="V593" s="115"/>
      <c r="W593" s="93"/>
      <c r="X593" s="61"/>
      <c r="Y593" s="112"/>
      <c r="Z593" s="181"/>
      <c r="AA593" s="182"/>
      <c r="AB593" s="183"/>
      <c r="AC593" s="112"/>
      <c r="AD593" s="115"/>
      <c r="AE593" s="151"/>
      <c r="AF593" s="184"/>
      <c r="AG593" s="188"/>
      <c r="AH593" s="188"/>
      <c r="AI593" s="188"/>
      <c r="AJ593" s="188"/>
      <c r="AK593" s="61"/>
      <c r="AL593" s="61"/>
      <c r="AM593" s="61"/>
      <c r="AN593" s="61"/>
      <c r="AO593" s="61"/>
    </row>
    <row r="594">
      <c r="A594" s="112"/>
      <c r="B594" s="149"/>
      <c r="C594" s="93"/>
      <c r="D594" s="61"/>
      <c r="E594" s="112"/>
      <c r="F594" s="149"/>
      <c r="G594" s="93"/>
      <c r="H594" s="61"/>
      <c r="I594" s="112"/>
      <c r="J594" s="149"/>
      <c r="K594" s="93"/>
      <c r="L594" s="61"/>
      <c r="M594" s="112"/>
      <c r="N594" s="115"/>
      <c r="O594" s="93"/>
      <c r="P594" s="61"/>
      <c r="Q594" s="180"/>
      <c r="R594" s="115"/>
      <c r="S594" s="93"/>
      <c r="T594" s="61"/>
      <c r="U594" s="180"/>
      <c r="V594" s="115"/>
      <c r="W594" s="93"/>
      <c r="X594" s="61"/>
      <c r="Y594" s="112"/>
      <c r="Z594" s="181"/>
      <c r="AA594" s="182"/>
      <c r="AB594" s="183"/>
      <c r="AC594" s="112"/>
      <c r="AD594" s="115"/>
      <c r="AE594" s="151"/>
      <c r="AF594" s="184"/>
      <c r="AG594" s="188"/>
      <c r="AH594" s="188"/>
      <c r="AI594" s="188"/>
      <c r="AJ594" s="188"/>
      <c r="AK594" s="61"/>
      <c r="AL594" s="61"/>
      <c r="AM594" s="61"/>
      <c r="AN594" s="61"/>
      <c r="AO594" s="61"/>
    </row>
    <row r="595">
      <c r="A595" s="112"/>
      <c r="B595" s="149"/>
      <c r="C595" s="93"/>
      <c r="D595" s="61"/>
      <c r="E595" s="112"/>
      <c r="F595" s="149"/>
      <c r="G595" s="93"/>
      <c r="H595" s="61"/>
      <c r="I595" s="112"/>
      <c r="J595" s="149"/>
      <c r="K595" s="93"/>
      <c r="L595" s="61"/>
      <c r="M595" s="112"/>
      <c r="N595" s="115"/>
      <c r="O595" s="93"/>
      <c r="P595" s="61"/>
      <c r="Q595" s="180"/>
      <c r="R595" s="115"/>
      <c r="S595" s="93"/>
      <c r="T595" s="61"/>
      <c r="U595" s="180"/>
      <c r="V595" s="115"/>
      <c r="W595" s="93"/>
      <c r="X595" s="61"/>
      <c r="Y595" s="112"/>
      <c r="Z595" s="181"/>
      <c r="AA595" s="182"/>
      <c r="AB595" s="183"/>
      <c r="AC595" s="112"/>
      <c r="AD595" s="115"/>
      <c r="AE595" s="151"/>
      <c r="AF595" s="184"/>
      <c r="AG595" s="188"/>
      <c r="AH595" s="188"/>
      <c r="AI595" s="188"/>
      <c r="AJ595" s="188"/>
      <c r="AK595" s="61"/>
      <c r="AL595" s="61"/>
      <c r="AM595" s="61"/>
      <c r="AN595" s="61"/>
      <c r="AO595" s="61"/>
    </row>
    <row r="596">
      <c r="A596" s="112"/>
      <c r="B596" s="149"/>
      <c r="C596" s="93"/>
      <c r="D596" s="61"/>
      <c r="E596" s="112"/>
      <c r="F596" s="149"/>
      <c r="G596" s="93"/>
      <c r="H596" s="61"/>
      <c r="I596" s="112"/>
      <c r="J596" s="149"/>
      <c r="K596" s="93"/>
      <c r="L596" s="61"/>
      <c r="M596" s="112"/>
      <c r="N596" s="115"/>
      <c r="O596" s="93"/>
      <c r="P596" s="61"/>
      <c r="Q596" s="180"/>
      <c r="R596" s="115"/>
      <c r="S596" s="93"/>
      <c r="T596" s="61"/>
      <c r="U596" s="180"/>
      <c r="V596" s="115"/>
      <c r="W596" s="93"/>
      <c r="X596" s="61"/>
      <c r="Y596" s="112"/>
      <c r="Z596" s="181"/>
      <c r="AA596" s="182"/>
      <c r="AB596" s="183"/>
      <c r="AC596" s="112"/>
      <c r="AD596" s="115"/>
      <c r="AE596" s="151"/>
      <c r="AF596" s="184"/>
      <c r="AG596" s="188"/>
      <c r="AH596" s="188"/>
      <c r="AI596" s="188"/>
      <c r="AJ596" s="188"/>
      <c r="AK596" s="61"/>
      <c r="AL596" s="61"/>
      <c r="AM596" s="61"/>
      <c r="AN596" s="61"/>
      <c r="AO596" s="61"/>
    </row>
    <row r="597">
      <c r="A597" s="112"/>
      <c r="B597" s="149"/>
      <c r="C597" s="93"/>
      <c r="D597" s="61"/>
      <c r="E597" s="112"/>
      <c r="F597" s="149"/>
      <c r="G597" s="93"/>
      <c r="H597" s="61"/>
      <c r="I597" s="112"/>
      <c r="J597" s="149"/>
      <c r="K597" s="93"/>
      <c r="L597" s="61"/>
      <c r="M597" s="112"/>
      <c r="N597" s="115"/>
      <c r="O597" s="93"/>
      <c r="P597" s="61"/>
      <c r="Q597" s="180"/>
      <c r="R597" s="115"/>
      <c r="S597" s="93"/>
      <c r="T597" s="61"/>
      <c r="U597" s="180"/>
      <c r="V597" s="115"/>
      <c r="W597" s="93"/>
      <c r="X597" s="61"/>
      <c r="Y597" s="112"/>
      <c r="Z597" s="181"/>
      <c r="AA597" s="182"/>
      <c r="AB597" s="183"/>
      <c r="AC597" s="112"/>
      <c r="AD597" s="115"/>
      <c r="AE597" s="151"/>
      <c r="AF597" s="184"/>
      <c r="AG597" s="188"/>
      <c r="AH597" s="188"/>
      <c r="AI597" s="188"/>
      <c r="AJ597" s="188"/>
      <c r="AK597" s="61"/>
      <c r="AL597" s="61"/>
      <c r="AM597" s="61"/>
      <c r="AN597" s="61"/>
      <c r="AO597" s="61"/>
    </row>
    <row r="598">
      <c r="A598" s="112"/>
      <c r="B598" s="149"/>
      <c r="C598" s="93"/>
      <c r="D598" s="61"/>
      <c r="E598" s="112"/>
      <c r="F598" s="149"/>
      <c r="G598" s="93"/>
      <c r="H598" s="61"/>
      <c r="I598" s="112"/>
      <c r="J598" s="149"/>
      <c r="K598" s="93"/>
      <c r="L598" s="61"/>
      <c r="M598" s="112"/>
      <c r="N598" s="115"/>
      <c r="O598" s="93"/>
      <c r="P598" s="61"/>
      <c r="Q598" s="180"/>
      <c r="R598" s="115"/>
      <c r="S598" s="93"/>
      <c r="T598" s="61"/>
      <c r="U598" s="180"/>
      <c r="V598" s="115"/>
      <c r="W598" s="93"/>
      <c r="X598" s="61"/>
      <c r="Y598" s="112"/>
      <c r="Z598" s="181"/>
      <c r="AA598" s="182"/>
      <c r="AB598" s="183"/>
      <c r="AC598" s="112"/>
      <c r="AD598" s="115"/>
      <c r="AE598" s="151"/>
      <c r="AF598" s="184"/>
      <c r="AG598" s="188"/>
      <c r="AH598" s="188"/>
      <c r="AI598" s="188"/>
      <c r="AJ598" s="188"/>
      <c r="AK598" s="61"/>
      <c r="AL598" s="61"/>
      <c r="AM598" s="61"/>
      <c r="AN598" s="61"/>
      <c r="AO598" s="61"/>
    </row>
    <row r="599">
      <c r="A599" s="112"/>
      <c r="B599" s="149"/>
      <c r="C599" s="93"/>
      <c r="D599" s="61"/>
      <c r="E599" s="112"/>
      <c r="F599" s="149"/>
      <c r="G599" s="93"/>
      <c r="H599" s="61"/>
      <c r="I599" s="112"/>
      <c r="J599" s="149"/>
      <c r="K599" s="93"/>
      <c r="L599" s="61"/>
      <c r="M599" s="112"/>
      <c r="N599" s="115"/>
      <c r="O599" s="93"/>
      <c r="P599" s="61"/>
      <c r="Q599" s="180"/>
      <c r="R599" s="115"/>
      <c r="S599" s="93"/>
      <c r="T599" s="61"/>
      <c r="U599" s="180"/>
      <c r="V599" s="115"/>
      <c r="W599" s="93"/>
      <c r="X599" s="61"/>
      <c r="Y599" s="112"/>
      <c r="Z599" s="181"/>
      <c r="AA599" s="182"/>
      <c r="AB599" s="183"/>
      <c r="AC599" s="112"/>
      <c r="AD599" s="115"/>
      <c r="AE599" s="151"/>
      <c r="AF599" s="184"/>
      <c r="AG599" s="188"/>
      <c r="AH599" s="188"/>
      <c r="AI599" s="188"/>
      <c r="AJ599" s="188"/>
      <c r="AK599" s="61"/>
      <c r="AL599" s="61"/>
      <c r="AM599" s="61"/>
      <c r="AN599" s="61"/>
      <c r="AO599" s="61"/>
    </row>
    <row r="600">
      <c r="A600" s="112"/>
      <c r="B600" s="149"/>
      <c r="C600" s="93"/>
      <c r="D600" s="61"/>
      <c r="E600" s="112"/>
      <c r="F600" s="149"/>
      <c r="G600" s="93"/>
      <c r="H600" s="61"/>
      <c r="I600" s="112"/>
      <c r="J600" s="149"/>
      <c r="K600" s="93"/>
      <c r="L600" s="61"/>
      <c r="M600" s="112"/>
      <c r="N600" s="115"/>
      <c r="O600" s="93"/>
      <c r="P600" s="61"/>
      <c r="Q600" s="180"/>
      <c r="R600" s="115"/>
      <c r="S600" s="93"/>
      <c r="T600" s="61"/>
      <c r="U600" s="180"/>
      <c r="V600" s="115"/>
      <c r="W600" s="93"/>
      <c r="X600" s="61"/>
      <c r="Y600" s="112"/>
      <c r="Z600" s="181"/>
      <c r="AA600" s="182"/>
      <c r="AB600" s="183"/>
      <c r="AC600" s="112"/>
      <c r="AD600" s="115"/>
      <c r="AE600" s="151"/>
      <c r="AF600" s="184"/>
      <c r="AG600" s="188"/>
      <c r="AH600" s="188"/>
      <c r="AI600" s="188"/>
      <c r="AJ600" s="188"/>
      <c r="AK600" s="61"/>
      <c r="AL600" s="61"/>
      <c r="AM600" s="61"/>
      <c r="AN600" s="61"/>
      <c r="AO600" s="61"/>
    </row>
    <row r="601">
      <c r="A601" s="112"/>
      <c r="B601" s="149"/>
      <c r="C601" s="93"/>
      <c r="D601" s="61"/>
      <c r="E601" s="112"/>
      <c r="F601" s="149"/>
      <c r="G601" s="93"/>
      <c r="H601" s="61"/>
      <c r="I601" s="112"/>
      <c r="J601" s="149"/>
      <c r="K601" s="93"/>
      <c r="L601" s="61"/>
      <c r="M601" s="112"/>
      <c r="N601" s="115"/>
      <c r="O601" s="93"/>
      <c r="P601" s="61"/>
      <c r="Q601" s="180"/>
      <c r="R601" s="115"/>
      <c r="S601" s="93"/>
      <c r="T601" s="61"/>
      <c r="U601" s="180"/>
      <c r="V601" s="115"/>
      <c r="W601" s="93"/>
      <c r="X601" s="61"/>
      <c r="Y601" s="112"/>
      <c r="Z601" s="181"/>
      <c r="AA601" s="182"/>
      <c r="AB601" s="183"/>
      <c r="AC601" s="112"/>
      <c r="AD601" s="115"/>
      <c r="AE601" s="151"/>
      <c r="AF601" s="184"/>
      <c r="AG601" s="188"/>
      <c r="AH601" s="188"/>
      <c r="AI601" s="188"/>
      <c r="AJ601" s="188"/>
      <c r="AK601" s="61"/>
      <c r="AL601" s="61"/>
      <c r="AM601" s="61"/>
      <c r="AN601" s="61"/>
      <c r="AO601" s="61"/>
    </row>
    <row r="602">
      <c r="A602" s="112"/>
      <c r="B602" s="149"/>
      <c r="C602" s="93"/>
      <c r="D602" s="61"/>
      <c r="E602" s="112"/>
      <c r="F602" s="149"/>
      <c r="G602" s="93"/>
      <c r="H602" s="61"/>
      <c r="I602" s="112"/>
      <c r="J602" s="149"/>
      <c r="K602" s="93"/>
      <c r="L602" s="61"/>
      <c r="M602" s="112"/>
      <c r="N602" s="115"/>
      <c r="O602" s="93"/>
      <c r="P602" s="61"/>
      <c r="Q602" s="180"/>
      <c r="R602" s="115"/>
      <c r="S602" s="93"/>
      <c r="T602" s="61"/>
      <c r="U602" s="180"/>
      <c r="V602" s="115"/>
      <c r="W602" s="93"/>
      <c r="X602" s="61"/>
      <c r="Y602" s="112"/>
      <c r="Z602" s="181"/>
      <c r="AA602" s="182"/>
      <c r="AB602" s="183"/>
      <c r="AC602" s="112"/>
      <c r="AD602" s="115"/>
      <c r="AE602" s="151"/>
      <c r="AF602" s="184"/>
      <c r="AG602" s="188"/>
      <c r="AH602" s="188"/>
      <c r="AI602" s="188"/>
      <c r="AJ602" s="188"/>
      <c r="AK602" s="61"/>
      <c r="AL602" s="61"/>
      <c r="AM602" s="61"/>
      <c r="AN602" s="61"/>
      <c r="AO602" s="61"/>
    </row>
    <row r="603">
      <c r="A603" s="112"/>
      <c r="B603" s="149"/>
      <c r="C603" s="93"/>
      <c r="D603" s="61"/>
      <c r="E603" s="112"/>
      <c r="F603" s="149"/>
      <c r="G603" s="93"/>
      <c r="H603" s="61"/>
      <c r="I603" s="112"/>
      <c r="J603" s="149"/>
      <c r="K603" s="93"/>
      <c r="L603" s="61"/>
      <c r="M603" s="112"/>
      <c r="N603" s="115"/>
      <c r="O603" s="93"/>
      <c r="P603" s="61"/>
      <c r="Q603" s="180"/>
      <c r="R603" s="115"/>
      <c r="S603" s="93"/>
      <c r="T603" s="61"/>
      <c r="U603" s="180"/>
      <c r="V603" s="115"/>
      <c r="W603" s="93"/>
      <c r="X603" s="61"/>
      <c r="Y603" s="112"/>
      <c r="Z603" s="181"/>
      <c r="AA603" s="182"/>
      <c r="AB603" s="183"/>
      <c r="AC603" s="112"/>
      <c r="AD603" s="115"/>
      <c r="AE603" s="151"/>
      <c r="AF603" s="184"/>
      <c r="AG603" s="188"/>
      <c r="AH603" s="188"/>
      <c r="AI603" s="188"/>
      <c r="AJ603" s="188"/>
      <c r="AK603" s="61"/>
      <c r="AL603" s="61"/>
      <c r="AM603" s="61"/>
      <c r="AN603" s="61"/>
      <c r="AO603" s="61"/>
    </row>
    <row r="604">
      <c r="A604" s="112"/>
      <c r="B604" s="149"/>
      <c r="C604" s="93"/>
      <c r="D604" s="61"/>
      <c r="E604" s="112"/>
      <c r="F604" s="149"/>
      <c r="G604" s="93"/>
      <c r="H604" s="61"/>
      <c r="I604" s="112"/>
      <c r="J604" s="149"/>
      <c r="K604" s="93"/>
      <c r="L604" s="61"/>
      <c r="M604" s="112"/>
      <c r="N604" s="115"/>
      <c r="O604" s="93"/>
      <c r="P604" s="61"/>
      <c r="Q604" s="180"/>
      <c r="R604" s="115"/>
      <c r="S604" s="93"/>
      <c r="T604" s="61"/>
      <c r="U604" s="180"/>
      <c r="V604" s="115"/>
      <c r="W604" s="93"/>
      <c r="X604" s="61"/>
      <c r="Y604" s="112"/>
      <c r="Z604" s="181"/>
      <c r="AA604" s="182"/>
      <c r="AB604" s="183"/>
      <c r="AC604" s="112"/>
      <c r="AD604" s="115"/>
      <c r="AE604" s="151"/>
      <c r="AF604" s="184"/>
      <c r="AG604" s="188"/>
      <c r="AH604" s="188"/>
      <c r="AI604" s="188"/>
      <c r="AJ604" s="188"/>
      <c r="AK604" s="61"/>
      <c r="AL604" s="61"/>
      <c r="AM604" s="61"/>
      <c r="AN604" s="61"/>
      <c r="AO604" s="61"/>
    </row>
    <row r="605">
      <c r="A605" s="112"/>
      <c r="B605" s="149"/>
      <c r="C605" s="93"/>
      <c r="D605" s="61"/>
      <c r="E605" s="112"/>
      <c r="F605" s="149"/>
      <c r="G605" s="93"/>
      <c r="H605" s="61"/>
      <c r="I605" s="112"/>
      <c r="J605" s="149"/>
      <c r="K605" s="93"/>
      <c r="L605" s="61"/>
      <c r="M605" s="112"/>
      <c r="N605" s="115"/>
      <c r="O605" s="93"/>
      <c r="P605" s="61"/>
      <c r="Q605" s="180"/>
      <c r="R605" s="115"/>
      <c r="S605" s="93"/>
      <c r="T605" s="61"/>
      <c r="U605" s="180"/>
      <c r="V605" s="115"/>
      <c r="W605" s="93"/>
      <c r="X605" s="61"/>
      <c r="Y605" s="112"/>
      <c r="Z605" s="181"/>
      <c r="AA605" s="182"/>
      <c r="AB605" s="183"/>
      <c r="AC605" s="112"/>
      <c r="AD605" s="115"/>
      <c r="AE605" s="151"/>
      <c r="AF605" s="184"/>
      <c r="AG605" s="188"/>
      <c r="AH605" s="188"/>
      <c r="AI605" s="188"/>
      <c r="AJ605" s="188"/>
      <c r="AK605" s="61"/>
      <c r="AL605" s="61"/>
      <c r="AM605" s="61"/>
      <c r="AN605" s="61"/>
      <c r="AO605" s="61"/>
    </row>
    <row r="606">
      <c r="A606" s="112"/>
      <c r="B606" s="149"/>
      <c r="C606" s="93"/>
      <c r="D606" s="61"/>
      <c r="E606" s="112"/>
      <c r="F606" s="149"/>
      <c r="G606" s="93"/>
      <c r="H606" s="61"/>
      <c r="I606" s="112"/>
      <c r="J606" s="149"/>
      <c r="K606" s="93"/>
      <c r="L606" s="61"/>
      <c r="M606" s="112"/>
      <c r="N606" s="115"/>
      <c r="O606" s="93"/>
      <c r="P606" s="61"/>
      <c r="Q606" s="180"/>
      <c r="R606" s="115"/>
      <c r="S606" s="93"/>
      <c r="T606" s="61"/>
      <c r="U606" s="180"/>
      <c r="V606" s="115"/>
      <c r="W606" s="93"/>
      <c r="X606" s="61"/>
      <c r="Y606" s="112"/>
      <c r="Z606" s="181"/>
      <c r="AA606" s="182"/>
      <c r="AB606" s="183"/>
      <c r="AC606" s="112"/>
      <c r="AD606" s="115"/>
      <c r="AE606" s="151"/>
      <c r="AF606" s="184"/>
      <c r="AG606" s="188"/>
      <c r="AH606" s="188"/>
      <c r="AI606" s="188"/>
      <c r="AJ606" s="188"/>
      <c r="AK606" s="61"/>
      <c r="AL606" s="61"/>
      <c r="AM606" s="61"/>
      <c r="AN606" s="61"/>
      <c r="AO606" s="61"/>
    </row>
    <row r="607">
      <c r="A607" s="112"/>
      <c r="B607" s="149"/>
      <c r="C607" s="93"/>
      <c r="D607" s="61"/>
      <c r="E607" s="112"/>
      <c r="F607" s="149"/>
      <c r="G607" s="93"/>
      <c r="H607" s="61"/>
      <c r="I607" s="112"/>
      <c r="J607" s="149"/>
      <c r="K607" s="93"/>
      <c r="L607" s="61"/>
      <c r="M607" s="112"/>
      <c r="N607" s="115"/>
      <c r="O607" s="93"/>
      <c r="P607" s="61"/>
      <c r="Q607" s="180"/>
      <c r="R607" s="115"/>
      <c r="S607" s="93"/>
      <c r="T607" s="61"/>
      <c r="U607" s="180"/>
      <c r="V607" s="115"/>
      <c r="W607" s="93"/>
      <c r="X607" s="61"/>
      <c r="Y607" s="112"/>
      <c r="Z607" s="181"/>
      <c r="AA607" s="182"/>
      <c r="AB607" s="183"/>
      <c r="AC607" s="112"/>
      <c r="AD607" s="115"/>
      <c r="AE607" s="151"/>
      <c r="AF607" s="184"/>
      <c r="AG607" s="188"/>
      <c r="AH607" s="188"/>
      <c r="AI607" s="188"/>
      <c r="AJ607" s="188"/>
      <c r="AK607" s="61"/>
      <c r="AL607" s="61"/>
      <c r="AM607" s="61"/>
      <c r="AN607" s="61"/>
      <c r="AO607" s="61"/>
    </row>
    <row r="608">
      <c r="A608" s="112"/>
      <c r="B608" s="149"/>
      <c r="C608" s="93"/>
      <c r="D608" s="61"/>
      <c r="E608" s="112"/>
      <c r="F608" s="149"/>
      <c r="G608" s="93"/>
      <c r="H608" s="61"/>
      <c r="I608" s="112"/>
      <c r="J608" s="149"/>
      <c r="K608" s="93"/>
      <c r="L608" s="61"/>
      <c r="M608" s="112"/>
      <c r="N608" s="115"/>
      <c r="O608" s="93"/>
      <c r="P608" s="61"/>
      <c r="Q608" s="180"/>
      <c r="R608" s="115"/>
      <c r="S608" s="93"/>
      <c r="T608" s="61"/>
      <c r="U608" s="180"/>
      <c r="V608" s="115"/>
      <c r="W608" s="93"/>
      <c r="X608" s="61"/>
      <c r="Y608" s="112"/>
      <c r="Z608" s="181"/>
      <c r="AA608" s="182"/>
      <c r="AB608" s="183"/>
      <c r="AC608" s="112"/>
      <c r="AD608" s="115"/>
      <c r="AE608" s="151"/>
      <c r="AF608" s="184"/>
      <c r="AG608" s="188"/>
      <c r="AH608" s="188"/>
      <c r="AI608" s="188"/>
      <c r="AJ608" s="188"/>
      <c r="AK608" s="61"/>
      <c r="AL608" s="61"/>
      <c r="AM608" s="61"/>
      <c r="AN608" s="61"/>
      <c r="AO608" s="61"/>
    </row>
    <row r="609">
      <c r="A609" s="112"/>
      <c r="B609" s="149"/>
      <c r="C609" s="93"/>
      <c r="D609" s="61"/>
      <c r="E609" s="112"/>
      <c r="F609" s="149"/>
      <c r="G609" s="93"/>
      <c r="H609" s="61"/>
      <c r="I609" s="112"/>
      <c r="J609" s="149"/>
      <c r="K609" s="93"/>
      <c r="L609" s="61"/>
      <c r="M609" s="112"/>
      <c r="N609" s="115"/>
      <c r="O609" s="93"/>
      <c r="P609" s="61"/>
      <c r="Q609" s="180"/>
      <c r="R609" s="115"/>
      <c r="S609" s="93"/>
      <c r="T609" s="61"/>
      <c r="U609" s="180"/>
      <c r="V609" s="115"/>
      <c r="W609" s="93"/>
      <c r="X609" s="61"/>
      <c r="Y609" s="112"/>
      <c r="Z609" s="181"/>
      <c r="AA609" s="182"/>
      <c r="AB609" s="183"/>
      <c r="AC609" s="112"/>
      <c r="AD609" s="115"/>
      <c r="AE609" s="151"/>
      <c r="AF609" s="184"/>
      <c r="AG609" s="188"/>
      <c r="AH609" s="188"/>
      <c r="AI609" s="188"/>
      <c r="AJ609" s="188"/>
      <c r="AK609" s="61"/>
      <c r="AL609" s="61"/>
      <c r="AM609" s="61"/>
      <c r="AN609" s="61"/>
      <c r="AO609" s="61"/>
    </row>
    <row r="610">
      <c r="A610" s="112"/>
      <c r="B610" s="149"/>
      <c r="C610" s="93"/>
      <c r="D610" s="61"/>
      <c r="E610" s="112"/>
      <c r="F610" s="149"/>
      <c r="G610" s="93"/>
      <c r="H610" s="61"/>
      <c r="I610" s="112"/>
      <c r="J610" s="149"/>
      <c r="K610" s="93"/>
      <c r="L610" s="61"/>
      <c r="M610" s="112"/>
      <c r="N610" s="115"/>
      <c r="O610" s="93"/>
      <c r="P610" s="61"/>
      <c r="Q610" s="180"/>
      <c r="R610" s="115"/>
      <c r="S610" s="93"/>
      <c r="T610" s="61"/>
      <c r="U610" s="180"/>
      <c r="V610" s="115"/>
      <c r="W610" s="93"/>
      <c r="X610" s="61"/>
      <c r="Y610" s="112"/>
      <c r="Z610" s="181"/>
      <c r="AA610" s="182"/>
      <c r="AB610" s="183"/>
      <c r="AC610" s="112"/>
      <c r="AD610" s="115"/>
      <c r="AE610" s="151"/>
      <c r="AF610" s="184"/>
      <c r="AG610" s="188"/>
      <c r="AH610" s="188"/>
      <c r="AI610" s="188"/>
      <c r="AJ610" s="188"/>
      <c r="AK610" s="61"/>
      <c r="AL610" s="61"/>
      <c r="AM610" s="61"/>
      <c r="AN610" s="61"/>
      <c r="AO610" s="61"/>
    </row>
    <row r="611">
      <c r="A611" s="112"/>
      <c r="B611" s="149"/>
      <c r="C611" s="93"/>
      <c r="D611" s="61"/>
      <c r="E611" s="112"/>
      <c r="F611" s="149"/>
      <c r="G611" s="93"/>
      <c r="H611" s="61"/>
      <c r="I611" s="112"/>
      <c r="J611" s="149"/>
      <c r="K611" s="93"/>
      <c r="L611" s="61"/>
      <c r="M611" s="112"/>
      <c r="N611" s="115"/>
      <c r="O611" s="93"/>
      <c r="P611" s="61"/>
      <c r="Q611" s="180"/>
      <c r="R611" s="115"/>
      <c r="S611" s="93"/>
      <c r="T611" s="61"/>
      <c r="U611" s="180"/>
      <c r="V611" s="115"/>
      <c r="W611" s="93"/>
      <c r="X611" s="61"/>
      <c r="Y611" s="112"/>
      <c r="Z611" s="181"/>
      <c r="AA611" s="182"/>
      <c r="AB611" s="183"/>
      <c r="AC611" s="112"/>
      <c r="AD611" s="115"/>
      <c r="AE611" s="151"/>
      <c r="AF611" s="184"/>
      <c r="AG611" s="188"/>
      <c r="AH611" s="188"/>
      <c r="AI611" s="188"/>
      <c r="AJ611" s="188"/>
      <c r="AK611" s="61"/>
      <c r="AL611" s="61"/>
      <c r="AM611" s="61"/>
      <c r="AN611" s="61"/>
      <c r="AO611" s="61"/>
    </row>
    <row r="612">
      <c r="A612" s="112"/>
      <c r="B612" s="149"/>
      <c r="C612" s="93"/>
      <c r="D612" s="61"/>
      <c r="E612" s="112"/>
      <c r="F612" s="149"/>
      <c r="G612" s="93"/>
      <c r="H612" s="61"/>
      <c r="I612" s="112"/>
      <c r="J612" s="149"/>
      <c r="K612" s="93"/>
      <c r="L612" s="61"/>
      <c r="M612" s="112"/>
      <c r="N612" s="115"/>
      <c r="O612" s="93"/>
      <c r="P612" s="61"/>
      <c r="Q612" s="180"/>
      <c r="R612" s="115"/>
      <c r="S612" s="93"/>
      <c r="T612" s="61"/>
      <c r="U612" s="180"/>
      <c r="V612" s="115"/>
      <c r="W612" s="93"/>
      <c r="X612" s="61"/>
      <c r="Y612" s="112"/>
      <c r="Z612" s="181"/>
      <c r="AA612" s="182"/>
      <c r="AB612" s="183"/>
      <c r="AC612" s="112"/>
      <c r="AD612" s="115"/>
      <c r="AE612" s="151"/>
      <c r="AF612" s="184"/>
      <c r="AG612" s="188"/>
      <c r="AH612" s="188"/>
      <c r="AI612" s="188"/>
      <c r="AJ612" s="188"/>
      <c r="AK612" s="61"/>
      <c r="AL612" s="61"/>
      <c r="AM612" s="61"/>
      <c r="AN612" s="61"/>
      <c r="AO612" s="61"/>
    </row>
    <row r="613">
      <c r="A613" s="112"/>
      <c r="B613" s="149"/>
      <c r="C613" s="93"/>
      <c r="D613" s="61"/>
      <c r="E613" s="112"/>
      <c r="F613" s="149"/>
      <c r="G613" s="93"/>
      <c r="H613" s="61"/>
      <c r="I613" s="112"/>
      <c r="J613" s="149"/>
      <c r="K613" s="93"/>
      <c r="L613" s="61"/>
      <c r="M613" s="112"/>
      <c r="N613" s="115"/>
      <c r="O613" s="93"/>
      <c r="P613" s="61"/>
      <c r="Q613" s="180"/>
      <c r="R613" s="115"/>
      <c r="S613" s="93"/>
      <c r="T613" s="61"/>
      <c r="U613" s="180"/>
      <c r="V613" s="115"/>
      <c r="W613" s="93"/>
      <c r="X613" s="61"/>
      <c r="Y613" s="112"/>
      <c r="Z613" s="181"/>
      <c r="AA613" s="182"/>
      <c r="AB613" s="183"/>
      <c r="AC613" s="112"/>
      <c r="AD613" s="115"/>
      <c r="AE613" s="151"/>
      <c r="AF613" s="184"/>
      <c r="AG613" s="188"/>
      <c r="AH613" s="188"/>
      <c r="AI613" s="188"/>
      <c r="AJ613" s="188"/>
      <c r="AK613" s="61"/>
      <c r="AL613" s="61"/>
      <c r="AM613" s="61"/>
      <c r="AN613" s="61"/>
      <c r="AO613" s="61"/>
    </row>
    <row r="614">
      <c r="A614" s="112"/>
      <c r="B614" s="149"/>
      <c r="C614" s="93"/>
      <c r="D614" s="61"/>
      <c r="E614" s="112"/>
      <c r="F614" s="149"/>
      <c r="G614" s="93"/>
      <c r="H614" s="61"/>
      <c r="I614" s="112"/>
      <c r="J614" s="149"/>
      <c r="K614" s="93"/>
      <c r="L614" s="61"/>
      <c r="M614" s="112"/>
      <c r="N614" s="115"/>
      <c r="O614" s="93"/>
      <c r="P614" s="61"/>
      <c r="Q614" s="180"/>
      <c r="R614" s="115"/>
      <c r="S614" s="93"/>
      <c r="T614" s="61"/>
      <c r="U614" s="180"/>
      <c r="V614" s="115"/>
      <c r="W614" s="93"/>
      <c r="X614" s="61"/>
      <c r="Y614" s="112"/>
      <c r="Z614" s="181"/>
      <c r="AA614" s="182"/>
      <c r="AB614" s="183"/>
      <c r="AC614" s="112"/>
      <c r="AD614" s="115"/>
      <c r="AE614" s="151"/>
      <c r="AF614" s="184"/>
      <c r="AG614" s="188"/>
      <c r="AH614" s="188"/>
      <c r="AI614" s="188"/>
      <c r="AJ614" s="188"/>
      <c r="AK614" s="61"/>
      <c r="AL614" s="61"/>
      <c r="AM614" s="61"/>
      <c r="AN614" s="61"/>
      <c r="AO614" s="61"/>
    </row>
    <row r="615">
      <c r="A615" s="112"/>
      <c r="B615" s="149"/>
      <c r="C615" s="93"/>
      <c r="D615" s="61"/>
      <c r="E615" s="112"/>
      <c r="F615" s="149"/>
      <c r="G615" s="93"/>
      <c r="H615" s="61"/>
      <c r="I615" s="112"/>
      <c r="J615" s="149"/>
      <c r="K615" s="93"/>
      <c r="L615" s="61"/>
      <c r="M615" s="112"/>
      <c r="N615" s="115"/>
      <c r="O615" s="93"/>
      <c r="P615" s="61"/>
      <c r="Q615" s="180"/>
      <c r="R615" s="115"/>
      <c r="S615" s="93"/>
      <c r="T615" s="61"/>
      <c r="U615" s="180"/>
      <c r="V615" s="115"/>
      <c r="W615" s="93"/>
      <c r="X615" s="61"/>
      <c r="Y615" s="112"/>
      <c r="Z615" s="181"/>
      <c r="AA615" s="182"/>
      <c r="AB615" s="183"/>
      <c r="AC615" s="112"/>
      <c r="AD615" s="115"/>
      <c r="AE615" s="151"/>
      <c r="AF615" s="184"/>
      <c r="AG615" s="188"/>
      <c r="AH615" s="188"/>
      <c r="AI615" s="188"/>
      <c r="AJ615" s="188"/>
      <c r="AK615" s="61"/>
      <c r="AL615" s="61"/>
      <c r="AM615" s="61"/>
      <c r="AN615" s="61"/>
      <c r="AO615" s="61"/>
    </row>
    <row r="616">
      <c r="A616" s="112"/>
      <c r="B616" s="149"/>
      <c r="C616" s="93"/>
      <c r="D616" s="61"/>
      <c r="E616" s="112"/>
      <c r="F616" s="149"/>
      <c r="G616" s="93"/>
      <c r="H616" s="61"/>
      <c r="I616" s="112"/>
      <c r="J616" s="149"/>
      <c r="K616" s="93"/>
      <c r="L616" s="61"/>
      <c r="M616" s="112"/>
      <c r="N616" s="115"/>
      <c r="O616" s="93"/>
      <c r="P616" s="61"/>
      <c r="Q616" s="180"/>
      <c r="R616" s="115"/>
      <c r="S616" s="93"/>
      <c r="T616" s="61"/>
      <c r="U616" s="180"/>
      <c r="V616" s="115"/>
      <c r="W616" s="93"/>
      <c r="X616" s="61"/>
      <c r="Y616" s="112"/>
      <c r="Z616" s="181"/>
      <c r="AA616" s="182"/>
      <c r="AB616" s="183"/>
      <c r="AC616" s="112"/>
      <c r="AD616" s="115"/>
      <c r="AE616" s="151"/>
      <c r="AF616" s="184"/>
      <c r="AG616" s="188"/>
      <c r="AH616" s="188"/>
      <c r="AI616" s="188"/>
      <c r="AJ616" s="188"/>
      <c r="AK616" s="61"/>
      <c r="AL616" s="61"/>
      <c r="AM616" s="61"/>
      <c r="AN616" s="61"/>
      <c r="AO616" s="61"/>
    </row>
    <row r="617">
      <c r="A617" s="112"/>
      <c r="B617" s="149"/>
      <c r="C617" s="93"/>
      <c r="D617" s="61"/>
      <c r="E617" s="112"/>
      <c r="F617" s="149"/>
      <c r="G617" s="93"/>
      <c r="H617" s="61"/>
      <c r="I617" s="112"/>
      <c r="J617" s="149"/>
      <c r="K617" s="93"/>
      <c r="L617" s="61"/>
      <c r="M617" s="112"/>
      <c r="N617" s="115"/>
      <c r="O617" s="93"/>
      <c r="P617" s="61"/>
      <c r="Q617" s="180"/>
      <c r="R617" s="115"/>
      <c r="S617" s="93"/>
      <c r="T617" s="61"/>
      <c r="U617" s="180"/>
      <c r="V617" s="115"/>
      <c r="W617" s="93"/>
      <c r="X617" s="61"/>
      <c r="Y617" s="112"/>
      <c r="Z617" s="181"/>
      <c r="AA617" s="182"/>
      <c r="AB617" s="183"/>
      <c r="AC617" s="112"/>
      <c r="AD617" s="115"/>
      <c r="AE617" s="151"/>
      <c r="AF617" s="184"/>
      <c r="AG617" s="188"/>
      <c r="AH617" s="188"/>
      <c r="AI617" s="188"/>
      <c r="AJ617" s="188"/>
      <c r="AK617" s="61"/>
      <c r="AL617" s="61"/>
      <c r="AM617" s="61"/>
      <c r="AN617" s="61"/>
      <c r="AO617" s="61"/>
    </row>
    <row r="618">
      <c r="A618" s="112"/>
      <c r="B618" s="149"/>
      <c r="C618" s="93"/>
      <c r="D618" s="61"/>
      <c r="E618" s="112"/>
      <c r="F618" s="149"/>
      <c r="G618" s="93"/>
      <c r="H618" s="61"/>
      <c r="I618" s="112"/>
      <c r="J618" s="149"/>
      <c r="K618" s="93"/>
      <c r="L618" s="61"/>
      <c r="M618" s="112"/>
      <c r="N618" s="115"/>
      <c r="O618" s="93"/>
      <c r="P618" s="61"/>
      <c r="Q618" s="180"/>
      <c r="R618" s="115"/>
      <c r="S618" s="93"/>
      <c r="T618" s="61"/>
      <c r="U618" s="180"/>
      <c r="V618" s="115"/>
      <c r="W618" s="93"/>
      <c r="X618" s="61"/>
      <c r="Y618" s="112"/>
      <c r="Z618" s="181"/>
      <c r="AA618" s="182"/>
      <c r="AB618" s="183"/>
      <c r="AC618" s="112"/>
      <c r="AD618" s="115"/>
      <c r="AE618" s="151"/>
      <c r="AF618" s="184"/>
      <c r="AG618" s="188"/>
      <c r="AH618" s="188"/>
      <c r="AI618" s="188"/>
      <c r="AJ618" s="188"/>
      <c r="AK618" s="61"/>
      <c r="AL618" s="61"/>
      <c r="AM618" s="61"/>
      <c r="AN618" s="61"/>
      <c r="AO618" s="61"/>
    </row>
    <row r="619">
      <c r="A619" s="112"/>
      <c r="B619" s="149"/>
      <c r="C619" s="93"/>
      <c r="D619" s="61"/>
      <c r="E619" s="112"/>
      <c r="F619" s="149"/>
      <c r="G619" s="93"/>
      <c r="H619" s="61"/>
      <c r="I619" s="112"/>
      <c r="J619" s="149"/>
      <c r="K619" s="93"/>
      <c r="L619" s="61"/>
      <c r="M619" s="112"/>
      <c r="N619" s="115"/>
      <c r="O619" s="93"/>
      <c r="P619" s="61"/>
      <c r="Q619" s="180"/>
      <c r="R619" s="115"/>
      <c r="S619" s="93"/>
      <c r="T619" s="61"/>
      <c r="U619" s="180"/>
      <c r="V619" s="115"/>
      <c r="W619" s="93"/>
      <c r="X619" s="61"/>
      <c r="Y619" s="112"/>
      <c r="Z619" s="181"/>
      <c r="AA619" s="182"/>
      <c r="AB619" s="183"/>
      <c r="AC619" s="112"/>
      <c r="AD619" s="115"/>
      <c r="AE619" s="151"/>
      <c r="AF619" s="184"/>
      <c r="AG619" s="188"/>
      <c r="AH619" s="188"/>
      <c r="AI619" s="188"/>
      <c r="AJ619" s="188"/>
      <c r="AK619" s="61"/>
      <c r="AL619" s="61"/>
      <c r="AM619" s="61"/>
      <c r="AN619" s="61"/>
      <c r="AO619" s="61"/>
    </row>
    <row r="620">
      <c r="A620" s="112"/>
      <c r="B620" s="149"/>
      <c r="C620" s="93"/>
      <c r="D620" s="61"/>
      <c r="E620" s="112"/>
      <c r="F620" s="149"/>
      <c r="G620" s="93"/>
      <c r="H620" s="61"/>
      <c r="I620" s="112"/>
      <c r="J620" s="149"/>
      <c r="K620" s="93"/>
      <c r="L620" s="61"/>
      <c r="M620" s="112"/>
      <c r="N620" s="115"/>
      <c r="O620" s="93"/>
      <c r="P620" s="61"/>
      <c r="Q620" s="180"/>
      <c r="R620" s="115"/>
      <c r="S620" s="93"/>
      <c r="T620" s="61"/>
      <c r="U620" s="180"/>
      <c r="V620" s="115"/>
      <c r="W620" s="93"/>
      <c r="X620" s="61"/>
      <c r="Y620" s="112"/>
      <c r="Z620" s="181"/>
      <c r="AA620" s="182"/>
      <c r="AB620" s="183"/>
      <c r="AC620" s="112"/>
      <c r="AD620" s="115"/>
      <c r="AE620" s="151"/>
      <c r="AF620" s="184"/>
      <c r="AG620" s="188"/>
      <c r="AH620" s="188"/>
      <c r="AI620" s="188"/>
      <c r="AJ620" s="188"/>
      <c r="AK620" s="61"/>
      <c r="AL620" s="61"/>
      <c r="AM620" s="61"/>
      <c r="AN620" s="61"/>
      <c r="AO620" s="61"/>
    </row>
    <row r="621">
      <c r="A621" s="112"/>
      <c r="B621" s="149"/>
      <c r="C621" s="93"/>
      <c r="D621" s="61"/>
      <c r="E621" s="112"/>
      <c r="F621" s="149"/>
      <c r="G621" s="93"/>
      <c r="H621" s="61"/>
      <c r="I621" s="112"/>
      <c r="J621" s="149"/>
      <c r="K621" s="93"/>
      <c r="L621" s="61"/>
      <c r="M621" s="112"/>
      <c r="N621" s="115"/>
      <c r="O621" s="93"/>
      <c r="P621" s="61"/>
      <c r="Q621" s="180"/>
      <c r="R621" s="115"/>
      <c r="S621" s="93"/>
      <c r="T621" s="61"/>
      <c r="U621" s="180"/>
      <c r="V621" s="115"/>
      <c r="W621" s="93"/>
      <c r="X621" s="61"/>
      <c r="Y621" s="112"/>
      <c r="Z621" s="181"/>
      <c r="AA621" s="182"/>
      <c r="AB621" s="183"/>
      <c r="AC621" s="112"/>
      <c r="AD621" s="115"/>
      <c r="AE621" s="151"/>
      <c r="AF621" s="184"/>
      <c r="AG621" s="188"/>
      <c r="AH621" s="188"/>
      <c r="AI621" s="188"/>
      <c r="AJ621" s="188"/>
      <c r="AK621" s="61"/>
      <c r="AL621" s="61"/>
      <c r="AM621" s="61"/>
      <c r="AN621" s="61"/>
      <c r="AO621" s="61"/>
    </row>
    <row r="622">
      <c r="A622" s="112"/>
      <c r="B622" s="149"/>
      <c r="C622" s="93"/>
      <c r="D622" s="61"/>
      <c r="E622" s="112"/>
      <c r="F622" s="149"/>
      <c r="G622" s="93"/>
      <c r="H622" s="61"/>
      <c r="I622" s="112"/>
      <c r="J622" s="149"/>
      <c r="K622" s="93"/>
      <c r="L622" s="61"/>
      <c r="M622" s="112"/>
      <c r="N622" s="115"/>
      <c r="O622" s="93"/>
      <c r="P622" s="61"/>
      <c r="Q622" s="180"/>
      <c r="R622" s="115"/>
      <c r="S622" s="93"/>
      <c r="T622" s="61"/>
      <c r="U622" s="180"/>
      <c r="V622" s="115"/>
      <c r="W622" s="93"/>
      <c r="X622" s="61"/>
      <c r="Y622" s="112"/>
      <c r="Z622" s="181"/>
      <c r="AA622" s="182"/>
      <c r="AB622" s="183"/>
      <c r="AC622" s="112"/>
      <c r="AD622" s="115"/>
      <c r="AE622" s="151"/>
      <c r="AF622" s="184"/>
      <c r="AG622" s="188"/>
      <c r="AH622" s="188"/>
      <c r="AI622" s="188"/>
      <c r="AJ622" s="188"/>
      <c r="AK622" s="61"/>
      <c r="AL622" s="61"/>
      <c r="AM622" s="61"/>
      <c r="AN622" s="61"/>
      <c r="AO622" s="61"/>
    </row>
    <row r="623">
      <c r="A623" s="112"/>
      <c r="B623" s="149"/>
      <c r="C623" s="93"/>
      <c r="D623" s="61"/>
      <c r="E623" s="112"/>
      <c r="F623" s="149"/>
      <c r="G623" s="93"/>
      <c r="H623" s="61"/>
      <c r="I623" s="112"/>
      <c r="J623" s="149"/>
      <c r="K623" s="93"/>
      <c r="L623" s="61"/>
      <c r="M623" s="112"/>
      <c r="N623" s="115"/>
      <c r="O623" s="93"/>
      <c r="P623" s="61"/>
      <c r="Q623" s="180"/>
      <c r="R623" s="115"/>
      <c r="S623" s="93"/>
      <c r="T623" s="61"/>
      <c r="U623" s="180"/>
      <c r="V623" s="115"/>
      <c r="W623" s="93"/>
      <c r="X623" s="61"/>
      <c r="Y623" s="112"/>
      <c r="Z623" s="181"/>
      <c r="AA623" s="182"/>
      <c r="AB623" s="183"/>
      <c r="AC623" s="112"/>
      <c r="AD623" s="115"/>
      <c r="AE623" s="151"/>
      <c r="AF623" s="184"/>
      <c r="AG623" s="188"/>
      <c r="AH623" s="188"/>
      <c r="AI623" s="188"/>
      <c r="AJ623" s="188"/>
      <c r="AK623" s="61"/>
      <c r="AL623" s="61"/>
      <c r="AM623" s="61"/>
      <c r="AN623" s="61"/>
      <c r="AO623" s="61"/>
    </row>
    <row r="624">
      <c r="A624" s="112"/>
      <c r="B624" s="149"/>
      <c r="C624" s="93"/>
      <c r="D624" s="61"/>
      <c r="E624" s="112"/>
      <c r="F624" s="149"/>
      <c r="G624" s="93"/>
      <c r="H624" s="61"/>
      <c r="I624" s="112"/>
      <c r="J624" s="149"/>
      <c r="K624" s="93"/>
      <c r="L624" s="61"/>
      <c r="M624" s="112"/>
      <c r="N624" s="115"/>
      <c r="O624" s="93"/>
      <c r="P624" s="61"/>
      <c r="Q624" s="180"/>
      <c r="R624" s="115"/>
      <c r="S624" s="93"/>
      <c r="T624" s="61"/>
      <c r="U624" s="180"/>
      <c r="V624" s="115"/>
      <c r="W624" s="93"/>
      <c r="X624" s="61"/>
      <c r="Y624" s="112"/>
      <c r="Z624" s="181"/>
      <c r="AA624" s="182"/>
      <c r="AB624" s="183"/>
      <c r="AC624" s="112"/>
      <c r="AD624" s="115"/>
      <c r="AE624" s="151"/>
      <c r="AF624" s="184"/>
      <c r="AG624" s="188"/>
      <c r="AH624" s="188"/>
      <c r="AI624" s="188"/>
      <c r="AJ624" s="188"/>
      <c r="AK624" s="61"/>
      <c r="AL624" s="61"/>
      <c r="AM624" s="61"/>
      <c r="AN624" s="61"/>
      <c r="AO624" s="61"/>
    </row>
    <row r="625">
      <c r="A625" s="112"/>
      <c r="B625" s="149"/>
      <c r="C625" s="93"/>
      <c r="D625" s="61"/>
      <c r="E625" s="112"/>
      <c r="F625" s="149"/>
      <c r="G625" s="93"/>
      <c r="H625" s="61"/>
      <c r="I625" s="112"/>
      <c r="J625" s="149"/>
      <c r="K625" s="93"/>
      <c r="L625" s="61"/>
      <c r="M625" s="112"/>
      <c r="N625" s="115"/>
      <c r="O625" s="93"/>
      <c r="P625" s="61"/>
      <c r="Q625" s="180"/>
      <c r="R625" s="115"/>
      <c r="S625" s="93"/>
      <c r="T625" s="61"/>
      <c r="U625" s="180"/>
      <c r="V625" s="115"/>
      <c r="W625" s="93"/>
      <c r="X625" s="61"/>
      <c r="Y625" s="112"/>
      <c r="Z625" s="181"/>
      <c r="AA625" s="182"/>
      <c r="AB625" s="183"/>
      <c r="AC625" s="112"/>
      <c r="AD625" s="115"/>
      <c r="AE625" s="151"/>
      <c r="AF625" s="184"/>
      <c r="AG625" s="188"/>
      <c r="AH625" s="188"/>
      <c r="AI625" s="188"/>
      <c r="AJ625" s="188"/>
      <c r="AK625" s="61"/>
      <c r="AL625" s="61"/>
      <c r="AM625" s="61"/>
      <c r="AN625" s="61"/>
      <c r="AO625" s="61"/>
    </row>
    <row r="626">
      <c r="A626" s="112"/>
      <c r="B626" s="149"/>
      <c r="C626" s="93"/>
      <c r="D626" s="61"/>
      <c r="E626" s="112"/>
      <c r="F626" s="149"/>
      <c r="G626" s="93"/>
      <c r="H626" s="61"/>
      <c r="I626" s="112"/>
      <c r="J626" s="149"/>
      <c r="K626" s="93"/>
      <c r="L626" s="61"/>
      <c r="M626" s="112"/>
      <c r="N626" s="115"/>
      <c r="O626" s="93"/>
      <c r="P626" s="61"/>
      <c r="Q626" s="180"/>
      <c r="R626" s="115"/>
      <c r="S626" s="93"/>
      <c r="T626" s="61"/>
      <c r="U626" s="180"/>
      <c r="V626" s="115"/>
      <c r="W626" s="93"/>
      <c r="X626" s="61"/>
      <c r="Y626" s="112"/>
      <c r="Z626" s="181"/>
      <c r="AA626" s="182"/>
      <c r="AB626" s="183"/>
      <c r="AC626" s="112"/>
      <c r="AD626" s="115"/>
      <c r="AE626" s="151"/>
      <c r="AF626" s="184"/>
      <c r="AG626" s="188"/>
      <c r="AH626" s="188"/>
      <c r="AI626" s="188"/>
      <c r="AJ626" s="188"/>
      <c r="AK626" s="61"/>
      <c r="AL626" s="61"/>
      <c r="AM626" s="61"/>
      <c r="AN626" s="61"/>
      <c r="AO626" s="61"/>
    </row>
    <row r="627">
      <c r="A627" s="112"/>
      <c r="B627" s="149"/>
      <c r="C627" s="93"/>
      <c r="D627" s="61"/>
      <c r="E627" s="112"/>
      <c r="F627" s="149"/>
      <c r="G627" s="93"/>
      <c r="H627" s="61"/>
      <c r="I627" s="112"/>
      <c r="J627" s="149"/>
      <c r="K627" s="93"/>
      <c r="L627" s="61"/>
      <c r="M627" s="112"/>
      <c r="N627" s="115"/>
      <c r="O627" s="93"/>
      <c r="P627" s="61"/>
      <c r="Q627" s="180"/>
      <c r="R627" s="115"/>
      <c r="S627" s="93"/>
      <c r="T627" s="61"/>
      <c r="U627" s="180"/>
      <c r="V627" s="115"/>
      <c r="W627" s="93"/>
      <c r="X627" s="61"/>
      <c r="Y627" s="112"/>
      <c r="Z627" s="181"/>
      <c r="AA627" s="182"/>
      <c r="AB627" s="183"/>
      <c r="AC627" s="112"/>
      <c r="AD627" s="115"/>
      <c r="AE627" s="151"/>
      <c r="AF627" s="184"/>
      <c r="AG627" s="188"/>
      <c r="AH627" s="188"/>
      <c r="AI627" s="188"/>
      <c r="AJ627" s="188"/>
      <c r="AK627" s="61"/>
      <c r="AL627" s="61"/>
      <c r="AM627" s="61"/>
      <c r="AN627" s="61"/>
      <c r="AO627" s="61"/>
    </row>
    <row r="628">
      <c r="A628" s="112"/>
      <c r="B628" s="149"/>
      <c r="C628" s="93"/>
      <c r="D628" s="61"/>
      <c r="E628" s="112"/>
      <c r="F628" s="149"/>
      <c r="G628" s="93"/>
      <c r="H628" s="61"/>
      <c r="I628" s="112"/>
      <c r="J628" s="149"/>
      <c r="K628" s="93"/>
      <c r="L628" s="61"/>
      <c r="M628" s="112"/>
      <c r="N628" s="115"/>
      <c r="O628" s="93"/>
      <c r="P628" s="61"/>
      <c r="Q628" s="180"/>
      <c r="R628" s="115"/>
      <c r="S628" s="93"/>
      <c r="T628" s="61"/>
      <c r="U628" s="180"/>
      <c r="V628" s="115"/>
      <c r="W628" s="93"/>
      <c r="X628" s="61"/>
      <c r="Y628" s="112"/>
      <c r="Z628" s="181"/>
      <c r="AA628" s="182"/>
      <c r="AB628" s="183"/>
      <c r="AC628" s="112"/>
      <c r="AD628" s="115"/>
      <c r="AE628" s="151"/>
      <c r="AF628" s="184"/>
      <c r="AG628" s="188"/>
      <c r="AH628" s="188"/>
      <c r="AI628" s="188"/>
      <c r="AJ628" s="188"/>
      <c r="AK628" s="61"/>
      <c r="AL628" s="61"/>
      <c r="AM628" s="61"/>
      <c r="AN628" s="61"/>
      <c r="AO628" s="61"/>
    </row>
    <row r="629">
      <c r="A629" s="112"/>
      <c r="B629" s="149"/>
      <c r="C629" s="93"/>
      <c r="D629" s="61"/>
      <c r="E629" s="112"/>
      <c r="F629" s="149"/>
      <c r="G629" s="93"/>
      <c r="H629" s="61"/>
      <c r="I629" s="112"/>
      <c r="J629" s="149"/>
      <c r="K629" s="93"/>
      <c r="L629" s="61"/>
      <c r="M629" s="112"/>
      <c r="N629" s="115"/>
      <c r="O629" s="93"/>
      <c r="P629" s="61"/>
      <c r="Q629" s="180"/>
      <c r="R629" s="115"/>
      <c r="S629" s="93"/>
      <c r="T629" s="61"/>
      <c r="U629" s="180"/>
      <c r="V629" s="115"/>
      <c r="W629" s="93"/>
      <c r="X629" s="61"/>
      <c r="Y629" s="112"/>
      <c r="Z629" s="181"/>
      <c r="AA629" s="182"/>
      <c r="AB629" s="183"/>
      <c r="AC629" s="112"/>
      <c r="AD629" s="115"/>
      <c r="AE629" s="151"/>
      <c r="AF629" s="184"/>
      <c r="AG629" s="188"/>
      <c r="AH629" s="188"/>
      <c r="AI629" s="188"/>
      <c r="AJ629" s="188"/>
      <c r="AK629" s="61"/>
      <c r="AL629" s="61"/>
      <c r="AM629" s="61"/>
      <c r="AN629" s="61"/>
      <c r="AO629" s="61"/>
    </row>
    <row r="630">
      <c r="A630" s="112"/>
      <c r="B630" s="149"/>
      <c r="C630" s="93"/>
      <c r="D630" s="61"/>
      <c r="E630" s="112"/>
      <c r="F630" s="149"/>
      <c r="G630" s="93"/>
      <c r="H630" s="61"/>
      <c r="I630" s="112"/>
      <c r="J630" s="149"/>
      <c r="K630" s="93"/>
      <c r="L630" s="61"/>
      <c r="M630" s="112"/>
      <c r="N630" s="115"/>
      <c r="O630" s="93"/>
      <c r="P630" s="61"/>
      <c r="Q630" s="180"/>
      <c r="R630" s="115"/>
      <c r="S630" s="93"/>
      <c r="T630" s="61"/>
      <c r="U630" s="180"/>
      <c r="V630" s="115"/>
      <c r="W630" s="93"/>
      <c r="X630" s="61"/>
      <c r="Y630" s="112"/>
      <c r="Z630" s="181"/>
      <c r="AA630" s="182"/>
      <c r="AB630" s="183"/>
      <c r="AC630" s="112"/>
      <c r="AD630" s="115"/>
      <c r="AE630" s="151"/>
      <c r="AF630" s="184"/>
      <c r="AG630" s="188"/>
      <c r="AH630" s="188"/>
      <c r="AI630" s="188"/>
      <c r="AJ630" s="188"/>
      <c r="AK630" s="61"/>
      <c r="AL630" s="61"/>
      <c r="AM630" s="61"/>
      <c r="AN630" s="61"/>
      <c r="AO630" s="61"/>
    </row>
    <row r="631">
      <c r="A631" s="112"/>
      <c r="B631" s="149"/>
      <c r="C631" s="93"/>
      <c r="D631" s="61"/>
      <c r="E631" s="112"/>
      <c r="F631" s="149"/>
      <c r="G631" s="93"/>
      <c r="H631" s="61"/>
      <c r="I631" s="112"/>
      <c r="J631" s="149"/>
      <c r="K631" s="93"/>
      <c r="L631" s="61"/>
      <c r="M631" s="112"/>
      <c r="N631" s="115"/>
      <c r="O631" s="93"/>
      <c r="P631" s="61"/>
      <c r="Q631" s="180"/>
      <c r="R631" s="115"/>
      <c r="S631" s="93"/>
      <c r="T631" s="61"/>
      <c r="U631" s="180"/>
      <c r="V631" s="115"/>
      <c r="W631" s="93"/>
      <c r="X631" s="61"/>
      <c r="Y631" s="112"/>
      <c r="Z631" s="181"/>
      <c r="AA631" s="182"/>
      <c r="AB631" s="183"/>
      <c r="AC631" s="112"/>
      <c r="AD631" s="115"/>
      <c r="AE631" s="151"/>
      <c r="AF631" s="184"/>
      <c r="AG631" s="188"/>
      <c r="AH631" s="188"/>
      <c r="AI631" s="188"/>
      <c r="AJ631" s="188"/>
      <c r="AK631" s="61"/>
      <c r="AL631" s="61"/>
      <c r="AM631" s="61"/>
      <c r="AN631" s="61"/>
      <c r="AO631" s="61"/>
    </row>
    <row r="632">
      <c r="A632" s="112"/>
      <c r="B632" s="149"/>
      <c r="C632" s="93"/>
      <c r="D632" s="61"/>
      <c r="E632" s="112"/>
      <c r="F632" s="149"/>
      <c r="G632" s="93"/>
      <c r="H632" s="61"/>
      <c r="I632" s="112"/>
      <c r="J632" s="149"/>
      <c r="K632" s="93"/>
      <c r="L632" s="61"/>
      <c r="M632" s="112"/>
      <c r="N632" s="115"/>
      <c r="O632" s="93"/>
      <c r="P632" s="61"/>
      <c r="Q632" s="180"/>
      <c r="R632" s="115"/>
      <c r="S632" s="93"/>
      <c r="T632" s="61"/>
      <c r="U632" s="180"/>
      <c r="V632" s="115"/>
      <c r="W632" s="93"/>
      <c r="X632" s="61"/>
      <c r="Y632" s="112"/>
      <c r="Z632" s="181"/>
      <c r="AA632" s="182"/>
      <c r="AB632" s="183"/>
      <c r="AC632" s="112"/>
      <c r="AD632" s="115"/>
      <c r="AE632" s="151"/>
      <c r="AF632" s="184"/>
      <c r="AG632" s="188"/>
      <c r="AH632" s="188"/>
      <c r="AI632" s="188"/>
      <c r="AJ632" s="188"/>
      <c r="AK632" s="61"/>
      <c r="AL632" s="61"/>
      <c r="AM632" s="61"/>
      <c r="AN632" s="61"/>
      <c r="AO632" s="61"/>
    </row>
    <row r="633">
      <c r="A633" s="112"/>
      <c r="B633" s="149"/>
      <c r="C633" s="93"/>
      <c r="D633" s="61"/>
      <c r="E633" s="112"/>
      <c r="F633" s="149"/>
      <c r="G633" s="93"/>
      <c r="H633" s="61"/>
      <c r="I633" s="112"/>
      <c r="J633" s="149"/>
      <c r="K633" s="93"/>
      <c r="L633" s="61"/>
      <c r="M633" s="112"/>
      <c r="N633" s="115"/>
      <c r="O633" s="93"/>
      <c r="P633" s="61"/>
      <c r="Q633" s="180"/>
      <c r="R633" s="115"/>
      <c r="S633" s="93"/>
      <c r="T633" s="61"/>
      <c r="U633" s="180"/>
      <c r="V633" s="115"/>
      <c r="W633" s="93"/>
      <c r="X633" s="61"/>
      <c r="Y633" s="112"/>
      <c r="Z633" s="181"/>
      <c r="AA633" s="182"/>
      <c r="AB633" s="183"/>
      <c r="AC633" s="112"/>
      <c r="AD633" s="115"/>
      <c r="AE633" s="151"/>
      <c r="AF633" s="184"/>
      <c r="AG633" s="188"/>
      <c r="AH633" s="188"/>
      <c r="AI633" s="188"/>
      <c r="AJ633" s="188"/>
      <c r="AK633" s="61"/>
      <c r="AL633" s="61"/>
      <c r="AM633" s="61"/>
      <c r="AN633" s="61"/>
      <c r="AO633" s="61"/>
    </row>
    <row r="634">
      <c r="A634" s="112"/>
      <c r="B634" s="149"/>
      <c r="C634" s="93"/>
      <c r="D634" s="61"/>
      <c r="E634" s="112"/>
      <c r="F634" s="149"/>
      <c r="G634" s="93"/>
      <c r="H634" s="61"/>
      <c r="I634" s="112"/>
      <c r="J634" s="149"/>
      <c r="K634" s="93"/>
      <c r="L634" s="61"/>
      <c r="M634" s="112"/>
      <c r="N634" s="115"/>
      <c r="O634" s="93"/>
      <c r="P634" s="61"/>
      <c r="Q634" s="180"/>
      <c r="R634" s="115"/>
      <c r="S634" s="93"/>
      <c r="T634" s="61"/>
      <c r="U634" s="180"/>
      <c r="V634" s="115"/>
      <c r="W634" s="93"/>
      <c r="X634" s="61"/>
      <c r="Y634" s="112"/>
      <c r="Z634" s="181"/>
      <c r="AA634" s="182"/>
      <c r="AB634" s="183"/>
      <c r="AC634" s="112"/>
      <c r="AD634" s="115"/>
      <c r="AE634" s="151"/>
      <c r="AF634" s="184"/>
      <c r="AG634" s="188"/>
      <c r="AH634" s="188"/>
      <c r="AI634" s="188"/>
      <c r="AJ634" s="188"/>
      <c r="AK634" s="61"/>
      <c r="AL634" s="61"/>
      <c r="AM634" s="61"/>
      <c r="AN634" s="61"/>
      <c r="AO634" s="61"/>
    </row>
    <row r="635">
      <c r="A635" s="112"/>
      <c r="B635" s="149"/>
      <c r="C635" s="93"/>
      <c r="D635" s="61"/>
      <c r="E635" s="112"/>
      <c r="F635" s="149"/>
      <c r="G635" s="93"/>
      <c r="H635" s="61"/>
      <c r="I635" s="112"/>
      <c r="J635" s="149"/>
      <c r="K635" s="93"/>
      <c r="L635" s="61"/>
      <c r="M635" s="112"/>
      <c r="N635" s="115"/>
      <c r="O635" s="93"/>
      <c r="P635" s="61"/>
      <c r="Q635" s="180"/>
      <c r="R635" s="115"/>
      <c r="S635" s="93"/>
      <c r="T635" s="61"/>
      <c r="U635" s="180"/>
      <c r="V635" s="115"/>
      <c r="W635" s="93"/>
      <c r="X635" s="61"/>
      <c r="Y635" s="112"/>
      <c r="Z635" s="181"/>
      <c r="AA635" s="182"/>
      <c r="AB635" s="183"/>
      <c r="AC635" s="112"/>
      <c r="AD635" s="115"/>
      <c r="AE635" s="151"/>
      <c r="AF635" s="184"/>
      <c r="AG635" s="188"/>
      <c r="AH635" s="188"/>
      <c r="AI635" s="188"/>
      <c r="AJ635" s="188"/>
      <c r="AK635" s="61"/>
      <c r="AL635" s="61"/>
      <c r="AM635" s="61"/>
      <c r="AN635" s="61"/>
      <c r="AO635" s="61"/>
    </row>
    <row r="636">
      <c r="A636" s="112"/>
      <c r="B636" s="149"/>
      <c r="C636" s="93"/>
      <c r="D636" s="61"/>
      <c r="E636" s="112"/>
      <c r="F636" s="149"/>
      <c r="G636" s="93"/>
      <c r="H636" s="61"/>
      <c r="I636" s="112"/>
      <c r="J636" s="149"/>
      <c r="K636" s="93"/>
      <c r="L636" s="61"/>
      <c r="M636" s="112"/>
      <c r="N636" s="115"/>
      <c r="O636" s="93"/>
      <c r="P636" s="61"/>
      <c r="Q636" s="180"/>
      <c r="R636" s="115"/>
      <c r="S636" s="93"/>
      <c r="T636" s="61"/>
      <c r="U636" s="180"/>
      <c r="V636" s="115"/>
      <c r="W636" s="93"/>
      <c r="X636" s="61"/>
      <c r="Y636" s="112"/>
      <c r="Z636" s="181"/>
      <c r="AA636" s="182"/>
      <c r="AB636" s="183"/>
      <c r="AC636" s="112"/>
      <c r="AD636" s="115"/>
      <c r="AE636" s="151"/>
      <c r="AF636" s="184"/>
      <c r="AG636" s="188"/>
      <c r="AH636" s="188"/>
      <c r="AI636" s="188"/>
      <c r="AJ636" s="188"/>
      <c r="AK636" s="61"/>
      <c r="AL636" s="61"/>
      <c r="AM636" s="61"/>
      <c r="AN636" s="61"/>
      <c r="AO636" s="61"/>
    </row>
    <row r="637">
      <c r="A637" s="112"/>
      <c r="B637" s="149"/>
      <c r="C637" s="93"/>
      <c r="D637" s="61"/>
      <c r="E637" s="112"/>
      <c r="F637" s="149"/>
      <c r="G637" s="93"/>
      <c r="H637" s="61"/>
      <c r="I637" s="112"/>
      <c r="J637" s="149"/>
      <c r="K637" s="93"/>
      <c r="L637" s="61"/>
      <c r="M637" s="112"/>
      <c r="N637" s="115"/>
      <c r="O637" s="93"/>
      <c r="P637" s="61"/>
      <c r="Q637" s="180"/>
      <c r="R637" s="115"/>
      <c r="S637" s="93"/>
      <c r="T637" s="61"/>
      <c r="U637" s="180"/>
      <c r="V637" s="115"/>
      <c r="W637" s="93"/>
      <c r="X637" s="61"/>
      <c r="Y637" s="112"/>
      <c r="Z637" s="181"/>
      <c r="AA637" s="182"/>
      <c r="AB637" s="183"/>
      <c r="AC637" s="112"/>
      <c r="AD637" s="115"/>
      <c r="AE637" s="151"/>
      <c r="AF637" s="184"/>
      <c r="AG637" s="188"/>
      <c r="AH637" s="188"/>
      <c r="AI637" s="188"/>
      <c r="AJ637" s="188"/>
      <c r="AK637" s="61"/>
      <c r="AL637" s="61"/>
      <c r="AM637" s="61"/>
      <c r="AN637" s="61"/>
      <c r="AO637" s="61"/>
    </row>
    <row r="638">
      <c r="A638" s="112"/>
      <c r="B638" s="149"/>
      <c r="C638" s="93"/>
      <c r="D638" s="61"/>
      <c r="E638" s="112"/>
      <c r="F638" s="149"/>
      <c r="G638" s="93"/>
      <c r="H638" s="61"/>
      <c r="I638" s="112"/>
      <c r="J638" s="149"/>
      <c r="K638" s="93"/>
      <c r="L638" s="61"/>
      <c r="M638" s="112"/>
      <c r="N638" s="115"/>
      <c r="O638" s="93"/>
      <c r="P638" s="61"/>
      <c r="Q638" s="180"/>
      <c r="R638" s="115"/>
      <c r="S638" s="93"/>
      <c r="T638" s="61"/>
      <c r="U638" s="180"/>
      <c r="V638" s="115"/>
      <c r="W638" s="93"/>
      <c r="X638" s="61"/>
      <c r="Y638" s="112"/>
      <c r="Z638" s="181"/>
      <c r="AA638" s="182"/>
      <c r="AB638" s="183"/>
      <c r="AC638" s="112"/>
      <c r="AD638" s="115"/>
      <c r="AE638" s="151"/>
      <c r="AF638" s="184"/>
      <c r="AG638" s="188"/>
      <c r="AH638" s="188"/>
      <c r="AI638" s="188"/>
      <c r="AJ638" s="188"/>
      <c r="AK638" s="61"/>
      <c r="AL638" s="61"/>
      <c r="AM638" s="61"/>
      <c r="AN638" s="61"/>
      <c r="AO638" s="61"/>
    </row>
    <row r="639">
      <c r="A639" s="112"/>
      <c r="B639" s="149"/>
      <c r="C639" s="93"/>
      <c r="D639" s="61"/>
      <c r="E639" s="112"/>
      <c r="F639" s="149"/>
      <c r="G639" s="93"/>
      <c r="H639" s="61"/>
      <c r="I639" s="112"/>
      <c r="J639" s="149"/>
      <c r="K639" s="93"/>
      <c r="L639" s="61"/>
      <c r="M639" s="112"/>
      <c r="N639" s="115"/>
      <c r="O639" s="93"/>
      <c r="P639" s="61"/>
      <c r="Q639" s="180"/>
      <c r="R639" s="115"/>
      <c r="S639" s="93"/>
      <c r="T639" s="61"/>
      <c r="U639" s="180"/>
      <c r="V639" s="115"/>
      <c r="W639" s="93"/>
      <c r="X639" s="61"/>
      <c r="Y639" s="112"/>
      <c r="Z639" s="181"/>
      <c r="AA639" s="182"/>
      <c r="AB639" s="183"/>
      <c r="AC639" s="112"/>
      <c r="AD639" s="115"/>
      <c r="AE639" s="151"/>
      <c r="AF639" s="184"/>
      <c r="AG639" s="188"/>
      <c r="AH639" s="188"/>
      <c r="AI639" s="188"/>
      <c r="AJ639" s="188"/>
      <c r="AK639" s="61"/>
      <c r="AL639" s="61"/>
      <c r="AM639" s="61"/>
      <c r="AN639" s="61"/>
      <c r="AO639" s="61"/>
    </row>
    <row r="640">
      <c r="A640" s="112"/>
      <c r="B640" s="149"/>
      <c r="C640" s="93"/>
      <c r="D640" s="61"/>
      <c r="E640" s="112"/>
      <c r="F640" s="149"/>
      <c r="G640" s="93"/>
      <c r="H640" s="61"/>
      <c r="I640" s="112"/>
      <c r="J640" s="149"/>
      <c r="K640" s="93"/>
      <c r="L640" s="61"/>
      <c r="M640" s="112"/>
      <c r="N640" s="115"/>
      <c r="O640" s="93"/>
      <c r="P640" s="61"/>
      <c r="Q640" s="180"/>
      <c r="R640" s="115"/>
      <c r="S640" s="93"/>
      <c r="T640" s="61"/>
      <c r="U640" s="180"/>
      <c r="V640" s="115"/>
      <c r="W640" s="93"/>
      <c r="X640" s="61"/>
      <c r="Y640" s="112"/>
      <c r="Z640" s="181"/>
      <c r="AA640" s="182"/>
      <c r="AB640" s="183"/>
      <c r="AC640" s="112"/>
      <c r="AD640" s="115"/>
      <c r="AE640" s="151"/>
      <c r="AF640" s="184"/>
      <c r="AG640" s="188"/>
      <c r="AH640" s="188"/>
      <c r="AI640" s="188"/>
      <c r="AJ640" s="188"/>
      <c r="AK640" s="61"/>
      <c r="AL640" s="61"/>
      <c r="AM640" s="61"/>
      <c r="AN640" s="61"/>
      <c r="AO640" s="61"/>
    </row>
    <row r="641">
      <c r="A641" s="112"/>
      <c r="B641" s="149"/>
      <c r="C641" s="93"/>
      <c r="D641" s="61"/>
      <c r="E641" s="112"/>
      <c r="F641" s="149"/>
      <c r="G641" s="93"/>
      <c r="H641" s="61"/>
      <c r="I641" s="112"/>
      <c r="J641" s="149"/>
      <c r="K641" s="93"/>
      <c r="L641" s="61"/>
      <c r="M641" s="112"/>
      <c r="N641" s="115"/>
      <c r="O641" s="93"/>
      <c r="P641" s="61"/>
      <c r="Q641" s="180"/>
      <c r="R641" s="115"/>
      <c r="S641" s="93"/>
      <c r="T641" s="61"/>
      <c r="U641" s="180"/>
      <c r="V641" s="115"/>
      <c r="W641" s="93"/>
      <c r="X641" s="61"/>
      <c r="Y641" s="112"/>
      <c r="Z641" s="181"/>
      <c r="AA641" s="182"/>
      <c r="AB641" s="183"/>
      <c r="AC641" s="112"/>
      <c r="AD641" s="115"/>
      <c r="AE641" s="151"/>
      <c r="AF641" s="184"/>
      <c r="AG641" s="188"/>
      <c r="AH641" s="188"/>
      <c r="AI641" s="188"/>
      <c r="AJ641" s="188"/>
      <c r="AK641" s="61"/>
      <c r="AL641" s="61"/>
      <c r="AM641" s="61"/>
      <c r="AN641" s="61"/>
      <c r="AO641" s="61"/>
    </row>
    <row r="642">
      <c r="A642" s="112"/>
      <c r="B642" s="149"/>
      <c r="C642" s="93"/>
      <c r="D642" s="61"/>
      <c r="E642" s="112"/>
      <c r="F642" s="149"/>
      <c r="G642" s="93"/>
      <c r="H642" s="61"/>
      <c r="I642" s="112"/>
      <c r="J642" s="149"/>
      <c r="K642" s="93"/>
      <c r="L642" s="61"/>
      <c r="M642" s="112"/>
      <c r="N642" s="115"/>
      <c r="O642" s="93"/>
      <c r="P642" s="61"/>
      <c r="Q642" s="180"/>
      <c r="R642" s="115"/>
      <c r="S642" s="93"/>
      <c r="T642" s="61"/>
      <c r="U642" s="180"/>
      <c r="V642" s="115"/>
      <c r="W642" s="93"/>
      <c r="X642" s="61"/>
      <c r="Y642" s="112"/>
      <c r="Z642" s="181"/>
      <c r="AA642" s="182"/>
      <c r="AB642" s="183"/>
      <c r="AC642" s="112"/>
      <c r="AD642" s="115"/>
      <c r="AE642" s="151"/>
      <c r="AF642" s="184"/>
      <c r="AG642" s="188"/>
      <c r="AH642" s="188"/>
      <c r="AI642" s="188"/>
      <c r="AJ642" s="188"/>
      <c r="AK642" s="61"/>
      <c r="AL642" s="61"/>
      <c r="AM642" s="61"/>
      <c r="AN642" s="61"/>
      <c r="AO642" s="61"/>
    </row>
    <row r="643">
      <c r="A643" s="112"/>
      <c r="B643" s="149"/>
      <c r="C643" s="93"/>
      <c r="D643" s="61"/>
      <c r="E643" s="112"/>
      <c r="F643" s="149"/>
      <c r="G643" s="93"/>
      <c r="H643" s="61"/>
      <c r="I643" s="112"/>
      <c r="J643" s="149"/>
      <c r="K643" s="93"/>
      <c r="L643" s="61"/>
      <c r="M643" s="112"/>
      <c r="N643" s="115"/>
      <c r="O643" s="93"/>
      <c r="P643" s="61"/>
      <c r="Q643" s="180"/>
      <c r="R643" s="115"/>
      <c r="S643" s="93"/>
      <c r="T643" s="61"/>
      <c r="U643" s="180"/>
      <c r="V643" s="115"/>
      <c r="W643" s="93"/>
      <c r="X643" s="61"/>
      <c r="Y643" s="112"/>
      <c r="Z643" s="181"/>
      <c r="AA643" s="182"/>
      <c r="AB643" s="183"/>
      <c r="AC643" s="112"/>
      <c r="AD643" s="115"/>
      <c r="AE643" s="151"/>
      <c r="AF643" s="184"/>
      <c r="AG643" s="188"/>
      <c r="AH643" s="188"/>
      <c r="AI643" s="188"/>
      <c r="AJ643" s="188"/>
      <c r="AK643" s="61"/>
      <c r="AL643" s="61"/>
      <c r="AM643" s="61"/>
      <c r="AN643" s="61"/>
      <c r="AO643" s="61"/>
    </row>
    <row r="644">
      <c r="A644" s="112"/>
      <c r="B644" s="149"/>
      <c r="C644" s="93"/>
      <c r="D644" s="61"/>
      <c r="E644" s="112"/>
      <c r="F644" s="149"/>
      <c r="G644" s="93"/>
      <c r="H644" s="61"/>
      <c r="I644" s="112"/>
      <c r="J644" s="149"/>
      <c r="K644" s="93"/>
      <c r="L644" s="61"/>
      <c r="M644" s="112"/>
      <c r="N644" s="115"/>
      <c r="O644" s="93"/>
      <c r="P644" s="61"/>
      <c r="Q644" s="180"/>
      <c r="R644" s="115"/>
      <c r="S644" s="93"/>
      <c r="T644" s="61"/>
      <c r="U644" s="180"/>
      <c r="V644" s="115"/>
      <c r="W644" s="93"/>
      <c r="X644" s="61"/>
      <c r="Y644" s="112"/>
      <c r="Z644" s="181"/>
      <c r="AA644" s="182"/>
      <c r="AB644" s="183"/>
      <c r="AC644" s="112"/>
      <c r="AD644" s="115"/>
      <c r="AE644" s="151"/>
      <c r="AF644" s="184"/>
      <c r="AG644" s="188"/>
      <c r="AH644" s="188"/>
      <c r="AI644" s="188"/>
      <c r="AJ644" s="188"/>
      <c r="AK644" s="61"/>
      <c r="AL644" s="61"/>
      <c r="AM644" s="61"/>
      <c r="AN644" s="61"/>
      <c r="AO644" s="61"/>
    </row>
    <row r="645">
      <c r="A645" s="112"/>
      <c r="B645" s="149"/>
      <c r="C645" s="93"/>
      <c r="D645" s="61"/>
      <c r="E645" s="112"/>
      <c r="F645" s="149"/>
      <c r="G645" s="93"/>
      <c r="H645" s="61"/>
      <c r="I645" s="112"/>
      <c r="J645" s="149"/>
      <c r="K645" s="93"/>
      <c r="L645" s="61"/>
      <c r="M645" s="112"/>
      <c r="N645" s="115"/>
      <c r="O645" s="93"/>
      <c r="P645" s="61"/>
      <c r="Q645" s="180"/>
      <c r="R645" s="115"/>
      <c r="S645" s="93"/>
      <c r="T645" s="61"/>
      <c r="U645" s="180"/>
      <c r="V645" s="115"/>
      <c r="W645" s="93"/>
      <c r="X645" s="61"/>
      <c r="Y645" s="112"/>
      <c r="Z645" s="181"/>
      <c r="AA645" s="182"/>
      <c r="AB645" s="183"/>
      <c r="AC645" s="112"/>
      <c r="AD645" s="115"/>
      <c r="AE645" s="151"/>
      <c r="AF645" s="184"/>
      <c r="AG645" s="188"/>
      <c r="AH645" s="188"/>
      <c r="AI645" s="188"/>
      <c r="AJ645" s="188"/>
      <c r="AK645" s="61"/>
      <c r="AL645" s="61"/>
      <c r="AM645" s="61"/>
      <c r="AN645" s="61"/>
      <c r="AO645" s="61"/>
    </row>
    <row r="646">
      <c r="A646" s="112"/>
      <c r="B646" s="149"/>
      <c r="C646" s="93"/>
      <c r="D646" s="61"/>
      <c r="E646" s="112"/>
      <c r="F646" s="149"/>
      <c r="G646" s="93"/>
      <c r="H646" s="61"/>
      <c r="I646" s="112"/>
      <c r="J646" s="149"/>
      <c r="K646" s="93"/>
      <c r="L646" s="61"/>
      <c r="M646" s="112"/>
      <c r="N646" s="115"/>
      <c r="O646" s="93"/>
      <c r="P646" s="61"/>
      <c r="Q646" s="180"/>
      <c r="R646" s="115"/>
      <c r="S646" s="93"/>
      <c r="T646" s="61"/>
      <c r="U646" s="180"/>
      <c r="V646" s="115"/>
      <c r="W646" s="93"/>
      <c r="X646" s="61"/>
      <c r="Y646" s="112"/>
      <c r="Z646" s="181"/>
      <c r="AA646" s="182"/>
      <c r="AB646" s="183"/>
      <c r="AC646" s="112"/>
      <c r="AD646" s="115"/>
      <c r="AE646" s="151"/>
      <c r="AF646" s="184"/>
      <c r="AG646" s="188"/>
      <c r="AH646" s="188"/>
      <c r="AI646" s="188"/>
      <c r="AJ646" s="188"/>
      <c r="AK646" s="61"/>
      <c r="AL646" s="61"/>
      <c r="AM646" s="61"/>
      <c r="AN646" s="61"/>
      <c r="AO646" s="61"/>
    </row>
    <row r="647">
      <c r="A647" s="112"/>
      <c r="B647" s="149"/>
      <c r="C647" s="93"/>
      <c r="D647" s="61"/>
      <c r="E647" s="112"/>
      <c r="F647" s="149"/>
      <c r="G647" s="93"/>
      <c r="H647" s="61"/>
      <c r="I647" s="112"/>
      <c r="J647" s="149"/>
      <c r="K647" s="93"/>
      <c r="L647" s="61"/>
      <c r="M647" s="112"/>
      <c r="N647" s="115"/>
      <c r="O647" s="93"/>
      <c r="P647" s="61"/>
      <c r="Q647" s="180"/>
      <c r="R647" s="115"/>
      <c r="S647" s="93"/>
      <c r="T647" s="61"/>
      <c r="U647" s="180"/>
      <c r="V647" s="115"/>
      <c r="W647" s="93"/>
      <c r="X647" s="61"/>
      <c r="Y647" s="112"/>
      <c r="Z647" s="181"/>
      <c r="AA647" s="182"/>
      <c r="AB647" s="183"/>
      <c r="AC647" s="112"/>
      <c r="AD647" s="115"/>
      <c r="AE647" s="151"/>
      <c r="AF647" s="184"/>
      <c r="AG647" s="188"/>
      <c r="AH647" s="188"/>
      <c r="AI647" s="188"/>
      <c r="AJ647" s="188"/>
      <c r="AK647" s="61"/>
      <c r="AL647" s="61"/>
      <c r="AM647" s="61"/>
      <c r="AN647" s="61"/>
      <c r="AO647" s="61"/>
    </row>
    <row r="648">
      <c r="A648" s="112"/>
      <c r="B648" s="149"/>
      <c r="C648" s="93"/>
      <c r="D648" s="61"/>
      <c r="E648" s="112"/>
      <c r="F648" s="149"/>
      <c r="G648" s="93"/>
      <c r="H648" s="61"/>
      <c r="I648" s="112"/>
      <c r="J648" s="149"/>
      <c r="K648" s="93"/>
      <c r="L648" s="61"/>
      <c r="M648" s="112"/>
      <c r="N648" s="115"/>
      <c r="O648" s="93"/>
      <c r="P648" s="61"/>
      <c r="Q648" s="180"/>
      <c r="R648" s="115"/>
      <c r="S648" s="93"/>
      <c r="T648" s="61"/>
      <c r="U648" s="180"/>
      <c r="V648" s="115"/>
      <c r="W648" s="93"/>
      <c r="X648" s="61"/>
      <c r="Y648" s="112"/>
      <c r="Z648" s="181"/>
      <c r="AA648" s="182"/>
      <c r="AB648" s="183"/>
      <c r="AC648" s="112"/>
      <c r="AD648" s="115"/>
      <c r="AE648" s="151"/>
      <c r="AF648" s="184"/>
      <c r="AG648" s="188"/>
      <c r="AH648" s="188"/>
      <c r="AI648" s="188"/>
      <c r="AJ648" s="188"/>
      <c r="AK648" s="61"/>
      <c r="AL648" s="61"/>
      <c r="AM648" s="61"/>
      <c r="AN648" s="61"/>
      <c r="AO648" s="61"/>
    </row>
    <row r="649">
      <c r="A649" s="112"/>
      <c r="B649" s="149"/>
      <c r="C649" s="93"/>
      <c r="D649" s="61"/>
      <c r="E649" s="112"/>
      <c r="F649" s="149"/>
      <c r="G649" s="93"/>
      <c r="H649" s="61"/>
      <c r="I649" s="112"/>
      <c r="J649" s="149"/>
      <c r="K649" s="93"/>
      <c r="L649" s="61"/>
      <c r="M649" s="112"/>
      <c r="N649" s="115"/>
      <c r="O649" s="93"/>
      <c r="P649" s="61"/>
      <c r="Q649" s="180"/>
      <c r="R649" s="115"/>
      <c r="S649" s="93"/>
      <c r="T649" s="61"/>
      <c r="U649" s="180"/>
      <c r="V649" s="115"/>
      <c r="W649" s="93"/>
      <c r="X649" s="61"/>
      <c r="Y649" s="112"/>
      <c r="Z649" s="181"/>
      <c r="AA649" s="182"/>
      <c r="AB649" s="183"/>
      <c r="AC649" s="112"/>
      <c r="AD649" s="115"/>
      <c r="AE649" s="151"/>
      <c r="AF649" s="184"/>
      <c r="AG649" s="188"/>
      <c r="AH649" s="188"/>
      <c r="AI649" s="188"/>
      <c r="AJ649" s="188"/>
      <c r="AK649" s="61"/>
      <c r="AL649" s="61"/>
      <c r="AM649" s="61"/>
      <c r="AN649" s="61"/>
      <c r="AO649" s="61"/>
    </row>
    <row r="650">
      <c r="A650" s="112"/>
      <c r="B650" s="149"/>
      <c r="C650" s="93"/>
      <c r="D650" s="61"/>
      <c r="E650" s="112"/>
      <c r="F650" s="149"/>
      <c r="G650" s="93"/>
      <c r="H650" s="61"/>
      <c r="I650" s="112"/>
      <c r="J650" s="149"/>
      <c r="K650" s="93"/>
      <c r="L650" s="61"/>
      <c r="M650" s="112"/>
      <c r="N650" s="115"/>
      <c r="O650" s="93"/>
      <c r="P650" s="61"/>
      <c r="Q650" s="180"/>
      <c r="R650" s="115"/>
      <c r="S650" s="93"/>
      <c r="T650" s="61"/>
      <c r="U650" s="180"/>
      <c r="V650" s="115"/>
      <c r="W650" s="93"/>
      <c r="X650" s="61"/>
      <c r="Y650" s="112"/>
      <c r="Z650" s="181"/>
      <c r="AA650" s="182"/>
      <c r="AB650" s="183"/>
      <c r="AC650" s="112"/>
      <c r="AD650" s="115"/>
      <c r="AE650" s="151"/>
      <c r="AF650" s="184"/>
      <c r="AG650" s="188"/>
      <c r="AH650" s="188"/>
      <c r="AI650" s="188"/>
      <c r="AJ650" s="188"/>
      <c r="AK650" s="61"/>
      <c r="AL650" s="61"/>
      <c r="AM650" s="61"/>
      <c r="AN650" s="61"/>
      <c r="AO650" s="61"/>
    </row>
    <row r="651">
      <c r="A651" s="112"/>
      <c r="B651" s="149"/>
      <c r="C651" s="93"/>
      <c r="D651" s="61"/>
      <c r="E651" s="112"/>
      <c r="F651" s="149"/>
      <c r="G651" s="93"/>
      <c r="H651" s="61"/>
      <c r="I651" s="112"/>
      <c r="J651" s="149"/>
      <c r="K651" s="93"/>
      <c r="L651" s="61"/>
      <c r="M651" s="112"/>
      <c r="N651" s="115"/>
      <c r="O651" s="93"/>
      <c r="P651" s="61"/>
      <c r="Q651" s="180"/>
      <c r="R651" s="115"/>
      <c r="S651" s="93"/>
      <c r="T651" s="61"/>
      <c r="U651" s="180"/>
      <c r="V651" s="115"/>
      <c r="W651" s="93"/>
      <c r="X651" s="61"/>
      <c r="Y651" s="112"/>
      <c r="Z651" s="181"/>
      <c r="AA651" s="182"/>
      <c r="AB651" s="183"/>
      <c r="AC651" s="112"/>
      <c r="AD651" s="115"/>
      <c r="AE651" s="151"/>
      <c r="AF651" s="184"/>
      <c r="AG651" s="188"/>
      <c r="AH651" s="188"/>
      <c r="AI651" s="188"/>
      <c r="AJ651" s="188"/>
      <c r="AK651" s="61"/>
      <c r="AL651" s="61"/>
      <c r="AM651" s="61"/>
      <c r="AN651" s="61"/>
      <c r="AO651" s="61"/>
    </row>
    <row r="652">
      <c r="A652" s="112"/>
      <c r="B652" s="149"/>
      <c r="C652" s="93"/>
      <c r="D652" s="61"/>
      <c r="E652" s="112"/>
      <c r="F652" s="149"/>
      <c r="G652" s="93"/>
      <c r="H652" s="61"/>
      <c r="I652" s="112"/>
      <c r="J652" s="149"/>
      <c r="K652" s="93"/>
      <c r="L652" s="61"/>
      <c r="M652" s="112"/>
      <c r="N652" s="115"/>
      <c r="O652" s="93"/>
      <c r="P652" s="61"/>
      <c r="Q652" s="180"/>
      <c r="R652" s="115"/>
      <c r="S652" s="93"/>
      <c r="T652" s="61"/>
      <c r="U652" s="180"/>
      <c r="V652" s="115"/>
      <c r="W652" s="93"/>
      <c r="X652" s="61"/>
      <c r="Y652" s="112"/>
      <c r="Z652" s="181"/>
      <c r="AA652" s="182"/>
      <c r="AB652" s="183"/>
      <c r="AC652" s="112"/>
      <c r="AD652" s="115"/>
      <c r="AE652" s="151"/>
      <c r="AF652" s="184"/>
      <c r="AG652" s="188"/>
      <c r="AH652" s="188"/>
      <c r="AI652" s="188"/>
      <c r="AJ652" s="188"/>
      <c r="AK652" s="61"/>
      <c r="AL652" s="61"/>
      <c r="AM652" s="61"/>
      <c r="AN652" s="61"/>
      <c r="AO652" s="61"/>
    </row>
    <row r="653">
      <c r="A653" s="112"/>
      <c r="B653" s="149"/>
      <c r="C653" s="93"/>
      <c r="D653" s="61"/>
      <c r="E653" s="112"/>
      <c r="F653" s="149"/>
      <c r="G653" s="93"/>
      <c r="H653" s="61"/>
      <c r="I653" s="112"/>
      <c r="J653" s="149"/>
      <c r="K653" s="93"/>
      <c r="L653" s="61"/>
      <c r="M653" s="112"/>
      <c r="N653" s="115"/>
      <c r="O653" s="93"/>
      <c r="P653" s="61"/>
      <c r="Q653" s="180"/>
      <c r="R653" s="115"/>
      <c r="S653" s="93"/>
      <c r="T653" s="61"/>
      <c r="U653" s="180"/>
      <c r="V653" s="115"/>
      <c r="W653" s="93"/>
      <c r="X653" s="61"/>
      <c r="Y653" s="112"/>
      <c r="Z653" s="181"/>
      <c r="AA653" s="182"/>
      <c r="AB653" s="183"/>
      <c r="AC653" s="112"/>
      <c r="AD653" s="115"/>
      <c r="AE653" s="151"/>
      <c r="AF653" s="184"/>
      <c r="AG653" s="188"/>
      <c r="AH653" s="188"/>
      <c r="AI653" s="188"/>
      <c r="AJ653" s="188"/>
      <c r="AK653" s="61"/>
      <c r="AL653" s="61"/>
      <c r="AM653" s="61"/>
      <c r="AN653" s="61"/>
      <c r="AO653" s="61"/>
    </row>
    <row r="654">
      <c r="A654" s="112"/>
      <c r="B654" s="149"/>
      <c r="C654" s="93"/>
      <c r="D654" s="61"/>
      <c r="E654" s="112"/>
      <c r="F654" s="149"/>
      <c r="G654" s="93"/>
      <c r="H654" s="61"/>
      <c r="I654" s="112"/>
      <c r="J654" s="149"/>
      <c r="K654" s="93"/>
      <c r="L654" s="61"/>
      <c r="M654" s="112"/>
      <c r="N654" s="115"/>
      <c r="O654" s="93"/>
      <c r="P654" s="61"/>
      <c r="Q654" s="180"/>
      <c r="R654" s="115"/>
      <c r="S654" s="93"/>
      <c r="T654" s="61"/>
      <c r="U654" s="180"/>
      <c r="V654" s="115"/>
      <c r="W654" s="93"/>
      <c r="X654" s="61"/>
      <c r="Y654" s="112"/>
      <c r="Z654" s="181"/>
      <c r="AA654" s="182"/>
      <c r="AB654" s="183"/>
      <c r="AC654" s="112"/>
      <c r="AD654" s="115"/>
      <c r="AE654" s="151"/>
      <c r="AF654" s="184"/>
      <c r="AG654" s="188"/>
      <c r="AH654" s="188"/>
      <c r="AI654" s="188"/>
      <c r="AJ654" s="188"/>
      <c r="AK654" s="61"/>
      <c r="AL654" s="61"/>
      <c r="AM654" s="61"/>
      <c r="AN654" s="61"/>
      <c r="AO654" s="61"/>
    </row>
    <row r="655">
      <c r="A655" s="112"/>
      <c r="B655" s="149"/>
      <c r="C655" s="93"/>
      <c r="D655" s="61"/>
      <c r="E655" s="112"/>
      <c r="F655" s="149"/>
      <c r="G655" s="93"/>
      <c r="H655" s="61"/>
      <c r="I655" s="112"/>
      <c r="J655" s="149"/>
      <c r="K655" s="93"/>
      <c r="L655" s="61"/>
      <c r="M655" s="112"/>
      <c r="N655" s="115"/>
      <c r="O655" s="93"/>
      <c r="P655" s="61"/>
      <c r="Q655" s="180"/>
      <c r="R655" s="115"/>
      <c r="S655" s="93"/>
      <c r="T655" s="61"/>
      <c r="U655" s="180"/>
      <c r="V655" s="115"/>
      <c r="W655" s="93"/>
      <c r="X655" s="61"/>
      <c r="Y655" s="112"/>
      <c r="Z655" s="181"/>
      <c r="AA655" s="182"/>
      <c r="AB655" s="183"/>
      <c r="AC655" s="112"/>
      <c r="AD655" s="115"/>
      <c r="AE655" s="151"/>
      <c r="AF655" s="184"/>
      <c r="AG655" s="188"/>
      <c r="AH655" s="188"/>
      <c r="AI655" s="188"/>
      <c r="AJ655" s="188"/>
      <c r="AK655" s="61"/>
      <c r="AL655" s="61"/>
      <c r="AM655" s="61"/>
      <c r="AN655" s="61"/>
      <c r="AO655" s="61"/>
    </row>
    <row r="656">
      <c r="A656" s="112"/>
      <c r="B656" s="149"/>
      <c r="C656" s="93"/>
      <c r="D656" s="61"/>
      <c r="E656" s="112"/>
      <c r="F656" s="149"/>
      <c r="G656" s="93"/>
      <c r="H656" s="61"/>
      <c r="I656" s="112"/>
      <c r="J656" s="149"/>
      <c r="K656" s="93"/>
      <c r="L656" s="61"/>
      <c r="M656" s="112"/>
      <c r="N656" s="115"/>
      <c r="O656" s="93"/>
      <c r="P656" s="61"/>
      <c r="Q656" s="180"/>
      <c r="R656" s="115"/>
      <c r="S656" s="93"/>
      <c r="T656" s="61"/>
      <c r="U656" s="180"/>
      <c r="V656" s="115"/>
      <c r="W656" s="93"/>
      <c r="X656" s="61"/>
      <c r="Y656" s="112"/>
      <c r="Z656" s="181"/>
      <c r="AA656" s="182"/>
      <c r="AB656" s="183"/>
      <c r="AC656" s="112"/>
      <c r="AD656" s="115"/>
      <c r="AE656" s="151"/>
      <c r="AF656" s="184"/>
      <c r="AG656" s="188"/>
      <c r="AH656" s="188"/>
      <c r="AI656" s="188"/>
      <c r="AJ656" s="188"/>
      <c r="AK656" s="61"/>
      <c r="AL656" s="61"/>
      <c r="AM656" s="61"/>
      <c r="AN656" s="61"/>
      <c r="AO656" s="61"/>
    </row>
    <row r="657">
      <c r="A657" s="112"/>
      <c r="B657" s="149"/>
      <c r="C657" s="93"/>
      <c r="D657" s="61"/>
      <c r="E657" s="112"/>
      <c r="F657" s="149"/>
      <c r="G657" s="93"/>
      <c r="H657" s="61"/>
      <c r="I657" s="112"/>
      <c r="J657" s="149"/>
      <c r="K657" s="93"/>
      <c r="L657" s="61"/>
      <c r="M657" s="112"/>
      <c r="N657" s="115"/>
      <c r="O657" s="93"/>
      <c r="P657" s="61"/>
      <c r="Q657" s="180"/>
      <c r="R657" s="115"/>
      <c r="S657" s="93"/>
      <c r="T657" s="61"/>
      <c r="U657" s="180"/>
      <c r="V657" s="115"/>
      <c r="W657" s="93"/>
      <c r="X657" s="61"/>
      <c r="Y657" s="112"/>
      <c r="Z657" s="181"/>
      <c r="AA657" s="182"/>
      <c r="AB657" s="183"/>
      <c r="AC657" s="112"/>
      <c r="AD657" s="115"/>
      <c r="AE657" s="151"/>
      <c r="AF657" s="184"/>
      <c r="AG657" s="188"/>
      <c r="AH657" s="188"/>
      <c r="AI657" s="188"/>
      <c r="AJ657" s="188"/>
      <c r="AK657" s="61"/>
      <c r="AL657" s="61"/>
      <c r="AM657" s="61"/>
      <c r="AN657" s="61"/>
      <c r="AO657" s="61"/>
    </row>
    <row r="658">
      <c r="A658" s="112"/>
      <c r="B658" s="149"/>
      <c r="C658" s="93"/>
      <c r="D658" s="61"/>
      <c r="E658" s="112"/>
      <c r="F658" s="149"/>
      <c r="G658" s="93"/>
      <c r="H658" s="61"/>
      <c r="I658" s="112"/>
      <c r="J658" s="149"/>
      <c r="K658" s="93"/>
      <c r="L658" s="61"/>
      <c r="M658" s="112"/>
      <c r="N658" s="115"/>
      <c r="O658" s="93"/>
      <c r="P658" s="61"/>
      <c r="Q658" s="180"/>
      <c r="R658" s="115"/>
      <c r="S658" s="93"/>
      <c r="T658" s="61"/>
      <c r="U658" s="180"/>
      <c r="V658" s="115"/>
      <c r="W658" s="93"/>
      <c r="X658" s="61"/>
      <c r="Y658" s="112"/>
      <c r="Z658" s="181"/>
      <c r="AA658" s="182"/>
      <c r="AB658" s="183"/>
      <c r="AC658" s="112"/>
      <c r="AD658" s="115"/>
      <c r="AE658" s="151"/>
      <c r="AF658" s="184"/>
      <c r="AG658" s="188"/>
      <c r="AH658" s="188"/>
      <c r="AI658" s="188"/>
      <c r="AJ658" s="188"/>
      <c r="AK658" s="61"/>
      <c r="AL658" s="61"/>
      <c r="AM658" s="61"/>
      <c r="AN658" s="61"/>
      <c r="AO658" s="61"/>
    </row>
    <row r="659">
      <c r="A659" s="112"/>
      <c r="B659" s="149"/>
      <c r="C659" s="93"/>
      <c r="D659" s="61"/>
      <c r="E659" s="112"/>
      <c r="F659" s="149"/>
      <c r="G659" s="93"/>
      <c r="H659" s="61"/>
      <c r="I659" s="112"/>
      <c r="J659" s="149"/>
      <c r="K659" s="93"/>
      <c r="L659" s="61"/>
      <c r="M659" s="112"/>
      <c r="N659" s="115"/>
      <c r="O659" s="93"/>
      <c r="P659" s="61"/>
      <c r="Q659" s="180"/>
      <c r="R659" s="115"/>
      <c r="S659" s="93"/>
      <c r="T659" s="61"/>
      <c r="U659" s="180"/>
      <c r="V659" s="115"/>
      <c r="W659" s="93"/>
      <c r="X659" s="61"/>
      <c r="Y659" s="112"/>
      <c r="Z659" s="181"/>
      <c r="AA659" s="182"/>
      <c r="AB659" s="183"/>
      <c r="AC659" s="112"/>
      <c r="AD659" s="115"/>
      <c r="AE659" s="151"/>
      <c r="AF659" s="184"/>
      <c r="AG659" s="188"/>
      <c r="AH659" s="188"/>
      <c r="AI659" s="188"/>
      <c r="AJ659" s="188"/>
      <c r="AK659" s="61"/>
      <c r="AL659" s="61"/>
      <c r="AM659" s="61"/>
      <c r="AN659" s="61"/>
      <c r="AO659" s="61"/>
    </row>
    <row r="660">
      <c r="A660" s="112"/>
      <c r="B660" s="149"/>
      <c r="C660" s="93"/>
      <c r="D660" s="61"/>
      <c r="E660" s="112"/>
      <c r="F660" s="149"/>
      <c r="G660" s="93"/>
      <c r="H660" s="61"/>
      <c r="I660" s="112"/>
      <c r="J660" s="149"/>
      <c r="K660" s="93"/>
      <c r="L660" s="61"/>
      <c r="M660" s="112"/>
      <c r="N660" s="115"/>
      <c r="O660" s="93"/>
      <c r="P660" s="61"/>
      <c r="Q660" s="180"/>
      <c r="R660" s="115"/>
      <c r="S660" s="93"/>
      <c r="T660" s="61"/>
      <c r="U660" s="180"/>
      <c r="V660" s="115"/>
      <c r="W660" s="93"/>
      <c r="X660" s="61"/>
      <c r="Y660" s="112"/>
      <c r="Z660" s="181"/>
      <c r="AA660" s="182"/>
      <c r="AB660" s="183"/>
      <c r="AC660" s="112"/>
      <c r="AD660" s="115"/>
      <c r="AE660" s="151"/>
      <c r="AF660" s="184"/>
      <c r="AG660" s="188"/>
      <c r="AH660" s="188"/>
      <c r="AI660" s="188"/>
      <c r="AJ660" s="188"/>
      <c r="AK660" s="61"/>
      <c r="AL660" s="61"/>
      <c r="AM660" s="61"/>
      <c r="AN660" s="61"/>
      <c r="AO660" s="61"/>
    </row>
    <row r="661">
      <c r="A661" s="112"/>
      <c r="B661" s="149"/>
      <c r="C661" s="93"/>
      <c r="D661" s="61"/>
      <c r="E661" s="112"/>
      <c r="F661" s="149"/>
      <c r="G661" s="93"/>
      <c r="H661" s="61"/>
      <c r="I661" s="112"/>
      <c r="J661" s="149"/>
      <c r="K661" s="93"/>
      <c r="L661" s="61"/>
      <c r="M661" s="112"/>
      <c r="N661" s="115"/>
      <c r="O661" s="93"/>
      <c r="P661" s="61"/>
      <c r="Q661" s="180"/>
      <c r="R661" s="115"/>
      <c r="S661" s="93"/>
      <c r="T661" s="61"/>
      <c r="U661" s="180"/>
      <c r="V661" s="115"/>
      <c r="W661" s="93"/>
      <c r="X661" s="61"/>
      <c r="Y661" s="112"/>
      <c r="Z661" s="181"/>
      <c r="AA661" s="182"/>
      <c r="AB661" s="183"/>
      <c r="AC661" s="112"/>
      <c r="AD661" s="115"/>
      <c r="AE661" s="151"/>
      <c r="AF661" s="184"/>
      <c r="AG661" s="188"/>
      <c r="AH661" s="188"/>
      <c r="AI661" s="188"/>
      <c r="AJ661" s="188"/>
      <c r="AK661" s="61"/>
      <c r="AL661" s="61"/>
      <c r="AM661" s="61"/>
      <c r="AN661" s="61"/>
      <c r="AO661" s="61"/>
    </row>
    <row r="662">
      <c r="A662" s="112"/>
      <c r="B662" s="149"/>
      <c r="C662" s="93"/>
      <c r="D662" s="61"/>
      <c r="E662" s="112"/>
      <c r="F662" s="149"/>
      <c r="G662" s="93"/>
      <c r="H662" s="61"/>
      <c r="I662" s="112"/>
      <c r="J662" s="149"/>
      <c r="K662" s="93"/>
      <c r="L662" s="61"/>
      <c r="M662" s="112"/>
      <c r="N662" s="115"/>
      <c r="O662" s="93"/>
      <c r="P662" s="61"/>
      <c r="Q662" s="180"/>
      <c r="R662" s="115"/>
      <c r="S662" s="93"/>
      <c r="T662" s="61"/>
      <c r="U662" s="180"/>
      <c r="V662" s="115"/>
      <c r="W662" s="93"/>
      <c r="X662" s="61"/>
      <c r="Y662" s="112"/>
      <c r="Z662" s="181"/>
      <c r="AA662" s="182"/>
      <c r="AB662" s="183"/>
      <c r="AC662" s="112"/>
      <c r="AD662" s="115"/>
      <c r="AE662" s="151"/>
      <c r="AF662" s="184"/>
      <c r="AG662" s="188"/>
      <c r="AH662" s="188"/>
      <c r="AI662" s="188"/>
      <c r="AJ662" s="188"/>
      <c r="AK662" s="61"/>
      <c r="AL662" s="61"/>
      <c r="AM662" s="61"/>
      <c r="AN662" s="61"/>
      <c r="AO662" s="61"/>
    </row>
    <row r="663">
      <c r="A663" s="112"/>
      <c r="B663" s="149"/>
      <c r="C663" s="93"/>
      <c r="D663" s="61"/>
      <c r="E663" s="112"/>
      <c r="F663" s="149"/>
      <c r="G663" s="93"/>
      <c r="H663" s="61"/>
      <c r="I663" s="112"/>
      <c r="J663" s="149"/>
      <c r="K663" s="93"/>
      <c r="L663" s="61"/>
      <c r="M663" s="112"/>
      <c r="N663" s="115"/>
      <c r="O663" s="93"/>
      <c r="P663" s="61"/>
      <c r="Q663" s="180"/>
      <c r="R663" s="115"/>
      <c r="S663" s="93"/>
      <c r="T663" s="61"/>
      <c r="U663" s="180"/>
      <c r="V663" s="115"/>
      <c r="W663" s="93"/>
      <c r="X663" s="61"/>
      <c r="Y663" s="112"/>
      <c r="Z663" s="181"/>
      <c r="AA663" s="182"/>
      <c r="AB663" s="183"/>
      <c r="AC663" s="112"/>
      <c r="AD663" s="115"/>
      <c r="AE663" s="151"/>
      <c r="AF663" s="184"/>
      <c r="AG663" s="188"/>
      <c r="AH663" s="188"/>
      <c r="AI663" s="188"/>
      <c r="AJ663" s="188"/>
      <c r="AK663" s="61"/>
      <c r="AL663" s="61"/>
      <c r="AM663" s="61"/>
      <c r="AN663" s="61"/>
      <c r="AO663" s="61"/>
    </row>
    <row r="664">
      <c r="A664" s="112"/>
      <c r="B664" s="149"/>
      <c r="C664" s="93"/>
      <c r="D664" s="61"/>
      <c r="E664" s="112"/>
      <c r="F664" s="149"/>
      <c r="G664" s="93"/>
      <c r="H664" s="61"/>
      <c r="I664" s="112"/>
      <c r="J664" s="149"/>
      <c r="K664" s="93"/>
      <c r="L664" s="61"/>
      <c r="M664" s="112"/>
      <c r="N664" s="115"/>
      <c r="O664" s="93"/>
      <c r="P664" s="61"/>
      <c r="Q664" s="180"/>
      <c r="R664" s="115"/>
      <c r="S664" s="93"/>
      <c r="T664" s="61"/>
      <c r="U664" s="180"/>
      <c r="V664" s="115"/>
      <c r="W664" s="93"/>
      <c r="X664" s="61"/>
      <c r="Y664" s="112"/>
      <c r="Z664" s="181"/>
      <c r="AA664" s="182"/>
      <c r="AB664" s="183"/>
      <c r="AC664" s="112"/>
      <c r="AD664" s="115"/>
      <c r="AE664" s="151"/>
      <c r="AF664" s="184"/>
      <c r="AG664" s="188"/>
      <c r="AH664" s="188"/>
      <c r="AI664" s="188"/>
      <c r="AJ664" s="188"/>
      <c r="AK664" s="61"/>
      <c r="AL664" s="61"/>
      <c r="AM664" s="61"/>
      <c r="AN664" s="61"/>
      <c r="AO664" s="61"/>
    </row>
    <row r="665">
      <c r="A665" s="112"/>
      <c r="B665" s="149"/>
      <c r="C665" s="93"/>
      <c r="D665" s="61"/>
      <c r="E665" s="112"/>
      <c r="F665" s="149"/>
      <c r="G665" s="93"/>
      <c r="H665" s="61"/>
      <c r="I665" s="112"/>
      <c r="J665" s="149"/>
      <c r="K665" s="93"/>
      <c r="L665" s="61"/>
      <c r="M665" s="112"/>
      <c r="N665" s="115"/>
      <c r="O665" s="93"/>
      <c r="P665" s="61"/>
      <c r="Q665" s="180"/>
      <c r="R665" s="115"/>
      <c r="S665" s="93"/>
      <c r="T665" s="61"/>
      <c r="U665" s="180"/>
      <c r="V665" s="115"/>
      <c r="W665" s="93"/>
      <c r="X665" s="61"/>
      <c r="Y665" s="112"/>
      <c r="Z665" s="181"/>
      <c r="AA665" s="182"/>
      <c r="AB665" s="183"/>
      <c r="AC665" s="112"/>
      <c r="AD665" s="115"/>
      <c r="AE665" s="151"/>
      <c r="AF665" s="184"/>
      <c r="AG665" s="188"/>
      <c r="AH665" s="188"/>
      <c r="AI665" s="188"/>
      <c r="AJ665" s="188"/>
      <c r="AK665" s="61"/>
      <c r="AL665" s="61"/>
      <c r="AM665" s="61"/>
      <c r="AN665" s="61"/>
      <c r="AO665" s="61"/>
    </row>
    <row r="666">
      <c r="A666" s="112"/>
      <c r="B666" s="149"/>
      <c r="C666" s="93"/>
      <c r="D666" s="61"/>
      <c r="E666" s="112"/>
      <c r="F666" s="149"/>
      <c r="G666" s="93"/>
      <c r="H666" s="61"/>
      <c r="I666" s="112"/>
      <c r="J666" s="149"/>
      <c r="K666" s="93"/>
      <c r="L666" s="61"/>
      <c r="M666" s="112"/>
      <c r="N666" s="115"/>
      <c r="O666" s="93"/>
      <c r="P666" s="61"/>
      <c r="Q666" s="180"/>
      <c r="R666" s="115"/>
      <c r="S666" s="93"/>
      <c r="T666" s="61"/>
      <c r="U666" s="180"/>
      <c r="V666" s="115"/>
      <c r="W666" s="93"/>
      <c r="X666" s="61"/>
      <c r="Y666" s="112"/>
      <c r="Z666" s="181"/>
      <c r="AA666" s="182"/>
      <c r="AB666" s="183"/>
      <c r="AC666" s="112"/>
      <c r="AD666" s="115"/>
      <c r="AE666" s="151"/>
      <c r="AF666" s="184"/>
      <c r="AG666" s="188"/>
      <c r="AH666" s="188"/>
      <c r="AI666" s="188"/>
      <c r="AJ666" s="188"/>
      <c r="AK666" s="61"/>
      <c r="AL666" s="61"/>
      <c r="AM666" s="61"/>
      <c r="AN666" s="61"/>
      <c r="AO666" s="61"/>
    </row>
    <row r="667">
      <c r="A667" s="112"/>
      <c r="B667" s="149"/>
      <c r="C667" s="93"/>
      <c r="D667" s="61"/>
      <c r="E667" s="112"/>
      <c r="F667" s="149"/>
      <c r="G667" s="93"/>
      <c r="H667" s="61"/>
      <c r="I667" s="112"/>
      <c r="J667" s="149"/>
      <c r="K667" s="93"/>
      <c r="L667" s="61"/>
      <c r="M667" s="112"/>
      <c r="N667" s="115"/>
      <c r="O667" s="93"/>
      <c r="P667" s="61"/>
      <c r="Q667" s="180"/>
      <c r="R667" s="115"/>
      <c r="S667" s="93"/>
      <c r="T667" s="61"/>
      <c r="U667" s="180"/>
      <c r="V667" s="115"/>
      <c r="W667" s="93"/>
      <c r="X667" s="61"/>
      <c r="Y667" s="112"/>
      <c r="Z667" s="181"/>
      <c r="AA667" s="182"/>
      <c r="AB667" s="183"/>
      <c r="AC667" s="112"/>
      <c r="AD667" s="115"/>
      <c r="AE667" s="151"/>
      <c r="AF667" s="184"/>
      <c r="AG667" s="188"/>
      <c r="AH667" s="188"/>
      <c r="AI667" s="188"/>
      <c r="AJ667" s="188"/>
      <c r="AK667" s="61"/>
      <c r="AL667" s="61"/>
      <c r="AM667" s="61"/>
      <c r="AN667" s="61"/>
      <c r="AO667" s="61"/>
    </row>
    <row r="668">
      <c r="A668" s="112"/>
      <c r="B668" s="149"/>
      <c r="C668" s="93"/>
      <c r="D668" s="61"/>
      <c r="E668" s="112"/>
      <c r="F668" s="149"/>
      <c r="G668" s="93"/>
      <c r="H668" s="61"/>
      <c r="I668" s="112"/>
      <c r="J668" s="149"/>
      <c r="K668" s="93"/>
      <c r="L668" s="61"/>
      <c r="M668" s="112"/>
      <c r="N668" s="115"/>
      <c r="O668" s="93"/>
      <c r="P668" s="61"/>
      <c r="Q668" s="180"/>
      <c r="R668" s="115"/>
      <c r="S668" s="93"/>
      <c r="T668" s="61"/>
      <c r="U668" s="180"/>
      <c r="V668" s="115"/>
      <c r="W668" s="93"/>
      <c r="X668" s="61"/>
      <c r="Y668" s="112"/>
      <c r="Z668" s="181"/>
      <c r="AA668" s="182"/>
      <c r="AB668" s="183"/>
      <c r="AC668" s="112"/>
      <c r="AD668" s="115"/>
      <c r="AE668" s="151"/>
      <c r="AF668" s="184"/>
      <c r="AG668" s="188"/>
      <c r="AH668" s="188"/>
      <c r="AI668" s="188"/>
      <c r="AJ668" s="188"/>
      <c r="AK668" s="61"/>
      <c r="AL668" s="61"/>
      <c r="AM668" s="61"/>
      <c r="AN668" s="61"/>
      <c r="AO668" s="61"/>
    </row>
    <row r="669">
      <c r="A669" s="112"/>
      <c r="B669" s="149"/>
      <c r="C669" s="93"/>
      <c r="D669" s="61"/>
      <c r="E669" s="112"/>
      <c r="F669" s="149"/>
      <c r="G669" s="93"/>
      <c r="H669" s="61"/>
      <c r="I669" s="112"/>
      <c r="J669" s="149"/>
      <c r="K669" s="93"/>
      <c r="L669" s="61"/>
      <c r="M669" s="112"/>
      <c r="N669" s="115"/>
      <c r="O669" s="93"/>
      <c r="P669" s="61"/>
      <c r="Q669" s="180"/>
      <c r="R669" s="115"/>
      <c r="S669" s="93"/>
      <c r="T669" s="61"/>
      <c r="U669" s="180"/>
      <c r="V669" s="115"/>
      <c r="W669" s="93"/>
      <c r="X669" s="61"/>
      <c r="Y669" s="112"/>
      <c r="Z669" s="181"/>
      <c r="AA669" s="182"/>
      <c r="AB669" s="183"/>
      <c r="AC669" s="112"/>
      <c r="AD669" s="115"/>
      <c r="AE669" s="151"/>
      <c r="AF669" s="184"/>
      <c r="AG669" s="188"/>
      <c r="AH669" s="188"/>
      <c r="AI669" s="188"/>
      <c r="AJ669" s="188"/>
      <c r="AK669" s="61"/>
      <c r="AL669" s="61"/>
      <c r="AM669" s="61"/>
      <c r="AN669" s="61"/>
      <c r="AO669" s="61"/>
    </row>
    <row r="670">
      <c r="A670" s="112"/>
      <c r="B670" s="149"/>
      <c r="C670" s="93"/>
      <c r="D670" s="61"/>
      <c r="E670" s="112"/>
      <c r="F670" s="149"/>
      <c r="G670" s="93"/>
      <c r="H670" s="61"/>
      <c r="I670" s="112"/>
      <c r="J670" s="149"/>
      <c r="K670" s="93"/>
      <c r="L670" s="61"/>
      <c r="M670" s="112"/>
      <c r="N670" s="115"/>
      <c r="O670" s="93"/>
      <c r="P670" s="61"/>
      <c r="Q670" s="180"/>
      <c r="R670" s="115"/>
      <c r="S670" s="93"/>
      <c r="T670" s="61"/>
      <c r="U670" s="180"/>
      <c r="V670" s="115"/>
      <c r="W670" s="93"/>
      <c r="X670" s="61"/>
      <c r="Y670" s="112"/>
      <c r="Z670" s="181"/>
      <c r="AA670" s="182"/>
      <c r="AB670" s="183"/>
      <c r="AC670" s="112"/>
      <c r="AD670" s="115"/>
      <c r="AE670" s="151"/>
      <c r="AF670" s="184"/>
      <c r="AG670" s="188"/>
      <c r="AH670" s="188"/>
      <c r="AI670" s="188"/>
      <c r="AJ670" s="188"/>
      <c r="AK670" s="61"/>
      <c r="AL670" s="61"/>
      <c r="AM670" s="61"/>
      <c r="AN670" s="61"/>
      <c r="AO670" s="61"/>
    </row>
    <row r="671">
      <c r="A671" s="112"/>
      <c r="B671" s="149"/>
      <c r="C671" s="93"/>
      <c r="D671" s="61"/>
      <c r="E671" s="112"/>
      <c r="F671" s="149"/>
      <c r="G671" s="93"/>
      <c r="H671" s="61"/>
      <c r="I671" s="112"/>
      <c r="J671" s="149"/>
      <c r="K671" s="93"/>
      <c r="L671" s="61"/>
      <c r="M671" s="112"/>
      <c r="N671" s="115"/>
      <c r="O671" s="93"/>
      <c r="P671" s="61"/>
      <c r="Q671" s="180"/>
      <c r="R671" s="115"/>
      <c r="S671" s="93"/>
      <c r="T671" s="61"/>
      <c r="U671" s="180"/>
      <c r="V671" s="115"/>
      <c r="W671" s="93"/>
      <c r="X671" s="61"/>
      <c r="Y671" s="112"/>
      <c r="Z671" s="181"/>
      <c r="AA671" s="182"/>
      <c r="AB671" s="183"/>
      <c r="AC671" s="112"/>
      <c r="AD671" s="115"/>
      <c r="AE671" s="151"/>
      <c r="AF671" s="184"/>
      <c r="AG671" s="188"/>
      <c r="AH671" s="188"/>
      <c r="AI671" s="188"/>
      <c r="AJ671" s="188"/>
      <c r="AK671" s="61"/>
      <c r="AL671" s="61"/>
      <c r="AM671" s="61"/>
      <c r="AN671" s="61"/>
      <c r="AO671" s="61"/>
    </row>
    <row r="672">
      <c r="A672" s="112"/>
      <c r="B672" s="149"/>
      <c r="C672" s="93"/>
      <c r="D672" s="61"/>
      <c r="E672" s="112"/>
      <c r="F672" s="149"/>
      <c r="G672" s="93"/>
      <c r="H672" s="61"/>
      <c r="I672" s="112"/>
      <c r="J672" s="149"/>
      <c r="K672" s="93"/>
      <c r="L672" s="61"/>
      <c r="M672" s="112"/>
      <c r="N672" s="115"/>
      <c r="O672" s="93"/>
      <c r="P672" s="61"/>
      <c r="Q672" s="180"/>
      <c r="R672" s="115"/>
      <c r="S672" s="93"/>
      <c r="T672" s="61"/>
      <c r="U672" s="180"/>
      <c r="V672" s="115"/>
      <c r="W672" s="93"/>
      <c r="X672" s="61"/>
      <c r="Y672" s="112"/>
      <c r="Z672" s="181"/>
      <c r="AA672" s="182"/>
      <c r="AB672" s="183"/>
      <c r="AC672" s="112"/>
      <c r="AD672" s="115"/>
      <c r="AE672" s="151"/>
      <c r="AF672" s="184"/>
      <c r="AG672" s="188"/>
      <c r="AH672" s="188"/>
      <c r="AI672" s="188"/>
      <c r="AJ672" s="188"/>
      <c r="AK672" s="61"/>
      <c r="AL672" s="61"/>
      <c r="AM672" s="61"/>
      <c r="AN672" s="61"/>
      <c r="AO672" s="61"/>
    </row>
    <row r="673">
      <c r="A673" s="112"/>
      <c r="B673" s="149"/>
      <c r="C673" s="93"/>
      <c r="D673" s="61"/>
      <c r="E673" s="112"/>
      <c r="F673" s="149"/>
      <c r="G673" s="93"/>
      <c r="H673" s="61"/>
      <c r="I673" s="112"/>
      <c r="J673" s="149"/>
      <c r="K673" s="93"/>
      <c r="L673" s="61"/>
      <c r="M673" s="112"/>
      <c r="N673" s="115"/>
      <c r="O673" s="93"/>
      <c r="P673" s="61"/>
      <c r="Q673" s="180"/>
      <c r="R673" s="115"/>
      <c r="S673" s="93"/>
      <c r="T673" s="61"/>
      <c r="U673" s="180"/>
      <c r="V673" s="115"/>
      <c r="W673" s="93"/>
      <c r="X673" s="61"/>
      <c r="Y673" s="112"/>
      <c r="Z673" s="181"/>
      <c r="AA673" s="182"/>
      <c r="AB673" s="183"/>
      <c r="AC673" s="112"/>
      <c r="AD673" s="115"/>
      <c r="AE673" s="151"/>
      <c r="AF673" s="184"/>
      <c r="AG673" s="188"/>
      <c r="AH673" s="188"/>
      <c r="AI673" s="188"/>
      <c r="AJ673" s="188"/>
      <c r="AK673" s="61"/>
      <c r="AL673" s="61"/>
      <c r="AM673" s="61"/>
      <c r="AN673" s="61"/>
      <c r="AO673" s="61"/>
    </row>
    <row r="674">
      <c r="A674" s="112"/>
      <c r="B674" s="149"/>
      <c r="C674" s="93"/>
      <c r="D674" s="61"/>
      <c r="E674" s="112"/>
      <c r="F674" s="149"/>
      <c r="G674" s="93"/>
      <c r="H674" s="61"/>
      <c r="I674" s="112"/>
      <c r="J674" s="149"/>
      <c r="K674" s="93"/>
      <c r="L674" s="61"/>
      <c r="M674" s="112"/>
      <c r="N674" s="115"/>
      <c r="O674" s="93"/>
      <c r="P674" s="61"/>
      <c r="Q674" s="180"/>
      <c r="R674" s="115"/>
      <c r="S674" s="93"/>
      <c r="T674" s="61"/>
      <c r="U674" s="180"/>
      <c r="V674" s="115"/>
      <c r="W674" s="93"/>
      <c r="X674" s="61"/>
      <c r="Y674" s="112"/>
      <c r="Z674" s="181"/>
      <c r="AA674" s="182"/>
      <c r="AB674" s="183"/>
      <c r="AC674" s="112"/>
      <c r="AD674" s="115"/>
      <c r="AE674" s="151"/>
      <c r="AF674" s="184"/>
      <c r="AG674" s="188"/>
      <c r="AH674" s="188"/>
      <c r="AI674" s="188"/>
      <c r="AJ674" s="188"/>
      <c r="AK674" s="61"/>
      <c r="AL674" s="61"/>
      <c r="AM674" s="61"/>
      <c r="AN674" s="61"/>
      <c r="AO674" s="61"/>
    </row>
    <row r="675">
      <c r="A675" s="112"/>
      <c r="B675" s="149"/>
      <c r="C675" s="93"/>
      <c r="D675" s="61"/>
      <c r="E675" s="112"/>
      <c r="F675" s="149"/>
      <c r="G675" s="93"/>
      <c r="H675" s="61"/>
      <c r="I675" s="112"/>
      <c r="J675" s="149"/>
      <c r="K675" s="93"/>
      <c r="L675" s="61"/>
      <c r="M675" s="112"/>
      <c r="N675" s="115"/>
      <c r="O675" s="93"/>
      <c r="P675" s="61"/>
      <c r="Q675" s="180"/>
      <c r="R675" s="115"/>
      <c r="S675" s="93"/>
      <c r="T675" s="61"/>
      <c r="U675" s="180"/>
      <c r="V675" s="115"/>
      <c r="W675" s="93"/>
      <c r="X675" s="61"/>
      <c r="Y675" s="112"/>
      <c r="Z675" s="181"/>
      <c r="AA675" s="182"/>
      <c r="AB675" s="183"/>
      <c r="AC675" s="112"/>
      <c r="AD675" s="115"/>
      <c r="AE675" s="151"/>
      <c r="AF675" s="184"/>
      <c r="AG675" s="188"/>
      <c r="AH675" s="188"/>
      <c r="AI675" s="188"/>
      <c r="AJ675" s="188"/>
      <c r="AK675" s="61"/>
      <c r="AL675" s="61"/>
      <c r="AM675" s="61"/>
      <c r="AN675" s="61"/>
      <c r="AO675" s="61"/>
    </row>
    <row r="676">
      <c r="A676" s="112"/>
      <c r="B676" s="149"/>
      <c r="C676" s="93"/>
      <c r="D676" s="61"/>
      <c r="E676" s="112"/>
      <c r="F676" s="149"/>
      <c r="G676" s="93"/>
      <c r="H676" s="61"/>
      <c r="I676" s="112"/>
      <c r="J676" s="149"/>
      <c r="K676" s="93"/>
      <c r="L676" s="61"/>
      <c r="M676" s="112"/>
      <c r="N676" s="115"/>
      <c r="O676" s="93"/>
      <c r="P676" s="61"/>
      <c r="Q676" s="180"/>
      <c r="R676" s="115"/>
      <c r="S676" s="93"/>
      <c r="T676" s="61"/>
      <c r="U676" s="180"/>
      <c r="V676" s="115"/>
      <c r="W676" s="93"/>
      <c r="X676" s="61"/>
      <c r="Y676" s="112"/>
      <c r="Z676" s="181"/>
      <c r="AA676" s="182"/>
      <c r="AB676" s="183"/>
      <c r="AC676" s="112"/>
      <c r="AD676" s="115"/>
      <c r="AE676" s="151"/>
      <c r="AF676" s="184"/>
      <c r="AG676" s="188"/>
      <c r="AH676" s="188"/>
      <c r="AI676" s="188"/>
      <c r="AJ676" s="188"/>
      <c r="AK676" s="61"/>
      <c r="AL676" s="61"/>
      <c r="AM676" s="61"/>
      <c r="AN676" s="61"/>
      <c r="AO676" s="61"/>
    </row>
    <row r="677">
      <c r="A677" s="112"/>
      <c r="B677" s="149"/>
      <c r="C677" s="93"/>
      <c r="D677" s="61"/>
      <c r="E677" s="112"/>
      <c r="F677" s="149"/>
      <c r="G677" s="93"/>
      <c r="H677" s="61"/>
      <c r="I677" s="112"/>
      <c r="J677" s="149"/>
      <c r="K677" s="93"/>
      <c r="L677" s="61"/>
      <c r="M677" s="112"/>
      <c r="N677" s="115"/>
      <c r="O677" s="93"/>
      <c r="P677" s="61"/>
      <c r="Q677" s="180"/>
      <c r="R677" s="115"/>
      <c r="S677" s="93"/>
      <c r="T677" s="61"/>
      <c r="U677" s="180"/>
      <c r="V677" s="115"/>
      <c r="W677" s="93"/>
      <c r="X677" s="61"/>
      <c r="Y677" s="112"/>
      <c r="Z677" s="181"/>
      <c r="AA677" s="182"/>
      <c r="AB677" s="183"/>
      <c r="AC677" s="112"/>
      <c r="AD677" s="115"/>
      <c r="AE677" s="151"/>
      <c r="AF677" s="184"/>
      <c r="AG677" s="188"/>
      <c r="AH677" s="188"/>
      <c r="AI677" s="188"/>
      <c r="AJ677" s="188"/>
      <c r="AK677" s="61"/>
      <c r="AL677" s="61"/>
      <c r="AM677" s="61"/>
      <c r="AN677" s="61"/>
      <c r="AO677" s="61"/>
    </row>
    <row r="678">
      <c r="A678" s="112"/>
      <c r="B678" s="149"/>
      <c r="C678" s="93"/>
      <c r="D678" s="61"/>
      <c r="E678" s="112"/>
      <c r="F678" s="149"/>
      <c r="G678" s="93"/>
      <c r="H678" s="61"/>
      <c r="I678" s="112"/>
      <c r="J678" s="149"/>
      <c r="K678" s="93"/>
      <c r="L678" s="61"/>
      <c r="M678" s="112"/>
      <c r="N678" s="115"/>
      <c r="O678" s="93"/>
      <c r="P678" s="61"/>
      <c r="Q678" s="180"/>
      <c r="R678" s="115"/>
      <c r="S678" s="93"/>
      <c r="T678" s="61"/>
      <c r="U678" s="180"/>
      <c r="V678" s="115"/>
      <c r="W678" s="93"/>
      <c r="X678" s="61"/>
      <c r="Y678" s="112"/>
      <c r="Z678" s="181"/>
      <c r="AA678" s="182"/>
      <c r="AB678" s="183"/>
      <c r="AC678" s="112"/>
      <c r="AD678" s="115"/>
      <c r="AE678" s="151"/>
      <c r="AF678" s="184"/>
      <c r="AG678" s="188"/>
      <c r="AH678" s="188"/>
      <c r="AI678" s="188"/>
      <c r="AJ678" s="188"/>
      <c r="AK678" s="61"/>
      <c r="AL678" s="61"/>
      <c r="AM678" s="61"/>
      <c r="AN678" s="61"/>
      <c r="AO678" s="61"/>
    </row>
    <row r="679">
      <c r="A679" s="112"/>
      <c r="B679" s="149"/>
      <c r="C679" s="93"/>
      <c r="D679" s="61"/>
      <c r="E679" s="112"/>
      <c r="F679" s="149"/>
      <c r="G679" s="93"/>
      <c r="H679" s="61"/>
      <c r="I679" s="112"/>
      <c r="J679" s="149"/>
      <c r="K679" s="93"/>
      <c r="L679" s="61"/>
      <c r="M679" s="112"/>
      <c r="N679" s="115"/>
      <c r="O679" s="93"/>
      <c r="P679" s="61"/>
      <c r="Q679" s="180"/>
      <c r="R679" s="115"/>
      <c r="S679" s="93"/>
      <c r="T679" s="61"/>
      <c r="U679" s="180"/>
      <c r="V679" s="115"/>
      <c r="W679" s="93"/>
      <c r="X679" s="61"/>
      <c r="Y679" s="112"/>
      <c r="Z679" s="181"/>
      <c r="AA679" s="182"/>
      <c r="AB679" s="183"/>
      <c r="AC679" s="112"/>
      <c r="AD679" s="115"/>
      <c r="AE679" s="151"/>
      <c r="AF679" s="184"/>
      <c r="AG679" s="188"/>
      <c r="AH679" s="188"/>
      <c r="AI679" s="188"/>
      <c r="AJ679" s="188"/>
      <c r="AK679" s="61"/>
      <c r="AL679" s="61"/>
      <c r="AM679" s="61"/>
      <c r="AN679" s="61"/>
      <c r="AO679" s="61"/>
    </row>
    <row r="680">
      <c r="A680" s="112"/>
      <c r="B680" s="149"/>
      <c r="C680" s="93"/>
      <c r="D680" s="61"/>
      <c r="E680" s="112"/>
      <c r="F680" s="149"/>
      <c r="G680" s="93"/>
      <c r="H680" s="61"/>
      <c r="I680" s="112"/>
      <c r="J680" s="149"/>
      <c r="K680" s="93"/>
      <c r="L680" s="61"/>
      <c r="M680" s="112"/>
      <c r="N680" s="115"/>
      <c r="O680" s="93"/>
      <c r="P680" s="61"/>
      <c r="Q680" s="180"/>
      <c r="R680" s="115"/>
      <c r="S680" s="93"/>
      <c r="T680" s="61"/>
      <c r="U680" s="180"/>
      <c r="V680" s="115"/>
      <c r="W680" s="93"/>
      <c r="X680" s="61"/>
      <c r="Y680" s="112"/>
      <c r="Z680" s="181"/>
      <c r="AA680" s="182"/>
      <c r="AB680" s="183"/>
      <c r="AC680" s="112"/>
      <c r="AD680" s="115"/>
      <c r="AE680" s="151"/>
      <c r="AF680" s="184"/>
      <c r="AG680" s="188"/>
      <c r="AH680" s="188"/>
      <c r="AI680" s="188"/>
      <c r="AJ680" s="188"/>
      <c r="AK680" s="61"/>
      <c r="AL680" s="61"/>
      <c r="AM680" s="61"/>
      <c r="AN680" s="61"/>
      <c r="AO680" s="61"/>
    </row>
    <row r="681">
      <c r="A681" s="112"/>
      <c r="B681" s="149"/>
      <c r="C681" s="93"/>
      <c r="D681" s="61"/>
      <c r="E681" s="112"/>
      <c r="F681" s="149"/>
      <c r="G681" s="93"/>
      <c r="H681" s="61"/>
      <c r="I681" s="112"/>
      <c r="J681" s="149"/>
      <c r="K681" s="93"/>
      <c r="L681" s="61"/>
      <c r="M681" s="112"/>
      <c r="N681" s="115"/>
      <c r="O681" s="93"/>
      <c r="P681" s="61"/>
      <c r="Q681" s="180"/>
      <c r="R681" s="115"/>
      <c r="S681" s="93"/>
      <c r="T681" s="61"/>
      <c r="U681" s="180"/>
      <c r="V681" s="115"/>
      <c r="W681" s="93"/>
      <c r="X681" s="61"/>
      <c r="Y681" s="112"/>
      <c r="Z681" s="181"/>
      <c r="AA681" s="182"/>
      <c r="AB681" s="183"/>
      <c r="AC681" s="112"/>
      <c r="AD681" s="115"/>
      <c r="AE681" s="151"/>
      <c r="AF681" s="184"/>
      <c r="AG681" s="188"/>
      <c r="AH681" s="188"/>
      <c r="AI681" s="188"/>
      <c r="AJ681" s="188"/>
      <c r="AK681" s="61"/>
      <c r="AL681" s="61"/>
      <c r="AM681" s="61"/>
      <c r="AN681" s="61"/>
      <c r="AO681" s="61"/>
    </row>
    <row r="682">
      <c r="A682" s="112"/>
      <c r="B682" s="149"/>
      <c r="C682" s="93"/>
      <c r="D682" s="61"/>
      <c r="E682" s="112"/>
      <c r="F682" s="149"/>
      <c r="G682" s="93"/>
      <c r="H682" s="61"/>
      <c r="I682" s="112"/>
      <c r="J682" s="149"/>
      <c r="K682" s="93"/>
      <c r="L682" s="61"/>
      <c r="M682" s="112"/>
      <c r="N682" s="115"/>
      <c r="O682" s="93"/>
      <c r="P682" s="61"/>
      <c r="Q682" s="180"/>
      <c r="R682" s="115"/>
      <c r="S682" s="93"/>
      <c r="T682" s="61"/>
      <c r="U682" s="180"/>
      <c r="V682" s="115"/>
      <c r="W682" s="93"/>
      <c r="X682" s="61"/>
      <c r="Y682" s="112"/>
      <c r="Z682" s="181"/>
      <c r="AA682" s="182"/>
      <c r="AB682" s="183"/>
      <c r="AC682" s="112"/>
      <c r="AD682" s="115"/>
      <c r="AE682" s="151"/>
      <c r="AF682" s="184"/>
      <c r="AG682" s="188"/>
      <c r="AH682" s="188"/>
      <c r="AI682" s="188"/>
      <c r="AJ682" s="188"/>
      <c r="AK682" s="61"/>
      <c r="AL682" s="61"/>
      <c r="AM682" s="61"/>
      <c r="AN682" s="61"/>
      <c r="AO682" s="61"/>
    </row>
    <row r="683">
      <c r="A683" s="112"/>
      <c r="B683" s="149"/>
      <c r="C683" s="93"/>
      <c r="D683" s="61"/>
      <c r="E683" s="112"/>
      <c r="F683" s="149"/>
      <c r="G683" s="93"/>
      <c r="H683" s="61"/>
      <c r="I683" s="112"/>
      <c r="J683" s="149"/>
      <c r="K683" s="93"/>
      <c r="L683" s="61"/>
      <c r="M683" s="112"/>
      <c r="N683" s="115"/>
      <c r="O683" s="93"/>
      <c r="P683" s="61"/>
      <c r="Q683" s="180"/>
      <c r="R683" s="115"/>
      <c r="S683" s="93"/>
      <c r="T683" s="61"/>
      <c r="U683" s="180"/>
      <c r="V683" s="115"/>
      <c r="W683" s="93"/>
      <c r="X683" s="61"/>
      <c r="Y683" s="112"/>
      <c r="Z683" s="181"/>
      <c r="AA683" s="182"/>
      <c r="AB683" s="183"/>
      <c r="AC683" s="112"/>
      <c r="AD683" s="115"/>
      <c r="AE683" s="151"/>
      <c r="AF683" s="184"/>
      <c r="AG683" s="188"/>
      <c r="AH683" s="188"/>
      <c r="AI683" s="188"/>
      <c r="AJ683" s="188"/>
      <c r="AK683" s="61"/>
      <c r="AL683" s="61"/>
      <c r="AM683" s="61"/>
      <c r="AN683" s="61"/>
      <c r="AO683" s="61"/>
    </row>
    <row r="684">
      <c r="A684" s="112"/>
      <c r="B684" s="149"/>
      <c r="C684" s="93"/>
      <c r="D684" s="61"/>
      <c r="E684" s="112"/>
      <c r="F684" s="149"/>
      <c r="G684" s="93"/>
      <c r="H684" s="61"/>
      <c r="I684" s="112"/>
      <c r="J684" s="149"/>
      <c r="K684" s="93"/>
      <c r="L684" s="61"/>
      <c r="M684" s="112"/>
      <c r="N684" s="115"/>
      <c r="O684" s="93"/>
      <c r="P684" s="61"/>
      <c r="Q684" s="180"/>
      <c r="R684" s="115"/>
      <c r="S684" s="93"/>
      <c r="T684" s="61"/>
      <c r="U684" s="180"/>
      <c r="V684" s="115"/>
      <c r="W684" s="93"/>
      <c r="X684" s="61"/>
      <c r="Y684" s="112"/>
      <c r="Z684" s="181"/>
      <c r="AA684" s="182"/>
      <c r="AB684" s="183"/>
      <c r="AC684" s="112"/>
      <c r="AD684" s="115"/>
      <c r="AE684" s="151"/>
      <c r="AF684" s="184"/>
      <c r="AG684" s="188"/>
      <c r="AH684" s="188"/>
      <c r="AI684" s="188"/>
      <c r="AJ684" s="188"/>
      <c r="AK684" s="61"/>
      <c r="AL684" s="61"/>
      <c r="AM684" s="61"/>
      <c r="AN684" s="61"/>
      <c r="AO684" s="61"/>
    </row>
    <row r="685">
      <c r="A685" s="112"/>
      <c r="B685" s="149"/>
      <c r="C685" s="93"/>
      <c r="D685" s="61"/>
      <c r="E685" s="112"/>
      <c r="F685" s="149"/>
      <c r="G685" s="93"/>
      <c r="H685" s="61"/>
      <c r="I685" s="112"/>
      <c r="J685" s="149"/>
      <c r="K685" s="93"/>
      <c r="L685" s="61"/>
      <c r="M685" s="112"/>
      <c r="N685" s="115"/>
      <c r="O685" s="93"/>
      <c r="P685" s="61"/>
      <c r="Q685" s="180"/>
      <c r="R685" s="115"/>
      <c r="S685" s="93"/>
      <c r="T685" s="61"/>
      <c r="U685" s="180"/>
      <c r="V685" s="115"/>
      <c r="W685" s="93"/>
      <c r="X685" s="61"/>
      <c r="Y685" s="112"/>
      <c r="Z685" s="181"/>
      <c r="AA685" s="182"/>
      <c r="AB685" s="183"/>
      <c r="AC685" s="112"/>
      <c r="AD685" s="115"/>
      <c r="AE685" s="151"/>
      <c r="AF685" s="184"/>
      <c r="AG685" s="188"/>
      <c r="AH685" s="188"/>
      <c r="AI685" s="188"/>
      <c r="AJ685" s="188"/>
      <c r="AK685" s="61"/>
      <c r="AL685" s="61"/>
      <c r="AM685" s="61"/>
      <c r="AN685" s="61"/>
      <c r="AO685" s="61"/>
    </row>
    <row r="686">
      <c r="A686" s="112"/>
      <c r="B686" s="149"/>
      <c r="C686" s="93"/>
      <c r="D686" s="61"/>
      <c r="E686" s="112"/>
      <c r="F686" s="149"/>
      <c r="G686" s="93"/>
      <c r="H686" s="61"/>
      <c r="I686" s="112"/>
      <c r="J686" s="149"/>
      <c r="K686" s="93"/>
      <c r="L686" s="61"/>
      <c r="M686" s="112"/>
      <c r="N686" s="115"/>
      <c r="O686" s="93"/>
      <c r="P686" s="61"/>
      <c r="Q686" s="180"/>
      <c r="R686" s="115"/>
      <c r="S686" s="93"/>
      <c r="T686" s="61"/>
      <c r="U686" s="180"/>
      <c r="V686" s="115"/>
      <c r="W686" s="93"/>
      <c r="X686" s="61"/>
      <c r="Y686" s="112"/>
      <c r="Z686" s="181"/>
      <c r="AA686" s="182"/>
      <c r="AB686" s="183"/>
      <c r="AC686" s="112"/>
      <c r="AD686" s="115"/>
      <c r="AE686" s="151"/>
      <c r="AF686" s="184"/>
      <c r="AG686" s="188"/>
      <c r="AH686" s="188"/>
      <c r="AI686" s="188"/>
      <c r="AJ686" s="188"/>
      <c r="AK686" s="61"/>
      <c r="AL686" s="61"/>
      <c r="AM686" s="61"/>
      <c r="AN686" s="61"/>
      <c r="AO686" s="61"/>
    </row>
    <row r="687">
      <c r="A687" s="112"/>
      <c r="B687" s="149"/>
      <c r="C687" s="93"/>
      <c r="D687" s="61"/>
      <c r="E687" s="112"/>
      <c r="F687" s="149"/>
      <c r="G687" s="93"/>
      <c r="H687" s="61"/>
      <c r="I687" s="112"/>
      <c r="J687" s="149"/>
      <c r="K687" s="93"/>
      <c r="L687" s="61"/>
      <c r="M687" s="112"/>
      <c r="N687" s="115"/>
      <c r="O687" s="93"/>
      <c r="P687" s="61"/>
      <c r="Q687" s="180"/>
      <c r="R687" s="115"/>
      <c r="S687" s="93"/>
      <c r="T687" s="61"/>
      <c r="U687" s="180"/>
      <c r="V687" s="115"/>
      <c r="W687" s="93"/>
      <c r="X687" s="61"/>
      <c r="Y687" s="112"/>
      <c r="Z687" s="181"/>
      <c r="AA687" s="182"/>
      <c r="AB687" s="183"/>
      <c r="AC687" s="112"/>
      <c r="AD687" s="115"/>
      <c r="AE687" s="151"/>
      <c r="AF687" s="184"/>
      <c r="AG687" s="188"/>
      <c r="AH687" s="188"/>
      <c r="AI687" s="188"/>
      <c r="AJ687" s="188"/>
      <c r="AK687" s="61"/>
      <c r="AL687" s="61"/>
      <c r="AM687" s="61"/>
      <c r="AN687" s="61"/>
      <c r="AO687" s="61"/>
    </row>
    <row r="688">
      <c r="A688" s="112"/>
      <c r="B688" s="149"/>
      <c r="C688" s="93"/>
      <c r="D688" s="61"/>
      <c r="E688" s="112"/>
      <c r="F688" s="149"/>
      <c r="G688" s="93"/>
      <c r="H688" s="61"/>
      <c r="I688" s="112"/>
      <c r="J688" s="149"/>
      <c r="K688" s="93"/>
      <c r="L688" s="61"/>
      <c r="M688" s="112"/>
      <c r="N688" s="115"/>
      <c r="O688" s="93"/>
      <c r="P688" s="61"/>
      <c r="Q688" s="180"/>
      <c r="R688" s="115"/>
      <c r="S688" s="93"/>
      <c r="T688" s="61"/>
      <c r="U688" s="180"/>
      <c r="V688" s="115"/>
      <c r="W688" s="93"/>
      <c r="X688" s="61"/>
      <c r="Y688" s="112"/>
      <c r="Z688" s="181"/>
      <c r="AA688" s="182"/>
      <c r="AB688" s="183"/>
      <c r="AC688" s="112"/>
      <c r="AD688" s="115"/>
      <c r="AE688" s="151"/>
      <c r="AF688" s="184"/>
      <c r="AG688" s="188"/>
      <c r="AH688" s="188"/>
      <c r="AI688" s="188"/>
      <c r="AJ688" s="188"/>
      <c r="AK688" s="61"/>
      <c r="AL688" s="61"/>
      <c r="AM688" s="61"/>
      <c r="AN688" s="61"/>
      <c r="AO688" s="61"/>
    </row>
    <row r="689">
      <c r="A689" s="112"/>
      <c r="B689" s="149"/>
      <c r="C689" s="93"/>
      <c r="D689" s="61"/>
      <c r="E689" s="112"/>
      <c r="F689" s="149"/>
      <c r="G689" s="93"/>
      <c r="H689" s="61"/>
      <c r="I689" s="112"/>
      <c r="J689" s="149"/>
      <c r="K689" s="93"/>
      <c r="L689" s="61"/>
      <c r="M689" s="112"/>
      <c r="N689" s="115"/>
      <c r="O689" s="93"/>
      <c r="P689" s="61"/>
      <c r="Q689" s="180"/>
      <c r="R689" s="115"/>
      <c r="S689" s="93"/>
      <c r="T689" s="61"/>
      <c r="U689" s="180"/>
      <c r="V689" s="115"/>
      <c r="W689" s="93"/>
      <c r="X689" s="61"/>
      <c r="Y689" s="112"/>
      <c r="Z689" s="181"/>
      <c r="AA689" s="182"/>
      <c r="AB689" s="183"/>
      <c r="AC689" s="112"/>
      <c r="AD689" s="115"/>
      <c r="AE689" s="151"/>
      <c r="AF689" s="184"/>
      <c r="AG689" s="188"/>
      <c r="AH689" s="188"/>
      <c r="AI689" s="188"/>
      <c r="AJ689" s="188"/>
      <c r="AK689" s="61"/>
      <c r="AL689" s="61"/>
      <c r="AM689" s="61"/>
      <c r="AN689" s="61"/>
      <c r="AO689" s="61"/>
    </row>
    <row r="690">
      <c r="A690" s="112"/>
      <c r="B690" s="149"/>
      <c r="C690" s="93"/>
      <c r="D690" s="61"/>
      <c r="E690" s="112"/>
      <c r="F690" s="149"/>
      <c r="G690" s="93"/>
      <c r="H690" s="61"/>
      <c r="I690" s="112"/>
      <c r="J690" s="149"/>
      <c r="K690" s="93"/>
      <c r="L690" s="61"/>
      <c r="M690" s="112"/>
      <c r="N690" s="115"/>
      <c r="O690" s="93"/>
      <c r="P690" s="61"/>
      <c r="Q690" s="180"/>
      <c r="R690" s="115"/>
      <c r="S690" s="93"/>
      <c r="T690" s="61"/>
      <c r="U690" s="180"/>
      <c r="V690" s="115"/>
      <c r="W690" s="93"/>
      <c r="X690" s="61"/>
      <c r="Y690" s="112"/>
      <c r="Z690" s="181"/>
      <c r="AA690" s="182"/>
      <c r="AB690" s="183"/>
      <c r="AC690" s="112"/>
      <c r="AD690" s="115"/>
      <c r="AE690" s="151"/>
      <c r="AF690" s="184"/>
      <c r="AG690" s="188"/>
      <c r="AH690" s="188"/>
      <c r="AI690" s="188"/>
      <c r="AJ690" s="188"/>
      <c r="AK690" s="61"/>
      <c r="AL690" s="61"/>
      <c r="AM690" s="61"/>
      <c r="AN690" s="61"/>
      <c r="AO690" s="61"/>
    </row>
    <row r="691">
      <c r="A691" s="112"/>
      <c r="B691" s="149"/>
      <c r="C691" s="93"/>
      <c r="D691" s="61"/>
      <c r="E691" s="112"/>
      <c r="F691" s="149"/>
      <c r="G691" s="93"/>
      <c r="H691" s="61"/>
      <c r="I691" s="112"/>
      <c r="J691" s="149"/>
      <c r="K691" s="93"/>
      <c r="L691" s="61"/>
      <c r="M691" s="112"/>
      <c r="N691" s="115"/>
      <c r="O691" s="93"/>
      <c r="P691" s="61"/>
      <c r="Q691" s="180"/>
      <c r="R691" s="115"/>
      <c r="S691" s="93"/>
      <c r="T691" s="61"/>
      <c r="U691" s="180"/>
      <c r="V691" s="115"/>
      <c r="W691" s="93"/>
      <c r="X691" s="61"/>
      <c r="Y691" s="112"/>
      <c r="Z691" s="181"/>
      <c r="AA691" s="182"/>
      <c r="AB691" s="183"/>
      <c r="AC691" s="112"/>
      <c r="AD691" s="115"/>
      <c r="AE691" s="151"/>
      <c r="AF691" s="184"/>
      <c r="AG691" s="188"/>
      <c r="AH691" s="188"/>
      <c r="AI691" s="188"/>
      <c r="AJ691" s="188"/>
      <c r="AK691" s="61"/>
      <c r="AL691" s="61"/>
      <c r="AM691" s="61"/>
      <c r="AN691" s="61"/>
      <c r="AO691" s="61"/>
    </row>
    <row r="692">
      <c r="A692" s="112"/>
      <c r="B692" s="149"/>
      <c r="C692" s="93"/>
      <c r="D692" s="61"/>
      <c r="E692" s="112"/>
      <c r="F692" s="149"/>
      <c r="G692" s="93"/>
      <c r="H692" s="61"/>
      <c r="I692" s="112"/>
      <c r="J692" s="149"/>
      <c r="K692" s="93"/>
      <c r="L692" s="61"/>
      <c r="M692" s="112"/>
      <c r="N692" s="115"/>
      <c r="O692" s="93"/>
      <c r="P692" s="61"/>
      <c r="Q692" s="180"/>
      <c r="R692" s="115"/>
      <c r="S692" s="93"/>
      <c r="T692" s="61"/>
      <c r="U692" s="180"/>
      <c r="V692" s="115"/>
      <c r="W692" s="93"/>
      <c r="X692" s="61"/>
      <c r="Y692" s="112"/>
      <c r="Z692" s="181"/>
      <c r="AA692" s="182"/>
      <c r="AB692" s="183"/>
      <c r="AC692" s="112"/>
      <c r="AD692" s="115"/>
      <c r="AE692" s="151"/>
      <c r="AF692" s="184"/>
      <c r="AG692" s="188"/>
      <c r="AH692" s="188"/>
      <c r="AI692" s="188"/>
      <c r="AJ692" s="188"/>
      <c r="AK692" s="61"/>
      <c r="AL692" s="61"/>
      <c r="AM692" s="61"/>
      <c r="AN692" s="61"/>
      <c r="AO692" s="61"/>
    </row>
    <row r="693">
      <c r="A693" s="112"/>
      <c r="B693" s="149"/>
      <c r="C693" s="93"/>
      <c r="D693" s="61"/>
      <c r="E693" s="112"/>
      <c r="F693" s="149"/>
      <c r="G693" s="93"/>
      <c r="H693" s="61"/>
      <c r="I693" s="112"/>
      <c r="J693" s="149"/>
      <c r="K693" s="93"/>
      <c r="L693" s="61"/>
      <c r="M693" s="112"/>
      <c r="N693" s="115"/>
      <c r="O693" s="93"/>
      <c r="P693" s="61"/>
      <c r="Q693" s="180"/>
      <c r="R693" s="115"/>
      <c r="S693" s="93"/>
      <c r="T693" s="61"/>
      <c r="U693" s="180"/>
      <c r="V693" s="115"/>
      <c r="W693" s="93"/>
      <c r="X693" s="61"/>
      <c r="Y693" s="112"/>
      <c r="Z693" s="181"/>
      <c r="AA693" s="182"/>
      <c r="AB693" s="183"/>
      <c r="AC693" s="112"/>
      <c r="AD693" s="115"/>
      <c r="AE693" s="151"/>
      <c r="AF693" s="184"/>
      <c r="AG693" s="188"/>
      <c r="AH693" s="188"/>
      <c r="AI693" s="188"/>
      <c r="AJ693" s="188"/>
      <c r="AK693" s="61"/>
      <c r="AL693" s="61"/>
      <c r="AM693" s="61"/>
      <c r="AN693" s="61"/>
      <c r="AO693" s="61"/>
    </row>
    <row r="694">
      <c r="A694" s="112"/>
      <c r="B694" s="149"/>
      <c r="C694" s="93"/>
      <c r="D694" s="61"/>
      <c r="E694" s="112"/>
      <c r="F694" s="149"/>
      <c r="G694" s="93"/>
      <c r="H694" s="61"/>
      <c r="I694" s="112"/>
      <c r="J694" s="149"/>
      <c r="K694" s="93"/>
      <c r="L694" s="61"/>
      <c r="M694" s="112"/>
      <c r="N694" s="115"/>
      <c r="O694" s="93"/>
      <c r="P694" s="61"/>
      <c r="Q694" s="180"/>
      <c r="R694" s="115"/>
      <c r="S694" s="93"/>
      <c r="T694" s="61"/>
      <c r="U694" s="180"/>
      <c r="V694" s="115"/>
      <c r="W694" s="93"/>
      <c r="X694" s="61"/>
      <c r="Y694" s="112"/>
      <c r="Z694" s="181"/>
      <c r="AA694" s="182"/>
      <c r="AB694" s="183"/>
      <c r="AC694" s="112"/>
      <c r="AD694" s="115"/>
      <c r="AE694" s="151"/>
      <c r="AF694" s="184"/>
      <c r="AG694" s="188"/>
      <c r="AH694" s="188"/>
      <c r="AI694" s="188"/>
      <c r="AJ694" s="188"/>
      <c r="AK694" s="61"/>
      <c r="AL694" s="61"/>
      <c r="AM694" s="61"/>
      <c r="AN694" s="61"/>
      <c r="AO694" s="61"/>
    </row>
    <row r="695">
      <c r="A695" s="112"/>
      <c r="B695" s="149"/>
      <c r="C695" s="93"/>
      <c r="D695" s="61"/>
      <c r="E695" s="112"/>
      <c r="F695" s="149"/>
      <c r="G695" s="93"/>
      <c r="H695" s="61"/>
      <c r="I695" s="112"/>
      <c r="J695" s="149"/>
      <c r="K695" s="93"/>
      <c r="L695" s="61"/>
      <c r="M695" s="112"/>
      <c r="N695" s="115"/>
      <c r="O695" s="93"/>
      <c r="P695" s="61"/>
      <c r="Q695" s="180"/>
      <c r="R695" s="115"/>
      <c r="S695" s="93"/>
      <c r="T695" s="61"/>
      <c r="U695" s="180"/>
      <c r="V695" s="115"/>
      <c r="W695" s="93"/>
      <c r="X695" s="61"/>
      <c r="Y695" s="112"/>
      <c r="Z695" s="181"/>
      <c r="AA695" s="182"/>
      <c r="AB695" s="183"/>
      <c r="AC695" s="112"/>
      <c r="AD695" s="115"/>
      <c r="AE695" s="151"/>
      <c r="AF695" s="184"/>
      <c r="AG695" s="188"/>
      <c r="AH695" s="188"/>
      <c r="AI695" s="188"/>
      <c r="AJ695" s="188"/>
      <c r="AK695" s="61"/>
      <c r="AL695" s="61"/>
      <c r="AM695" s="61"/>
      <c r="AN695" s="61"/>
      <c r="AO695" s="61"/>
    </row>
    <row r="696">
      <c r="A696" s="112"/>
      <c r="B696" s="149"/>
      <c r="C696" s="93"/>
      <c r="D696" s="61"/>
      <c r="E696" s="112"/>
      <c r="F696" s="149"/>
      <c r="G696" s="93"/>
      <c r="H696" s="61"/>
      <c r="I696" s="112"/>
      <c r="J696" s="149"/>
      <c r="K696" s="93"/>
      <c r="L696" s="61"/>
      <c r="M696" s="112"/>
      <c r="N696" s="115"/>
      <c r="O696" s="93"/>
      <c r="P696" s="61"/>
      <c r="Q696" s="180"/>
      <c r="R696" s="115"/>
      <c r="S696" s="93"/>
      <c r="T696" s="61"/>
      <c r="U696" s="180"/>
      <c r="V696" s="115"/>
      <c r="W696" s="93"/>
      <c r="X696" s="61"/>
      <c r="Y696" s="112"/>
      <c r="Z696" s="181"/>
      <c r="AA696" s="182"/>
      <c r="AB696" s="183"/>
      <c r="AC696" s="112"/>
      <c r="AD696" s="115"/>
      <c r="AE696" s="151"/>
      <c r="AF696" s="184"/>
      <c r="AG696" s="188"/>
      <c r="AH696" s="188"/>
      <c r="AI696" s="188"/>
      <c r="AJ696" s="188"/>
      <c r="AK696" s="61"/>
      <c r="AL696" s="61"/>
      <c r="AM696" s="61"/>
      <c r="AN696" s="61"/>
      <c r="AO696" s="61"/>
    </row>
    <row r="697">
      <c r="A697" s="112"/>
      <c r="B697" s="149"/>
      <c r="C697" s="93"/>
      <c r="D697" s="61"/>
      <c r="E697" s="112"/>
      <c r="F697" s="149"/>
      <c r="G697" s="93"/>
      <c r="H697" s="61"/>
      <c r="I697" s="112"/>
      <c r="J697" s="149"/>
      <c r="K697" s="93"/>
      <c r="L697" s="61"/>
      <c r="M697" s="112"/>
      <c r="N697" s="115"/>
      <c r="O697" s="93"/>
      <c r="P697" s="61"/>
      <c r="Q697" s="180"/>
      <c r="R697" s="115"/>
      <c r="S697" s="93"/>
      <c r="T697" s="61"/>
      <c r="U697" s="180"/>
      <c r="V697" s="115"/>
      <c r="W697" s="93"/>
      <c r="X697" s="61"/>
      <c r="Y697" s="112"/>
      <c r="Z697" s="181"/>
      <c r="AA697" s="182"/>
      <c r="AB697" s="183"/>
      <c r="AC697" s="112"/>
      <c r="AD697" s="115"/>
      <c r="AE697" s="151"/>
      <c r="AF697" s="184"/>
      <c r="AG697" s="188"/>
      <c r="AH697" s="188"/>
      <c r="AI697" s="188"/>
      <c r="AJ697" s="188"/>
      <c r="AK697" s="61"/>
      <c r="AL697" s="61"/>
      <c r="AM697" s="61"/>
      <c r="AN697" s="61"/>
      <c r="AO697" s="61"/>
    </row>
    <row r="698">
      <c r="A698" s="112"/>
      <c r="B698" s="149"/>
      <c r="C698" s="93"/>
      <c r="D698" s="61"/>
      <c r="E698" s="112"/>
      <c r="F698" s="149"/>
      <c r="G698" s="93"/>
      <c r="H698" s="61"/>
      <c r="I698" s="112"/>
      <c r="J698" s="149"/>
      <c r="K698" s="93"/>
      <c r="L698" s="61"/>
      <c r="M698" s="112"/>
      <c r="N698" s="115"/>
      <c r="O698" s="93"/>
      <c r="P698" s="61"/>
      <c r="Q698" s="180"/>
      <c r="R698" s="115"/>
      <c r="S698" s="93"/>
      <c r="T698" s="61"/>
      <c r="U698" s="180"/>
      <c r="V698" s="115"/>
      <c r="W698" s="93"/>
      <c r="X698" s="61"/>
      <c r="Y698" s="112"/>
      <c r="Z698" s="181"/>
      <c r="AA698" s="182"/>
      <c r="AB698" s="183"/>
      <c r="AC698" s="112"/>
      <c r="AD698" s="115"/>
      <c r="AE698" s="151"/>
      <c r="AF698" s="184"/>
      <c r="AG698" s="188"/>
      <c r="AH698" s="188"/>
      <c r="AI698" s="188"/>
      <c r="AJ698" s="188"/>
      <c r="AK698" s="61"/>
      <c r="AL698" s="61"/>
      <c r="AM698" s="61"/>
      <c r="AN698" s="61"/>
      <c r="AO698" s="61"/>
    </row>
    <row r="699">
      <c r="A699" s="112"/>
      <c r="B699" s="149"/>
      <c r="C699" s="93"/>
      <c r="D699" s="61"/>
      <c r="E699" s="112"/>
      <c r="F699" s="149"/>
      <c r="G699" s="93"/>
      <c r="H699" s="61"/>
      <c r="I699" s="112"/>
      <c r="J699" s="149"/>
      <c r="K699" s="93"/>
      <c r="L699" s="61"/>
      <c r="M699" s="112"/>
      <c r="N699" s="115"/>
      <c r="O699" s="93"/>
      <c r="P699" s="61"/>
      <c r="Q699" s="180"/>
      <c r="R699" s="115"/>
      <c r="S699" s="93"/>
      <c r="T699" s="61"/>
      <c r="U699" s="180"/>
      <c r="V699" s="115"/>
      <c r="W699" s="93"/>
      <c r="X699" s="61"/>
      <c r="Y699" s="112"/>
      <c r="Z699" s="181"/>
      <c r="AA699" s="182"/>
      <c r="AB699" s="183"/>
      <c r="AC699" s="112"/>
      <c r="AD699" s="115"/>
      <c r="AE699" s="151"/>
      <c r="AF699" s="184"/>
      <c r="AG699" s="188"/>
      <c r="AH699" s="188"/>
      <c r="AI699" s="188"/>
      <c r="AJ699" s="188"/>
      <c r="AK699" s="61"/>
      <c r="AL699" s="61"/>
      <c r="AM699" s="61"/>
      <c r="AN699" s="61"/>
      <c r="AO699" s="61"/>
    </row>
    <row r="700">
      <c r="A700" s="112"/>
      <c r="B700" s="149"/>
      <c r="C700" s="93"/>
      <c r="D700" s="61"/>
      <c r="E700" s="112"/>
      <c r="F700" s="149"/>
      <c r="G700" s="93"/>
      <c r="H700" s="61"/>
      <c r="I700" s="112"/>
      <c r="J700" s="149"/>
      <c r="K700" s="93"/>
      <c r="L700" s="61"/>
      <c r="M700" s="112"/>
      <c r="N700" s="115"/>
      <c r="O700" s="93"/>
      <c r="P700" s="61"/>
      <c r="Q700" s="180"/>
      <c r="R700" s="115"/>
      <c r="S700" s="93"/>
      <c r="T700" s="61"/>
      <c r="U700" s="180"/>
      <c r="V700" s="115"/>
      <c r="W700" s="93"/>
      <c r="X700" s="61"/>
      <c r="Y700" s="112"/>
      <c r="Z700" s="181"/>
      <c r="AA700" s="182"/>
      <c r="AB700" s="183"/>
      <c r="AC700" s="112"/>
      <c r="AD700" s="115"/>
      <c r="AE700" s="151"/>
      <c r="AF700" s="184"/>
      <c r="AG700" s="188"/>
      <c r="AH700" s="188"/>
      <c r="AI700" s="188"/>
      <c r="AJ700" s="188"/>
      <c r="AK700" s="61"/>
      <c r="AL700" s="61"/>
      <c r="AM700" s="61"/>
      <c r="AN700" s="61"/>
      <c r="AO700" s="61"/>
    </row>
    <row r="701">
      <c r="A701" s="112"/>
      <c r="B701" s="149"/>
      <c r="C701" s="93"/>
      <c r="D701" s="61"/>
      <c r="E701" s="112"/>
      <c r="F701" s="149"/>
      <c r="G701" s="93"/>
      <c r="H701" s="61"/>
      <c r="I701" s="112"/>
      <c r="J701" s="149"/>
      <c r="K701" s="93"/>
      <c r="L701" s="61"/>
      <c r="M701" s="112"/>
      <c r="N701" s="115"/>
      <c r="O701" s="93"/>
      <c r="P701" s="61"/>
      <c r="Q701" s="180"/>
      <c r="R701" s="115"/>
      <c r="S701" s="93"/>
      <c r="T701" s="61"/>
      <c r="U701" s="180"/>
      <c r="V701" s="115"/>
      <c r="W701" s="93"/>
      <c r="X701" s="61"/>
      <c r="Y701" s="112"/>
      <c r="Z701" s="181"/>
      <c r="AA701" s="182"/>
      <c r="AB701" s="183"/>
      <c r="AC701" s="112"/>
      <c r="AD701" s="115"/>
      <c r="AE701" s="151"/>
      <c r="AF701" s="184"/>
      <c r="AG701" s="188"/>
      <c r="AH701" s="188"/>
      <c r="AI701" s="188"/>
      <c r="AJ701" s="188"/>
      <c r="AK701" s="61"/>
      <c r="AL701" s="61"/>
      <c r="AM701" s="61"/>
      <c r="AN701" s="61"/>
      <c r="AO701" s="61"/>
    </row>
    <row r="702">
      <c r="A702" s="112"/>
      <c r="B702" s="149"/>
      <c r="C702" s="93"/>
      <c r="D702" s="61"/>
      <c r="E702" s="112"/>
      <c r="F702" s="149"/>
      <c r="G702" s="93"/>
      <c r="H702" s="61"/>
      <c r="I702" s="112"/>
      <c r="J702" s="149"/>
      <c r="K702" s="93"/>
      <c r="L702" s="61"/>
      <c r="M702" s="112"/>
      <c r="N702" s="115"/>
      <c r="O702" s="93"/>
      <c r="P702" s="61"/>
      <c r="Q702" s="180"/>
      <c r="R702" s="115"/>
      <c r="S702" s="93"/>
      <c r="T702" s="61"/>
      <c r="U702" s="180"/>
      <c r="V702" s="115"/>
      <c r="W702" s="93"/>
      <c r="X702" s="61"/>
      <c r="Y702" s="112"/>
      <c r="Z702" s="181"/>
      <c r="AA702" s="182"/>
      <c r="AB702" s="183"/>
      <c r="AC702" s="112"/>
      <c r="AD702" s="115"/>
      <c r="AE702" s="151"/>
      <c r="AF702" s="184"/>
      <c r="AG702" s="188"/>
      <c r="AH702" s="188"/>
      <c r="AI702" s="188"/>
      <c r="AJ702" s="188"/>
      <c r="AK702" s="61"/>
      <c r="AL702" s="61"/>
      <c r="AM702" s="61"/>
      <c r="AN702" s="61"/>
      <c r="AO702" s="61"/>
    </row>
    <row r="703">
      <c r="A703" s="112"/>
      <c r="B703" s="149"/>
      <c r="C703" s="93"/>
      <c r="D703" s="61"/>
      <c r="E703" s="112"/>
      <c r="F703" s="149"/>
      <c r="G703" s="93"/>
      <c r="H703" s="61"/>
      <c r="I703" s="112"/>
      <c r="J703" s="149"/>
      <c r="K703" s="93"/>
      <c r="L703" s="61"/>
      <c r="M703" s="112"/>
      <c r="N703" s="115"/>
      <c r="O703" s="93"/>
      <c r="P703" s="61"/>
      <c r="Q703" s="180"/>
      <c r="R703" s="115"/>
      <c r="S703" s="93"/>
      <c r="T703" s="61"/>
      <c r="U703" s="180"/>
      <c r="V703" s="115"/>
      <c r="W703" s="93"/>
      <c r="X703" s="61"/>
      <c r="Y703" s="112"/>
      <c r="Z703" s="181"/>
      <c r="AA703" s="182"/>
      <c r="AB703" s="183"/>
      <c r="AC703" s="112"/>
      <c r="AD703" s="115"/>
      <c r="AE703" s="151"/>
      <c r="AF703" s="184"/>
      <c r="AG703" s="188"/>
      <c r="AH703" s="188"/>
      <c r="AI703" s="188"/>
      <c r="AJ703" s="188"/>
      <c r="AK703" s="61"/>
      <c r="AL703" s="61"/>
      <c r="AM703" s="61"/>
      <c r="AN703" s="61"/>
      <c r="AO703" s="61"/>
    </row>
    <row r="704">
      <c r="A704" s="112"/>
      <c r="B704" s="149"/>
      <c r="C704" s="93"/>
      <c r="D704" s="61"/>
      <c r="E704" s="112"/>
      <c r="F704" s="149"/>
      <c r="G704" s="93"/>
      <c r="H704" s="61"/>
      <c r="I704" s="112"/>
      <c r="J704" s="149"/>
      <c r="K704" s="93"/>
      <c r="L704" s="61"/>
      <c r="M704" s="112"/>
      <c r="N704" s="115"/>
      <c r="O704" s="93"/>
      <c r="P704" s="61"/>
      <c r="Q704" s="180"/>
      <c r="R704" s="115"/>
      <c r="S704" s="93"/>
      <c r="T704" s="61"/>
      <c r="U704" s="180"/>
      <c r="V704" s="115"/>
      <c r="W704" s="93"/>
      <c r="X704" s="61"/>
      <c r="Y704" s="112"/>
      <c r="Z704" s="181"/>
      <c r="AA704" s="182"/>
      <c r="AB704" s="183"/>
      <c r="AC704" s="112"/>
      <c r="AD704" s="115"/>
      <c r="AE704" s="151"/>
      <c r="AF704" s="184"/>
      <c r="AG704" s="188"/>
      <c r="AH704" s="188"/>
      <c r="AI704" s="188"/>
      <c r="AJ704" s="188"/>
      <c r="AK704" s="61"/>
      <c r="AL704" s="61"/>
      <c r="AM704" s="61"/>
      <c r="AN704" s="61"/>
      <c r="AO704" s="61"/>
    </row>
    <row r="705">
      <c r="A705" s="112"/>
      <c r="B705" s="149"/>
      <c r="C705" s="93"/>
      <c r="D705" s="61"/>
      <c r="E705" s="112"/>
      <c r="F705" s="149"/>
      <c r="G705" s="93"/>
      <c r="H705" s="61"/>
      <c r="I705" s="112"/>
      <c r="J705" s="149"/>
      <c r="K705" s="93"/>
      <c r="L705" s="61"/>
      <c r="M705" s="112"/>
      <c r="N705" s="115"/>
      <c r="O705" s="93"/>
      <c r="P705" s="61"/>
      <c r="Q705" s="180"/>
      <c r="R705" s="115"/>
      <c r="S705" s="93"/>
      <c r="T705" s="61"/>
      <c r="U705" s="180"/>
      <c r="V705" s="115"/>
      <c r="W705" s="93"/>
      <c r="X705" s="61"/>
      <c r="Y705" s="112"/>
      <c r="Z705" s="181"/>
      <c r="AA705" s="182"/>
      <c r="AB705" s="183"/>
      <c r="AC705" s="112"/>
      <c r="AD705" s="115"/>
      <c r="AE705" s="151"/>
      <c r="AF705" s="184"/>
      <c r="AG705" s="188"/>
      <c r="AH705" s="188"/>
      <c r="AI705" s="188"/>
      <c r="AJ705" s="188"/>
      <c r="AK705" s="61"/>
      <c r="AL705" s="61"/>
      <c r="AM705" s="61"/>
      <c r="AN705" s="61"/>
      <c r="AO705" s="61"/>
    </row>
    <row r="706">
      <c r="A706" s="112"/>
      <c r="B706" s="149"/>
      <c r="C706" s="93"/>
      <c r="D706" s="61"/>
      <c r="E706" s="112"/>
      <c r="F706" s="149"/>
      <c r="G706" s="93"/>
      <c r="H706" s="61"/>
      <c r="I706" s="112"/>
      <c r="J706" s="149"/>
      <c r="K706" s="93"/>
      <c r="L706" s="61"/>
      <c r="M706" s="112"/>
      <c r="N706" s="115"/>
      <c r="O706" s="93"/>
      <c r="P706" s="61"/>
      <c r="Q706" s="180"/>
      <c r="R706" s="115"/>
      <c r="S706" s="93"/>
      <c r="T706" s="61"/>
      <c r="U706" s="180"/>
      <c r="V706" s="115"/>
      <c r="W706" s="93"/>
      <c r="X706" s="61"/>
      <c r="Y706" s="112"/>
      <c r="Z706" s="181"/>
      <c r="AA706" s="182"/>
      <c r="AB706" s="183"/>
      <c r="AC706" s="112"/>
      <c r="AD706" s="115"/>
      <c r="AE706" s="151"/>
      <c r="AF706" s="184"/>
      <c r="AG706" s="188"/>
      <c r="AH706" s="188"/>
      <c r="AI706" s="188"/>
      <c r="AJ706" s="188"/>
      <c r="AK706" s="61"/>
      <c r="AL706" s="61"/>
      <c r="AM706" s="61"/>
      <c r="AN706" s="61"/>
      <c r="AO706" s="61"/>
    </row>
    <row r="707">
      <c r="A707" s="112"/>
      <c r="B707" s="149"/>
      <c r="C707" s="93"/>
      <c r="D707" s="61"/>
      <c r="E707" s="112"/>
      <c r="F707" s="149"/>
      <c r="G707" s="93"/>
      <c r="H707" s="61"/>
      <c r="I707" s="112"/>
      <c r="J707" s="149"/>
      <c r="K707" s="93"/>
      <c r="L707" s="61"/>
      <c r="M707" s="112"/>
      <c r="N707" s="115"/>
      <c r="O707" s="93"/>
      <c r="P707" s="61"/>
      <c r="Q707" s="180"/>
      <c r="R707" s="115"/>
      <c r="S707" s="93"/>
      <c r="T707" s="61"/>
      <c r="U707" s="180"/>
      <c r="V707" s="115"/>
      <c r="W707" s="93"/>
      <c r="X707" s="61"/>
      <c r="Y707" s="112"/>
      <c r="Z707" s="181"/>
      <c r="AA707" s="182"/>
      <c r="AB707" s="183"/>
      <c r="AC707" s="112"/>
      <c r="AD707" s="115"/>
      <c r="AE707" s="151"/>
      <c r="AF707" s="184"/>
      <c r="AG707" s="188"/>
      <c r="AH707" s="188"/>
      <c r="AI707" s="188"/>
      <c r="AJ707" s="188"/>
      <c r="AK707" s="61"/>
      <c r="AL707" s="61"/>
      <c r="AM707" s="61"/>
      <c r="AN707" s="61"/>
      <c r="AO707" s="61"/>
    </row>
    <row r="708">
      <c r="A708" s="112"/>
      <c r="B708" s="149"/>
      <c r="C708" s="93"/>
      <c r="D708" s="61"/>
      <c r="E708" s="112"/>
      <c r="F708" s="149"/>
      <c r="G708" s="93"/>
      <c r="H708" s="61"/>
      <c r="I708" s="112"/>
      <c r="J708" s="149"/>
      <c r="K708" s="93"/>
      <c r="L708" s="61"/>
      <c r="M708" s="112"/>
      <c r="N708" s="115"/>
      <c r="O708" s="93"/>
      <c r="P708" s="61"/>
      <c r="Q708" s="180"/>
      <c r="R708" s="115"/>
      <c r="S708" s="93"/>
      <c r="T708" s="61"/>
      <c r="U708" s="180"/>
      <c r="V708" s="115"/>
      <c r="W708" s="93"/>
      <c r="X708" s="61"/>
      <c r="Y708" s="112"/>
      <c r="Z708" s="181"/>
      <c r="AA708" s="182"/>
      <c r="AB708" s="183"/>
      <c r="AC708" s="112"/>
      <c r="AD708" s="115"/>
      <c r="AE708" s="151"/>
      <c r="AF708" s="184"/>
      <c r="AG708" s="188"/>
      <c r="AH708" s="188"/>
      <c r="AI708" s="188"/>
      <c r="AJ708" s="188"/>
      <c r="AK708" s="61"/>
      <c r="AL708" s="61"/>
      <c r="AM708" s="61"/>
      <c r="AN708" s="61"/>
      <c r="AO708" s="61"/>
    </row>
    <row r="709">
      <c r="A709" s="112"/>
      <c r="B709" s="149"/>
      <c r="C709" s="93"/>
      <c r="D709" s="61"/>
      <c r="E709" s="112"/>
      <c r="F709" s="149"/>
      <c r="G709" s="93"/>
      <c r="H709" s="61"/>
      <c r="I709" s="112"/>
      <c r="J709" s="149"/>
      <c r="K709" s="93"/>
      <c r="L709" s="61"/>
      <c r="M709" s="112"/>
      <c r="N709" s="115"/>
      <c r="O709" s="93"/>
      <c r="P709" s="61"/>
      <c r="Q709" s="180"/>
      <c r="R709" s="115"/>
      <c r="S709" s="93"/>
      <c r="T709" s="61"/>
      <c r="U709" s="180"/>
      <c r="V709" s="115"/>
      <c r="W709" s="93"/>
      <c r="X709" s="61"/>
      <c r="Y709" s="112"/>
      <c r="Z709" s="181"/>
      <c r="AA709" s="182"/>
      <c r="AB709" s="183"/>
      <c r="AC709" s="112"/>
      <c r="AD709" s="115"/>
      <c r="AE709" s="151"/>
      <c r="AF709" s="184"/>
      <c r="AG709" s="188"/>
      <c r="AH709" s="188"/>
      <c r="AI709" s="188"/>
      <c r="AJ709" s="188"/>
      <c r="AK709" s="61"/>
      <c r="AL709" s="61"/>
      <c r="AM709" s="61"/>
      <c r="AN709" s="61"/>
      <c r="AO709" s="61"/>
    </row>
    <row r="710">
      <c r="A710" s="112"/>
      <c r="B710" s="149"/>
      <c r="C710" s="93"/>
      <c r="D710" s="61"/>
      <c r="E710" s="112"/>
      <c r="F710" s="149"/>
      <c r="G710" s="93"/>
      <c r="H710" s="61"/>
      <c r="I710" s="112"/>
      <c r="J710" s="149"/>
      <c r="K710" s="93"/>
      <c r="L710" s="61"/>
      <c r="M710" s="112"/>
      <c r="N710" s="115"/>
      <c r="O710" s="93"/>
      <c r="P710" s="61"/>
      <c r="Q710" s="180"/>
      <c r="R710" s="115"/>
      <c r="S710" s="93"/>
      <c r="T710" s="61"/>
      <c r="U710" s="180"/>
      <c r="V710" s="115"/>
      <c r="W710" s="93"/>
      <c r="X710" s="61"/>
      <c r="Y710" s="112"/>
      <c r="Z710" s="181"/>
      <c r="AA710" s="182"/>
      <c r="AB710" s="183"/>
      <c r="AC710" s="112"/>
      <c r="AD710" s="115"/>
      <c r="AE710" s="151"/>
      <c r="AF710" s="184"/>
      <c r="AG710" s="188"/>
      <c r="AH710" s="188"/>
      <c r="AI710" s="188"/>
      <c r="AJ710" s="188"/>
      <c r="AK710" s="61"/>
      <c r="AL710" s="61"/>
      <c r="AM710" s="61"/>
      <c r="AN710" s="61"/>
      <c r="AO710" s="61"/>
    </row>
    <row r="711">
      <c r="A711" s="112"/>
      <c r="B711" s="149"/>
      <c r="C711" s="93"/>
      <c r="D711" s="61"/>
      <c r="E711" s="112"/>
      <c r="F711" s="149"/>
      <c r="G711" s="93"/>
      <c r="H711" s="61"/>
      <c r="I711" s="112"/>
      <c r="J711" s="149"/>
      <c r="K711" s="93"/>
      <c r="L711" s="61"/>
      <c r="M711" s="112"/>
      <c r="N711" s="115"/>
      <c r="O711" s="93"/>
      <c r="P711" s="61"/>
      <c r="Q711" s="180"/>
      <c r="R711" s="115"/>
      <c r="S711" s="93"/>
      <c r="T711" s="61"/>
      <c r="U711" s="180"/>
      <c r="V711" s="115"/>
      <c r="W711" s="93"/>
      <c r="X711" s="61"/>
      <c r="Y711" s="112"/>
      <c r="Z711" s="181"/>
      <c r="AA711" s="182"/>
      <c r="AB711" s="183"/>
      <c r="AC711" s="112"/>
      <c r="AD711" s="115"/>
      <c r="AE711" s="151"/>
      <c r="AF711" s="184"/>
      <c r="AG711" s="188"/>
      <c r="AH711" s="188"/>
      <c r="AI711" s="188"/>
      <c r="AJ711" s="188"/>
      <c r="AK711" s="61"/>
      <c r="AL711" s="61"/>
      <c r="AM711" s="61"/>
      <c r="AN711" s="61"/>
      <c r="AO711" s="61"/>
    </row>
    <row r="712">
      <c r="A712" s="112"/>
      <c r="B712" s="149"/>
      <c r="C712" s="93"/>
      <c r="D712" s="61"/>
      <c r="E712" s="112"/>
      <c r="F712" s="149"/>
      <c r="G712" s="93"/>
      <c r="H712" s="61"/>
      <c r="I712" s="112"/>
      <c r="J712" s="149"/>
      <c r="K712" s="93"/>
      <c r="L712" s="61"/>
      <c r="M712" s="112"/>
      <c r="N712" s="115"/>
      <c r="O712" s="93"/>
      <c r="P712" s="61"/>
      <c r="Q712" s="180"/>
      <c r="R712" s="115"/>
      <c r="S712" s="93"/>
      <c r="T712" s="61"/>
      <c r="U712" s="180"/>
      <c r="V712" s="115"/>
      <c r="W712" s="93"/>
      <c r="X712" s="61"/>
      <c r="Y712" s="112"/>
      <c r="Z712" s="181"/>
      <c r="AA712" s="182"/>
      <c r="AB712" s="183"/>
      <c r="AC712" s="112"/>
      <c r="AD712" s="115"/>
      <c r="AE712" s="151"/>
      <c r="AF712" s="184"/>
      <c r="AG712" s="188"/>
      <c r="AH712" s="188"/>
      <c r="AI712" s="188"/>
      <c r="AJ712" s="188"/>
      <c r="AK712" s="61"/>
      <c r="AL712" s="61"/>
      <c r="AM712" s="61"/>
      <c r="AN712" s="61"/>
      <c r="AO712" s="61"/>
    </row>
    <row r="713">
      <c r="A713" s="112"/>
      <c r="B713" s="149"/>
      <c r="C713" s="93"/>
      <c r="D713" s="61"/>
      <c r="E713" s="112"/>
      <c r="F713" s="149"/>
      <c r="G713" s="93"/>
      <c r="H713" s="61"/>
      <c r="I713" s="112"/>
      <c r="J713" s="149"/>
      <c r="K713" s="93"/>
      <c r="L713" s="61"/>
      <c r="M713" s="112"/>
      <c r="N713" s="115"/>
      <c r="O713" s="93"/>
      <c r="P713" s="61"/>
      <c r="Q713" s="180"/>
      <c r="R713" s="115"/>
      <c r="S713" s="93"/>
      <c r="T713" s="61"/>
      <c r="U713" s="180"/>
      <c r="V713" s="115"/>
      <c r="W713" s="93"/>
      <c r="X713" s="61"/>
      <c r="Y713" s="112"/>
      <c r="Z713" s="181"/>
      <c r="AA713" s="182"/>
      <c r="AB713" s="183"/>
      <c r="AC713" s="112"/>
      <c r="AD713" s="115"/>
      <c r="AE713" s="151"/>
      <c r="AF713" s="184"/>
      <c r="AG713" s="188"/>
      <c r="AH713" s="188"/>
      <c r="AI713" s="188"/>
      <c r="AJ713" s="188"/>
      <c r="AK713" s="61"/>
      <c r="AL713" s="61"/>
      <c r="AM713" s="61"/>
      <c r="AN713" s="61"/>
      <c r="AO713" s="61"/>
    </row>
    <row r="714">
      <c r="A714" s="112"/>
      <c r="B714" s="149"/>
      <c r="C714" s="93"/>
      <c r="D714" s="61"/>
      <c r="E714" s="112"/>
      <c r="F714" s="149"/>
      <c r="G714" s="93"/>
      <c r="H714" s="61"/>
      <c r="I714" s="112"/>
      <c r="J714" s="149"/>
      <c r="K714" s="93"/>
      <c r="L714" s="61"/>
      <c r="M714" s="112"/>
      <c r="N714" s="115"/>
      <c r="O714" s="93"/>
      <c r="P714" s="61"/>
      <c r="Q714" s="180"/>
      <c r="R714" s="115"/>
      <c r="S714" s="93"/>
      <c r="T714" s="61"/>
      <c r="U714" s="180"/>
      <c r="V714" s="115"/>
      <c r="W714" s="93"/>
      <c r="X714" s="61"/>
      <c r="Y714" s="112"/>
      <c r="Z714" s="181"/>
      <c r="AA714" s="182"/>
      <c r="AB714" s="183"/>
      <c r="AC714" s="112"/>
      <c r="AD714" s="115"/>
      <c r="AE714" s="151"/>
      <c r="AF714" s="184"/>
      <c r="AG714" s="188"/>
      <c r="AH714" s="188"/>
      <c r="AI714" s="188"/>
      <c r="AJ714" s="188"/>
      <c r="AK714" s="61"/>
      <c r="AL714" s="61"/>
      <c r="AM714" s="61"/>
      <c r="AN714" s="61"/>
      <c r="AO714" s="61"/>
    </row>
    <row r="715">
      <c r="A715" s="112"/>
      <c r="B715" s="149"/>
      <c r="C715" s="93"/>
      <c r="D715" s="61"/>
      <c r="E715" s="112"/>
      <c r="F715" s="149"/>
      <c r="G715" s="93"/>
      <c r="H715" s="61"/>
      <c r="I715" s="112"/>
      <c r="J715" s="149"/>
      <c r="K715" s="93"/>
      <c r="L715" s="61"/>
      <c r="M715" s="112"/>
      <c r="N715" s="115"/>
      <c r="O715" s="93"/>
      <c r="P715" s="61"/>
      <c r="Q715" s="180"/>
      <c r="R715" s="115"/>
      <c r="S715" s="93"/>
      <c r="T715" s="61"/>
      <c r="U715" s="180"/>
      <c r="V715" s="115"/>
      <c r="W715" s="93"/>
      <c r="X715" s="61"/>
      <c r="Y715" s="112"/>
      <c r="Z715" s="181"/>
      <c r="AA715" s="182"/>
      <c r="AB715" s="183"/>
      <c r="AC715" s="112"/>
      <c r="AD715" s="115"/>
      <c r="AE715" s="151"/>
      <c r="AF715" s="184"/>
      <c r="AG715" s="188"/>
      <c r="AH715" s="188"/>
      <c r="AI715" s="188"/>
      <c r="AJ715" s="188"/>
      <c r="AK715" s="61"/>
      <c r="AL715" s="61"/>
      <c r="AM715" s="61"/>
      <c r="AN715" s="61"/>
      <c r="AO715" s="61"/>
    </row>
    <row r="716">
      <c r="A716" s="112"/>
      <c r="B716" s="149"/>
      <c r="C716" s="93"/>
      <c r="D716" s="61"/>
      <c r="E716" s="112"/>
      <c r="F716" s="149"/>
      <c r="G716" s="93"/>
      <c r="H716" s="61"/>
      <c r="I716" s="112"/>
      <c r="J716" s="149"/>
      <c r="K716" s="93"/>
      <c r="L716" s="61"/>
      <c r="M716" s="112"/>
      <c r="N716" s="115"/>
      <c r="O716" s="93"/>
      <c r="P716" s="61"/>
      <c r="Q716" s="180"/>
      <c r="R716" s="115"/>
      <c r="S716" s="93"/>
      <c r="T716" s="61"/>
      <c r="U716" s="180"/>
      <c r="V716" s="115"/>
      <c r="W716" s="93"/>
      <c r="X716" s="61"/>
      <c r="Y716" s="112"/>
      <c r="Z716" s="181"/>
      <c r="AA716" s="182"/>
      <c r="AB716" s="183"/>
      <c r="AC716" s="112"/>
      <c r="AD716" s="115"/>
      <c r="AE716" s="151"/>
      <c r="AF716" s="184"/>
      <c r="AG716" s="188"/>
      <c r="AH716" s="188"/>
      <c r="AI716" s="188"/>
      <c r="AJ716" s="188"/>
      <c r="AK716" s="61"/>
      <c r="AL716" s="61"/>
      <c r="AM716" s="61"/>
      <c r="AN716" s="61"/>
      <c r="AO716" s="61"/>
    </row>
    <row r="717">
      <c r="A717" s="112"/>
      <c r="B717" s="149"/>
      <c r="C717" s="93"/>
      <c r="D717" s="61"/>
      <c r="E717" s="112"/>
      <c r="F717" s="149"/>
      <c r="G717" s="93"/>
      <c r="H717" s="61"/>
      <c r="I717" s="112"/>
      <c r="J717" s="149"/>
      <c r="K717" s="93"/>
      <c r="L717" s="61"/>
      <c r="M717" s="112"/>
      <c r="N717" s="115"/>
      <c r="O717" s="93"/>
      <c r="P717" s="61"/>
      <c r="Q717" s="180"/>
      <c r="R717" s="115"/>
      <c r="S717" s="93"/>
      <c r="T717" s="61"/>
      <c r="U717" s="180"/>
      <c r="V717" s="115"/>
      <c r="W717" s="93"/>
      <c r="X717" s="61"/>
      <c r="Y717" s="112"/>
      <c r="Z717" s="181"/>
      <c r="AA717" s="182"/>
      <c r="AB717" s="183"/>
      <c r="AC717" s="112"/>
      <c r="AD717" s="115"/>
      <c r="AE717" s="151"/>
      <c r="AF717" s="184"/>
      <c r="AG717" s="188"/>
      <c r="AH717" s="188"/>
      <c r="AI717" s="188"/>
      <c r="AJ717" s="188"/>
      <c r="AK717" s="61"/>
      <c r="AL717" s="61"/>
      <c r="AM717" s="61"/>
      <c r="AN717" s="61"/>
      <c r="AO717" s="61"/>
    </row>
    <row r="718">
      <c r="A718" s="112"/>
      <c r="B718" s="149"/>
      <c r="C718" s="93"/>
      <c r="D718" s="61"/>
      <c r="E718" s="112"/>
      <c r="F718" s="149"/>
      <c r="G718" s="93"/>
      <c r="H718" s="61"/>
      <c r="I718" s="112"/>
      <c r="J718" s="149"/>
      <c r="K718" s="93"/>
      <c r="L718" s="61"/>
      <c r="M718" s="112"/>
      <c r="N718" s="115"/>
      <c r="O718" s="93"/>
      <c r="P718" s="61"/>
      <c r="Q718" s="180"/>
      <c r="R718" s="115"/>
      <c r="S718" s="93"/>
      <c r="T718" s="61"/>
      <c r="U718" s="180"/>
      <c r="V718" s="115"/>
      <c r="W718" s="93"/>
      <c r="X718" s="61"/>
      <c r="Y718" s="112"/>
      <c r="Z718" s="181"/>
      <c r="AA718" s="182"/>
      <c r="AB718" s="183"/>
      <c r="AC718" s="112"/>
      <c r="AD718" s="115"/>
      <c r="AE718" s="151"/>
      <c r="AF718" s="184"/>
      <c r="AG718" s="188"/>
      <c r="AH718" s="188"/>
      <c r="AI718" s="188"/>
      <c r="AJ718" s="188"/>
      <c r="AK718" s="61"/>
      <c r="AL718" s="61"/>
      <c r="AM718" s="61"/>
      <c r="AN718" s="61"/>
      <c r="AO718" s="61"/>
    </row>
    <row r="719">
      <c r="A719" s="112"/>
      <c r="B719" s="149"/>
      <c r="C719" s="93"/>
      <c r="D719" s="61"/>
      <c r="E719" s="112"/>
      <c r="F719" s="149"/>
      <c r="G719" s="93"/>
      <c r="H719" s="61"/>
      <c r="I719" s="112"/>
      <c r="J719" s="149"/>
      <c r="K719" s="93"/>
      <c r="L719" s="61"/>
      <c r="M719" s="112"/>
      <c r="N719" s="115"/>
      <c r="O719" s="93"/>
      <c r="P719" s="61"/>
      <c r="Q719" s="180"/>
      <c r="R719" s="115"/>
      <c r="S719" s="93"/>
      <c r="T719" s="61"/>
      <c r="U719" s="180"/>
      <c r="V719" s="115"/>
      <c r="W719" s="93"/>
      <c r="X719" s="61"/>
      <c r="Y719" s="112"/>
      <c r="Z719" s="181"/>
      <c r="AA719" s="182"/>
      <c r="AB719" s="183"/>
      <c r="AC719" s="112"/>
      <c r="AD719" s="115"/>
      <c r="AE719" s="151"/>
      <c r="AF719" s="184"/>
      <c r="AG719" s="188"/>
      <c r="AH719" s="188"/>
      <c r="AI719" s="188"/>
      <c r="AJ719" s="188"/>
      <c r="AK719" s="61"/>
      <c r="AL719" s="61"/>
      <c r="AM719" s="61"/>
      <c r="AN719" s="61"/>
      <c r="AO719" s="61"/>
    </row>
    <row r="720">
      <c r="A720" s="112"/>
      <c r="B720" s="149"/>
      <c r="C720" s="93"/>
      <c r="D720" s="61"/>
      <c r="E720" s="112"/>
      <c r="F720" s="149"/>
      <c r="G720" s="93"/>
      <c r="H720" s="61"/>
      <c r="I720" s="112"/>
      <c r="J720" s="149"/>
      <c r="K720" s="93"/>
      <c r="L720" s="61"/>
      <c r="M720" s="112"/>
      <c r="N720" s="115"/>
      <c r="O720" s="93"/>
      <c r="P720" s="61"/>
      <c r="Q720" s="180"/>
      <c r="R720" s="115"/>
      <c r="S720" s="93"/>
      <c r="T720" s="61"/>
      <c r="U720" s="180"/>
      <c r="V720" s="115"/>
      <c r="W720" s="93"/>
      <c r="X720" s="61"/>
      <c r="Y720" s="112"/>
      <c r="Z720" s="181"/>
      <c r="AA720" s="182"/>
      <c r="AB720" s="183"/>
      <c r="AC720" s="112"/>
      <c r="AD720" s="115"/>
      <c r="AE720" s="151"/>
      <c r="AF720" s="184"/>
      <c r="AG720" s="188"/>
      <c r="AH720" s="188"/>
      <c r="AI720" s="188"/>
      <c r="AJ720" s="188"/>
      <c r="AK720" s="61"/>
      <c r="AL720" s="61"/>
      <c r="AM720" s="61"/>
      <c r="AN720" s="61"/>
      <c r="AO720" s="61"/>
    </row>
    <row r="721">
      <c r="A721" s="112"/>
      <c r="B721" s="149"/>
      <c r="C721" s="93"/>
      <c r="D721" s="61"/>
      <c r="E721" s="112"/>
      <c r="F721" s="149"/>
      <c r="G721" s="93"/>
      <c r="H721" s="61"/>
      <c r="I721" s="112"/>
      <c r="J721" s="149"/>
      <c r="K721" s="93"/>
      <c r="L721" s="61"/>
      <c r="M721" s="112"/>
      <c r="N721" s="115"/>
      <c r="O721" s="93"/>
      <c r="P721" s="61"/>
      <c r="Q721" s="180"/>
      <c r="R721" s="115"/>
      <c r="S721" s="93"/>
      <c r="T721" s="61"/>
      <c r="U721" s="180"/>
      <c r="V721" s="115"/>
      <c r="W721" s="93"/>
      <c r="X721" s="61"/>
      <c r="Y721" s="112"/>
      <c r="Z721" s="181"/>
      <c r="AA721" s="182"/>
      <c r="AB721" s="183"/>
      <c r="AC721" s="112"/>
      <c r="AD721" s="115"/>
      <c r="AE721" s="151"/>
      <c r="AF721" s="184"/>
      <c r="AG721" s="188"/>
      <c r="AH721" s="188"/>
      <c r="AI721" s="188"/>
      <c r="AJ721" s="188"/>
      <c r="AK721" s="61"/>
      <c r="AL721" s="61"/>
      <c r="AM721" s="61"/>
      <c r="AN721" s="61"/>
      <c r="AO721" s="61"/>
    </row>
    <row r="722">
      <c r="A722" s="112"/>
      <c r="B722" s="149"/>
      <c r="C722" s="93"/>
      <c r="D722" s="61"/>
      <c r="E722" s="112"/>
      <c r="F722" s="149"/>
      <c r="G722" s="93"/>
      <c r="H722" s="61"/>
      <c r="I722" s="112"/>
      <c r="J722" s="149"/>
      <c r="K722" s="93"/>
      <c r="L722" s="61"/>
      <c r="M722" s="112"/>
      <c r="N722" s="115"/>
      <c r="O722" s="93"/>
      <c r="P722" s="61"/>
      <c r="Q722" s="180"/>
      <c r="R722" s="115"/>
      <c r="S722" s="93"/>
      <c r="T722" s="61"/>
      <c r="U722" s="180"/>
      <c r="V722" s="115"/>
      <c r="W722" s="93"/>
      <c r="X722" s="61"/>
      <c r="Y722" s="112"/>
      <c r="Z722" s="181"/>
      <c r="AA722" s="182"/>
      <c r="AB722" s="183"/>
      <c r="AC722" s="112"/>
      <c r="AD722" s="115"/>
      <c r="AE722" s="151"/>
      <c r="AF722" s="184"/>
      <c r="AG722" s="188"/>
      <c r="AH722" s="188"/>
      <c r="AI722" s="188"/>
      <c r="AJ722" s="188"/>
      <c r="AK722" s="61"/>
      <c r="AL722" s="61"/>
      <c r="AM722" s="61"/>
      <c r="AN722" s="61"/>
      <c r="AO722" s="61"/>
    </row>
    <row r="723">
      <c r="A723" s="112"/>
      <c r="B723" s="149"/>
      <c r="C723" s="93"/>
      <c r="D723" s="61"/>
      <c r="E723" s="112"/>
      <c r="F723" s="149"/>
      <c r="G723" s="93"/>
      <c r="H723" s="61"/>
      <c r="I723" s="112"/>
      <c r="J723" s="149"/>
      <c r="K723" s="93"/>
      <c r="L723" s="61"/>
      <c r="M723" s="112"/>
      <c r="N723" s="115"/>
      <c r="O723" s="93"/>
      <c r="P723" s="61"/>
      <c r="Q723" s="180"/>
      <c r="R723" s="115"/>
      <c r="S723" s="93"/>
      <c r="T723" s="61"/>
      <c r="U723" s="180"/>
      <c r="V723" s="115"/>
      <c r="W723" s="93"/>
      <c r="X723" s="61"/>
      <c r="Y723" s="112"/>
      <c r="Z723" s="181"/>
      <c r="AA723" s="182"/>
      <c r="AB723" s="183"/>
      <c r="AC723" s="112"/>
      <c r="AD723" s="115"/>
      <c r="AE723" s="151"/>
      <c r="AF723" s="184"/>
      <c r="AG723" s="188"/>
      <c r="AH723" s="188"/>
      <c r="AI723" s="188"/>
      <c r="AJ723" s="188"/>
      <c r="AK723" s="61"/>
      <c r="AL723" s="61"/>
      <c r="AM723" s="61"/>
      <c r="AN723" s="61"/>
      <c r="AO723" s="61"/>
    </row>
    <row r="724">
      <c r="A724" s="112"/>
      <c r="B724" s="149"/>
      <c r="C724" s="93"/>
      <c r="D724" s="61"/>
      <c r="E724" s="112"/>
      <c r="F724" s="149"/>
      <c r="G724" s="93"/>
      <c r="H724" s="61"/>
      <c r="I724" s="112"/>
      <c r="J724" s="149"/>
      <c r="K724" s="93"/>
      <c r="L724" s="61"/>
      <c r="M724" s="112"/>
      <c r="N724" s="115"/>
      <c r="O724" s="93"/>
      <c r="P724" s="61"/>
      <c r="Q724" s="180"/>
      <c r="R724" s="115"/>
      <c r="S724" s="93"/>
      <c r="T724" s="61"/>
      <c r="U724" s="180"/>
      <c r="V724" s="115"/>
      <c r="W724" s="93"/>
      <c r="X724" s="61"/>
      <c r="Y724" s="112"/>
      <c r="Z724" s="181"/>
      <c r="AA724" s="182"/>
      <c r="AB724" s="183"/>
      <c r="AC724" s="112"/>
      <c r="AD724" s="115"/>
      <c r="AE724" s="151"/>
      <c r="AF724" s="184"/>
      <c r="AG724" s="188"/>
      <c r="AH724" s="188"/>
      <c r="AI724" s="188"/>
      <c r="AJ724" s="188"/>
      <c r="AK724" s="61"/>
      <c r="AL724" s="61"/>
      <c r="AM724" s="61"/>
      <c r="AN724" s="61"/>
      <c r="AO724" s="61"/>
    </row>
    <row r="725">
      <c r="A725" s="112"/>
      <c r="B725" s="149"/>
      <c r="C725" s="93"/>
      <c r="D725" s="61"/>
      <c r="E725" s="112"/>
      <c r="F725" s="149"/>
      <c r="G725" s="93"/>
      <c r="H725" s="61"/>
      <c r="I725" s="112"/>
      <c r="J725" s="149"/>
      <c r="K725" s="93"/>
      <c r="L725" s="61"/>
      <c r="M725" s="112"/>
      <c r="N725" s="115"/>
      <c r="O725" s="93"/>
      <c r="P725" s="61"/>
      <c r="Q725" s="180"/>
      <c r="R725" s="115"/>
      <c r="S725" s="93"/>
      <c r="T725" s="61"/>
      <c r="U725" s="180"/>
      <c r="V725" s="115"/>
      <c r="W725" s="93"/>
      <c r="X725" s="61"/>
      <c r="Y725" s="112"/>
      <c r="Z725" s="181"/>
      <c r="AA725" s="182"/>
      <c r="AB725" s="183"/>
      <c r="AC725" s="112"/>
      <c r="AD725" s="115"/>
      <c r="AE725" s="151"/>
      <c r="AF725" s="184"/>
      <c r="AG725" s="188"/>
      <c r="AH725" s="188"/>
      <c r="AI725" s="188"/>
      <c r="AJ725" s="188"/>
      <c r="AK725" s="61"/>
      <c r="AL725" s="61"/>
      <c r="AM725" s="61"/>
      <c r="AN725" s="61"/>
      <c r="AO725" s="61"/>
    </row>
    <row r="726">
      <c r="A726" s="112"/>
      <c r="B726" s="149"/>
      <c r="C726" s="93"/>
      <c r="D726" s="61"/>
      <c r="E726" s="112"/>
      <c r="F726" s="149"/>
      <c r="G726" s="93"/>
      <c r="H726" s="61"/>
      <c r="I726" s="112"/>
      <c r="J726" s="149"/>
      <c r="K726" s="93"/>
      <c r="L726" s="61"/>
      <c r="M726" s="112"/>
      <c r="N726" s="115"/>
      <c r="O726" s="93"/>
      <c r="P726" s="61"/>
      <c r="Q726" s="180"/>
      <c r="R726" s="115"/>
      <c r="S726" s="93"/>
      <c r="T726" s="61"/>
      <c r="U726" s="180"/>
      <c r="V726" s="115"/>
      <c r="W726" s="93"/>
      <c r="X726" s="61"/>
      <c r="Y726" s="112"/>
      <c r="Z726" s="181"/>
      <c r="AA726" s="182"/>
      <c r="AB726" s="183"/>
      <c r="AC726" s="112"/>
      <c r="AD726" s="115"/>
      <c r="AE726" s="151"/>
      <c r="AF726" s="184"/>
      <c r="AG726" s="188"/>
      <c r="AH726" s="188"/>
      <c r="AI726" s="188"/>
      <c r="AJ726" s="188"/>
      <c r="AK726" s="61"/>
      <c r="AL726" s="61"/>
      <c r="AM726" s="61"/>
      <c r="AN726" s="61"/>
      <c r="AO726" s="61"/>
    </row>
    <row r="727">
      <c r="A727" s="112"/>
      <c r="B727" s="149"/>
      <c r="C727" s="93"/>
      <c r="D727" s="61"/>
      <c r="E727" s="112"/>
      <c r="F727" s="149"/>
      <c r="G727" s="93"/>
      <c r="H727" s="61"/>
      <c r="I727" s="112"/>
      <c r="J727" s="149"/>
      <c r="K727" s="93"/>
      <c r="L727" s="61"/>
      <c r="M727" s="112"/>
      <c r="N727" s="115"/>
      <c r="O727" s="93"/>
      <c r="P727" s="61"/>
      <c r="Q727" s="180"/>
      <c r="R727" s="115"/>
      <c r="S727" s="93"/>
      <c r="T727" s="61"/>
      <c r="U727" s="180"/>
      <c r="V727" s="115"/>
      <c r="W727" s="93"/>
      <c r="X727" s="61"/>
      <c r="Y727" s="112"/>
      <c r="Z727" s="181"/>
      <c r="AA727" s="182"/>
      <c r="AB727" s="183"/>
      <c r="AC727" s="112"/>
      <c r="AD727" s="115"/>
      <c r="AE727" s="151"/>
      <c r="AF727" s="184"/>
      <c r="AG727" s="188"/>
      <c r="AH727" s="188"/>
      <c r="AI727" s="188"/>
      <c r="AJ727" s="188"/>
      <c r="AK727" s="61"/>
      <c r="AL727" s="61"/>
      <c r="AM727" s="61"/>
      <c r="AN727" s="61"/>
      <c r="AO727" s="61"/>
    </row>
    <row r="728">
      <c r="A728" s="112"/>
      <c r="B728" s="149"/>
      <c r="C728" s="93"/>
      <c r="D728" s="61"/>
      <c r="E728" s="112"/>
      <c r="F728" s="149"/>
      <c r="G728" s="93"/>
      <c r="H728" s="61"/>
      <c r="I728" s="112"/>
      <c r="J728" s="149"/>
      <c r="K728" s="93"/>
      <c r="L728" s="61"/>
      <c r="M728" s="112"/>
      <c r="N728" s="115"/>
      <c r="O728" s="93"/>
      <c r="P728" s="61"/>
      <c r="Q728" s="180"/>
      <c r="R728" s="115"/>
      <c r="S728" s="93"/>
      <c r="T728" s="61"/>
      <c r="U728" s="180"/>
      <c r="V728" s="115"/>
      <c r="W728" s="93"/>
      <c r="X728" s="61"/>
      <c r="Y728" s="112"/>
      <c r="Z728" s="181"/>
      <c r="AA728" s="182"/>
      <c r="AB728" s="183"/>
      <c r="AC728" s="112"/>
      <c r="AD728" s="115"/>
      <c r="AE728" s="151"/>
      <c r="AF728" s="184"/>
      <c r="AG728" s="188"/>
      <c r="AH728" s="188"/>
      <c r="AI728" s="188"/>
      <c r="AJ728" s="188"/>
      <c r="AK728" s="61"/>
      <c r="AL728" s="61"/>
      <c r="AM728" s="61"/>
      <c r="AN728" s="61"/>
      <c r="AO728" s="61"/>
    </row>
    <row r="729">
      <c r="A729" s="112"/>
      <c r="B729" s="149"/>
      <c r="C729" s="93"/>
      <c r="D729" s="61"/>
      <c r="E729" s="112"/>
      <c r="F729" s="149"/>
      <c r="G729" s="93"/>
      <c r="H729" s="61"/>
      <c r="I729" s="112"/>
      <c r="J729" s="149"/>
      <c r="K729" s="93"/>
      <c r="L729" s="61"/>
      <c r="M729" s="112"/>
      <c r="N729" s="115"/>
      <c r="O729" s="93"/>
      <c r="P729" s="61"/>
      <c r="Q729" s="180"/>
      <c r="R729" s="115"/>
      <c r="S729" s="93"/>
      <c r="T729" s="61"/>
      <c r="U729" s="180"/>
      <c r="V729" s="115"/>
      <c r="W729" s="93"/>
      <c r="X729" s="61"/>
      <c r="Y729" s="112"/>
      <c r="Z729" s="181"/>
      <c r="AA729" s="182"/>
      <c r="AB729" s="183"/>
      <c r="AC729" s="112"/>
      <c r="AD729" s="115"/>
      <c r="AE729" s="151"/>
      <c r="AF729" s="184"/>
      <c r="AG729" s="188"/>
      <c r="AH729" s="188"/>
      <c r="AI729" s="188"/>
      <c r="AJ729" s="188"/>
      <c r="AK729" s="61"/>
      <c r="AL729" s="61"/>
      <c r="AM729" s="61"/>
      <c r="AN729" s="61"/>
      <c r="AO729" s="61"/>
    </row>
    <row r="730">
      <c r="A730" s="112"/>
      <c r="B730" s="149"/>
      <c r="C730" s="93"/>
      <c r="D730" s="61"/>
      <c r="E730" s="112"/>
      <c r="F730" s="149"/>
      <c r="G730" s="93"/>
      <c r="H730" s="61"/>
      <c r="I730" s="112"/>
      <c r="J730" s="149"/>
      <c r="K730" s="93"/>
      <c r="L730" s="61"/>
      <c r="M730" s="112"/>
      <c r="N730" s="115"/>
      <c r="O730" s="93"/>
      <c r="P730" s="61"/>
      <c r="Q730" s="180"/>
      <c r="R730" s="115"/>
      <c r="S730" s="93"/>
      <c r="T730" s="61"/>
      <c r="U730" s="180"/>
      <c r="V730" s="115"/>
      <c r="W730" s="93"/>
      <c r="X730" s="61"/>
      <c r="Y730" s="112"/>
      <c r="Z730" s="181"/>
      <c r="AA730" s="182"/>
      <c r="AB730" s="183"/>
      <c r="AC730" s="112"/>
      <c r="AD730" s="115"/>
      <c r="AE730" s="151"/>
      <c r="AF730" s="184"/>
      <c r="AG730" s="188"/>
      <c r="AH730" s="188"/>
      <c r="AI730" s="188"/>
      <c r="AJ730" s="188"/>
      <c r="AK730" s="61"/>
      <c r="AL730" s="61"/>
      <c r="AM730" s="61"/>
      <c r="AN730" s="61"/>
      <c r="AO730" s="61"/>
    </row>
    <row r="731">
      <c r="A731" s="112"/>
      <c r="B731" s="149"/>
      <c r="C731" s="93"/>
      <c r="D731" s="61"/>
      <c r="E731" s="112"/>
      <c r="F731" s="149"/>
      <c r="G731" s="93"/>
      <c r="H731" s="61"/>
      <c r="I731" s="112"/>
      <c r="J731" s="149"/>
      <c r="K731" s="93"/>
      <c r="L731" s="61"/>
      <c r="M731" s="112"/>
      <c r="N731" s="115"/>
      <c r="O731" s="93"/>
      <c r="P731" s="61"/>
      <c r="Q731" s="180"/>
      <c r="R731" s="115"/>
      <c r="S731" s="93"/>
      <c r="T731" s="61"/>
      <c r="U731" s="180"/>
      <c r="V731" s="115"/>
      <c r="W731" s="93"/>
      <c r="X731" s="61"/>
      <c r="Y731" s="112"/>
      <c r="Z731" s="181"/>
      <c r="AA731" s="182"/>
      <c r="AB731" s="183"/>
      <c r="AC731" s="112"/>
      <c r="AD731" s="115"/>
      <c r="AE731" s="151"/>
      <c r="AF731" s="184"/>
      <c r="AG731" s="188"/>
      <c r="AH731" s="188"/>
      <c r="AI731" s="188"/>
      <c r="AJ731" s="188"/>
      <c r="AK731" s="61"/>
      <c r="AL731" s="61"/>
      <c r="AM731" s="61"/>
      <c r="AN731" s="61"/>
      <c r="AO731" s="61"/>
    </row>
    <row r="732">
      <c r="A732" s="112"/>
      <c r="B732" s="149"/>
      <c r="C732" s="93"/>
      <c r="D732" s="61"/>
      <c r="E732" s="112"/>
      <c r="F732" s="149"/>
      <c r="G732" s="93"/>
      <c r="H732" s="61"/>
      <c r="I732" s="112"/>
      <c r="J732" s="149"/>
      <c r="K732" s="93"/>
      <c r="L732" s="61"/>
      <c r="M732" s="112"/>
      <c r="N732" s="115"/>
      <c r="O732" s="93"/>
      <c r="P732" s="61"/>
      <c r="Q732" s="180"/>
      <c r="R732" s="115"/>
      <c r="S732" s="93"/>
      <c r="T732" s="61"/>
      <c r="U732" s="180"/>
      <c r="V732" s="115"/>
      <c r="W732" s="93"/>
      <c r="X732" s="61"/>
      <c r="Y732" s="112"/>
      <c r="Z732" s="181"/>
      <c r="AA732" s="182"/>
      <c r="AB732" s="183"/>
      <c r="AC732" s="112"/>
      <c r="AD732" s="115"/>
      <c r="AE732" s="151"/>
      <c r="AF732" s="184"/>
      <c r="AG732" s="188"/>
      <c r="AH732" s="188"/>
      <c r="AI732" s="188"/>
      <c r="AJ732" s="188"/>
      <c r="AK732" s="61"/>
      <c r="AL732" s="61"/>
      <c r="AM732" s="61"/>
      <c r="AN732" s="61"/>
      <c r="AO732" s="61"/>
    </row>
    <row r="733">
      <c r="A733" s="112"/>
      <c r="B733" s="149"/>
      <c r="C733" s="93"/>
      <c r="D733" s="61"/>
      <c r="E733" s="112"/>
      <c r="F733" s="149"/>
      <c r="G733" s="93"/>
      <c r="H733" s="61"/>
      <c r="I733" s="112"/>
      <c r="J733" s="149"/>
      <c r="K733" s="93"/>
      <c r="L733" s="61"/>
      <c r="M733" s="112"/>
      <c r="N733" s="115"/>
      <c r="O733" s="93"/>
      <c r="P733" s="61"/>
      <c r="Q733" s="180"/>
      <c r="R733" s="115"/>
      <c r="S733" s="93"/>
      <c r="T733" s="61"/>
      <c r="U733" s="180"/>
      <c r="V733" s="115"/>
      <c r="W733" s="93"/>
      <c r="X733" s="61"/>
      <c r="Y733" s="112"/>
      <c r="Z733" s="181"/>
      <c r="AA733" s="182"/>
      <c r="AB733" s="183"/>
      <c r="AC733" s="112"/>
      <c r="AD733" s="115"/>
      <c r="AE733" s="151"/>
      <c r="AF733" s="184"/>
      <c r="AG733" s="188"/>
      <c r="AH733" s="188"/>
      <c r="AI733" s="188"/>
      <c r="AJ733" s="188"/>
      <c r="AK733" s="61"/>
      <c r="AL733" s="61"/>
      <c r="AM733" s="61"/>
      <c r="AN733" s="61"/>
      <c r="AO733" s="61"/>
    </row>
    <row r="734">
      <c r="A734" s="112"/>
      <c r="B734" s="149"/>
      <c r="C734" s="93"/>
      <c r="D734" s="61"/>
      <c r="E734" s="112"/>
      <c r="F734" s="149"/>
      <c r="G734" s="93"/>
      <c r="H734" s="61"/>
      <c r="I734" s="112"/>
      <c r="J734" s="149"/>
      <c r="K734" s="93"/>
      <c r="L734" s="61"/>
      <c r="M734" s="112"/>
      <c r="N734" s="115"/>
      <c r="O734" s="93"/>
      <c r="P734" s="61"/>
      <c r="Q734" s="180"/>
      <c r="R734" s="115"/>
      <c r="S734" s="93"/>
      <c r="T734" s="61"/>
      <c r="U734" s="180"/>
      <c r="V734" s="115"/>
      <c r="W734" s="93"/>
      <c r="X734" s="61"/>
      <c r="Y734" s="112"/>
      <c r="Z734" s="181"/>
      <c r="AA734" s="182"/>
      <c r="AB734" s="183"/>
      <c r="AC734" s="112"/>
      <c r="AD734" s="115"/>
      <c r="AE734" s="151"/>
      <c r="AF734" s="184"/>
      <c r="AG734" s="188"/>
      <c r="AH734" s="188"/>
      <c r="AI734" s="188"/>
      <c r="AJ734" s="188"/>
      <c r="AK734" s="61"/>
      <c r="AL734" s="61"/>
      <c r="AM734" s="61"/>
      <c r="AN734" s="61"/>
      <c r="AO734" s="61"/>
    </row>
    <row r="735">
      <c r="A735" s="112"/>
      <c r="B735" s="149"/>
      <c r="C735" s="93"/>
      <c r="D735" s="61"/>
      <c r="E735" s="112"/>
      <c r="F735" s="149"/>
      <c r="G735" s="93"/>
      <c r="H735" s="61"/>
      <c r="I735" s="112"/>
      <c r="J735" s="149"/>
      <c r="K735" s="93"/>
      <c r="L735" s="61"/>
      <c r="M735" s="112"/>
      <c r="N735" s="115"/>
      <c r="O735" s="93"/>
      <c r="P735" s="61"/>
      <c r="Q735" s="180"/>
      <c r="R735" s="115"/>
      <c r="S735" s="93"/>
      <c r="T735" s="61"/>
      <c r="U735" s="180"/>
      <c r="V735" s="115"/>
      <c r="W735" s="93"/>
      <c r="X735" s="61"/>
      <c r="Y735" s="112"/>
      <c r="Z735" s="181"/>
      <c r="AA735" s="182"/>
      <c r="AB735" s="183"/>
      <c r="AC735" s="112"/>
      <c r="AD735" s="115"/>
      <c r="AE735" s="151"/>
      <c r="AF735" s="184"/>
      <c r="AG735" s="188"/>
      <c r="AH735" s="188"/>
      <c r="AI735" s="188"/>
      <c r="AJ735" s="188"/>
      <c r="AK735" s="61"/>
      <c r="AL735" s="61"/>
      <c r="AM735" s="61"/>
      <c r="AN735" s="61"/>
      <c r="AO735" s="61"/>
    </row>
    <row r="736">
      <c r="A736" s="112"/>
      <c r="B736" s="149"/>
      <c r="C736" s="93"/>
      <c r="D736" s="61"/>
      <c r="E736" s="112"/>
      <c r="F736" s="149"/>
      <c r="G736" s="93"/>
      <c r="H736" s="61"/>
      <c r="I736" s="112"/>
      <c r="J736" s="149"/>
      <c r="K736" s="93"/>
      <c r="L736" s="61"/>
      <c r="M736" s="112"/>
      <c r="N736" s="115"/>
      <c r="O736" s="93"/>
      <c r="P736" s="61"/>
      <c r="Q736" s="180"/>
      <c r="R736" s="115"/>
      <c r="S736" s="93"/>
      <c r="T736" s="61"/>
      <c r="U736" s="180"/>
      <c r="V736" s="115"/>
      <c r="W736" s="93"/>
      <c r="X736" s="61"/>
      <c r="Y736" s="112"/>
      <c r="Z736" s="181"/>
      <c r="AA736" s="182"/>
      <c r="AB736" s="183"/>
      <c r="AC736" s="112"/>
      <c r="AD736" s="115"/>
      <c r="AE736" s="151"/>
      <c r="AF736" s="184"/>
      <c r="AG736" s="188"/>
      <c r="AH736" s="188"/>
      <c r="AI736" s="188"/>
      <c r="AJ736" s="188"/>
      <c r="AK736" s="61"/>
      <c r="AL736" s="61"/>
      <c r="AM736" s="61"/>
      <c r="AN736" s="61"/>
      <c r="AO736" s="61"/>
    </row>
    <row r="737">
      <c r="A737" s="112"/>
      <c r="B737" s="149"/>
      <c r="C737" s="93"/>
      <c r="D737" s="61"/>
      <c r="E737" s="112"/>
      <c r="F737" s="149"/>
      <c r="G737" s="93"/>
      <c r="H737" s="61"/>
      <c r="I737" s="112"/>
      <c r="J737" s="149"/>
      <c r="K737" s="93"/>
      <c r="L737" s="61"/>
      <c r="M737" s="112"/>
      <c r="N737" s="115"/>
      <c r="O737" s="93"/>
      <c r="P737" s="61"/>
      <c r="Q737" s="180"/>
      <c r="R737" s="115"/>
      <c r="S737" s="93"/>
      <c r="T737" s="61"/>
      <c r="U737" s="180"/>
      <c r="V737" s="115"/>
      <c r="W737" s="93"/>
      <c r="X737" s="61"/>
      <c r="Y737" s="112"/>
      <c r="Z737" s="181"/>
      <c r="AA737" s="182"/>
      <c r="AB737" s="183"/>
      <c r="AC737" s="112"/>
      <c r="AD737" s="115"/>
      <c r="AE737" s="151"/>
      <c r="AF737" s="184"/>
      <c r="AG737" s="188"/>
      <c r="AH737" s="188"/>
      <c r="AI737" s="188"/>
      <c r="AJ737" s="188"/>
      <c r="AK737" s="61"/>
      <c r="AL737" s="61"/>
      <c r="AM737" s="61"/>
      <c r="AN737" s="61"/>
      <c r="AO737" s="61"/>
    </row>
    <row r="738">
      <c r="A738" s="112"/>
      <c r="B738" s="149"/>
      <c r="C738" s="93"/>
      <c r="D738" s="61"/>
      <c r="E738" s="112"/>
      <c r="F738" s="149"/>
      <c r="G738" s="93"/>
      <c r="H738" s="61"/>
      <c r="I738" s="112"/>
      <c r="J738" s="149"/>
      <c r="K738" s="93"/>
      <c r="L738" s="61"/>
      <c r="M738" s="112"/>
      <c r="N738" s="115"/>
      <c r="O738" s="93"/>
      <c r="P738" s="61"/>
      <c r="Q738" s="180"/>
      <c r="R738" s="115"/>
      <c r="S738" s="93"/>
      <c r="T738" s="61"/>
      <c r="U738" s="180"/>
      <c r="V738" s="115"/>
      <c r="W738" s="93"/>
      <c r="X738" s="61"/>
      <c r="Y738" s="112"/>
      <c r="Z738" s="181"/>
      <c r="AA738" s="182"/>
      <c r="AB738" s="183"/>
      <c r="AC738" s="112"/>
      <c r="AD738" s="115"/>
      <c r="AE738" s="151"/>
      <c r="AF738" s="184"/>
      <c r="AG738" s="188"/>
      <c r="AH738" s="188"/>
      <c r="AI738" s="188"/>
      <c r="AJ738" s="188"/>
      <c r="AK738" s="61"/>
      <c r="AL738" s="61"/>
      <c r="AM738" s="61"/>
      <c r="AN738" s="61"/>
      <c r="AO738" s="61"/>
    </row>
    <row r="739">
      <c r="A739" s="112"/>
      <c r="B739" s="149"/>
      <c r="C739" s="93"/>
      <c r="D739" s="61"/>
      <c r="E739" s="112"/>
      <c r="F739" s="149"/>
      <c r="G739" s="93"/>
      <c r="H739" s="61"/>
      <c r="I739" s="112"/>
      <c r="J739" s="149"/>
      <c r="K739" s="93"/>
      <c r="L739" s="61"/>
      <c r="M739" s="112"/>
      <c r="N739" s="115"/>
      <c r="O739" s="93"/>
      <c r="P739" s="61"/>
      <c r="Q739" s="180"/>
      <c r="R739" s="115"/>
      <c r="S739" s="93"/>
      <c r="T739" s="61"/>
      <c r="U739" s="180"/>
      <c r="V739" s="115"/>
      <c r="W739" s="93"/>
      <c r="X739" s="61"/>
      <c r="Y739" s="112"/>
      <c r="Z739" s="181"/>
      <c r="AA739" s="182"/>
      <c r="AB739" s="183"/>
      <c r="AC739" s="112"/>
      <c r="AD739" s="115"/>
      <c r="AE739" s="151"/>
      <c r="AF739" s="184"/>
      <c r="AG739" s="188"/>
      <c r="AH739" s="188"/>
      <c r="AI739" s="188"/>
      <c r="AJ739" s="188"/>
      <c r="AK739" s="61"/>
      <c r="AL739" s="61"/>
      <c r="AM739" s="61"/>
      <c r="AN739" s="61"/>
      <c r="AO739" s="61"/>
    </row>
    <row r="740">
      <c r="A740" s="112"/>
      <c r="B740" s="149"/>
      <c r="C740" s="93"/>
      <c r="D740" s="61"/>
      <c r="E740" s="112"/>
      <c r="F740" s="149"/>
      <c r="G740" s="93"/>
      <c r="H740" s="61"/>
      <c r="I740" s="112"/>
      <c r="J740" s="149"/>
      <c r="K740" s="93"/>
      <c r="L740" s="61"/>
      <c r="M740" s="112"/>
      <c r="N740" s="115"/>
      <c r="O740" s="93"/>
      <c r="P740" s="61"/>
      <c r="Q740" s="180"/>
      <c r="R740" s="115"/>
      <c r="S740" s="93"/>
      <c r="T740" s="61"/>
      <c r="U740" s="180"/>
      <c r="V740" s="115"/>
      <c r="W740" s="93"/>
      <c r="X740" s="61"/>
      <c r="Y740" s="112"/>
      <c r="Z740" s="181"/>
      <c r="AA740" s="182"/>
      <c r="AB740" s="183"/>
      <c r="AC740" s="112"/>
      <c r="AD740" s="115"/>
      <c r="AE740" s="151"/>
      <c r="AF740" s="184"/>
      <c r="AG740" s="188"/>
      <c r="AH740" s="188"/>
      <c r="AI740" s="188"/>
      <c r="AJ740" s="188"/>
      <c r="AK740" s="61"/>
      <c r="AL740" s="61"/>
      <c r="AM740" s="61"/>
      <c r="AN740" s="61"/>
      <c r="AO740" s="61"/>
    </row>
    <row r="741">
      <c r="A741" s="112"/>
      <c r="B741" s="149"/>
      <c r="C741" s="93"/>
      <c r="D741" s="61"/>
      <c r="E741" s="112"/>
      <c r="F741" s="149"/>
      <c r="G741" s="93"/>
      <c r="H741" s="61"/>
      <c r="I741" s="112"/>
      <c r="J741" s="149"/>
      <c r="K741" s="93"/>
      <c r="L741" s="61"/>
      <c r="M741" s="112"/>
      <c r="N741" s="115"/>
      <c r="O741" s="93"/>
      <c r="P741" s="61"/>
      <c r="Q741" s="180"/>
      <c r="R741" s="115"/>
      <c r="S741" s="93"/>
      <c r="T741" s="61"/>
      <c r="U741" s="180"/>
      <c r="V741" s="115"/>
      <c r="W741" s="93"/>
      <c r="X741" s="61"/>
      <c r="Y741" s="112"/>
      <c r="Z741" s="181"/>
      <c r="AA741" s="182"/>
      <c r="AB741" s="183"/>
      <c r="AC741" s="112"/>
      <c r="AD741" s="115"/>
      <c r="AE741" s="151"/>
      <c r="AF741" s="184"/>
      <c r="AG741" s="188"/>
      <c r="AH741" s="188"/>
      <c r="AI741" s="188"/>
      <c r="AJ741" s="188"/>
      <c r="AK741" s="61"/>
      <c r="AL741" s="61"/>
      <c r="AM741" s="61"/>
      <c r="AN741" s="61"/>
      <c r="AO741" s="61"/>
    </row>
    <row r="742">
      <c r="A742" s="112"/>
      <c r="B742" s="149"/>
      <c r="C742" s="93"/>
      <c r="D742" s="61"/>
      <c r="E742" s="112"/>
      <c r="F742" s="149"/>
      <c r="G742" s="93"/>
      <c r="H742" s="61"/>
      <c r="I742" s="112"/>
      <c r="J742" s="149"/>
      <c r="K742" s="93"/>
      <c r="L742" s="61"/>
      <c r="M742" s="112"/>
      <c r="N742" s="115"/>
      <c r="O742" s="93"/>
      <c r="P742" s="61"/>
      <c r="Q742" s="180"/>
      <c r="R742" s="115"/>
      <c r="S742" s="93"/>
      <c r="T742" s="61"/>
      <c r="U742" s="180"/>
      <c r="V742" s="115"/>
      <c r="W742" s="93"/>
      <c r="X742" s="61"/>
      <c r="Y742" s="112"/>
      <c r="Z742" s="181"/>
      <c r="AA742" s="182"/>
      <c r="AB742" s="183"/>
      <c r="AC742" s="112"/>
      <c r="AD742" s="115"/>
      <c r="AE742" s="151"/>
      <c r="AF742" s="184"/>
      <c r="AG742" s="188"/>
      <c r="AH742" s="188"/>
      <c r="AI742" s="188"/>
      <c r="AJ742" s="188"/>
      <c r="AK742" s="61"/>
      <c r="AL742" s="61"/>
      <c r="AM742" s="61"/>
      <c r="AN742" s="61"/>
      <c r="AO742" s="61"/>
    </row>
    <row r="743">
      <c r="A743" s="112"/>
      <c r="B743" s="149"/>
      <c r="C743" s="93"/>
      <c r="D743" s="61"/>
      <c r="E743" s="112"/>
      <c r="F743" s="149"/>
      <c r="G743" s="93"/>
      <c r="H743" s="61"/>
      <c r="I743" s="112"/>
      <c r="J743" s="149"/>
      <c r="K743" s="93"/>
      <c r="L743" s="61"/>
      <c r="M743" s="112"/>
      <c r="N743" s="115"/>
      <c r="O743" s="93"/>
      <c r="P743" s="61"/>
      <c r="Q743" s="180"/>
      <c r="R743" s="115"/>
      <c r="S743" s="93"/>
      <c r="T743" s="61"/>
      <c r="U743" s="180"/>
      <c r="V743" s="115"/>
      <c r="W743" s="93"/>
      <c r="X743" s="61"/>
      <c r="Y743" s="112"/>
      <c r="Z743" s="181"/>
      <c r="AA743" s="182"/>
      <c r="AB743" s="183"/>
      <c r="AC743" s="112"/>
      <c r="AD743" s="115"/>
      <c r="AE743" s="151"/>
      <c r="AF743" s="184"/>
      <c r="AG743" s="188"/>
      <c r="AH743" s="188"/>
      <c r="AI743" s="188"/>
      <c r="AJ743" s="188"/>
      <c r="AK743" s="61"/>
      <c r="AL743" s="61"/>
      <c r="AM743" s="61"/>
      <c r="AN743" s="61"/>
      <c r="AO743" s="61"/>
    </row>
    <row r="744">
      <c r="A744" s="112"/>
      <c r="B744" s="149"/>
      <c r="C744" s="93"/>
      <c r="D744" s="61"/>
      <c r="E744" s="112"/>
      <c r="F744" s="149"/>
      <c r="G744" s="93"/>
      <c r="H744" s="61"/>
      <c r="I744" s="112"/>
      <c r="J744" s="149"/>
      <c r="K744" s="93"/>
      <c r="L744" s="61"/>
      <c r="M744" s="112"/>
      <c r="N744" s="115"/>
      <c r="O744" s="93"/>
      <c r="P744" s="61"/>
      <c r="Q744" s="180"/>
      <c r="R744" s="115"/>
      <c r="S744" s="93"/>
      <c r="T744" s="61"/>
      <c r="U744" s="180"/>
      <c r="V744" s="115"/>
      <c r="W744" s="93"/>
      <c r="X744" s="61"/>
      <c r="Y744" s="112"/>
      <c r="Z744" s="181"/>
      <c r="AA744" s="182"/>
      <c r="AB744" s="183"/>
      <c r="AC744" s="112"/>
      <c r="AD744" s="115"/>
      <c r="AE744" s="151"/>
      <c r="AF744" s="184"/>
      <c r="AG744" s="188"/>
      <c r="AH744" s="188"/>
      <c r="AI744" s="188"/>
      <c r="AJ744" s="188"/>
      <c r="AK744" s="61"/>
      <c r="AL744" s="61"/>
      <c r="AM744" s="61"/>
      <c r="AN744" s="61"/>
      <c r="AO744" s="61"/>
    </row>
    <row r="745">
      <c r="A745" s="112"/>
      <c r="B745" s="149"/>
      <c r="C745" s="93"/>
      <c r="D745" s="61"/>
      <c r="E745" s="112"/>
      <c r="F745" s="149"/>
      <c r="G745" s="93"/>
      <c r="H745" s="61"/>
      <c r="I745" s="112"/>
      <c r="J745" s="149"/>
      <c r="K745" s="93"/>
      <c r="L745" s="61"/>
      <c r="M745" s="112"/>
      <c r="N745" s="115"/>
      <c r="O745" s="93"/>
      <c r="P745" s="61"/>
      <c r="Q745" s="180"/>
      <c r="R745" s="115"/>
      <c r="S745" s="93"/>
      <c r="T745" s="61"/>
      <c r="U745" s="180"/>
      <c r="V745" s="115"/>
      <c r="W745" s="93"/>
      <c r="X745" s="61"/>
      <c r="Y745" s="112"/>
      <c r="Z745" s="181"/>
      <c r="AA745" s="182"/>
      <c r="AB745" s="183"/>
      <c r="AC745" s="112"/>
      <c r="AD745" s="115"/>
      <c r="AE745" s="151"/>
      <c r="AF745" s="184"/>
      <c r="AG745" s="188"/>
      <c r="AH745" s="188"/>
      <c r="AI745" s="188"/>
      <c r="AJ745" s="188"/>
      <c r="AK745" s="61"/>
      <c r="AL745" s="61"/>
      <c r="AM745" s="61"/>
      <c r="AN745" s="61"/>
      <c r="AO745" s="61"/>
    </row>
    <row r="746">
      <c r="A746" s="112"/>
      <c r="B746" s="149"/>
      <c r="C746" s="93"/>
      <c r="D746" s="61"/>
      <c r="E746" s="112"/>
      <c r="F746" s="149"/>
      <c r="G746" s="93"/>
      <c r="H746" s="61"/>
      <c r="I746" s="112"/>
      <c r="J746" s="149"/>
      <c r="K746" s="93"/>
      <c r="L746" s="61"/>
      <c r="M746" s="112"/>
      <c r="N746" s="115"/>
      <c r="O746" s="93"/>
      <c r="P746" s="61"/>
      <c r="Q746" s="180"/>
      <c r="R746" s="115"/>
      <c r="S746" s="93"/>
      <c r="T746" s="61"/>
      <c r="U746" s="180"/>
      <c r="V746" s="115"/>
      <c r="W746" s="93"/>
      <c r="X746" s="61"/>
      <c r="Y746" s="112"/>
      <c r="Z746" s="181"/>
      <c r="AA746" s="182"/>
      <c r="AB746" s="183"/>
      <c r="AC746" s="112"/>
      <c r="AD746" s="115"/>
      <c r="AE746" s="151"/>
      <c r="AF746" s="184"/>
      <c r="AG746" s="188"/>
      <c r="AH746" s="188"/>
      <c r="AI746" s="188"/>
      <c r="AJ746" s="188"/>
      <c r="AK746" s="61"/>
      <c r="AL746" s="61"/>
      <c r="AM746" s="61"/>
      <c r="AN746" s="61"/>
      <c r="AO746" s="61"/>
    </row>
    <row r="747">
      <c r="A747" s="112"/>
      <c r="B747" s="149"/>
      <c r="C747" s="93"/>
      <c r="D747" s="61"/>
      <c r="E747" s="112"/>
      <c r="F747" s="149"/>
      <c r="G747" s="93"/>
      <c r="H747" s="61"/>
      <c r="I747" s="112"/>
      <c r="J747" s="149"/>
      <c r="K747" s="93"/>
      <c r="L747" s="61"/>
      <c r="M747" s="112"/>
      <c r="N747" s="115"/>
      <c r="O747" s="93"/>
      <c r="P747" s="61"/>
      <c r="Q747" s="180"/>
      <c r="R747" s="115"/>
      <c r="S747" s="93"/>
      <c r="T747" s="61"/>
      <c r="U747" s="180"/>
      <c r="V747" s="115"/>
      <c r="W747" s="93"/>
      <c r="X747" s="61"/>
      <c r="Y747" s="112"/>
      <c r="Z747" s="181"/>
      <c r="AA747" s="182"/>
      <c r="AB747" s="183"/>
      <c r="AC747" s="112"/>
      <c r="AD747" s="115"/>
      <c r="AE747" s="151"/>
      <c r="AF747" s="184"/>
      <c r="AG747" s="188"/>
      <c r="AH747" s="188"/>
      <c r="AI747" s="188"/>
      <c r="AJ747" s="188"/>
      <c r="AK747" s="61"/>
      <c r="AL747" s="61"/>
      <c r="AM747" s="61"/>
      <c r="AN747" s="61"/>
      <c r="AO747" s="61"/>
    </row>
    <row r="748">
      <c r="A748" s="112"/>
      <c r="B748" s="149"/>
      <c r="C748" s="93"/>
      <c r="D748" s="61"/>
      <c r="E748" s="112"/>
      <c r="F748" s="149"/>
      <c r="G748" s="93"/>
      <c r="H748" s="61"/>
      <c r="I748" s="112"/>
      <c r="J748" s="149"/>
      <c r="K748" s="93"/>
      <c r="L748" s="61"/>
      <c r="M748" s="112"/>
      <c r="N748" s="115"/>
      <c r="O748" s="93"/>
      <c r="P748" s="61"/>
      <c r="Q748" s="180"/>
      <c r="R748" s="115"/>
      <c r="S748" s="93"/>
      <c r="T748" s="61"/>
      <c r="U748" s="180"/>
      <c r="V748" s="115"/>
      <c r="W748" s="93"/>
      <c r="X748" s="61"/>
      <c r="Y748" s="112"/>
      <c r="Z748" s="181"/>
      <c r="AA748" s="182"/>
      <c r="AB748" s="183"/>
      <c r="AC748" s="112"/>
      <c r="AD748" s="115"/>
      <c r="AE748" s="151"/>
      <c r="AF748" s="184"/>
      <c r="AG748" s="188"/>
      <c r="AH748" s="188"/>
      <c r="AI748" s="188"/>
      <c r="AJ748" s="188"/>
      <c r="AK748" s="61"/>
      <c r="AL748" s="61"/>
      <c r="AM748" s="61"/>
      <c r="AN748" s="61"/>
      <c r="AO748" s="61"/>
    </row>
    <row r="749">
      <c r="A749" s="112"/>
      <c r="B749" s="149"/>
      <c r="C749" s="93"/>
      <c r="D749" s="61"/>
      <c r="E749" s="112"/>
      <c r="F749" s="149"/>
      <c r="G749" s="93"/>
      <c r="H749" s="61"/>
      <c r="I749" s="112"/>
      <c r="J749" s="149"/>
      <c r="K749" s="93"/>
      <c r="L749" s="61"/>
      <c r="M749" s="112"/>
      <c r="N749" s="115"/>
      <c r="O749" s="93"/>
      <c r="P749" s="61"/>
      <c r="Q749" s="180"/>
      <c r="R749" s="115"/>
      <c r="S749" s="93"/>
      <c r="T749" s="61"/>
      <c r="U749" s="180"/>
      <c r="V749" s="115"/>
      <c r="W749" s="93"/>
      <c r="X749" s="61"/>
      <c r="Y749" s="112"/>
      <c r="Z749" s="181"/>
      <c r="AA749" s="182"/>
      <c r="AB749" s="183"/>
      <c r="AC749" s="112"/>
      <c r="AD749" s="115"/>
      <c r="AE749" s="151"/>
      <c r="AF749" s="184"/>
      <c r="AG749" s="188"/>
      <c r="AH749" s="188"/>
      <c r="AI749" s="188"/>
      <c r="AJ749" s="188"/>
      <c r="AK749" s="61"/>
      <c r="AL749" s="61"/>
      <c r="AM749" s="61"/>
      <c r="AN749" s="61"/>
      <c r="AO749" s="61"/>
    </row>
    <row r="750">
      <c r="A750" s="112"/>
      <c r="B750" s="149"/>
      <c r="C750" s="93"/>
      <c r="D750" s="61"/>
      <c r="E750" s="112"/>
      <c r="F750" s="149"/>
      <c r="G750" s="93"/>
      <c r="H750" s="61"/>
      <c r="I750" s="112"/>
      <c r="J750" s="149"/>
      <c r="K750" s="93"/>
      <c r="L750" s="61"/>
      <c r="M750" s="112"/>
      <c r="N750" s="115"/>
      <c r="O750" s="93"/>
      <c r="P750" s="61"/>
      <c r="Q750" s="180"/>
      <c r="R750" s="115"/>
      <c r="S750" s="93"/>
      <c r="T750" s="61"/>
      <c r="U750" s="180"/>
      <c r="V750" s="115"/>
      <c r="W750" s="93"/>
      <c r="X750" s="61"/>
      <c r="Y750" s="112"/>
      <c r="Z750" s="181"/>
      <c r="AA750" s="182"/>
      <c r="AB750" s="183"/>
      <c r="AC750" s="112"/>
      <c r="AD750" s="115"/>
      <c r="AE750" s="151"/>
      <c r="AF750" s="184"/>
      <c r="AG750" s="188"/>
      <c r="AH750" s="188"/>
      <c r="AI750" s="188"/>
      <c r="AJ750" s="188"/>
      <c r="AK750" s="61"/>
      <c r="AL750" s="61"/>
      <c r="AM750" s="61"/>
      <c r="AN750" s="61"/>
      <c r="AO750" s="61"/>
    </row>
    <row r="751">
      <c r="A751" s="112"/>
      <c r="B751" s="149"/>
      <c r="C751" s="93"/>
      <c r="D751" s="61"/>
      <c r="E751" s="112"/>
      <c r="F751" s="149"/>
      <c r="G751" s="93"/>
      <c r="H751" s="61"/>
      <c r="I751" s="112"/>
      <c r="J751" s="149"/>
      <c r="K751" s="93"/>
      <c r="L751" s="61"/>
      <c r="M751" s="112"/>
      <c r="N751" s="115"/>
      <c r="O751" s="93"/>
      <c r="P751" s="61"/>
      <c r="Q751" s="180"/>
      <c r="R751" s="115"/>
      <c r="S751" s="93"/>
      <c r="T751" s="61"/>
      <c r="U751" s="180"/>
      <c r="V751" s="115"/>
      <c r="W751" s="93"/>
      <c r="X751" s="61"/>
      <c r="Y751" s="112"/>
      <c r="Z751" s="181"/>
      <c r="AA751" s="182"/>
      <c r="AB751" s="183"/>
      <c r="AC751" s="112"/>
      <c r="AD751" s="115"/>
      <c r="AE751" s="151"/>
      <c r="AF751" s="184"/>
      <c r="AG751" s="188"/>
      <c r="AH751" s="188"/>
      <c r="AI751" s="188"/>
      <c r="AJ751" s="188"/>
      <c r="AK751" s="61"/>
      <c r="AL751" s="61"/>
      <c r="AM751" s="61"/>
      <c r="AN751" s="61"/>
      <c r="AO751" s="61"/>
    </row>
    <row r="752">
      <c r="A752" s="112"/>
      <c r="B752" s="149"/>
      <c r="C752" s="93"/>
      <c r="D752" s="61"/>
      <c r="E752" s="112"/>
      <c r="F752" s="149"/>
      <c r="G752" s="93"/>
      <c r="H752" s="61"/>
      <c r="I752" s="112"/>
      <c r="J752" s="149"/>
      <c r="K752" s="93"/>
      <c r="L752" s="61"/>
      <c r="M752" s="112"/>
      <c r="N752" s="115"/>
      <c r="O752" s="93"/>
      <c r="P752" s="61"/>
      <c r="Q752" s="180"/>
      <c r="R752" s="115"/>
      <c r="S752" s="93"/>
      <c r="T752" s="61"/>
      <c r="U752" s="180"/>
      <c r="V752" s="115"/>
      <c r="W752" s="93"/>
      <c r="X752" s="61"/>
      <c r="Y752" s="112"/>
      <c r="Z752" s="181"/>
      <c r="AA752" s="182"/>
      <c r="AB752" s="183"/>
      <c r="AC752" s="112"/>
      <c r="AD752" s="115"/>
      <c r="AE752" s="151"/>
      <c r="AF752" s="184"/>
      <c r="AG752" s="188"/>
      <c r="AH752" s="188"/>
      <c r="AI752" s="188"/>
      <c r="AJ752" s="188"/>
      <c r="AK752" s="61"/>
      <c r="AL752" s="61"/>
      <c r="AM752" s="61"/>
      <c r="AN752" s="61"/>
      <c r="AO752" s="61"/>
    </row>
    <row r="753">
      <c r="A753" s="112"/>
      <c r="B753" s="149"/>
      <c r="C753" s="93"/>
      <c r="D753" s="61"/>
      <c r="E753" s="112"/>
      <c r="F753" s="149"/>
      <c r="G753" s="93"/>
      <c r="H753" s="61"/>
      <c r="I753" s="112"/>
      <c r="J753" s="149"/>
      <c r="K753" s="93"/>
      <c r="L753" s="61"/>
      <c r="M753" s="112"/>
      <c r="N753" s="115"/>
      <c r="O753" s="93"/>
      <c r="P753" s="61"/>
      <c r="Q753" s="180"/>
      <c r="R753" s="115"/>
      <c r="S753" s="93"/>
      <c r="T753" s="61"/>
      <c r="U753" s="180"/>
      <c r="V753" s="115"/>
      <c r="W753" s="93"/>
      <c r="X753" s="61"/>
      <c r="Y753" s="112"/>
      <c r="Z753" s="181"/>
      <c r="AA753" s="182"/>
      <c r="AB753" s="183"/>
      <c r="AC753" s="112"/>
      <c r="AD753" s="115"/>
      <c r="AE753" s="151"/>
      <c r="AF753" s="184"/>
      <c r="AG753" s="188"/>
      <c r="AH753" s="188"/>
      <c r="AI753" s="188"/>
      <c r="AJ753" s="188"/>
      <c r="AK753" s="61"/>
      <c r="AL753" s="61"/>
      <c r="AM753" s="61"/>
      <c r="AN753" s="61"/>
      <c r="AO753" s="61"/>
    </row>
    <row r="754">
      <c r="A754" s="112"/>
      <c r="B754" s="149"/>
      <c r="C754" s="93"/>
      <c r="D754" s="61"/>
      <c r="E754" s="112"/>
      <c r="F754" s="149"/>
      <c r="G754" s="93"/>
      <c r="H754" s="61"/>
      <c r="I754" s="112"/>
      <c r="J754" s="149"/>
      <c r="K754" s="93"/>
      <c r="L754" s="61"/>
      <c r="M754" s="112"/>
      <c r="N754" s="115"/>
      <c r="O754" s="93"/>
      <c r="P754" s="61"/>
      <c r="Q754" s="180"/>
      <c r="R754" s="115"/>
      <c r="S754" s="93"/>
      <c r="T754" s="61"/>
      <c r="U754" s="180"/>
      <c r="V754" s="115"/>
      <c r="W754" s="93"/>
      <c r="X754" s="61"/>
      <c r="Y754" s="112"/>
      <c r="Z754" s="181"/>
      <c r="AA754" s="182"/>
      <c r="AB754" s="183"/>
      <c r="AC754" s="112"/>
      <c r="AD754" s="115"/>
      <c r="AE754" s="151"/>
      <c r="AF754" s="184"/>
      <c r="AG754" s="188"/>
      <c r="AH754" s="188"/>
      <c r="AI754" s="188"/>
      <c r="AJ754" s="188"/>
      <c r="AK754" s="61"/>
      <c r="AL754" s="61"/>
      <c r="AM754" s="61"/>
      <c r="AN754" s="61"/>
      <c r="AO754" s="61"/>
    </row>
    <row r="755">
      <c r="A755" s="112"/>
      <c r="B755" s="149"/>
      <c r="C755" s="93"/>
      <c r="D755" s="61"/>
      <c r="E755" s="112"/>
      <c r="F755" s="149"/>
      <c r="G755" s="93"/>
      <c r="H755" s="61"/>
      <c r="I755" s="112"/>
      <c r="J755" s="149"/>
      <c r="K755" s="93"/>
      <c r="L755" s="61"/>
      <c r="M755" s="112"/>
      <c r="N755" s="115"/>
      <c r="O755" s="93"/>
      <c r="P755" s="61"/>
      <c r="Q755" s="180"/>
      <c r="R755" s="115"/>
      <c r="S755" s="93"/>
      <c r="T755" s="61"/>
      <c r="U755" s="180"/>
      <c r="V755" s="115"/>
      <c r="W755" s="93"/>
      <c r="X755" s="61"/>
      <c r="Y755" s="112"/>
      <c r="Z755" s="181"/>
      <c r="AA755" s="182"/>
      <c r="AB755" s="183"/>
      <c r="AC755" s="112"/>
      <c r="AD755" s="115"/>
      <c r="AE755" s="151"/>
      <c r="AF755" s="184"/>
      <c r="AG755" s="188"/>
      <c r="AH755" s="188"/>
      <c r="AI755" s="188"/>
      <c r="AJ755" s="188"/>
      <c r="AK755" s="61"/>
      <c r="AL755" s="61"/>
      <c r="AM755" s="61"/>
      <c r="AN755" s="61"/>
      <c r="AO755" s="61"/>
    </row>
    <row r="756">
      <c r="A756" s="112"/>
      <c r="B756" s="149"/>
      <c r="C756" s="93"/>
      <c r="D756" s="61"/>
      <c r="E756" s="112"/>
      <c r="F756" s="149"/>
      <c r="G756" s="93"/>
      <c r="H756" s="61"/>
      <c r="I756" s="112"/>
      <c r="J756" s="149"/>
      <c r="K756" s="93"/>
      <c r="L756" s="61"/>
      <c r="M756" s="112"/>
      <c r="N756" s="115"/>
      <c r="O756" s="93"/>
      <c r="P756" s="61"/>
      <c r="Q756" s="180"/>
      <c r="R756" s="115"/>
      <c r="S756" s="93"/>
      <c r="T756" s="61"/>
      <c r="U756" s="180"/>
      <c r="V756" s="115"/>
      <c r="W756" s="93"/>
      <c r="X756" s="61"/>
      <c r="Y756" s="112"/>
      <c r="Z756" s="181"/>
      <c r="AA756" s="182"/>
      <c r="AB756" s="183"/>
      <c r="AC756" s="112"/>
      <c r="AD756" s="115"/>
      <c r="AE756" s="151"/>
      <c r="AF756" s="184"/>
      <c r="AG756" s="188"/>
      <c r="AH756" s="188"/>
      <c r="AI756" s="188"/>
      <c r="AJ756" s="188"/>
      <c r="AK756" s="61"/>
      <c r="AL756" s="61"/>
      <c r="AM756" s="61"/>
      <c r="AN756" s="61"/>
      <c r="AO756" s="61"/>
    </row>
    <row r="757">
      <c r="A757" s="112"/>
      <c r="B757" s="149"/>
      <c r="C757" s="93"/>
      <c r="D757" s="61"/>
      <c r="E757" s="112"/>
      <c r="F757" s="149"/>
      <c r="G757" s="93"/>
      <c r="H757" s="61"/>
      <c r="I757" s="112"/>
      <c r="J757" s="149"/>
      <c r="K757" s="93"/>
      <c r="L757" s="61"/>
      <c r="M757" s="112"/>
      <c r="N757" s="115"/>
      <c r="O757" s="93"/>
      <c r="P757" s="61"/>
      <c r="Q757" s="180"/>
      <c r="R757" s="115"/>
      <c r="S757" s="93"/>
      <c r="T757" s="61"/>
      <c r="U757" s="180"/>
      <c r="V757" s="115"/>
      <c r="W757" s="93"/>
      <c r="X757" s="61"/>
      <c r="Y757" s="112"/>
      <c r="Z757" s="181"/>
      <c r="AA757" s="182"/>
      <c r="AB757" s="183"/>
      <c r="AC757" s="112"/>
      <c r="AD757" s="115"/>
      <c r="AE757" s="151"/>
      <c r="AF757" s="184"/>
      <c r="AG757" s="188"/>
      <c r="AH757" s="188"/>
      <c r="AI757" s="188"/>
      <c r="AJ757" s="188"/>
      <c r="AK757" s="61"/>
      <c r="AL757" s="61"/>
      <c r="AM757" s="61"/>
      <c r="AN757" s="61"/>
      <c r="AO757" s="61"/>
    </row>
    <row r="758">
      <c r="A758" s="112"/>
      <c r="B758" s="149"/>
      <c r="C758" s="93"/>
      <c r="D758" s="61"/>
      <c r="E758" s="112"/>
      <c r="F758" s="149"/>
      <c r="G758" s="93"/>
      <c r="H758" s="61"/>
      <c r="I758" s="112"/>
      <c r="J758" s="149"/>
      <c r="K758" s="93"/>
      <c r="L758" s="61"/>
      <c r="M758" s="112"/>
      <c r="N758" s="115"/>
      <c r="O758" s="93"/>
      <c r="P758" s="61"/>
      <c r="Q758" s="180"/>
      <c r="R758" s="115"/>
      <c r="S758" s="93"/>
      <c r="T758" s="61"/>
      <c r="U758" s="180"/>
      <c r="V758" s="115"/>
      <c r="W758" s="93"/>
      <c r="X758" s="61"/>
      <c r="Y758" s="112"/>
      <c r="Z758" s="181"/>
      <c r="AA758" s="182"/>
      <c r="AB758" s="183"/>
      <c r="AC758" s="112"/>
      <c r="AD758" s="115"/>
      <c r="AE758" s="151"/>
      <c r="AF758" s="184"/>
      <c r="AG758" s="188"/>
      <c r="AH758" s="188"/>
      <c r="AI758" s="188"/>
      <c r="AJ758" s="188"/>
      <c r="AK758" s="61"/>
      <c r="AL758" s="61"/>
      <c r="AM758" s="61"/>
      <c r="AN758" s="61"/>
      <c r="AO758" s="61"/>
    </row>
    <row r="759">
      <c r="A759" s="112"/>
      <c r="B759" s="149"/>
      <c r="C759" s="93"/>
      <c r="D759" s="61"/>
      <c r="E759" s="112"/>
      <c r="F759" s="149"/>
      <c r="G759" s="93"/>
      <c r="H759" s="61"/>
      <c r="I759" s="112"/>
      <c r="J759" s="149"/>
      <c r="K759" s="93"/>
      <c r="L759" s="61"/>
      <c r="M759" s="112"/>
      <c r="N759" s="115"/>
      <c r="O759" s="93"/>
      <c r="P759" s="61"/>
      <c r="Q759" s="180"/>
      <c r="R759" s="115"/>
      <c r="S759" s="93"/>
      <c r="T759" s="61"/>
      <c r="U759" s="180"/>
      <c r="V759" s="115"/>
      <c r="W759" s="93"/>
      <c r="X759" s="61"/>
      <c r="Y759" s="112"/>
      <c r="Z759" s="181"/>
      <c r="AA759" s="182"/>
      <c r="AB759" s="183"/>
      <c r="AC759" s="112"/>
      <c r="AD759" s="115"/>
      <c r="AE759" s="151"/>
      <c r="AF759" s="184"/>
      <c r="AG759" s="188"/>
      <c r="AH759" s="188"/>
      <c r="AI759" s="188"/>
      <c r="AJ759" s="188"/>
      <c r="AK759" s="61"/>
      <c r="AL759" s="61"/>
      <c r="AM759" s="61"/>
      <c r="AN759" s="61"/>
      <c r="AO759" s="61"/>
    </row>
    <row r="760">
      <c r="A760" s="112"/>
      <c r="B760" s="149"/>
      <c r="C760" s="93"/>
      <c r="D760" s="61"/>
      <c r="E760" s="112"/>
      <c r="F760" s="149"/>
      <c r="G760" s="93"/>
      <c r="H760" s="61"/>
      <c r="I760" s="112"/>
      <c r="J760" s="149"/>
      <c r="K760" s="93"/>
      <c r="L760" s="61"/>
      <c r="M760" s="112"/>
      <c r="N760" s="115"/>
      <c r="O760" s="93"/>
      <c r="P760" s="61"/>
      <c r="Q760" s="180"/>
      <c r="R760" s="115"/>
      <c r="S760" s="93"/>
      <c r="T760" s="61"/>
      <c r="U760" s="180"/>
      <c r="V760" s="115"/>
      <c r="W760" s="93"/>
      <c r="X760" s="61"/>
      <c r="Y760" s="112"/>
      <c r="Z760" s="181"/>
      <c r="AA760" s="182"/>
      <c r="AB760" s="183"/>
      <c r="AC760" s="112"/>
      <c r="AD760" s="115"/>
      <c r="AE760" s="151"/>
      <c r="AF760" s="184"/>
      <c r="AG760" s="188"/>
      <c r="AH760" s="188"/>
      <c r="AI760" s="188"/>
      <c r="AJ760" s="188"/>
      <c r="AK760" s="61"/>
      <c r="AL760" s="61"/>
      <c r="AM760" s="61"/>
      <c r="AN760" s="61"/>
      <c r="AO760" s="61"/>
    </row>
    <row r="761">
      <c r="A761" s="112"/>
      <c r="B761" s="149"/>
      <c r="C761" s="93"/>
      <c r="D761" s="61"/>
      <c r="E761" s="112"/>
      <c r="F761" s="149"/>
      <c r="G761" s="93"/>
      <c r="H761" s="61"/>
      <c r="I761" s="112"/>
      <c r="J761" s="149"/>
      <c r="K761" s="93"/>
      <c r="L761" s="61"/>
      <c r="M761" s="112"/>
      <c r="N761" s="115"/>
      <c r="O761" s="93"/>
      <c r="P761" s="61"/>
      <c r="Q761" s="180"/>
      <c r="R761" s="115"/>
      <c r="S761" s="93"/>
      <c r="T761" s="61"/>
      <c r="U761" s="180"/>
      <c r="V761" s="115"/>
      <c r="W761" s="93"/>
      <c r="X761" s="61"/>
      <c r="Y761" s="112"/>
      <c r="Z761" s="181"/>
      <c r="AA761" s="182"/>
      <c r="AB761" s="183"/>
      <c r="AC761" s="112"/>
      <c r="AD761" s="115"/>
      <c r="AE761" s="151"/>
      <c r="AF761" s="184"/>
      <c r="AG761" s="188"/>
      <c r="AH761" s="188"/>
      <c r="AI761" s="188"/>
      <c r="AJ761" s="188"/>
      <c r="AK761" s="61"/>
      <c r="AL761" s="61"/>
      <c r="AM761" s="61"/>
      <c r="AN761" s="61"/>
      <c r="AO761" s="61"/>
    </row>
    <row r="762">
      <c r="A762" s="112"/>
      <c r="B762" s="149"/>
      <c r="C762" s="93"/>
      <c r="D762" s="61"/>
      <c r="E762" s="112"/>
      <c r="F762" s="149"/>
      <c r="G762" s="93"/>
      <c r="H762" s="61"/>
      <c r="I762" s="112"/>
      <c r="J762" s="149"/>
      <c r="K762" s="93"/>
      <c r="L762" s="61"/>
      <c r="M762" s="112"/>
      <c r="N762" s="115"/>
      <c r="O762" s="93"/>
      <c r="P762" s="61"/>
      <c r="Q762" s="180"/>
      <c r="R762" s="115"/>
      <c r="S762" s="93"/>
      <c r="T762" s="61"/>
      <c r="U762" s="180"/>
      <c r="V762" s="115"/>
      <c r="W762" s="93"/>
      <c r="X762" s="61"/>
      <c r="Y762" s="112"/>
      <c r="Z762" s="181"/>
      <c r="AA762" s="182"/>
      <c r="AB762" s="183"/>
      <c r="AC762" s="112"/>
      <c r="AD762" s="115"/>
      <c r="AE762" s="151"/>
      <c r="AF762" s="184"/>
      <c r="AG762" s="188"/>
      <c r="AH762" s="188"/>
      <c r="AI762" s="188"/>
      <c r="AJ762" s="188"/>
      <c r="AK762" s="61"/>
      <c r="AL762" s="61"/>
      <c r="AM762" s="61"/>
      <c r="AN762" s="61"/>
      <c r="AO762" s="61"/>
    </row>
    <row r="763">
      <c r="A763" s="112"/>
      <c r="B763" s="149"/>
      <c r="C763" s="93"/>
      <c r="D763" s="61"/>
      <c r="E763" s="112"/>
      <c r="F763" s="149"/>
      <c r="G763" s="93"/>
      <c r="H763" s="61"/>
      <c r="I763" s="112"/>
      <c r="J763" s="149"/>
      <c r="K763" s="93"/>
      <c r="L763" s="61"/>
      <c r="M763" s="112"/>
      <c r="N763" s="115"/>
      <c r="O763" s="93"/>
      <c r="P763" s="61"/>
      <c r="Q763" s="180"/>
      <c r="R763" s="115"/>
      <c r="S763" s="93"/>
      <c r="T763" s="61"/>
      <c r="U763" s="180"/>
      <c r="V763" s="115"/>
      <c r="W763" s="93"/>
      <c r="X763" s="61"/>
      <c r="Y763" s="112"/>
      <c r="Z763" s="181"/>
      <c r="AA763" s="182"/>
      <c r="AB763" s="183"/>
      <c r="AC763" s="112"/>
      <c r="AD763" s="115"/>
      <c r="AE763" s="151"/>
      <c r="AF763" s="184"/>
      <c r="AG763" s="188"/>
      <c r="AH763" s="188"/>
      <c r="AI763" s="188"/>
      <c r="AJ763" s="188"/>
      <c r="AK763" s="61"/>
      <c r="AL763" s="61"/>
      <c r="AM763" s="61"/>
      <c r="AN763" s="61"/>
      <c r="AO763" s="61"/>
    </row>
    <row r="764">
      <c r="A764" s="112"/>
      <c r="B764" s="149"/>
      <c r="C764" s="93"/>
      <c r="D764" s="61"/>
      <c r="E764" s="112"/>
      <c r="F764" s="149"/>
      <c r="G764" s="93"/>
      <c r="H764" s="61"/>
      <c r="I764" s="112"/>
      <c r="J764" s="149"/>
      <c r="K764" s="93"/>
      <c r="L764" s="61"/>
      <c r="M764" s="112"/>
      <c r="N764" s="115"/>
      <c r="O764" s="93"/>
      <c r="P764" s="61"/>
      <c r="Q764" s="180"/>
      <c r="R764" s="115"/>
      <c r="S764" s="93"/>
      <c r="T764" s="61"/>
      <c r="U764" s="180"/>
      <c r="V764" s="115"/>
      <c r="W764" s="93"/>
      <c r="X764" s="61"/>
      <c r="Y764" s="112"/>
      <c r="Z764" s="181"/>
      <c r="AA764" s="182"/>
      <c r="AB764" s="183"/>
      <c r="AC764" s="112"/>
      <c r="AD764" s="115"/>
      <c r="AE764" s="151"/>
      <c r="AF764" s="184"/>
      <c r="AG764" s="188"/>
      <c r="AH764" s="188"/>
      <c r="AI764" s="188"/>
      <c r="AJ764" s="188"/>
      <c r="AK764" s="61"/>
      <c r="AL764" s="61"/>
      <c r="AM764" s="61"/>
      <c r="AN764" s="61"/>
      <c r="AO764" s="61"/>
    </row>
    <row r="765">
      <c r="A765" s="112"/>
      <c r="B765" s="149"/>
      <c r="C765" s="93"/>
      <c r="D765" s="61"/>
      <c r="E765" s="112"/>
      <c r="F765" s="149"/>
      <c r="G765" s="93"/>
      <c r="H765" s="61"/>
      <c r="I765" s="112"/>
      <c r="J765" s="149"/>
      <c r="K765" s="93"/>
      <c r="L765" s="61"/>
      <c r="M765" s="112"/>
      <c r="N765" s="115"/>
      <c r="O765" s="93"/>
      <c r="P765" s="61"/>
      <c r="Q765" s="180"/>
      <c r="R765" s="115"/>
      <c r="S765" s="93"/>
      <c r="T765" s="61"/>
      <c r="U765" s="180"/>
      <c r="V765" s="115"/>
      <c r="W765" s="93"/>
      <c r="X765" s="61"/>
      <c r="Y765" s="112"/>
      <c r="Z765" s="181"/>
      <c r="AA765" s="182"/>
      <c r="AB765" s="183"/>
      <c r="AC765" s="112"/>
      <c r="AD765" s="115"/>
      <c r="AE765" s="151"/>
      <c r="AF765" s="184"/>
      <c r="AG765" s="188"/>
      <c r="AH765" s="188"/>
      <c r="AI765" s="188"/>
      <c r="AJ765" s="188"/>
      <c r="AK765" s="61"/>
      <c r="AL765" s="61"/>
      <c r="AM765" s="61"/>
      <c r="AN765" s="61"/>
      <c r="AO765" s="61"/>
    </row>
    <row r="766">
      <c r="A766" s="112"/>
      <c r="B766" s="149"/>
      <c r="C766" s="93"/>
      <c r="D766" s="61"/>
      <c r="E766" s="112"/>
      <c r="F766" s="149"/>
      <c r="G766" s="93"/>
      <c r="H766" s="61"/>
      <c r="I766" s="112"/>
      <c r="J766" s="149"/>
      <c r="K766" s="93"/>
      <c r="L766" s="61"/>
      <c r="M766" s="112"/>
      <c r="N766" s="115"/>
      <c r="O766" s="93"/>
      <c r="P766" s="61"/>
      <c r="Q766" s="180"/>
      <c r="R766" s="115"/>
      <c r="S766" s="93"/>
      <c r="T766" s="61"/>
      <c r="U766" s="180"/>
      <c r="V766" s="115"/>
      <c r="W766" s="93"/>
      <c r="X766" s="61"/>
      <c r="Y766" s="112"/>
      <c r="Z766" s="181"/>
      <c r="AA766" s="182"/>
      <c r="AB766" s="183"/>
      <c r="AC766" s="112"/>
      <c r="AD766" s="115"/>
      <c r="AE766" s="151"/>
      <c r="AF766" s="184"/>
      <c r="AG766" s="188"/>
      <c r="AH766" s="188"/>
      <c r="AI766" s="188"/>
      <c r="AJ766" s="188"/>
      <c r="AK766" s="61"/>
      <c r="AL766" s="61"/>
      <c r="AM766" s="61"/>
      <c r="AN766" s="61"/>
      <c r="AO766" s="61"/>
    </row>
    <row r="767">
      <c r="A767" s="112"/>
      <c r="B767" s="149"/>
      <c r="C767" s="93"/>
      <c r="D767" s="61"/>
      <c r="E767" s="112"/>
      <c r="F767" s="149"/>
      <c r="G767" s="93"/>
      <c r="H767" s="61"/>
      <c r="I767" s="112"/>
      <c r="J767" s="149"/>
      <c r="K767" s="93"/>
      <c r="L767" s="61"/>
      <c r="M767" s="112"/>
      <c r="N767" s="115"/>
      <c r="O767" s="93"/>
      <c r="P767" s="61"/>
      <c r="Q767" s="180"/>
      <c r="R767" s="115"/>
      <c r="S767" s="93"/>
      <c r="T767" s="61"/>
      <c r="U767" s="180"/>
      <c r="V767" s="115"/>
      <c r="W767" s="93"/>
      <c r="X767" s="61"/>
      <c r="Y767" s="112"/>
      <c r="Z767" s="181"/>
      <c r="AA767" s="182"/>
      <c r="AB767" s="183"/>
      <c r="AC767" s="112"/>
      <c r="AD767" s="115"/>
      <c r="AE767" s="151"/>
      <c r="AF767" s="184"/>
      <c r="AG767" s="188"/>
      <c r="AH767" s="188"/>
      <c r="AI767" s="188"/>
      <c r="AJ767" s="188"/>
      <c r="AK767" s="61"/>
      <c r="AL767" s="61"/>
      <c r="AM767" s="61"/>
      <c r="AN767" s="61"/>
      <c r="AO767" s="61"/>
    </row>
    <row r="768">
      <c r="A768" s="112"/>
      <c r="B768" s="149"/>
      <c r="C768" s="93"/>
      <c r="D768" s="61"/>
      <c r="E768" s="112"/>
      <c r="F768" s="149"/>
      <c r="G768" s="93"/>
      <c r="H768" s="61"/>
      <c r="I768" s="112"/>
      <c r="J768" s="149"/>
      <c r="K768" s="93"/>
      <c r="L768" s="61"/>
      <c r="M768" s="112"/>
      <c r="N768" s="115"/>
      <c r="O768" s="93"/>
      <c r="P768" s="61"/>
      <c r="Q768" s="180"/>
      <c r="R768" s="115"/>
      <c r="S768" s="93"/>
      <c r="T768" s="61"/>
      <c r="U768" s="180"/>
      <c r="V768" s="115"/>
      <c r="W768" s="93"/>
      <c r="X768" s="61"/>
      <c r="Y768" s="112"/>
      <c r="Z768" s="181"/>
      <c r="AA768" s="182"/>
      <c r="AB768" s="183"/>
      <c r="AC768" s="112"/>
      <c r="AD768" s="115"/>
      <c r="AE768" s="151"/>
      <c r="AF768" s="184"/>
      <c r="AG768" s="188"/>
      <c r="AH768" s="188"/>
      <c r="AI768" s="188"/>
      <c r="AJ768" s="188"/>
      <c r="AK768" s="61"/>
      <c r="AL768" s="61"/>
      <c r="AM768" s="61"/>
      <c r="AN768" s="61"/>
      <c r="AO768" s="61"/>
    </row>
    <row r="769">
      <c r="A769" s="112"/>
      <c r="B769" s="149"/>
      <c r="C769" s="93"/>
      <c r="D769" s="61"/>
      <c r="E769" s="112"/>
      <c r="F769" s="149"/>
      <c r="G769" s="93"/>
      <c r="H769" s="61"/>
      <c r="I769" s="112"/>
      <c r="J769" s="149"/>
      <c r="K769" s="93"/>
      <c r="L769" s="61"/>
      <c r="M769" s="112"/>
      <c r="N769" s="115"/>
      <c r="O769" s="93"/>
      <c r="P769" s="61"/>
      <c r="Q769" s="180"/>
      <c r="R769" s="115"/>
      <c r="S769" s="93"/>
      <c r="T769" s="61"/>
      <c r="U769" s="180"/>
      <c r="V769" s="115"/>
      <c r="W769" s="93"/>
      <c r="X769" s="61"/>
      <c r="Y769" s="112"/>
      <c r="Z769" s="181"/>
      <c r="AA769" s="182"/>
      <c r="AB769" s="183"/>
      <c r="AC769" s="112"/>
      <c r="AD769" s="115"/>
      <c r="AE769" s="151"/>
      <c r="AF769" s="184"/>
      <c r="AG769" s="188"/>
      <c r="AH769" s="188"/>
      <c r="AI769" s="188"/>
      <c r="AJ769" s="188"/>
      <c r="AK769" s="61"/>
      <c r="AL769" s="61"/>
      <c r="AM769" s="61"/>
      <c r="AN769" s="61"/>
      <c r="AO769" s="61"/>
    </row>
    <row r="770">
      <c r="A770" s="112"/>
      <c r="B770" s="149"/>
      <c r="C770" s="93"/>
      <c r="D770" s="61"/>
      <c r="E770" s="112"/>
      <c r="F770" s="149"/>
      <c r="G770" s="93"/>
      <c r="H770" s="61"/>
      <c r="I770" s="112"/>
      <c r="J770" s="149"/>
      <c r="K770" s="93"/>
      <c r="L770" s="61"/>
      <c r="M770" s="112"/>
      <c r="N770" s="115"/>
      <c r="O770" s="93"/>
      <c r="P770" s="61"/>
      <c r="Q770" s="180"/>
      <c r="R770" s="115"/>
      <c r="S770" s="93"/>
      <c r="T770" s="61"/>
      <c r="U770" s="180"/>
      <c r="V770" s="115"/>
      <c r="W770" s="93"/>
      <c r="X770" s="61"/>
      <c r="Y770" s="112"/>
      <c r="Z770" s="181"/>
      <c r="AA770" s="182"/>
      <c r="AB770" s="183"/>
      <c r="AC770" s="112"/>
      <c r="AD770" s="115"/>
      <c r="AE770" s="151"/>
      <c r="AF770" s="184"/>
      <c r="AG770" s="188"/>
      <c r="AH770" s="188"/>
      <c r="AI770" s="188"/>
      <c r="AJ770" s="188"/>
      <c r="AK770" s="61"/>
      <c r="AL770" s="61"/>
      <c r="AM770" s="61"/>
      <c r="AN770" s="61"/>
      <c r="AO770" s="61"/>
    </row>
    <row r="771">
      <c r="A771" s="112"/>
      <c r="B771" s="149"/>
      <c r="C771" s="93"/>
      <c r="D771" s="61"/>
      <c r="E771" s="112"/>
      <c r="F771" s="149"/>
      <c r="G771" s="93"/>
      <c r="H771" s="61"/>
      <c r="I771" s="112"/>
      <c r="J771" s="149"/>
      <c r="K771" s="93"/>
      <c r="L771" s="61"/>
      <c r="M771" s="112"/>
      <c r="N771" s="115"/>
      <c r="O771" s="93"/>
      <c r="P771" s="61"/>
      <c r="Q771" s="180"/>
      <c r="R771" s="115"/>
      <c r="S771" s="93"/>
      <c r="T771" s="61"/>
      <c r="U771" s="180"/>
      <c r="V771" s="115"/>
      <c r="W771" s="93"/>
      <c r="X771" s="61"/>
      <c r="Y771" s="112"/>
      <c r="Z771" s="181"/>
      <c r="AA771" s="182"/>
      <c r="AB771" s="183"/>
      <c r="AC771" s="112"/>
      <c r="AD771" s="115"/>
      <c r="AE771" s="151"/>
      <c r="AF771" s="184"/>
      <c r="AG771" s="188"/>
      <c r="AH771" s="188"/>
      <c r="AI771" s="188"/>
      <c r="AJ771" s="188"/>
      <c r="AK771" s="61"/>
      <c r="AL771" s="61"/>
      <c r="AM771" s="61"/>
      <c r="AN771" s="61"/>
      <c r="AO771" s="61"/>
    </row>
    <row r="772">
      <c r="A772" s="112"/>
      <c r="B772" s="149"/>
      <c r="C772" s="93"/>
      <c r="D772" s="61"/>
      <c r="E772" s="112"/>
      <c r="F772" s="149"/>
      <c r="G772" s="93"/>
      <c r="H772" s="61"/>
      <c r="I772" s="112"/>
      <c r="J772" s="149"/>
      <c r="K772" s="93"/>
      <c r="L772" s="61"/>
      <c r="M772" s="112"/>
      <c r="N772" s="115"/>
      <c r="O772" s="93"/>
      <c r="P772" s="61"/>
      <c r="Q772" s="180"/>
      <c r="R772" s="115"/>
      <c r="S772" s="93"/>
      <c r="T772" s="61"/>
      <c r="U772" s="180"/>
      <c r="V772" s="115"/>
      <c r="W772" s="93"/>
      <c r="X772" s="61"/>
      <c r="Y772" s="112"/>
      <c r="Z772" s="181"/>
      <c r="AA772" s="182"/>
      <c r="AB772" s="183"/>
      <c r="AC772" s="112"/>
      <c r="AD772" s="115"/>
      <c r="AE772" s="151"/>
      <c r="AF772" s="184"/>
      <c r="AG772" s="188"/>
      <c r="AH772" s="188"/>
      <c r="AI772" s="188"/>
      <c r="AJ772" s="188"/>
      <c r="AK772" s="61"/>
      <c r="AL772" s="61"/>
      <c r="AM772" s="61"/>
      <c r="AN772" s="61"/>
      <c r="AO772" s="61"/>
    </row>
    <row r="773">
      <c r="A773" s="112"/>
      <c r="B773" s="149"/>
      <c r="C773" s="93"/>
      <c r="D773" s="61"/>
      <c r="E773" s="112"/>
      <c r="F773" s="149"/>
      <c r="G773" s="93"/>
      <c r="H773" s="61"/>
      <c r="I773" s="112"/>
      <c r="J773" s="149"/>
      <c r="K773" s="93"/>
      <c r="L773" s="61"/>
      <c r="M773" s="112"/>
      <c r="N773" s="115"/>
      <c r="O773" s="93"/>
      <c r="P773" s="61"/>
      <c r="Q773" s="180"/>
      <c r="R773" s="115"/>
      <c r="S773" s="93"/>
      <c r="T773" s="61"/>
      <c r="U773" s="180"/>
      <c r="V773" s="115"/>
      <c r="W773" s="93"/>
      <c r="X773" s="61"/>
      <c r="Y773" s="112"/>
      <c r="Z773" s="181"/>
      <c r="AA773" s="182"/>
      <c r="AB773" s="183"/>
      <c r="AC773" s="112"/>
      <c r="AD773" s="115"/>
      <c r="AE773" s="151"/>
      <c r="AF773" s="184"/>
      <c r="AG773" s="188"/>
      <c r="AH773" s="188"/>
      <c r="AI773" s="188"/>
      <c r="AJ773" s="188"/>
      <c r="AK773" s="61"/>
      <c r="AL773" s="61"/>
      <c r="AM773" s="61"/>
      <c r="AN773" s="61"/>
      <c r="AO773" s="61"/>
    </row>
    <row r="774">
      <c r="A774" s="112"/>
      <c r="B774" s="149"/>
      <c r="C774" s="93"/>
      <c r="D774" s="61"/>
      <c r="E774" s="112"/>
      <c r="F774" s="149"/>
      <c r="G774" s="93"/>
      <c r="H774" s="61"/>
      <c r="I774" s="112"/>
      <c r="J774" s="149"/>
      <c r="K774" s="93"/>
      <c r="L774" s="61"/>
      <c r="M774" s="112"/>
      <c r="N774" s="115"/>
      <c r="O774" s="93"/>
      <c r="P774" s="61"/>
      <c r="Q774" s="180"/>
      <c r="R774" s="115"/>
      <c r="S774" s="93"/>
      <c r="T774" s="61"/>
      <c r="U774" s="180"/>
      <c r="V774" s="115"/>
      <c r="W774" s="93"/>
      <c r="X774" s="61"/>
      <c r="Y774" s="112"/>
      <c r="Z774" s="181"/>
      <c r="AA774" s="182"/>
      <c r="AB774" s="183"/>
      <c r="AC774" s="112"/>
      <c r="AD774" s="115"/>
      <c r="AE774" s="151"/>
      <c r="AF774" s="184"/>
      <c r="AG774" s="188"/>
      <c r="AH774" s="188"/>
      <c r="AI774" s="188"/>
      <c r="AJ774" s="188"/>
      <c r="AK774" s="61"/>
      <c r="AL774" s="61"/>
      <c r="AM774" s="61"/>
      <c r="AN774" s="61"/>
      <c r="AO774" s="61"/>
    </row>
    <row r="775">
      <c r="A775" s="112"/>
      <c r="B775" s="149"/>
      <c r="C775" s="93"/>
      <c r="D775" s="61"/>
      <c r="E775" s="112"/>
      <c r="F775" s="149"/>
      <c r="G775" s="93"/>
      <c r="H775" s="61"/>
      <c r="I775" s="112"/>
      <c r="J775" s="149"/>
      <c r="K775" s="93"/>
      <c r="L775" s="61"/>
      <c r="M775" s="112"/>
      <c r="N775" s="115"/>
      <c r="O775" s="93"/>
      <c r="P775" s="61"/>
      <c r="Q775" s="180"/>
      <c r="R775" s="115"/>
      <c r="S775" s="93"/>
      <c r="T775" s="61"/>
      <c r="U775" s="180"/>
      <c r="V775" s="115"/>
      <c r="W775" s="93"/>
      <c r="X775" s="61"/>
      <c r="Y775" s="112"/>
      <c r="Z775" s="181"/>
      <c r="AA775" s="182"/>
      <c r="AB775" s="183"/>
      <c r="AC775" s="112"/>
      <c r="AD775" s="115"/>
      <c r="AE775" s="151"/>
      <c r="AF775" s="184"/>
      <c r="AG775" s="188"/>
      <c r="AH775" s="188"/>
      <c r="AI775" s="188"/>
      <c r="AJ775" s="188"/>
      <c r="AK775" s="61"/>
      <c r="AL775" s="61"/>
      <c r="AM775" s="61"/>
      <c r="AN775" s="61"/>
      <c r="AO775" s="61"/>
    </row>
    <row r="776">
      <c r="A776" s="112"/>
      <c r="B776" s="149"/>
      <c r="C776" s="93"/>
      <c r="D776" s="61"/>
      <c r="E776" s="112"/>
      <c r="F776" s="149"/>
      <c r="G776" s="93"/>
      <c r="H776" s="61"/>
      <c r="I776" s="112"/>
      <c r="J776" s="149"/>
      <c r="K776" s="93"/>
      <c r="L776" s="61"/>
      <c r="M776" s="112"/>
      <c r="N776" s="115"/>
      <c r="O776" s="93"/>
      <c r="P776" s="61"/>
      <c r="Q776" s="180"/>
      <c r="R776" s="115"/>
      <c r="S776" s="93"/>
      <c r="T776" s="61"/>
      <c r="U776" s="180"/>
      <c r="V776" s="115"/>
      <c r="W776" s="93"/>
      <c r="X776" s="61"/>
      <c r="Y776" s="112"/>
      <c r="Z776" s="181"/>
      <c r="AA776" s="182"/>
      <c r="AB776" s="183"/>
      <c r="AC776" s="112"/>
      <c r="AD776" s="115"/>
      <c r="AE776" s="151"/>
      <c r="AF776" s="184"/>
      <c r="AG776" s="188"/>
      <c r="AH776" s="188"/>
      <c r="AI776" s="188"/>
      <c r="AJ776" s="188"/>
      <c r="AK776" s="61"/>
      <c r="AL776" s="61"/>
      <c r="AM776" s="61"/>
      <c r="AN776" s="61"/>
      <c r="AO776" s="61"/>
    </row>
    <row r="777">
      <c r="A777" s="112"/>
      <c r="B777" s="149"/>
      <c r="C777" s="93"/>
      <c r="D777" s="61"/>
      <c r="E777" s="112"/>
      <c r="F777" s="149"/>
      <c r="G777" s="93"/>
      <c r="H777" s="61"/>
      <c r="I777" s="112"/>
      <c r="J777" s="149"/>
      <c r="K777" s="93"/>
      <c r="L777" s="61"/>
      <c r="M777" s="112"/>
      <c r="N777" s="115"/>
      <c r="O777" s="93"/>
      <c r="P777" s="61"/>
      <c r="Q777" s="180"/>
      <c r="R777" s="115"/>
      <c r="S777" s="93"/>
      <c r="T777" s="61"/>
      <c r="U777" s="180"/>
      <c r="V777" s="115"/>
      <c r="W777" s="93"/>
      <c r="X777" s="61"/>
      <c r="Y777" s="112"/>
      <c r="Z777" s="181"/>
      <c r="AA777" s="182"/>
      <c r="AB777" s="183"/>
      <c r="AC777" s="112"/>
      <c r="AD777" s="115"/>
      <c r="AE777" s="151"/>
      <c r="AF777" s="184"/>
      <c r="AG777" s="188"/>
      <c r="AH777" s="188"/>
      <c r="AI777" s="188"/>
      <c r="AJ777" s="188"/>
      <c r="AK777" s="61"/>
      <c r="AL777" s="61"/>
      <c r="AM777" s="61"/>
      <c r="AN777" s="61"/>
      <c r="AO777" s="61"/>
    </row>
    <row r="778">
      <c r="A778" s="112"/>
      <c r="B778" s="149"/>
      <c r="C778" s="93"/>
      <c r="D778" s="61"/>
      <c r="E778" s="112"/>
      <c r="F778" s="149"/>
      <c r="G778" s="93"/>
      <c r="H778" s="61"/>
      <c r="I778" s="112"/>
      <c r="J778" s="149"/>
      <c r="K778" s="93"/>
      <c r="L778" s="61"/>
      <c r="M778" s="112"/>
      <c r="N778" s="115"/>
      <c r="O778" s="93"/>
      <c r="P778" s="61"/>
      <c r="Q778" s="180"/>
      <c r="R778" s="115"/>
      <c r="S778" s="93"/>
      <c r="T778" s="61"/>
      <c r="U778" s="180"/>
      <c r="V778" s="115"/>
      <c r="W778" s="93"/>
      <c r="X778" s="61"/>
      <c r="Y778" s="112"/>
      <c r="Z778" s="181"/>
      <c r="AA778" s="182"/>
      <c r="AB778" s="183"/>
      <c r="AC778" s="112"/>
      <c r="AD778" s="115"/>
      <c r="AE778" s="151"/>
      <c r="AF778" s="184"/>
      <c r="AG778" s="188"/>
      <c r="AH778" s="188"/>
      <c r="AI778" s="188"/>
      <c r="AJ778" s="188"/>
      <c r="AK778" s="61"/>
      <c r="AL778" s="61"/>
      <c r="AM778" s="61"/>
      <c r="AN778" s="61"/>
      <c r="AO778" s="61"/>
    </row>
    <row r="779">
      <c r="A779" s="112"/>
      <c r="B779" s="149"/>
      <c r="C779" s="93"/>
      <c r="D779" s="61"/>
      <c r="E779" s="112"/>
      <c r="F779" s="149"/>
      <c r="G779" s="93"/>
      <c r="H779" s="61"/>
      <c r="I779" s="112"/>
      <c r="J779" s="149"/>
      <c r="K779" s="93"/>
      <c r="L779" s="61"/>
      <c r="M779" s="112"/>
      <c r="N779" s="115"/>
      <c r="O779" s="93"/>
      <c r="P779" s="61"/>
      <c r="Q779" s="180"/>
      <c r="R779" s="115"/>
      <c r="S779" s="93"/>
      <c r="T779" s="61"/>
      <c r="U779" s="180"/>
      <c r="V779" s="115"/>
      <c r="W779" s="93"/>
      <c r="X779" s="61"/>
      <c r="Y779" s="112"/>
      <c r="Z779" s="181"/>
      <c r="AA779" s="182"/>
      <c r="AB779" s="183"/>
      <c r="AC779" s="112"/>
      <c r="AD779" s="115"/>
      <c r="AE779" s="151"/>
      <c r="AF779" s="184"/>
      <c r="AG779" s="188"/>
      <c r="AH779" s="188"/>
      <c r="AI779" s="188"/>
      <c r="AJ779" s="188"/>
      <c r="AK779" s="61"/>
      <c r="AL779" s="61"/>
      <c r="AM779" s="61"/>
      <c r="AN779" s="61"/>
      <c r="AO779" s="61"/>
    </row>
    <row r="780">
      <c r="A780" s="112"/>
      <c r="B780" s="149"/>
      <c r="C780" s="93"/>
      <c r="D780" s="61"/>
      <c r="E780" s="112"/>
      <c r="F780" s="149"/>
      <c r="G780" s="93"/>
      <c r="H780" s="61"/>
      <c r="I780" s="112"/>
      <c r="J780" s="149"/>
      <c r="K780" s="93"/>
      <c r="L780" s="61"/>
      <c r="M780" s="112"/>
      <c r="N780" s="115"/>
      <c r="O780" s="93"/>
      <c r="P780" s="61"/>
      <c r="Q780" s="180"/>
      <c r="R780" s="115"/>
      <c r="S780" s="93"/>
      <c r="T780" s="61"/>
      <c r="U780" s="180"/>
      <c r="V780" s="115"/>
      <c r="W780" s="93"/>
      <c r="X780" s="61"/>
      <c r="Y780" s="112"/>
      <c r="Z780" s="181"/>
      <c r="AA780" s="182"/>
      <c r="AB780" s="183"/>
      <c r="AC780" s="112"/>
      <c r="AD780" s="115"/>
      <c r="AE780" s="151"/>
      <c r="AF780" s="184"/>
      <c r="AG780" s="188"/>
      <c r="AH780" s="188"/>
      <c r="AI780" s="188"/>
      <c r="AJ780" s="188"/>
      <c r="AK780" s="61"/>
      <c r="AL780" s="61"/>
      <c r="AM780" s="61"/>
      <c r="AN780" s="61"/>
      <c r="AO780" s="61"/>
    </row>
    <row r="781">
      <c r="A781" s="112"/>
      <c r="B781" s="149"/>
      <c r="C781" s="93"/>
      <c r="D781" s="61"/>
      <c r="E781" s="112"/>
      <c r="F781" s="149"/>
      <c r="G781" s="93"/>
      <c r="H781" s="61"/>
      <c r="I781" s="112"/>
      <c r="J781" s="149"/>
      <c r="K781" s="93"/>
      <c r="L781" s="61"/>
      <c r="M781" s="112"/>
      <c r="N781" s="115"/>
      <c r="O781" s="93"/>
      <c r="P781" s="61"/>
      <c r="Q781" s="180"/>
      <c r="R781" s="115"/>
      <c r="S781" s="93"/>
      <c r="T781" s="61"/>
      <c r="U781" s="180"/>
      <c r="V781" s="115"/>
      <c r="W781" s="93"/>
      <c r="X781" s="61"/>
      <c r="Y781" s="112"/>
      <c r="Z781" s="181"/>
      <c r="AA781" s="182"/>
      <c r="AB781" s="183"/>
      <c r="AC781" s="112"/>
      <c r="AD781" s="115"/>
      <c r="AE781" s="151"/>
      <c r="AF781" s="184"/>
      <c r="AG781" s="188"/>
      <c r="AH781" s="188"/>
      <c r="AI781" s="188"/>
      <c r="AJ781" s="188"/>
      <c r="AK781" s="61"/>
      <c r="AL781" s="61"/>
      <c r="AM781" s="61"/>
      <c r="AN781" s="61"/>
      <c r="AO781" s="61"/>
    </row>
    <row r="782">
      <c r="A782" s="112"/>
      <c r="B782" s="149"/>
      <c r="C782" s="93"/>
      <c r="D782" s="61"/>
      <c r="E782" s="112"/>
      <c r="F782" s="149"/>
      <c r="G782" s="93"/>
      <c r="H782" s="61"/>
      <c r="I782" s="112"/>
      <c r="J782" s="149"/>
      <c r="K782" s="93"/>
      <c r="L782" s="61"/>
      <c r="M782" s="112"/>
      <c r="N782" s="115"/>
      <c r="O782" s="93"/>
      <c r="P782" s="61"/>
      <c r="Q782" s="180"/>
      <c r="R782" s="115"/>
      <c r="S782" s="93"/>
      <c r="T782" s="61"/>
      <c r="U782" s="180"/>
      <c r="V782" s="115"/>
      <c r="W782" s="93"/>
      <c r="X782" s="61"/>
      <c r="Y782" s="112"/>
      <c r="Z782" s="181"/>
      <c r="AA782" s="182"/>
      <c r="AB782" s="183"/>
      <c r="AC782" s="112"/>
      <c r="AD782" s="115"/>
      <c r="AE782" s="151"/>
      <c r="AF782" s="184"/>
      <c r="AG782" s="188"/>
      <c r="AH782" s="188"/>
      <c r="AI782" s="188"/>
      <c r="AJ782" s="188"/>
      <c r="AK782" s="61"/>
      <c r="AL782" s="61"/>
      <c r="AM782" s="61"/>
      <c r="AN782" s="61"/>
      <c r="AO782" s="61"/>
    </row>
    <row r="783">
      <c r="A783" s="112"/>
      <c r="B783" s="149"/>
      <c r="C783" s="93"/>
      <c r="D783" s="61"/>
      <c r="E783" s="112"/>
      <c r="F783" s="149"/>
      <c r="G783" s="93"/>
      <c r="H783" s="61"/>
      <c r="I783" s="112"/>
      <c r="J783" s="149"/>
      <c r="K783" s="93"/>
      <c r="L783" s="61"/>
      <c r="M783" s="112"/>
      <c r="N783" s="115"/>
      <c r="O783" s="93"/>
      <c r="P783" s="61"/>
      <c r="Q783" s="180"/>
      <c r="R783" s="115"/>
      <c r="S783" s="93"/>
      <c r="T783" s="61"/>
      <c r="U783" s="180"/>
      <c r="V783" s="115"/>
      <c r="W783" s="93"/>
      <c r="X783" s="61"/>
      <c r="Y783" s="112"/>
      <c r="Z783" s="181"/>
      <c r="AA783" s="182"/>
      <c r="AB783" s="183"/>
      <c r="AC783" s="112"/>
      <c r="AD783" s="115"/>
      <c r="AE783" s="151"/>
      <c r="AF783" s="184"/>
      <c r="AG783" s="188"/>
      <c r="AH783" s="188"/>
      <c r="AI783" s="188"/>
      <c r="AJ783" s="188"/>
      <c r="AK783" s="61"/>
      <c r="AL783" s="61"/>
      <c r="AM783" s="61"/>
      <c r="AN783" s="61"/>
      <c r="AO783" s="61"/>
    </row>
    <row r="784">
      <c r="A784" s="112"/>
      <c r="B784" s="149"/>
      <c r="C784" s="93"/>
      <c r="D784" s="61"/>
      <c r="E784" s="112"/>
      <c r="F784" s="149"/>
      <c r="G784" s="93"/>
      <c r="H784" s="61"/>
      <c r="I784" s="112"/>
      <c r="J784" s="149"/>
      <c r="K784" s="93"/>
      <c r="L784" s="61"/>
      <c r="M784" s="112"/>
      <c r="N784" s="115"/>
      <c r="O784" s="93"/>
      <c r="P784" s="61"/>
      <c r="Q784" s="180"/>
      <c r="R784" s="115"/>
      <c r="S784" s="93"/>
      <c r="T784" s="61"/>
      <c r="U784" s="180"/>
      <c r="V784" s="115"/>
      <c r="W784" s="93"/>
      <c r="X784" s="61"/>
      <c r="Y784" s="112"/>
      <c r="Z784" s="181"/>
      <c r="AA784" s="182"/>
      <c r="AB784" s="183"/>
      <c r="AC784" s="112"/>
      <c r="AD784" s="115"/>
      <c r="AE784" s="151"/>
      <c r="AF784" s="184"/>
      <c r="AG784" s="188"/>
      <c r="AH784" s="188"/>
      <c r="AI784" s="188"/>
      <c r="AJ784" s="188"/>
      <c r="AK784" s="61"/>
      <c r="AL784" s="61"/>
      <c r="AM784" s="61"/>
      <c r="AN784" s="61"/>
      <c r="AO784" s="61"/>
    </row>
    <row r="785">
      <c r="A785" s="112"/>
      <c r="B785" s="149"/>
      <c r="C785" s="93"/>
      <c r="D785" s="61"/>
      <c r="E785" s="112"/>
      <c r="F785" s="149"/>
      <c r="G785" s="93"/>
      <c r="H785" s="61"/>
      <c r="I785" s="112"/>
      <c r="J785" s="149"/>
      <c r="K785" s="93"/>
      <c r="L785" s="61"/>
      <c r="M785" s="112"/>
      <c r="N785" s="115"/>
      <c r="O785" s="93"/>
      <c r="P785" s="61"/>
      <c r="Q785" s="180"/>
      <c r="R785" s="115"/>
      <c r="S785" s="93"/>
      <c r="T785" s="61"/>
      <c r="U785" s="180"/>
      <c r="V785" s="115"/>
      <c r="W785" s="93"/>
      <c r="X785" s="61"/>
      <c r="Y785" s="112"/>
      <c r="Z785" s="181"/>
      <c r="AA785" s="182"/>
      <c r="AB785" s="183"/>
      <c r="AC785" s="112"/>
      <c r="AD785" s="115"/>
      <c r="AE785" s="151"/>
      <c r="AF785" s="184"/>
      <c r="AG785" s="188"/>
      <c r="AH785" s="188"/>
      <c r="AI785" s="188"/>
      <c r="AJ785" s="188"/>
      <c r="AK785" s="61"/>
      <c r="AL785" s="61"/>
      <c r="AM785" s="61"/>
      <c r="AN785" s="61"/>
      <c r="AO785" s="61"/>
    </row>
    <row r="786">
      <c r="A786" s="112"/>
      <c r="B786" s="149"/>
      <c r="C786" s="93"/>
      <c r="D786" s="61"/>
      <c r="E786" s="112"/>
      <c r="F786" s="149"/>
      <c r="G786" s="93"/>
      <c r="H786" s="61"/>
      <c r="I786" s="112"/>
      <c r="J786" s="149"/>
      <c r="K786" s="93"/>
      <c r="L786" s="61"/>
      <c r="M786" s="112"/>
      <c r="N786" s="115"/>
      <c r="O786" s="93"/>
      <c r="P786" s="61"/>
      <c r="Q786" s="180"/>
      <c r="R786" s="115"/>
      <c r="S786" s="93"/>
      <c r="T786" s="61"/>
      <c r="U786" s="180"/>
      <c r="V786" s="115"/>
      <c r="W786" s="93"/>
      <c r="X786" s="61"/>
      <c r="Y786" s="112"/>
      <c r="Z786" s="181"/>
      <c r="AA786" s="182"/>
      <c r="AB786" s="183"/>
      <c r="AC786" s="112"/>
      <c r="AD786" s="115"/>
      <c r="AE786" s="151"/>
      <c r="AF786" s="184"/>
      <c r="AG786" s="188"/>
      <c r="AH786" s="188"/>
      <c r="AI786" s="188"/>
      <c r="AJ786" s="188"/>
      <c r="AK786" s="61"/>
      <c r="AL786" s="61"/>
      <c r="AM786" s="61"/>
      <c r="AN786" s="61"/>
      <c r="AO786" s="61"/>
    </row>
    <row r="787">
      <c r="A787" s="112"/>
      <c r="B787" s="149"/>
      <c r="C787" s="93"/>
      <c r="D787" s="61"/>
      <c r="E787" s="112"/>
      <c r="F787" s="149"/>
      <c r="G787" s="93"/>
      <c r="H787" s="61"/>
      <c r="I787" s="112"/>
      <c r="J787" s="149"/>
      <c r="K787" s="93"/>
      <c r="L787" s="61"/>
      <c r="M787" s="112"/>
      <c r="N787" s="115"/>
      <c r="O787" s="93"/>
      <c r="P787" s="61"/>
      <c r="Q787" s="180"/>
      <c r="R787" s="115"/>
      <c r="S787" s="93"/>
      <c r="T787" s="61"/>
      <c r="U787" s="180"/>
      <c r="V787" s="115"/>
      <c r="W787" s="93"/>
      <c r="X787" s="61"/>
      <c r="Y787" s="112"/>
      <c r="Z787" s="181"/>
      <c r="AA787" s="182"/>
      <c r="AB787" s="183"/>
      <c r="AC787" s="112"/>
      <c r="AD787" s="115"/>
      <c r="AE787" s="151"/>
      <c r="AF787" s="184"/>
      <c r="AG787" s="188"/>
      <c r="AH787" s="188"/>
      <c r="AI787" s="188"/>
      <c r="AJ787" s="188"/>
      <c r="AK787" s="61"/>
      <c r="AL787" s="61"/>
      <c r="AM787" s="61"/>
      <c r="AN787" s="61"/>
      <c r="AO787" s="61"/>
    </row>
    <row r="788">
      <c r="A788" s="112"/>
      <c r="B788" s="149"/>
      <c r="C788" s="93"/>
      <c r="D788" s="61"/>
      <c r="E788" s="112"/>
      <c r="F788" s="149"/>
      <c r="G788" s="93"/>
      <c r="H788" s="61"/>
      <c r="I788" s="112"/>
      <c r="J788" s="149"/>
      <c r="K788" s="93"/>
      <c r="L788" s="61"/>
      <c r="M788" s="112"/>
      <c r="N788" s="115"/>
      <c r="O788" s="93"/>
      <c r="P788" s="61"/>
      <c r="Q788" s="180"/>
      <c r="R788" s="115"/>
      <c r="S788" s="93"/>
      <c r="T788" s="61"/>
      <c r="U788" s="180"/>
      <c r="V788" s="115"/>
      <c r="W788" s="93"/>
      <c r="X788" s="61"/>
      <c r="Y788" s="112"/>
      <c r="Z788" s="181"/>
      <c r="AA788" s="182"/>
      <c r="AB788" s="183"/>
      <c r="AC788" s="112"/>
      <c r="AD788" s="115"/>
      <c r="AE788" s="151"/>
      <c r="AF788" s="184"/>
      <c r="AG788" s="188"/>
      <c r="AH788" s="188"/>
      <c r="AI788" s="188"/>
      <c r="AJ788" s="188"/>
      <c r="AK788" s="61"/>
      <c r="AL788" s="61"/>
      <c r="AM788" s="61"/>
      <c r="AN788" s="61"/>
      <c r="AO788" s="61"/>
    </row>
    <row r="789">
      <c r="A789" s="112"/>
      <c r="B789" s="149"/>
      <c r="C789" s="93"/>
      <c r="D789" s="61"/>
      <c r="E789" s="112"/>
      <c r="F789" s="149"/>
      <c r="G789" s="93"/>
      <c r="H789" s="61"/>
      <c r="I789" s="112"/>
      <c r="J789" s="149"/>
      <c r="K789" s="93"/>
      <c r="L789" s="61"/>
      <c r="M789" s="112"/>
      <c r="N789" s="115"/>
      <c r="O789" s="93"/>
      <c r="P789" s="61"/>
      <c r="Q789" s="180"/>
      <c r="R789" s="115"/>
      <c r="S789" s="93"/>
      <c r="T789" s="61"/>
      <c r="U789" s="180"/>
      <c r="V789" s="115"/>
      <c r="W789" s="93"/>
      <c r="X789" s="61"/>
      <c r="Y789" s="112"/>
      <c r="Z789" s="181"/>
      <c r="AA789" s="182"/>
      <c r="AB789" s="183"/>
      <c r="AC789" s="112"/>
      <c r="AD789" s="115"/>
      <c r="AE789" s="151"/>
      <c r="AF789" s="184"/>
      <c r="AG789" s="188"/>
      <c r="AH789" s="188"/>
      <c r="AI789" s="188"/>
      <c r="AJ789" s="188"/>
      <c r="AK789" s="61"/>
      <c r="AL789" s="61"/>
      <c r="AM789" s="61"/>
      <c r="AN789" s="61"/>
      <c r="AO789" s="61"/>
    </row>
    <row r="790">
      <c r="A790" s="112"/>
      <c r="B790" s="149"/>
      <c r="C790" s="93"/>
      <c r="D790" s="61"/>
      <c r="E790" s="112"/>
      <c r="F790" s="149"/>
      <c r="G790" s="93"/>
      <c r="H790" s="61"/>
      <c r="I790" s="112"/>
      <c r="J790" s="149"/>
      <c r="K790" s="93"/>
      <c r="L790" s="61"/>
      <c r="M790" s="112"/>
      <c r="N790" s="115"/>
      <c r="O790" s="93"/>
      <c r="P790" s="61"/>
      <c r="Q790" s="180"/>
      <c r="R790" s="115"/>
      <c r="S790" s="93"/>
      <c r="T790" s="61"/>
      <c r="U790" s="180"/>
      <c r="V790" s="115"/>
      <c r="W790" s="93"/>
      <c r="X790" s="61"/>
      <c r="Y790" s="112"/>
      <c r="Z790" s="181"/>
      <c r="AA790" s="182"/>
      <c r="AB790" s="183"/>
      <c r="AC790" s="112"/>
      <c r="AD790" s="115"/>
      <c r="AE790" s="151"/>
      <c r="AF790" s="184"/>
      <c r="AG790" s="188"/>
      <c r="AH790" s="188"/>
      <c r="AI790" s="188"/>
      <c r="AJ790" s="188"/>
      <c r="AK790" s="61"/>
      <c r="AL790" s="61"/>
      <c r="AM790" s="61"/>
      <c r="AN790" s="61"/>
      <c r="AO790" s="61"/>
    </row>
    <row r="791">
      <c r="A791" s="112"/>
      <c r="B791" s="149"/>
      <c r="C791" s="93"/>
      <c r="D791" s="61"/>
      <c r="E791" s="112"/>
      <c r="F791" s="149"/>
      <c r="G791" s="93"/>
      <c r="H791" s="61"/>
      <c r="I791" s="112"/>
      <c r="J791" s="149"/>
      <c r="K791" s="93"/>
      <c r="L791" s="61"/>
      <c r="M791" s="112"/>
      <c r="N791" s="115"/>
      <c r="O791" s="93"/>
      <c r="P791" s="61"/>
      <c r="Q791" s="180"/>
      <c r="R791" s="115"/>
      <c r="S791" s="93"/>
      <c r="T791" s="61"/>
      <c r="U791" s="180"/>
      <c r="V791" s="115"/>
      <c r="W791" s="93"/>
      <c r="X791" s="61"/>
      <c r="Y791" s="112"/>
      <c r="Z791" s="181"/>
      <c r="AA791" s="182"/>
      <c r="AB791" s="183"/>
      <c r="AC791" s="112"/>
      <c r="AD791" s="115"/>
      <c r="AE791" s="151"/>
      <c r="AF791" s="184"/>
      <c r="AG791" s="188"/>
      <c r="AH791" s="188"/>
      <c r="AI791" s="188"/>
      <c r="AJ791" s="188"/>
      <c r="AK791" s="61"/>
      <c r="AL791" s="61"/>
      <c r="AM791" s="61"/>
      <c r="AN791" s="61"/>
      <c r="AO791" s="61"/>
    </row>
    <row r="792">
      <c r="A792" s="112"/>
      <c r="B792" s="149"/>
      <c r="C792" s="93"/>
      <c r="D792" s="61"/>
      <c r="E792" s="112"/>
      <c r="F792" s="149"/>
      <c r="G792" s="93"/>
      <c r="H792" s="61"/>
      <c r="I792" s="112"/>
      <c r="J792" s="149"/>
      <c r="K792" s="93"/>
      <c r="L792" s="61"/>
      <c r="M792" s="112"/>
      <c r="N792" s="115"/>
      <c r="O792" s="93"/>
      <c r="P792" s="61"/>
      <c r="Q792" s="180"/>
      <c r="R792" s="115"/>
      <c r="S792" s="93"/>
      <c r="T792" s="61"/>
      <c r="U792" s="180"/>
      <c r="V792" s="115"/>
      <c r="W792" s="93"/>
      <c r="X792" s="61"/>
      <c r="Y792" s="112"/>
      <c r="Z792" s="181"/>
      <c r="AA792" s="182"/>
      <c r="AB792" s="183"/>
      <c r="AC792" s="112"/>
      <c r="AD792" s="115"/>
      <c r="AE792" s="151"/>
      <c r="AF792" s="184"/>
      <c r="AG792" s="188"/>
      <c r="AH792" s="188"/>
      <c r="AI792" s="188"/>
      <c r="AJ792" s="188"/>
      <c r="AK792" s="61"/>
      <c r="AL792" s="61"/>
      <c r="AM792" s="61"/>
      <c r="AN792" s="61"/>
      <c r="AO792" s="61"/>
    </row>
    <row r="793">
      <c r="A793" s="112"/>
      <c r="B793" s="149"/>
      <c r="C793" s="93"/>
      <c r="D793" s="61"/>
      <c r="E793" s="112"/>
      <c r="F793" s="149"/>
      <c r="G793" s="93"/>
      <c r="H793" s="61"/>
      <c r="I793" s="112"/>
      <c r="J793" s="149"/>
      <c r="K793" s="93"/>
      <c r="L793" s="61"/>
      <c r="M793" s="112"/>
      <c r="N793" s="115"/>
      <c r="O793" s="93"/>
      <c r="P793" s="61"/>
      <c r="Q793" s="180"/>
      <c r="R793" s="115"/>
      <c r="S793" s="93"/>
      <c r="T793" s="61"/>
      <c r="U793" s="180"/>
      <c r="V793" s="115"/>
      <c r="W793" s="93"/>
      <c r="X793" s="61"/>
      <c r="Y793" s="112"/>
      <c r="Z793" s="181"/>
      <c r="AA793" s="182"/>
      <c r="AB793" s="183"/>
      <c r="AC793" s="112"/>
      <c r="AD793" s="115"/>
      <c r="AE793" s="151"/>
      <c r="AF793" s="184"/>
      <c r="AG793" s="188"/>
      <c r="AH793" s="188"/>
      <c r="AI793" s="188"/>
      <c r="AJ793" s="188"/>
      <c r="AK793" s="61"/>
      <c r="AL793" s="61"/>
      <c r="AM793" s="61"/>
      <c r="AN793" s="61"/>
      <c r="AO793" s="61"/>
    </row>
    <row r="794">
      <c r="A794" s="112"/>
      <c r="B794" s="149"/>
      <c r="C794" s="93"/>
      <c r="D794" s="61"/>
      <c r="E794" s="112"/>
      <c r="F794" s="149"/>
      <c r="G794" s="93"/>
      <c r="H794" s="61"/>
      <c r="I794" s="112"/>
      <c r="J794" s="149"/>
      <c r="K794" s="93"/>
      <c r="L794" s="61"/>
      <c r="M794" s="112"/>
      <c r="N794" s="115"/>
      <c r="O794" s="93"/>
      <c r="P794" s="61"/>
      <c r="Q794" s="180"/>
      <c r="R794" s="115"/>
      <c r="S794" s="93"/>
      <c r="T794" s="61"/>
      <c r="U794" s="180"/>
      <c r="V794" s="115"/>
      <c r="W794" s="93"/>
      <c r="X794" s="61"/>
      <c r="Y794" s="112"/>
      <c r="Z794" s="181"/>
      <c r="AA794" s="182"/>
      <c r="AB794" s="183"/>
      <c r="AC794" s="112"/>
      <c r="AD794" s="115"/>
      <c r="AE794" s="151"/>
      <c r="AF794" s="184"/>
      <c r="AG794" s="188"/>
      <c r="AH794" s="188"/>
      <c r="AI794" s="188"/>
      <c r="AJ794" s="188"/>
      <c r="AK794" s="61"/>
      <c r="AL794" s="61"/>
      <c r="AM794" s="61"/>
      <c r="AN794" s="61"/>
      <c r="AO794" s="61"/>
    </row>
    <row r="795">
      <c r="A795" s="112"/>
      <c r="B795" s="149"/>
      <c r="C795" s="93"/>
      <c r="D795" s="61"/>
      <c r="E795" s="112"/>
      <c r="F795" s="149"/>
      <c r="G795" s="93"/>
      <c r="H795" s="61"/>
      <c r="I795" s="112"/>
      <c r="J795" s="149"/>
      <c r="K795" s="93"/>
      <c r="L795" s="61"/>
      <c r="M795" s="112"/>
      <c r="N795" s="115"/>
      <c r="O795" s="93"/>
      <c r="P795" s="61"/>
      <c r="Q795" s="180"/>
      <c r="R795" s="115"/>
      <c r="S795" s="93"/>
      <c r="T795" s="61"/>
      <c r="U795" s="180"/>
      <c r="V795" s="115"/>
      <c r="W795" s="93"/>
      <c r="X795" s="61"/>
      <c r="Y795" s="112"/>
      <c r="Z795" s="181"/>
      <c r="AA795" s="182"/>
      <c r="AB795" s="183"/>
      <c r="AC795" s="112"/>
      <c r="AD795" s="115"/>
      <c r="AE795" s="151"/>
      <c r="AF795" s="184"/>
      <c r="AG795" s="188"/>
      <c r="AH795" s="188"/>
      <c r="AI795" s="188"/>
      <c r="AJ795" s="188"/>
      <c r="AK795" s="61"/>
      <c r="AL795" s="61"/>
      <c r="AM795" s="61"/>
      <c r="AN795" s="61"/>
      <c r="AO795" s="61"/>
    </row>
    <row r="796">
      <c r="A796" s="112"/>
      <c r="B796" s="149"/>
      <c r="C796" s="93"/>
      <c r="D796" s="61"/>
      <c r="E796" s="112"/>
      <c r="F796" s="149"/>
      <c r="G796" s="93"/>
      <c r="H796" s="61"/>
      <c r="I796" s="112"/>
      <c r="J796" s="149"/>
      <c r="K796" s="93"/>
      <c r="L796" s="61"/>
      <c r="M796" s="112"/>
      <c r="N796" s="115"/>
      <c r="O796" s="93"/>
      <c r="P796" s="61"/>
      <c r="Q796" s="180"/>
      <c r="R796" s="115"/>
      <c r="S796" s="93"/>
      <c r="T796" s="61"/>
      <c r="U796" s="180"/>
      <c r="V796" s="115"/>
      <c r="W796" s="93"/>
      <c r="X796" s="61"/>
      <c r="Y796" s="112"/>
      <c r="Z796" s="181"/>
      <c r="AA796" s="182"/>
      <c r="AB796" s="183"/>
      <c r="AC796" s="112"/>
      <c r="AD796" s="115"/>
      <c r="AE796" s="151"/>
      <c r="AF796" s="184"/>
      <c r="AG796" s="188"/>
      <c r="AH796" s="188"/>
      <c r="AI796" s="188"/>
      <c r="AJ796" s="188"/>
      <c r="AK796" s="61"/>
      <c r="AL796" s="61"/>
      <c r="AM796" s="61"/>
      <c r="AN796" s="61"/>
      <c r="AO796" s="61"/>
    </row>
    <row r="797">
      <c r="A797" s="112"/>
      <c r="B797" s="149"/>
      <c r="C797" s="93"/>
      <c r="D797" s="61"/>
      <c r="E797" s="112"/>
      <c r="F797" s="149"/>
      <c r="G797" s="93"/>
      <c r="H797" s="61"/>
      <c r="I797" s="112"/>
      <c r="J797" s="149"/>
      <c r="K797" s="93"/>
      <c r="L797" s="61"/>
      <c r="M797" s="112"/>
      <c r="N797" s="115"/>
      <c r="O797" s="93"/>
      <c r="P797" s="61"/>
      <c r="Q797" s="180"/>
      <c r="R797" s="115"/>
      <c r="S797" s="93"/>
      <c r="T797" s="61"/>
      <c r="U797" s="180"/>
      <c r="V797" s="115"/>
      <c r="W797" s="93"/>
      <c r="X797" s="61"/>
      <c r="Y797" s="112"/>
      <c r="Z797" s="181"/>
      <c r="AA797" s="182"/>
      <c r="AB797" s="183"/>
      <c r="AC797" s="112"/>
      <c r="AD797" s="115"/>
      <c r="AE797" s="151"/>
      <c r="AF797" s="184"/>
      <c r="AG797" s="188"/>
      <c r="AH797" s="188"/>
      <c r="AI797" s="188"/>
      <c r="AJ797" s="188"/>
      <c r="AK797" s="61"/>
      <c r="AL797" s="61"/>
      <c r="AM797" s="61"/>
      <c r="AN797" s="61"/>
      <c r="AO797" s="61"/>
    </row>
    <row r="798">
      <c r="A798" s="112"/>
      <c r="B798" s="149"/>
      <c r="C798" s="93"/>
      <c r="D798" s="61"/>
      <c r="E798" s="112"/>
      <c r="F798" s="149"/>
      <c r="G798" s="93"/>
      <c r="H798" s="61"/>
      <c r="I798" s="112"/>
      <c r="J798" s="149"/>
      <c r="K798" s="93"/>
      <c r="L798" s="61"/>
      <c r="M798" s="112"/>
      <c r="N798" s="115"/>
      <c r="O798" s="93"/>
      <c r="P798" s="61"/>
      <c r="Q798" s="180"/>
      <c r="R798" s="115"/>
      <c r="S798" s="93"/>
      <c r="T798" s="61"/>
      <c r="U798" s="180"/>
      <c r="V798" s="115"/>
      <c r="W798" s="93"/>
      <c r="X798" s="61"/>
      <c r="Y798" s="112"/>
      <c r="Z798" s="181"/>
      <c r="AA798" s="182"/>
      <c r="AB798" s="183"/>
      <c r="AC798" s="112"/>
      <c r="AD798" s="115"/>
      <c r="AE798" s="151"/>
      <c r="AF798" s="184"/>
      <c r="AG798" s="188"/>
      <c r="AH798" s="188"/>
      <c r="AI798" s="188"/>
      <c r="AJ798" s="188"/>
      <c r="AK798" s="61"/>
      <c r="AL798" s="61"/>
      <c r="AM798" s="61"/>
      <c r="AN798" s="61"/>
      <c r="AO798" s="61"/>
    </row>
    <row r="799">
      <c r="A799" s="112"/>
      <c r="B799" s="149"/>
      <c r="C799" s="93"/>
      <c r="D799" s="61"/>
      <c r="E799" s="112"/>
      <c r="F799" s="149"/>
      <c r="G799" s="93"/>
      <c r="H799" s="61"/>
      <c r="I799" s="112"/>
      <c r="J799" s="149"/>
      <c r="K799" s="93"/>
      <c r="L799" s="61"/>
      <c r="M799" s="112"/>
      <c r="N799" s="115"/>
      <c r="O799" s="93"/>
      <c r="P799" s="61"/>
      <c r="Q799" s="180"/>
      <c r="R799" s="115"/>
      <c r="S799" s="93"/>
      <c r="T799" s="61"/>
      <c r="U799" s="180"/>
      <c r="V799" s="115"/>
      <c r="W799" s="93"/>
      <c r="X799" s="61"/>
      <c r="Y799" s="112"/>
      <c r="Z799" s="181"/>
      <c r="AA799" s="182"/>
      <c r="AB799" s="183"/>
      <c r="AC799" s="112"/>
      <c r="AD799" s="115"/>
      <c r="AE799" s="151"/>
      <c r="AF799" s="184"/>
      <c r="AG799" s="188"/>
      <c r="AH799" s="188"/>
      <c r="AI799" s="188"/>
      <c r="AJ799" s="188"/>
      <c r="AK799" s="61"/>
      <c r="AL799" s="61"/>
      <c r="AM799" s="61"/>
      <c r="AN799" s="61"/>
      <c r="AO799" s="61"/>
    </row>
    <row r="800">
      <c r="A800" s="112"/>
      <c r="B800" s="149"/>
      <c r="C800" s="93"/>
      <c r="D800" s="61"/>
      <c r="E800" s="112"/>
      <c r="F800" s="149"/>
      <c r="G800" s="93"/>
      <c r="H800" s="61"/>
      <c r="I800" s="112"/>
      <c r="J800" s="149"/>
      <c r="K800" s="93"/>
      <c r="L800" s="61"/>
      <c r="M800" s="112"/>
      <c r="N800" s="115"/>
      <c r="O800" s="93"/>
      <c r="P800" s="61"/>
      <c r="Q800" s="180"/>
      <c r="R800" s="115"/>
      <c r="S800" s="93"/>
      <c r="T800" s="61"/>
      <c r="U800" s="180"/>
      <c r="V800" s="115"/>
      <c r="W800" s="93"/>
      <c r="X800" s="61"/>
      <c r="Y800" s="112"/>
      <c r="Z800" s="181"/>
      <c r="AA800" s="182"/>
      <c r="AB800" s="183"/>
      <c r="AC800" s="112"/>
      <c r="AD800" s="115"/>
      <c r="AE800" s="151"/>
      <c r="AF800" s="184"/>
      <c r="AG800" s="188"/>
      <c r="AH800" s="188"/>
      <c r="AI800" s="188"/>
      <c r="AJ800" s="188"/>
      <c r="AK800" s="61"/>
      <c r="AL800" s="61"/>
      <c r="AM800" s="61"/>
      <c r="AN800" s="61"/>
      <c r="AO800" s="61"/>
    </row>
    <row r="801">
      <c r="A801" s="112"/>
      <c r="B801" s="149"/>
      <c r="C801" s="93"/>
      <c r="D801" s="61"/>
      <c r="E801" s="112"/>
      <c r="F801" s="149"/>
      <c r="G801" s="93"/>
      <c r="H801" s="61"/>
      <c r="I801" s="112"/>
      <c r="J801" s="149"/>
      <c r="K801" s="93"/>
      <c r="L801" s="61"/>
      <c r="M801" s="112"/>
      <c r="N801" s="115"/>
      <c r="O801" s="93"/>
      <c r="P801" s="61"/>
      <c r="Q801" s="180"/>
      <c r="R801" s="115"/>
      <c r="S801" s="93"/>
      <c r="T801" s="61"/>
      <c r="U801" s="180"/>
      <c r="V801" s="115"/>
      <c r="W801" s="93"/>
      <c r="X801" s="61"/>
      <c r="Y801" s="112"/>
      <c r="Z801" s="181"/>
      <c r="AA801" s="182"/>
      <c r="AB801" s="183"/>
      <c r="AC801" s="112"/>
      <c r="AD801" s="115"/>
      <c r="AE801" s="151"/>
      <c r="AF801" s="184"/>
      <c r="AG801" s="188"/>
      <c r="AH801" s="188"/>
      <c r="AI801" s="188"/>
      <c r="AJ801" s="188"/>
      <c r="AK801" s="61"/>
      <c r="AL801" s="61"/>
      <c r="AM801" s="61"/>
      <c r="AN801" s="61"/>
      <c r="AO801" s="61"/>
    </row>
    <row r="802">
      <c r="A802" s="112"/>
      <c r="B802" s="149"/>
      <c r="C802" s="93"/>
      <c r="D802" s="61"/>
      <c r="E802" s="112"/>
      <c r="F802" s="149"/>
      <c r="G802" s="93"/>
      <c r="H802" s="61"/>
      <c r="I802" s="112"/>
      <c r="J802" s="149"/>
      <c r="K802" s="93"/>
      <c r="L802" s="61"/>
      <c r="M802" s="112"/>
      <c r="N802" s="115"/>
      <c r="O802" s="93"/>
      <c r="P802" s="61"/>
      <c r="Q802" s="180"/>
      <c r="R802" s="115"/>
      <c r="S802" s="93"/>
      <c r="T802" s="61"/>
      <c r="U802" s="180"/>
      <c r="V802" s="115"/>
      <c r="W802" s="93"/>
      <c r="X802" s="61"/>
      <c r="Y802" s="112"/>
      <c r="Z802" s="181"/>
      <c r="AA802" s="182"/>
      <c r="AB802" s="183"/>
      <c r="AC802" s="112"/>
      <c r="AD802" s="115"/>
      <c r="AE802" s="151"/>
      <c r="AF802" s="184"/>
      <c r="AG802" s="188"/>
      <c r="AH802" s="188"/>
      <c r="AI802" s="188"/>
      <c r="AJ802" s="188"/>
      <c r="AK802" s="61"/>
      <c r="AL802" s="61"/>
      <c r="AM802" s="61"/>
      <c r="AN802" s="61"/>
      <c r="AO802" s="61"/>
    </row>
    <row r="803">
      <c r="A803" s="112"/>
      <c r="B803" s="149"/>
      <c r="C803" s="93"/>
      <c r="D803" s="61"/>
      <c r="E803" s="112"/>
      <c r="F803" s="149"/>
      <c r="G803" s="93"/>
      <c r="H803" s="61"/>
      <c r="I803" s="112"/>
      <c r="J803" s="149"/>
      <c r="K803" s="93"/>
      <c r="L803" s="61"/>
      <c r="M803" s="112"/>
      <c r="N803" s="115"/>
      <c r="O803" s="93"/>
      <c r="P803" s="61"/>
      <c r="Q803" s="180"/>
      <c r="R803" s="115"/>
      <c r="S803" s="93"/>
      <c r="T803" s="61"/>
      <c r="U803" s="180"/>
      <c r="V803" s="115"/>
      <c r="W803" s="93"/>
      <c r="X803" s="61"/>
      <c r="Y803" s="112"/>
      <c r="Z803" s="181"/>
      <c r="AA803" s="182"/>
      <c r="AB803" s="183"/>
      <c r="AC803" s="112"/>
      <c r="AD803" s="115"/>
      <c r="AE803" s="151"/>
      <c r="AF803" s="184"/>
      <c r="AG803" s="188"/>
      <c r="AH803" s="188"/>
      <c r="AI803" s="188"/>
      <c r="AJ803" s="188"/>
      <c r="AK803" s="61"/>
      <c r="AL803" s="61"/>
      <c r="AM803" s="61"/>
      <c r="AN803" s="61"/>
      <c r="AO803" s="61"/>
    </row>
    <row r="804">
      <c r="A804" s="112"/>
      <c r="B804" s="149"/>
      <c r="C804" s="93"/>
      <c r="D804" s="61"/>
      <c r="E804" s="112"/>
      <c r="F804" s="149"/>
      <c r="G804" s="93"/>
      <c r="H804" s="61"/>
      <c r="I804" s="112"/>
      <c r="J804" s="149"/>
      <c r="K804" s="93"/>
      <c r="L804" s="61"/>
      <c r="M804" s="112"/>
      <c r="N804" s="115"/>
      <c r="O804" s="93"/>
      <c r="P804" s="61"/>
      <c r="Q804" s="180"/>
      <c r="R804" s="115"/>
      <c r="S804" s="93"/>
      <c r="T804" s="61"/>
      <c r="U804" s="180"/>
      <c r="V804" s="115"/>
      <c r="W804" s="93"/>
      <c r="X804" s="61"/>
      <c r="Y804" s="112"/>
      <c r="Z804" s="181"/>
      <c r="AA804" s="182"/>
      <c r="AB804" s="183"/>
      <c r="AC804" s="112"/>
      <c r="AD804" s="115"/>
      <c r="AE804" s="151"/>
      <c r="AF804" s="184"/>
      <c r="AG804" s="188"/>
      <c r="AH804" s="188"/>
      <c r="AI804" s="188"/>
      <c r="AJ804" s="188"/>
      <c r="AK804" s="61"/>
      <c r="AL804" s="61"/>
      <c r="AM804" s="61"/>
      <c r="AN804" s="61"/>
      <c r="AO804" s="61"/>
    </row>
    <row r="805">
      <c r="A805" s="112"/>
      <c r="B805" s="149"/>
      <c r="C805" s="93"/>
      <c r="D805" s="61"/>
      <c r="E805" s="112"/>
      <c r="F805" s="149"/>
      <c r="G805" s="93"/>
      <c r="H805" s="61"/>
      <c r="I805" s="112"/>
      <c r="J805" s="149"/>
      <c r="K805" s="93"/>
      <c r="L805" s="61"/>
      <c r="M805" s="112"/>
      <c r="N805" s="115"/>
      <c r="O805" s="93"/>
      <c r="P805" s="61"/>
      <c r="Q805" s="180"/>
      <c r="R805" s="115"/>
      <c r="S805" s="93"/>
      <c r="T805" s="61"/>
      <c r="U805" s="180"/>
      <c r="V805" s="115"/>
      <c r="W805" s="93"/>
      <c r="X805" s="61"/>
      <c r="Y805" s="112"/>
      <c r="Z805" s="181"/>
      <c r="AA805" s="182"/>
      <c r="AB805" s="183"/>
      <c r="AC805" s="112"/>
      <c r="AD805" s="115"/>
      <c r="AE805" s="151"/>
      <c r="AF805" s="184"/>
      <c r="AG805" s="188"/>
      <c r="AH805" s="188"/>
      <c r="AI805" s="188"/>
      <c r="AJ805" s="188"/>
      <c r="AK805" s="61"/>
      <c r="AL805" s="61"/>
      <c r="AM805" s="61"/>
      <c r="AN805" s="61"/>
      <c r="AO805" s="61"/>
    </row>
    <row r="806">
      <c r="A806" s="112"/>
      <c r="B806" s="149"/>
      <c r="C806" s="93"/>
      <c r="D806" s="61"/>
      <c r="E806" s="112"/>
      <c r="F806" s="149"/>
      <c r="G806" s="93"/>
      <c r="H806" s="61"/>
      <c r="I806" s="112"/>
      <c r="J806" s="149"/>
      <c r="K806" s="93"/>
      <c r="L806" s="61"/>
      <c r="M806" s="112"/>
      <c r="N806" s="115"/>
      <c r="O806" s="93"/>
      <c r="P806" s="61"/>
      <c r="Q806" s="180"/>
      <c r="R806" s="115"/>
      <c r="S806" s="93"/>
      <c r="T806" s="61"/>
      <c r="U806" s="180"/>
      <c r="V806" s="115"/>
      <c r="W806" s="93"/>
      <c r="X806" s="61"/>
      <c r="Y806" s="112"/>
      <c r="Z806" s="181"/>
      <c r="AA806" s="182"/>
      <c r="AB806" s="183"/>
      <c r="AC806" s="112"/>
      <c r="AD806" s="115"/>
      <c r="AE806" s="151"/>
      <c r="AF806" s="184"/>
      <c r="AG806" s="188"/>
      <c r="AH806" s="188"/>
      <c r="AI806" s="188"/>
      <c r="AJ806" s="188"/>
      <c r="AK806" s="61"/>
      <c r="AL806" s="61"/>
      <c r="AM806" s="61"/>
      <c r="AN806" s="61"/>
      <c r="AO806" s="61"/>
    </row>
    <row r="807">
      <c r="A807" s="112"/>
      <c r="B807" s="149"/>
      <c r="C807" s="93"/>
      <c r="D807" s="61"/>
      <c r="E807" s="112"/>
      <c r="F807" s="149"/>
      <c r="G807" s="93"/>
      <c r="H807" s="61"/>
      <c r="I807" s="112"/>
      <c r="J807" s="149"/>
      <c r="K807" s="93"/>
      <c r="L807" s="61"/>
      <c r="M807" s="112"/>
      <c r="N807" s="115"/>
      <c r="O807" s="93"/>
      <c r="P807" s="61"/>
      <c r="Q807" s="180"/>
      <c r="R807" s="115"/>
      <c r="S807" s="93"/>
      <c r="T807" s="61"/>
      <c r="U807" s="180"/>
      <c r="V807" s="115"/>
      <c r="W807" s="93"/>
      <c r="X807" s="61"/>
      <c r="Y807" s="112"/>
      <c r="Z807" s="181"/>
      <c r="AA807" s="182"/>
      <c r="AB807" s="183"/>
      <c r="AC807" s="112"/>
      <c r="AD807" s="115"/>
      <c r="AE807" s="151"/>
      <c r="AF807" s="184"/>
      <c r="AG807" s="188"/>
      <c r="AH807" s="188"/>
      <c r="AI807" s="188"/>
      <c r="AJ807" s="188"/>
      <c r="AK807" s="61"/>
      <c r="AL807" s="61"/>
      <c r="AM807" s="61"/>
      <c r="AN807" s="61"/>
      <c r="AO807" s="61"/>
    </row>
    <row r="808">
      <c r="A808" s="112"/>
      <c r="B808" s="149"/>
      <c r="C808" s="93"/>
      <c r="D808" s="61"/>
      <c r="E808" s="112"/>
      <c r="F808" s="149"/>
      <c r="G808" s="93"/>
      <c r="H808" s="61"/>
      <c r="I808" s="112"/>
      <c r="J808" s="149"/>
      <c r="K808" s="93"/>
      <c r="L808" s="61"/>
      <c r="M808" s="112"/>
      <c r="N808" s="115"/>
      <c r="O808" s="93"/>
      <c r="P808" s="61"/>
      <c r="Q808" s="180"/>
      <c r="R808" s="115"/>
      <c r="S808" s="93"/>
      <c r="T808" s="61"/>
      <c r="U808" s="180"/>
      <c r="V808" s="115"/>
      <c r="W808" s="93"/>
      <c r="X808" s="61"/>
      <c r="Y808" s="112"/>
      <c r="Z808" s="181"/>
      <c r="AA808" s="182"/>
      <c r="AB808" s="183"/>
      <c r="AC808" s="112"/>
      <c r="AD808" s="115"/>
      <c r="AE808" s="151"/>
      <c r="AF808" s="184"/>
      <c r="AG808" s="188"/>
      <c r="AH808" s="188"/>
      <c r="AI808" s="188"/>
      <c r="AJ808" s="188"/>
      <c r="AK808" s="61"/>
      <c r="AL808" s="61"/>
      <c r="AM808" s="61"/>
      <c r="AN808" s="61"/>
      <c r="AO808" s="61"/>
    </row>
    <row r="809">
      <c r="A809" s="112"/>
      <c r="B809" s="149"/>
      <c r="C809" s="93"/>
      <c r="D809" s="61"/>
      <c r="E809" s="112"/>
      <c r="F809" s="149"/>
      <c r="G809" s="93"/>
      <c r="H809" s="61"/>
      <c r="I809" s="112"/>
      <c r="J809" s="149"/>
      <c r="K809" s="93"/>
      <c r="L809" s="61"/>
      <c r="M809" s="112"/>
      <c r="N809" s="115"/>
      <c r="O809" s="93"/>
      <c r="P809" s="61"/>
      <c r="Q809" s="180"/>
      <c r="R809" s="115"/>
      <c r="S809" s="93"/>
      <c r="T809" s="61"/>
      <c r="U809" s="180"/>
      <c r="V809" s="115"/>
      <c r="W809" s="93"/>
      <c r="X809" s="61"/>
      <c r="Y809" s="112"/>
      <c r="Z809" s="181"/>
      <c r="AA809" s="182"/>
      <c r="AB809" s="183"/>
      <c r="AC809" s="112"/>
      <c r="AD809" s="115"/>
      <c r="AE809" s="151"/>
      <c r="AF809" s="184"/>
      <c r="AG809" s="188"/>
      <c r="AH809" s="188"/>
      <c r="AI809" s="188"/>
      <c r="AJ809" s="188"/>
      <c r="AK809" s="61"/>
      <c r="AL809" s="61"/>
      <c r="AM809" s="61"/>
      <c r="AN809" s="61"/>
      <c r="AO809" s="61"/>
    </row>
    <row r="810">
      <c r="A810" s="112"/>
      <c r="B810" s="149"/>
      <c r="C810" s="93"/>
      <c r="D810" s="61"/>
      <c r="E810" s="112"/>
      <c r="F810" s="149"/>
      <c r="G810" s="93"/>
      <c r="H810" s="61"/>
      <c r="I810" s="112"/>
      <c r="J810" s="149"/>
      <c r="K810" s="93"/>
      <c r="L810" s="61"/>
      <c r="M810" s="112"/>
      <c r="N810" s="115"/>
      <c r="O810" s="93"/>
      <c r="P810" s="61"/>
      <c r="Q810" s="180"/>
      <c r="R810" s="115"/>
      <c r="S810" s="93"/>
      <c r="T810" s="61"/>
      <c r="U810" s="180"/>
      <c r="V810" s="115"/>
      <c r="W810" s="93"/>
      <c r="X810" s="61"/>
      <c r="Y810" s="112"/>
      <c r="Z810" s="181"/>
      <c r="AA810" s="182"/>
      <c r="AB810" s="183"/>
      <c r="AC810" s="112"/>
      <c r="AD810" s="115"/>
      <c r="AE810" s="151"/>
      <c r="AF810" s="184"/>
      <c r="AG810" s="188"/>
      <c r="AH810" s="188"/>
      <c r="AI810" s="188"/>
      <c r="AJ810" s="188"/>
      <c r="AK810" s="61"/>
      <c r="AL810" s="61"/>
      <c r="AM810" s="61"/>
      <c r="AN810" s="61"/>
      <c r="AO810" s="61"/>
    </row>
    <row r="811">
      <c r="A811" s="112"/>
      <c r="B811" s="149"/>
      <c r="C811" s="93"/>
      <c r="D811" s="61"/>
      <c r="E811" s="112"/>
      <c r="F811" s="149"/>
      <c r="G811" s="93"/>
      <c r="H811" s="61"/>
      <c r="I811" s="112"/>
      <c r="J811" s="149"/>
      <c r="K811" s="93"/>
      <c r="L811" s="61"/>
      <c r="M811" s="112"/>
      <c r="N811" s="115"/>
      <c r="O811" s="93"/>
      <c r="P811" s="61"/>
      <c r="Q811" s="180"/>
      <c r="R811" s="115"/>
      <c r="S811" s="93"/>
      <c r="T811" s="61"/>
      <c r="U811" s="180"/>
      <c r="V811" s="115"/>
      <c r="W811" s="93"/>
      <c r="X811" s="61"/>
      <c r="Y811" s="112"/>
      <c r="Z811" s="181"/>
      <c r="AA811" s="182"/>
      <c r="AB811" s="183"/>
      <c r="AC811" s="112"/>
      <c r="AD811" s="115"/>
      <c r="AE811" s="151"/>
      <c r="AF811" s="184"/>
      <c r="AG811" s="188"/>
      <c r="AH811" s="188"/>
      <c r="AI811" s="188"/>
      <c r="AJ811" s="188"/>
      <c r="AK811" s="61"/>
      <c r="AL811" s="61"/>
      <c r="AM811" s="61"/>
      <c r="AN811" s="61"/>
      <c r="AO811" s="61"/>
    </row>
    <row r="812">
      <c r="A812" s="112"/>
      <c r="B812" s="149"/>
      <c r="C812" s="93"/>
      <c r="D812" s="61"/>
      <c r="E812" s="112"/>
      <c r="F812" s="149"/>
      <c r="G812" s="93"/>
      <c r="H812" s="61"/>
      <c r="I812" s="112"/>
      <c r="J812" s="149"/>
      <c r="K812" s="93"/>
      <c r="L812" s="61"/>
      <c r="M812" s="112"/>
      <c r="N812" s="115"/>
      <c r="O812" s="93"/>
      <c r="P812" s="61"/>
      <c r="Q812" s="180"/>
      <c r="R812" s="115"/>
      <c r="S812" s="93"/>
      <c r="T812" s="61"/>
      <c r="U812" s="180"/>
      <c r="V812" s="115"/>
      <c r="W812" s="93"/>
      <c r="X812" s="61"/>
      <c r="Y812" s="112"/>
      <c r="Z812" s="181"/>
      <c r="AA812" s="182"/>
      <c r="AB812" s="183"/>
      <c r="AC812" s="112"/>
      <c r="AD812" s="115"/>
      <c r="AE812" s="151"/>
      <c r="AF812" s="184"/>
      <c r="AG812" s="188"/>
      <c r="AH812" s="188"/>
      <c r="AI812" s="188"/>
      <c r="AJ812" s="188"/>
      <c r="AK812" s="61"/>
      <c r="AL812" s="61"/>
      <c r="AM812" s="61"/>
      <c r="AN812" s="61"/>
      <c r="AO812" s="61"/>
    </row>
    <row r="813">
      <c r="A813" s="112"/>
      <c r="B813" s="149"/>
      <c r="C813" s="93"/>
      <c r="D813" s="61"/>
      <c r="E813" s="112"/>
      <c r="F813" s="149"/>
      <c r="G813" s="93"/>
      <c r="H813" s="61"/>
      <c r="I813" s="112"/>
      <c r="J813" s="149"/>
      <c r="K813" s="93"/>
      <c r="L813" s="61"/>
      <c r="M813" s="112"/>
      <c r="N813" s="115"/>
      <c r="O813" s="93"/>
      <c r="P813" s="61"/>
      <c r="Q813" s="180"/>
      <c r="R813" s="115"/>
      <c r="S813" s="93"/>
      <c r="T813" s="61"/>
      <c r="U813" s="180"/>
      <c r="V813" s="115"/>
      <c r="W813" s="93"/>
      <c r="X813" s="61"/>
      <c r="Y813" s="112"/>
      <c r="Z813" s="181"/>
      <c r="AA813" s="182"/>
      <c r="AB813" s="183"/>
      <c r="AC813" s="112"/>
      <c r="AD813" s="115"/>
      <c r="AE813" s="151"/>
      <c r="AF813" s="184"/>
      <c r="AG813" s="188"/>
      <c r="AH813" s="188"/>
      <c r="AI813" s="188"/>
      <c r="AJ813" s="188"/>
      <c r="AK813" s="61"/>
      <c r="AL813" s="61"/>
      <c r="AM813" s="61"/>
      <c r="AN813" s="61"/>
      <c r="AO813" s="61"/>
    </row>
    <row r="814">
      <c r="A814" s="112"/>
      <c r="B814" s="149"/>
      <c r="C814" s="93"/>
      <c r="D814" s="61"/>
      <c r="E814" s="112"/>
      <c r="F814" s="149"/>
      <c r="G814" s="93"/>
      <c r="H814" s="61"/>
      <c r="I814" s="112"/>
      <c r="J814" s="149"/>
      <c r="K814" s="93"/>
      <c r="L814" s="61"/>
      <c r="M814" s="112"/>
      <c r="N814" s="115"/>
      <c r="O814" s="93"/>
      <c r="P814" s="61"/>
      <c r="Q814" s="180"/>
      <c r="R814" s="115"/>
      <c r="S814" s="93"/>
      <c r="T814" s="61"/>
      <c r="U814" s="180"/>
      <c r="V814" s="115"/>
      <c r="W814" s="93"/>
      <c r="X814" s="61"/>
      <c r="Y814" s="112"/>
      <c r="Z814" s="181"/>
      <c r="AA814" s="182"/>
      <c r="AB814" s="183"/>
      <c r="AC814" s="112"/>
      <c r="AD814" s="115"/>
      <c r="AE814" s="151"/>
      <c r="AF814" s="184"/>
      <c r="AG814" s="188"/>
      <c r="AH814" s="188"/>
      <c r="AI814" s="188"/>
      <c r="AJ814" s="188"/>
      <c r="AK814" s="61"/>
      <c r="AL814" s="61"/>
      <c r="AM814" s="61"/>
      <c r="AN814" s="61"/>
      <c r="AO814" s="61"/>
    </row>
    <row r="815">
      <c r="A815" s="112"/>
      <c r="B815" s="149"/>
      <c r="C815" s="93"/>
      <c r="D815" s="61"/>
      <c r="E815" s="112"/>
      <c r="F815" s="149"/>
      <c r="G815" s="93"/>
      <c r="H815" s="61"/>
      <c r="I815" s="112"/>
      <c r="J815" s="149"/>
      <c r="K815" s="93"/>
      <c r="L815" s="61"/>
      <c r="M815" s="112"/>
      <c r="N815" s="115"/>
      <c r="O815" s="93"/>
      <c r="P815" s="61"/>
      <c r="Q815" s="180"/>
      <c r="R815" s="115"/>
      <c r="S815" s="93"/>
      <c r="T815" s="61"/>
      <c r="U815" s="180"/>
      <c r="V815" s="115"/>
      <c r="W815" s="93"/>
      <c r="X815" s="61"/>
      <c r="Y815" s="112"/>
      <c r="Z815" s="181"/>
      <c r="AA815" s="182"/>
      <c r="AB815" s="183"/>
      <c r="AC815" s="112"/>
      <c r="AD815" s="115"/>
      <c r="AE815" s="151"/>
      <c r="AF815" s="184"/>
      <c r="AG815" s="188"/>
      <c r="AH815" s="188"/>
      <c r="AI815" s="188"/>
      <c r="AJ815" s="188"/>
      <c r="AK815" s="61"/>
      <c r="AL815" s="61"/>
      <c r="AM815" s="61"/>
      <c r="AN815" s="61"/>
      <c r="AO815" s="61"/>
    </row>
    <row r="816">
      <c r="A816" s="112"/>
      <c r="B816" s="149"/>
      <c r="C816" s="93"/>
      <c r="D816" s="61"/>
      <c r="E816" s="112"/>
      <c r="F816" s="149"/>
      <c r="G816" s="93"/>
      <c r="H816" s="61"/>
      <c r="I816" s="112"/>
      <c r="J816" s="149"/>
      <c r="K816" s="93"/>
      <c r="L816" s="61"/>
      <c r="M816" s="112"/>
      <c r="N816" s="115"/>
      <c r="O816" s="93"/>
      <c r="P816" s="61"/>
      <c r="Q816" s="180"/>
      <c r="R816" s="115"/>
      <c r="S816" s="93"/>
      <c r="T816" s="61"/>
      <c r="U816" s="180"/>
      <c r="V816" s="115"/>
      <c r="W816" s="93"/>
      <c r="X816" s="61"/>
      <c r="Y816" s="112"/>
      <c r="Z816" s="181"/>
      <c r="AA816" s="182"/>
      <c r="AB816" s="183"/>
      <c r="AC816" s="112"/>
      <c r="AD816" s="115"/>
      <c r="AE816" s="151"/>
      <c r="AF816" s="184"/>
      <c r="AG816" s="188"/>
      <c r="AH816" s="188"/>
      <c r="AI816" s="188"/>
      <c r="AJ816" s="188"/>
      <c r="AK816" s="61"/>
      <c r="AL816" s="61"/>
      <c r="AM816" s="61"/>
      <c r="AN816" s="61"/>
      <c r="AO816" s="61"/>
    </row>
    <row r="817">
      <c r="A817" s="112"/>
      <c r="B817" s="149"/>
      <c r="C817" s="93"/>
      <c r="D817" s="61"/>
      <c r="E817" s="112"/>
      <c r="F817" s="149"/>
      <c r="G817" s="93"/>
      <c r="H817" s="61"/>
      <c r="I817" s="112"/>
      <c r="J817" s="149"/>
      <c r="K817" s="93"/>
      <c r="L817" s="61"/>
      <c r="M817" s="112"/>
      <c r="N817" s="115"/>
      <c r="O817" s="93"/>
      <c r="P817" s="61"/>
      <c r="Q817" s="180"/>
      <c r="R817" s="115"/>
      <c r="S817" s="93"/>
      <c r="T817" s="61"/>
      <c r="U817" s="180"/>
      <c r="V817" s="115"/>
      <c r="W817" s="93"/>
      <c r="X817" s="61"/>
      <c r="Y817" s="112"/>
      <c r="Z817" s="181"/>
      <c r="AA817" s="182"/>
      <c r="AB817" s="183"/>
      <c r="AC817" s="112"/>
      <c r="AD817" s="115"/>
      <c r="AE817" s="151"/>
      <c r="AF817" s="184"/>
      <c r="AG817" s="188"/>
      <c r="AH817" s="188"/>
      <c r="AI817" s="188"/>
      <c r="AJ817" s="188"/>
      <c r="AK817" s="61"/>
      <c r="AL817" s="61"/>
      <c r="AM817" s="61"/>
      <c r="AN817" s="61"/>
      <c r="AO817" s="61"/>
    </row>
    <row r="818">
      <c r="A818" s="112"/>
      <c r="B818" s="149"/>
      <c r="C818" s="93"/>
      <c r="D818" s="61"/>
      <c r="E818" s="112"/>
      <c r="F818" s="149"/>
      <c r="G818" s="93"/>
      <c r="H818" s="61"/>
      <c r="I818" s="112"/>
      <c r="J818" s="149"/>
      <c r="K818" s="93"/>
      <c r="L818" s="61"/>
      <c r="M818" s="112"/>
      <c r="N818" s="115"/>
      <c r="O818" s="93"/>
      <c r="P818" s="61"/>
      <c r="Q818" s="180"/>
      <c r="R818" s="115"/>
      <c r="S818" s="93"/>
      <c r="T818" s="61"/>
      <c r="U818" s="180"/>
      <c r="V818" s="115"/>
      <c r="W818" s="93"/>
      <c r="X818" s="61"/>
      <c r="Y818" s="112"/>
      <c r="Z818" s="181"/>
      <c r="AA818" s="182"/>
      <c r="AB818" s="183"/>
      <c r="AC818" s="112"/>
      <c r="AD818" s="115"/>
      <c r="AE818" s="151"/>
      <c r="AF818" s="184"/>
      <c r="AG818" s="188"/>
      <c r="AH818" s="188"/>
      <c r="AI818" s="188"/>
      <c r="AJ818" s="188"/>
      <c r="AK818" s="61"/>
      <c r="AL818" s="61"/>
      <c r="AM818" s="61"/>
      <c r="AN818" s="61"/>
      <c r="AO818" s="61"/>
    </row>
    <row r="819">
      <c r="A819" s="112"/>
      <c r="B819" s="149"/>
      <c r="C819" s="93"/>
      <c r="D819" s="61"/>
      <c r="E819" s="112"/>
      <c r="F819" s="149"/>
      <c r="G819" s="93"/>
      <c r="H819" s="61"/>
      <c r="I819" s="112"/>
      <c r="J819" s="149"/>
      <c r="K819" s="93"/>
      <c r="L819" s="61"/>
      <c r="M819" s="112"/>
      <c r="N819" s="115"/>
      <c r="O819" s="93"/>
      <c r="P819" s="61"/>
      <c r="Q819" s="180"/>
      <c r="R819" s="115"/>
      <c r="S819" s="93"/>
      <c r="T819" s="61"/>
      <c r="U819" s="180"/>
      <c r="V819" s="115"/>
      <c r="W819" s="93"/>
      <c r="X819" s="61"/>
      <c r="Y819" s="112"/>
      <c r="Z819" s="181"/>
      <c r="AA819" s="182"/>
      <c r="AB819" s="183"/>
      <c r="AC819" s="112"/>
      <c r="AD819" s="115"/>
      <c r="AE819" s="151"/>
      <c r="AF819" s="184"/>
      <c r="AG819" s="188"/>
      <c r="AH819" s="188"/>
      <c r="AI819" s="188"/>
      <c r="AJ819" s="188"/>
      <c r="AK819" s="61"/>
      <c r="AL819" s="61"/>
      <c r="AM819" s="61"/>
      <c r="AN819" s="61"/>
      <c r="AO819" s="61"/>
    </row>
    <row r="820">
      <c r="A820" s="112"/>
      <c r="B820" s="149"/>
      <c r="C820" s="93"/>
      <c r="D820" s="61"/>
      <c r="E820" s="112"/>
      <c r="F820" s="149"/>
      <c r="G820" s="93"/>
      <c r="H820" s="61"/>
      <c r="I820" s="112"/>
      <c r="J820" s="149"/>
      <c r="K820" s="93"/>
      <c r="L820" s="61"/>
      <c r="M820" s="112"/>
      <c r="N820" s="115"/>
      <c r="O820" s="93"/>
      <c r="P820" s="61"/>
      <c r="Q820" s="180"/>
      <c r="R820" s="115"/>
      <c r="S820" s="93"/>
      <c r="T820" s="61"/>
      <c r="U820" s="180"/>
      <c r="V820" s="115"/>
      <c r="W820" s="93"/>
      <c r="X820" s="61"/>
      <c r="Y820" s="112"/>
      <c r="Z820" s="181"/>
      <c r="AA820" s="182"/>
      <c r="AB820" s="183"/>
      <c r="AC820" s="112"/>
      <c r="AD820" s="115"/>
      <c r="AE820" s="151"/>
      <c r="AF820" s="184"/>
      <c r="AG820" s="188"/>
      <c r="AH820" s="188"/>
      <c r="AI820" s="188"/>
      <c r="AJ820" s="188"/>
      <c r="AK820" s="61"/>
      <c r="AL820" s="61"/>
      <c r="AM820" s="61"/>
      <c r="AN820" s="61"/>
      <c r="AO820" s="61"/>
    </row>
    <row r="821">
      <c r="A821" s="112"/>
      <c r="B821" s="149"/>
      <c r="C821" s="93"/>
      <c r="D821" s="61"/>
      <c r="E821" s="112"/>
      <c r="F821" s="149"/>
      <c r="G821" s="93"/>
      <c r="H821" s="61"/>
      <c r="I821" s="112"/>
      <c r="J821" s="149"/>
      <c r="K821" s="93"/>
      <c r="L821" s="61"/>
      <c r="M821" s="112"/>
      <c r="N821" s="115"/>
      <c r="O821" s="93"/>
      <c r="P821" s="61"/>
      <c r="Q821" s="180"/>
      <c r="R821" s="115"/>
      <c r="S821" s="93"/>
      <c r="T821" s="61"/>
      <c r="U821" s="180"/>
      <c r="V821" s="115"/>
      <c r="W821" s="93"/>
      <c r="X821" s="61"/>
      <c r="Y821" s="112"/>
      <c r="Z821" s="181"/>
      <c r="AA821" s="182"/>
      <c r="AB821" s="183"/>
      <c r="AC821" s="112"/>
      <c r="AD821" s="115"/>
      <c r="AE821" s="151"/>
      <c r="AF821" s="184"/>
      <c r="AG821" s="188"/>
      <c r="AH821" s="188"/>
      <c r="AI821" s="188"/>
      <c r="AJ821" s="188"/>
      <c r="AK821" s="61"/>
      <c r="AL821" s="61"/>
      <c r="AM821" s="61"/>
      <c r="AN821" s="61"/>
      <c r="AO821" s="61"/>
    </row>
    <row r="822">
      <c r="A822" s="112"/>
      <c r="B822" s="149"/>
      <c r="C822" s="93"/>
      <c r="D822" s="61"/>
      <c r="E822" s="112"/>
      <c r="F822" s="149"/>
      <c r="G822" s="93"/>
      <c r="H822" s="61"/>
      <c r="I822" s="112"/>
      <c r="J822" s="149"/>
      <c r="K822" s="93"/>
      <c r="L822" s="61"/>
      <c r="M822" s="112"/>
      <c r="N822" s="115"/>
      <c r="O822" s="93"/>
      <c r="P822" s="61"/>
      <c r="Q822" s="180"/>
      <c r="R822" s="115"/>
      <c r="S822" s="93"/>
      <c r="T822" s="61"/>
      <c r="U822" s="180"/>
      <c r="V822" s="115"/>
      <c r="W822" s="93"/>
      <c r="X822" s="61"/>
      <c r="Y822" s="112"/>
      <c r="Z822" s="181"/>
      <c r="AA822" s="182"/>
      <c r="AB822" s="183"/>
      <c r="AC822" s="112"/>
      <c r="AD822" s="115"/>
      <c r="AE822" s="151"/>
      <c r="AF822" s="184"/>
      <c r="AG822" s="188"/>
      <c r="AH822" s="188"/>
      <c r="AI822" s="188"/>
      <c r="AJ822" s="188"/>
      <c r="AK822" s="61"/>
      <c r="AL822" s="61"/>
      <c r="AM822" s="61"/>
      <c r="AN822" s="61"/>
      <c r="AO822" s="61"/>
    </row>
    <row r="823">
      <c r="A823" s="112"/>
      <c r="B823" s="149"/>
      <c r="C823" s="93"/>
      <c r="D823" s="61"/>
      <c r="E823" s="112"/>
      <c r="F823" s="149"/>
      <c r="G823" s="93"/>
      <c r="H823" s="61"/>
      <c r="I823" s="112"/>
      <c r="J823" s="149"/>
      <c r="K823" s="93"/>
      <c r="L823" s="61"/>
      <c r="M823" s="112"/>
      <c r="N823" s="115"/>
      <c r="O823" s="93"/>
      <c r="P823" s="61"/>
      <c r="Q823" s="180"/>
      <c r="R823" s="115"/>
      <c r="S823" s="93"/>
      <c r="T823" s="61"/>
      <c r="U823" s="180"/>
      <c r="V823" s="115"/>
      <c r="W823" s="93"/>
      <c r="X823" s="61"/>
      <c r="Y823" s="112"/>
      <c r="Z823" s="181"/>
      <c r="AA823" s="182"/>
      <c r="AB823" s="183"/>
      <c r="AC823" s="112"/>
      <c r="AD823" s="115"/>
      <c r="AE823" s="151"/>
      <c r="AF823" s="184"/>
      <c r="AG823" s="188"/>
      <c r="AH823" s="188"/>
      <c r="AI823" s="188"/>
      <c r="AJ823" s="188"/>
      <c r="AK823" s="61"/>
      <c r="AL823" s="61"/>
      <c r="AM823" s="61"/>
      <c r="AN823" s="61"/>
      <c r="AO823" s="61"/>
    </row>
    <row r="824">
      <c r="A824" s="112"/>
      <c r="B824" s="149"/>
      <c r="C824" s="93"/>
      <c r="D824" s="61"/>
      <c r="E824" s="112"/>
      <c r="F824" s="149"/>
      <c r="G824" s="93"/>
      <c r="H824" s="61"/>
      <c r="I824" s="112"/>
      <c r="J824" s="149"/>
      <c r="K824" s="93"/>
      <c r="L824" s="61"/>
      <c r="M824" s="112"/>
      <c r="N824" s="115"/>
      <c r="O824" s="93"/>
      <c r="P824" s="61"/>
      <c r="Q824" s="180"/>
      <c r="R824" s="115"/>
      <c r="S824" s="93"/>
      <c r="T824" s="61"/>
      <c r="U824" s="180"/>
      <c r="V824" s="115"/>
      <c r="W824" s="93"/>
      <c r="X824" s="61"/>
      <c r="Y824" s="112"/>
      <c r="Z824" s="181"/>
      <c r="AA824" s="182"/>
      <c r="AB824" s="183"/>
      <c r="AC824" s="112"/>
      <c r="AD824" s="115"/>
      <c r="AE824" s="151"/>
      <c r="AF824" s="184"/>
      <c r="AG824" s="188"/>
      <c r="AH824" s="188"/>
      <c r="AI824" s="188"/>
      <c r="AJ824" s="188"/>
      <c r="AK824" s="61"/>
      <c r="AL824" s="61"/>
      <c r="AM824" s="61"/>
      <c r="AN824" s="61"/>
      <c r="AO824" s="61"/>
    </row>
    <row r="825">
      <c r="A825" s="112"/>
      <c r="B825" s="149"/>
      <c r="C825" s="93"/>
      <c r="D825" s="61"/>
      <c r="E825" s="112"/>
      <c r="F825" s="149"/>
      <c r="G825" s="93"/>
      <c r="H825" s="61"/>
      <c r="I825" s="112"/>
      <c r="J825" s="149"/>
      <c r="K825" s="93"/>
      <c r="L825" s="61"/>
      <c r="M825" s="112"/>
      <c r="N825" s="115"/>
      <c r="O825" s="93"/>
      <c r="P825" s="61"/>
      <c r="Q825" s="180"/>
      <c r="R825" s="115"/>
      <c r="S825" s="93"/>
      <c r="T825" s="61"/>
      <c r="U825" s="180"/>
      <c r="V825" s="115"/>
      <c r="W825" s="93"/>
      <c r="X825" s="61"/>
      <c r="Y825" s="112"/>
      <c r="Z825" s="181"/>
      <c r="AA825" s="182"/>
      <c r="AB825" s="183"/>
      <c r="AC825" s="112"/>
      <c r="AD825" s="115"/>
      <c r="AE825" s="151"/>
      <c r="AF825" s="184"/>
      <c r="AG825" s="188"/>
      <c r="AH825" s="188"/>
      <c r="AI825" s="188"/>
      <c r="AJ825" s="188"/>
      <c r="AK825" s="61"/>
      <c r="AL825" s="61"/>
      <c r="AM825" s="61"/>
      <c r="AN825" s="61"/>
      <c r="AO825" s="61"/>
    </row>
    <row r="826">
      <c r="A826" s="112"/>
      <c r="B826" s="149"/>
      <c r="C826" s="93"/>
      <c r="D826" s="61"/>
      <c r="E826" s="112"/>
      <c r="F826" s="149"/>
      <c r="G826" s="93"/>
      <c r="H826" s="61"/>
      <c r="I826" s="112"/>
      <c r="J826" s="149"/>
      <c r="K826" s="93"/>
      <c r="L826" s="61"/>
      <c r="M826" s="112"/>
      <c r="N826" s="115"/>
      <c r="O826" s="93"/>
      <c r="P826" s="61"/>
      <c r="Q826" s="180"/>
      <c r="R826" s="115"/>
      <c r="S826" s="93"/>
      <c r="T826" s="61"/>
      <c r="U826" s="180"/>
      <c r="V826" s="115"/>
      <c r="W826" s="93"/>
      <c r="X826" s="61"/>
      <c r="Y826" s="112"/>
      <c r="Z826" s="181"/>
      <c r="AA826" s="182"/>
      <c r="AB826" s="183"/>
      <c r="AC826" s="112"/>
      <c r="AD826" s="115"/>
      <c r="AE826" s="151"/>
      <c r="AF826" s="184"/>
      <c r="AG826" s="188"/>
      <c r="AH826" s="188"/>
      <c r="AI826" s="188"/>
      <c r="AJ826" s="188"/>
      <c r="AK826" s="61"/>
      <c r="AL826" s="61"/>
      <c r="AM826" s="61"/>
      <c r="AN826" s="61"/>
      <c r="AO826" s="61"/>
    </row>
    <row r="827">
      <c r="A827" s="112"/>
      <c r="B827" s="149"/>
      <c r="C827" s="93"/>
      <c r="D827" s="61"/>
      <c r="E827" s="112"/>
      <c r="F827" s="149"/>
      <c r="G827" s="93"/>
      <c r="H827" s="61"/>
      <c r="I827" s="112"/>
      <c r="J827" s="149"/>
      <c r="K827" s="93"/>
      <c r="L827" s="61"/>
      <c r="M827" s="112"/>
      <c r="N827" s="115"/>
      <c r="O827" s="93"/>
      <c r="P827" s="61"/>
      <c r="Q827" s="180"/>
      <c r="R827" s="115"/>
      <c r="S827" s="93"/>
      <c r="T827" s="61"/>
      <c r="U827" s="180"/>
      <c r="V827" s="115"/>
      <c r="W827" s="93"/>
      <c r="X827" s="61"/>
      <c r="Y827" s="112"/>
      <c r="Z827" s="181"/>
      <c r="AA827" s="182"/>
      <c r="AB827" s="183"/>
      <c r="AC827" s="112"/>
      <c r="AD827" s="115"/>
      <c r="AE827" s="151"/>
      <c r="AF827" s="184"/>
      <c r="AG827" s="188"/>
      <c r="AH827" s="188"/>
      <c r="AI827" s="188"/>
      <c r="AJ827" s="188"/>
      <c r="AK827" s="61"/>
      <c r="AL827" s="61"/>
      <c r="AM827" s="61"/>
      <c r="AN827" s="61"/>
      <c r="AO827" s="61"/>
    </row>
    <row r="828">
      <c r="A828" s="112"/>
      <c r="B828" s="149"/>
      <c r="C828" s="93"/>
      <c r="D828" s="61"/>
      <c r="E828" s="112"/>
      <c r="F828" s="149"/>
      <c r="G828" s="93"/>
      <c r="H828" s="61"/>
      <c r="I828" s="112"/>
      <c r="J828" s="149"/>
      <c r="K828" s="93"/>
      <c r="L828" s="61"/>
      <c r="M828" s="112"/>
      <c r="N828" s="115"/>
      <c r="O828" s="93"/>
      <c r="P828" s="61"/>
      <c r="Q828" s="180"/>
      <c r="R828" s="115"/>
      <c r="S828" s="93"/>
      <c r="T828" s="61"/>
      <c r="U828" s="180"/>
      <c r="V828" s="115"/>
      <c r="W828" s="93"/>
      <c r="X828" s="61"/>
      <c r="Y828" s="112"/>
      <c r="Z828" s="181"/>
      <c r="AA828" s="182"/>
      <c r="AB828" s="183"/>
      <c r="AC828" s="112"/>
      <c r="AD828" s="115"/>
      <c r="AE828" s="151"/>
      <c r="AF828" s="184"/>
      <c r="AG828" s="188"/>
      <c r="AH828" s="188"/>
      <c r="AI828" s="188"/>
      <c r="AJ828" s="188"/>
      <c r="AK828" s="61"/>
      <c r="AL828" s="61"/>
      <c r="AM828" s="61"/>
      <c r="AN828" s="61"/>
      <c r="AO828" s="61"/>
    </row>
    <row r="829">
      <c r="A829" s="112"/>
      <c r="B829" s="149"/>
      <c r="C829" s="93"/>
      <c r="D829" s="61"/>
      <c r="E829" s="112"/>
      <c r="F829" s="149"/>
      <c r="G829" s="93"/>
      <c r="H829" s="61"/>
      <c r="I829" s="112"/>
      <c r="J829" s="149"/>
      <c r="K829" s="93"/>
      <c r="L829" s="61"/>
      <c r="M829" s="112"/>
      <c r="N829" s="115"/>
      <c r="O829" s="93"/>
      <c r="P829" s="61"/>
      <c r="Q829" s="180"/>
      <c r="R829" s="115"/>
      <c r="S829" s="93"/>
      <c r="T829" s="61"/>
      <c r="U829" s="180"/>
      <c r="V829" s="115"/>
      <c r="W829" s="93"/>
      <c r="X829" s="61"/>
      <c r="Y829" s="112"/>
      <c r="Z829" s="181"/>
      <c r="AA829" s="182"/>
      <c r="AB829" s="183"/>
      <c r="AC829" s="112"/>
      <c r="AD829" s="115"/>
      <c r="AE829" s="151"/>
      <c r="AF829" s="184"/>
      <c r="AG829" s="188"/>
      <c r="AH829" s="188"/>
      <c r="AI829" s="188"/>
      <c r="AJ829" s="188"/>
      <c r="AK829" s="61"/>
      <c r="AL829" s="61"/>
      <c r="AM829" s="61"/>
      <c r="AN829" s="61"/>
      <c r="AO829" s="61"/>
    </row>
    <row r="830">
      <c r="A830" s="112"/>
      <c r="B830" s="149"/>
      <c r="C830" s="93"/>
      <c r="D830" s="61"/>
      <c r="E830" s="112"/>
      <c r="F830" s="149"/>
      <c r="G830" s="93"/>
      <c r="H830" s="61"/>
      <c r="I830" s="112"/>
      <c r="J830" s="149"/>
      <c r="K830" s="93"/>
      <c r="L830" s="61"/>
      <c r="M830" s="112"/>
      <c r="N830" s="115"/>
      <c r="O830" s="93"/>
      <c r="P830" s="61"/>
      <c r="Q830" s="180"/>
      <c r="R830" s="115"/>
      <c r="S830" s="93"/>
      <c r="T830" s="61"/>
      <c r="U830" s="180"/>
      <c r="V830" s="115"/>
      <c r="W830" s="93"/>
      <c r="X830" s="61"/>
      <c r="Y830" s="112"/>
      <c r="Z830" s="181"/>
      <c r="AA830" s="182"/>
      <c r="AB830" s="183"/>
      <c r="AC830" s="112"/>
      <c r="AD830" s="115"/>
      <c r="AE830" s="151"/>
      <c r="AF830" s="184"/>
      <c r="AG830" s="188"/>
      <c r="AH830" s="188"/>
      <c r="AI830" s="188"/>
      <c r="AJ830" s="188"/>
      <c r="AK830" s="61"/>
      <c r="AL830" s="61"/>
      <c r="AM830" s="61"/>
      <c r="AN830" s="61"/>
      <c r="AO830" s="61"/>
    </row>
    <row r="831">
      <c r="A831" s="112"/>
      <c r="B831" s="149"/>
      <c r="C831" s="93"/>
      <c r="D831" s="61"/>
      <c r="E831" s="112"/>
      <c r="F831" s="149"/>
      <c r="G831" s="93"/>
      <c r="H831" s="61"/>
      <c r="I831" s="112"/>
      <c r="J831" s="149"/>
      <c r="K831" s="93"/>
      <c r="L831" s="61"/>
      <c r="M831" s="112"/>
      <c r="N831" s="115"/>
      <c r="O831" s="93"/>
      <c r="P831" s="61"/>
      <c r="Q831" s="180"/>
      <c r="R831" s="115"/>
      <c r="S831" s="93"/>
      <c r="T831" s="61"/>
      <c r="U831" s="180"/>
      <c r="V831" s="115"/>
      <c r="W831" s="93"/>
      <c r="X831" s="61"/>
      <c r="Y831" s="112"/>
      <c r="Z831" s="181"/>
      <c r="AA831" s="182"/>
      <c r="AB831" s="183"/>
      <c r="AC831" s="112"/>
      <c r="AD831" s="115"/>
      <c r="AE831" s="151"/>
      <c r="AF831" s="184"/>
      <c r="AG831" s="188"/>
      <c r="AH831" s="188"/>
      <c r="AI831" s="188"/>
      <c r="AJ831" s="188"/>
      <c r="AK831" s="61"/>
      <c r="AL831" s="61"/>
      <c r="AM831" s="61"/>
      <c r="AN831" s="61"/>
      <c r="AO831" s="61"/>
    </row>
    <row r="832">
      <c r="A832" s="112"/>
      <c r="B832" s="149"/>
      <c r="C832" s="93"/>
      <c r="D832" s="61"/>
      <c r="E832" s="112"/>
      <c r="F832" s="149"/>
      <c r="G832" s="93"/>
      <c r="H832" s="61"/>
      <c r="I832" s="112"/>
      <c r="J832" s="149"/>
      <c r="K832" s="93"/>
      <c r="L832" s="61"/>
      <c r="M832" s="112"/>
      <c r="N832" s="115"/>
      <c r="O832" s="93"/>
      <c r="P832" s="61"/>
      <c r="Q832" s="180"/>
      <c r="R832" s="115"/>
      <c r="S832" s="93"/>
      <c r="T832" s="61"/>
      <c r="U832" s="180"/>
      <c r="V832" s="115"/>
      <c r="W832" s="93"/>
      <c r="X832" s="61"/>
      <c r="Y832" s="112"/>
      <c r="Z832" s="181"/>
      <c r="AA832" s="182"/>
      <c r="AB832" s="183"/>
      <c r="AC832" s="112"/>
      <c r="AD832" s="115"/>
      <c r="AE832" s="151"/>
      <c r="AF832" s="184"/>
      <c r="AG832" s="188"/>
      <c r="AH832" s="188"/>
      <c r="AI832" s="188"/>
      <c r="AJ832" s="188"/>
      <c r="AK832" s="61"/>
      <c r="AL832" s="61"/>
      <c r="AM832" s="61"/>
      <c r="AN832" s="61"/>
      <c r="AO832" s="61"/>
    </row>
    <row r="833">
      <c r="A833" s="112"/>
      <c r="B833" s="149"/>
      <c r="C833" s="93"/>
      <c r="D833" s="61"/>
      <c r="E833" s="112"/>
      <c r="F833" s="149"/>
      <c r="G833" s="93"/>
      <c r="H833" s="61"/>
      <c r="I833" s="112"/>
      <c r="J833" s="149"/>
      <c r="K833" s="93"/>
      <c r="L833" s="61"/>
      <c r="M833" s="112"/>
      <c r="N833" s="115"/>
      <c r="O833" s="93"/>
      <c r="P833" s="61"/>
      <c r="Q833" s="180"/>
      <c r="R833" s="115"/>
      <c r="S833" s="93"/>
      <c r="T833" s="61"/>
      <c r="U833" s="180"/>
      <c r="V833" s="115"/>
      <c r="W833" s="93"/>
      <c r="X833" s="61"/>
      <c r="Y833" s="112"/>
      <c r="Z833" s="181"/>
      <c r="AA833" s="182"/>
      <c r="AB833" s="183"/>
      <c r="AC833" s="112"/>
      <c r="AD833" s="115"/>
      <c r="AE833" s="151"/>
      <c r="AF833" s="184"/>
      <c r="AG833" s="188"/>
      <c r="AH833" s="188"/>
      <c r="AI833" s="188"/>
      <c r="AJ833" s="188"/>
      <c r="AK833" s="61"/>
      <c r="AL833" s="61"/>
      <c r="AM833" s="61"/>
      <c r="AN833" s="61"/>
      <c r="AO833" s="61"/>
    </row>
    <row r="834">
      <c r="A834" s="112"/>
      <c r="B834" s="149"/>
      <c r="C834" s="93"/>
      <c r="D834" s="61"/>
      <c r="E834" s="112"/>
      <c r="F834" s="149"/>
      <c r="G834" s="93"/>
      <c r="H834" s="61"/>
      <c r="I834" s="112"/>
      <c r="J834" s="149"/>
      <c r="K834" s="93"/>
      <c r="L834" s="61"/>
      <c r="M834" s="112"/>
      <c r="N834" s="115"/>
      <c r="O834" s="93"/>
      <c r="P834" s="61"/>
      <c r="Q834" s="180"/>
      <c r="R834" s="115"/>
      <c r="S834" s="93"/>
      <c r="T834" s="61"/>
      <c r="U834" s="180"/>
      <c r="V834" s="115"/>
      <c r="W834" s="93"/>
      <c r="X834" s="61"/>
      <c r="Y834" s="112"/>
      <c r="Z834" s="181"/>
      <c r="AA834" s="182"/>
      <c r="AB834" s="183"/>
      <c r="AC834" s="112"/>
      <c r="AD834" s="115"/>
      <c r="AE834" s="151"/>
      <c r="AF834" s="184"/>
      <c r="AG834" s="188"/>
      <c r="AH834" s="188"/>
      <c r="AI834" s="188"/>
      <c r="AJ834" s="188"/>
      <c r="AK834" s="61"/>
      <c r="AL834" s="61"/>
      <c r="AM834" s="61"/>
      <c r="AN834" s="61"/>
      <c r="AO834" s="61"/>
    </row>
    <row r="835">
      <c r="A835" s="112"/>
      <c r="B835" s="149"/>
      <c r="C835" s="93"/>
      <c r="D835" s="61"/>
      <c r="E835" s="112"/>
      <c r="F835" s="149"/>
      <c r="G835" s="93"/>
      <c r="H835" s="61"/>
      <c r="I835" s="112"/>
      <c r="J835" s="149"/>
      <c r="K835" s="93"/>
      <c r="L835" s="61"/>
      <c r="M835" s="112"/>
      <c r="N835" s="115"/>
      <c r="O835" s="93"/>
      <c r="P835" s="61"/>
      <c r="Q835" s="180"/>
      <c r="R835" s="115"/>
      <c r="S835" s="93"/>
      <c r="T835" s="61"/>
      <c r="U835" s="180"/>
      <c r="V835" s="115"/>
      <c r="W835" s="93"/>
      <c r="X835" s="61"/>
      <c r="Y835" s="112"/>
      <c r="Z835" s="181"/>
      <c r="AA835" s="182"/>
      <c r="AB835" s="183"/>
      <c r="AC835" s="112"/>
      <c r="AD835" s="115"/>
      <c r="AE835" s="151"/>
      <c r="AF835" s="184"/>
      <c r="AG835" s="188"/>
      <c r="AH835" s="188"/>
      <c r="AI835" s="188"/>
      <c r="AJ835" s="188"/>
      <c r="AK835" s="61"/>
      <c r="AL835" s="61"/>
      <c r="AM835" s="61"/>
      <c r="AN835" s="61"/>
      <c r="AO835" s="61"/>
    </row>
    <row r="836">
      <c r="A836" s="112"/>
      <c r="B836" s="149"/>
      <c r="C836" s="93"/>
      <c r="D836" s="61"/>
      <c r="E836" s="112"/>
      <c r="F836" s="149"/>
      <c r="G836" s="93"/>
      <c r="H836" s="61"/>
      <c r="I836" s="112"/>
      <c r="J836" s="149"/>
      <c r="K836" s="93"/>
      <c r="L836" s="61"/>
      <c r="M836" s="112"/>
      <c r="N836" s="115"/>
      <c r="O836" s="93"/>
      <c r="P836" s="61"/>
      <c r="Q836" s="180"/>
      <c r="R836" s="115"/>
      <c r="S836" s="93"/>
      <c r="T836" s="61"/>
      <c r="U836" s="180"/>
      <c r="V836" s="115"/>
      <c r="W836" s="93"/>
      <c r="X836" s="61"/>
      <c r="Y836" s="112"/>
      <c r="Z836" s="181"/>
      <c r="AA836" s="182"/>
      <c r="AB836" s="183"/>
      <c r="AC836" s="112"/>
      <c r="AD836" s="115"/>
      <c r="AE836" s="151"/>
      <c r="AF836" s="184"/>
      <c r="AG836" s="188"/>
      <c r="AH836" s="188"/>
      <c r="AI836" s="188"/>
      <c r="AJ836" s="188"/>
      <c r="AK836" s="61"/>
      <c r="AL836" s="61"/>
      <c r="AM836" s="61"/>
      <c r="AN836" s="61"/>
      <c r="AO836" s="61"/>
    </row>
    <row r="837">
      <c r="A837" s="112"/>
      <c r="B837" s="149"/>
      <c r="C837" s="93"/>
      <c r="D837" s="61"/>
      <c r="E837" s="112"/>
      <c r="F837" s="149"/>
      <c r="G837" s="93"/>
      <c r="H837" s="61"/>
      <c r="I837" s="112"/>
      <c r="J837" s="149"/>
      <c r="K837" s="93"/>
      <c r="L837" s="61"/>
      <c r="M837" s="112"/>
      <c r="N837" s="115"/>
      <c r="O837" s="93"/>
      <c r="P837" s="61"/>
      <c r="Q837" s="180"/>
      <c r="R837" s="115"/>
      <c r="S837" s="93"/>
      <c r="T837" s="61"/>
      <c r="U837" s="180"/>
      <c r="V837" s="115"/>
      <c r="W837" s="93"/>
      <c r="X837" s="61"/>
      <c r="Y837" s="112"/>
      <c r="Z837" s="181"/>
      <c r="AA837" s="182"/>
      <c r="AB837" s="183"/>
      <c r="AC837" s="112"/>
      <c r="AD837" s="115"/>
      <c r="AE837" s="151"/>
      <c r="AF837" s="184"/>
      <c r="AG837" s="188"/>
      <c r="AH837" s="188"/>
      <c r="AI837" s="188"/>
      <c r="AJ837" s="188"/>
      <c r="AK837" s="61"/>
      <c r="AL837" s="61"/>
      <c r="AM837" s="61"/>
      <c r="AN837" s="61"/>
      <c r="AO837" s="61"/>
    </row>
    <row r="838">
      <c r="A838" s="112"/>
      <c r="B838" s="149"/>
      <c r="C838" s="93"/>
      <c r="D838" s="61"/>
      <c r="E838" s="112"/>
      <c r="F838" s="149"/>
      <c r="G838" s="93"/>
      <c r="H838" s="61"/>
      <c r="I838" s="112"/>
      <c r="J838" s="149"/>
      <c r="K838" s="93"/>
      <c r="L838" s="61"/>
      <c r="M838" s="112"/>
      <c r="N838" s="115"/>
      <c r="O838" s="93"/>
      <c r="P838" s="61"/>
      <c r="Q838" s="180"/>
      <c r="R838" s="115"/>
      <c r="S838" s="93"/>
      <c r="T838" s="61"/>
      <c r="U838" s="180"/>
      <c r="V838" s="115"/>
      <c r="W838" s="93"/>
      <c r="X838" s="61"/>
      <c r="Y838" s="112"/>
      <c r="Z838" s="181"/>
      <c r="AA838" s="182"/>
      <c r="AB838" s="183"/>
      <c r="AC838" s="112"/>
      <c r="AD838" s="115"/>
      <c r="AE838" s="151"/>
      <c r="AF838" s="184"/>
      <c r="AG838" s="188"/>
      <c r="AH838" s="188"/>
      <c r="AI838" s="188"/>
      <c r="AJ838" s="188"/>
      <c r="AK838" s="61"/>
      <c r="AL838" s="61"/>
      <c r="AM838" s="61"/>
      <c r="AN838" s="61"/>
      <c r="AO838" s="61"/>
    </row>
    <row r="839">
      <c r="A839" s="112"/>
      <c r="B839" s="149"/>
      <c r="C839" s="93"/>
      <c r="D839" s="61"/>
      <c r="E839" s="112"/>
      <c r="F839" s="149"/>
      <c r="G839" s="93"/>
      <c r="H839" s="61"/>
      <c r="I839" s="112"/>
      <c r="J839" s="149"/>
      <c r="K839" s="93"/>
      <c r="L839" s="61"/>
      <c r="M839" s="112"/>
      <c r="N839" s="115"/>
      <c r="O839" s="93"/>
      <c r="P839" s="61"/>
      <c r="Q839" s="180"/>
      <c r="R839" s="115"/>
      <c r="S839" s="93"/>
      <c r="T839" s="61"/>
      <c r="U839" s="180"/>
      <c r="V839" s="115"/>
      <c r="W839" s="93"/>
      <c r="X839" s="61"/>
      <c r="Y839" s="112"/>
      <c r="Z839" s="181"/>
      <c r="AA839" s="182"/>
      <c r="AB839" s="183"/>
      <c r="AC839" s="112"/>
      <c r="AD839" s="115"/>
      <c r="AE839" s="151"/>
      <c r="AF839" s="184"/>
      <c r="AG839" s="188"/>
      <c r="AH839" s="188"/>
      <c r="AI839" s="188"/>
      <c r="AJ839" s="188"/>
      <c r="AK839" s="61"/>
      <c r="AL839" s="61"/>
      <c r="AM839" s="61"/>
      <c r="AN839" s="61"/>
      <c r="AO839" s="61"/>
    </row>
    <row r="840">
      <c r="A840" s="112"/>
      <c r="B840" s="149"/>
      <c r="C840" s="93"/>
      <c r="D840" s="61"/>
      <c r="E840" s="112"/>
      <c r="F840" s="149"/>
      <c r="G840" s="93"/>
      <c r="H840" s="61"/>
      <c r="I840" s="112"/>
      <c r="J840" s="149"/>
      <c r="K840" s="93"/>
      <c r="L840" s="61"/>
      <c r="M840" s="112"/>
      <c r="N840" s="115"/>
      <c r="O840" s="93"/>
      <c r="P840" s="61"/>
      <c r="Q840" s="180"/>
      <c r="R840" s="115"/>
      <c r="S840" s="93"/>
      <c r="T840" s="61"/>
      <c r="U840" s="180"/>
      <c r="V840" s="115"/>
      <c r="W840" s="93"/>
      <c r="X840" s="61"/>
      <c r="Y840" s="112"/>
      <c r="Z840" s="181"/>
      <c r="AA840" s="182"/>
      <c r="AB840" s="183"/>
      <c r="AC840" s="112"/>
      <c r="AD840" s="115"/>
      <c r="AE840" s="151"/>
      <c r="AF840" s="184"/>
      <c r="AG840" s="188"/>
      <c r="AH840" s="188"/>
      <c r="AI840" s="188"/>
      <c r="AJ840" s="188"/>
      <c r="AK840" s="61"/>
      <c r="AL840" s="61"/>
      <c r="AM840" s="61"/>
      <c r="AN840" s="61"/>
      <c r="AO840" s="61"/>
    </row>
    <row r="841">
      <c r="A841" s="112"/>
      <c r="B841" s="149"/>
      <c r="C841" s="93"/>
      <c r="D841" s="61"/>
      <c r="E841" s="112"/>
      <c r="F841" s="149"/>
      <c r="G841" s="93"/>
      <c r="H841" s="61"/>
      <c r="I841" s="112"/>
      <c r="J841" s="149"/>
      <c r="K841" s="93"/>
      <c r="L841" s="61"/>
      <c r="M841" s="112"/>
      <c r="N841" s="115"/>
      <c r="O841" s="93"/>
      <c r="P841" s="61"/>
      <c r="Q841" s="180"/>
      <c r="R841" s="115"/>
      <c r="S841" s="93"/>
      <c r="T841" s="61"/>
      <c r="U841" s="180"/>
      <c r="V841" s="115"/>
      <c r="W841" s="93"/>
      <c r="X841" s="61"/>
      <c r="Y841" s="112"/>
      <c r="Z841" s="181"/>
      <c r="AA841" s="182"/>
      <c r="AB841" s="183"/>
      <c r="AC841" s="112"/>
      <c r="AD841" s="115"/>
      <c r="AE841" s="151"/>
      <c r="AF841" s="184"/>
      <c r="AG841" s="188"/>
      <c r="AH841" s="188"/>
      <c r="AI841" s="188"/>
      <c r="AJ841" s="188"/>
      <c r="AK841" s="61"/>
      <c r="AL841" s="61"/>
      <c r="AM841" s="61"/>
      <c r="AN841" s="61"/>
      <c r="AO841" s="61"/>
    </row>
    <row r="842">
      <c r="A842" s="112"/>
      <c r="B842" s="149"/>
      <c r="C842" s="93"/>
      <c r="D842" s="61"/>
      <c r="E842" s="112"/>
      <c r="F842" s="149"/>
      <c r="G842" s="93"/>
      <c r="H842" s="61"/>
      <c r="I842" s="112"/>
      <c r="J842" s="149"/>
      <c r="K842" s="93"/>
      <c r="L842" s="61"/>
      <c r="M842" s="112"/>
      <c r="N842" s="115"/>
      <c r="O842" s="93"/>
      <c r="P842" s="61"/>
      <c r="Q842" s="180"/>
      <c r="R842" s="115"/>
      <c r="S842" s="93"/>
      <c r="T842" s="61"/>
      <c r="U842" s="180"/>
      <c r="V842" s="115"/>
      <c r="W842" s="93"/>
      <c r="X842" s="61"/>
      <c r="Y842" s="112"/>
      <c r="Z842" s="181"/>
      <c r="AA842" s="182"/>
      <c r="AB842" s="183"/>
      <c r="AC842" s="112"/>
      <c r="AD842" s="115"/>
      <c r="AE842" s="151"/>
      <c r="AF842" s="184"/>
      <c r="AG842" s="188"/>
      <c r="AH842" s="188"/>
      <c r="AI842" s="188"/>
      <c r="AJ842" s="188"/>
      <c r="AK842" s="61"/>
      <c r="AL842" s="61"/>
      <c r="AM842" s="61"/>
      <c r="AN842" s="61"/>
      <c r="AO842" s="61"/>
    </row>
    <row r="843">
      <c r="A843" s="112"/>
      <c r="B843" s="149"/>
      <c r="C843" s="93"/>
      <c r="D843" s="61"/>
      <c r="E843" s="112"/>
      <c r="F843" s="149"/>
      <c r="G843" s="93"/>
      <c r="H843" s="61"/>
      <c r="I843" s="112"/>
      <c r="J843" s="149"/>
      <c r="K843" s="93"/>
      <c r="L843" s="61"/>
      <c r="M843" s="112"/>
      <c r="N843" s="115"/>
      <c r="O843" s="93"/>
      <c r="P843" s="61"/>
      <c r="Q843" s="180"/>
      <c r="R843" s="115"/>
      <c r="S843" s="93"/>
      <c r="T843" s="61"/>
      <c r="U843" s="180"/>
      <c r="V843" s="115"/>
      <c r="W843" s="93"/>
      <c r="X843" s="61"/>
      <c r="Y843" s="112"/>
      <c r="Z843" s="181"/>
      <c r="AA843" s="182"/>
      <c r="AB843" s="183"/>
      <c r="AC843" s="112"/>
      <c r="AD843" s="115"/>
      <c r="AE843" s="151"/>
      <c r="AF843" s="184"/>
      <c r="AG843" s="188"/>
      <c r="AH843" s="188"/>
      <c r="AI843" s="188"/>
      <c r="AJ843" s="188"/>
      <c r="AK843" s="61"/>
      <c r="AL843" s="61"/>
      <c r="AM843" s="61"/>
      <c r="AN843" s="61"/>
      <c r="AO843" s="61"/>
    </row>
    <row r="844">
      <c r="A844" s="112"/>
      <c r="B844" s="149"/>
      <c r="C844" s="93"/>
      <c r="D844" s="61"/>
      <c r="E844" s="112"/>
      <c r="F844" s="149"/>
      <c r="G844" s="93"/>
      <c r="H844" s="61"/>
      <c r="I844" s="112"/>
      <c r="J844" s="149"/>
      <c r="K844" s="93"/>
      <c r="L844" s="61"/>
      <c r="M844" s="112"/>
      <c r="N844" s="115"/>
      <c r="O844" s="93"/>
      <c r="P844" s="61"/>
      <c r="Q844" s="180"/>
      <c r="R844" s="115"/>
      <c r="S844" s="93"/>
      <c r="T844" s="61"/>
      <c r="U844" s="180"/>
      <c r="V844" s="115"/>
      <c r="W844" s="93"/>
      <c r="X844" s="61"/>
      <c r="Y844" s="112"/>
      <c r="Z844" s="181"/>
      <c r="AA844" s="182"/>
      <c r="AB844" s="183"/>
      <c r="AC844" s="112"/>
      <c r="AD844" s="115"/>
      <c r="AE844" s="151"/>
      <c r="AF844" s="184"/>
      <c r="AG844" s="188"/>
      <c r="AH844" s="188"/>
      <c r="AI844" s="188"/>
      <c r="AJ844" s="188"/>
      <c r="AK844" s="61"/>
      <c r="AL844" s="61"/>
      <c r="AM844" s="61"/>
      <c r="AN844" s="61"/>
      <c r="AO844" s="61"/>
    </row>
    <row r="845">
      <c r="A845" s="112"/>
      <c r="B845" s="149"/>
      <c r="C845" s="93"/>
      <c r="D845" s="61"/>
      <c r="E845" s="112"/>
      <c r="F845" s="149"/>
      <c r="G845" s="93"/>
      <c r="H845" s="61"/>
      <c r="I845" s="112"/>
      <c r="J845" s="149"/>
      <c r="K845" s="93"/>
      <c r="L845" s="61"/>
      <c r="M845" s="112"/>
      <c r="N845" s="115"/>
      <c r="O845" s="93"/>
      <c r="P845" s="61"/>
      <c r="Q845" s="180"/>
      <c r="R845" s="115"/>
      <c r="S845" s="93"/>
      <c r="T845" s="61"/>
      <c r="U845" s="180"/>
      <c r="V845" s="115"/>
      <c r="W845" s="93"/>
      <c r="X845" s="61"/>
      <c r="Y845" s="112"/>
      <c r="Z845" s="181"/>
      <c r="AA845" s="182"/>
      <c r="AB845" s="183"/>
      <c r="AC845" s="112"/>
      <c r="AD845" s="115"/>
      <c r="AE845" s="151"/>
      <c r="AF845" s="184"/>
      <c r="AG845" s="188"/>
      <c r="AH845" s="188"/>
      <c r="AI845" s="188"/>
      <c r="AJ845" s="188"/>
      <c r="AK845" s="61"/>
      <c r="AL845" s="61"/>
      <c r="AM845" s="61"/>
      <c r="AN845" s="61"/>
      <c r="AO845" s="61"/>
    </row>
    <row r="846">
      <c r="A846" s="112"/>
      <c r="B846" s="149"/>
      <c r="C846" s="93"/>
      <c r="D846" s="61"/>
      <c r="E846" s="112"/>
      <c r="F846" s="149"/>
      <c r="G846" s="93"/>
      <c r="H846" s="61"/>
      <c r="I846" s="112"/>
      <c r="J846" s="149"/>
      <c r="K846" s="93"/>
      <c r="L846" s="61"/>
      <c r="M846" s="112"/>
      <c r="N846" s="115"/>
      <c r="O846" s="93"/>
      <c r="P846" s="61"/>
      <c r="Q846" s="180"/>
      <c r="R846" s="115"/>
      <c r="S846" s="93"/>
      <c r="T846" s="61"/>
      <c r="U846" s="180"/>
      <c r="V846" s="115"/>
      <c r="W846" s="93"/>
      <c r="X846" s="61"/>
      <c r="Y846" s="112"/>
      <c r="Z846" s="181"/>
      <c r="AA846" s="182"/>
      <c r="AB846" s="183"/>
      <c r="AC846" s="112"/>
      <c r="AD846" s="115"/>
      <c r="AE846" s="151"/>
      <c r="AF846" s="184"/>
      <c r="AG846" s="188"/>
      <c r="AH846" s="188"/>
      <c r="AI846" s="188"/>
      <c r="AJ846" s="188"/>
      <c r="AK846" s="61"/>
      <c r="AL846" s="61"/>
      <c r="AM846" s="61"/>
      <c r="AN846" s="61"/>
      <c r="AO846" s="61"/>
    </row>
    <row r="847">
      <c r="A847" s="112"/>
      <c r="B847" s="149"/>
      <c r="C847" s="93"/>
      <c r="D847" s="61"/>
      <c r="E847" s="112"/>
      <c r="F847" s="149"/>
      <c r="G847" s="93"/>
      <c r="H847" s="61"/>
      <c r="I847" s="112"/>
      <c r="J847" s="149"/>
      <c r="K847" s="93"/>
      <c r="L847" s="61"/>
      <c r="M847" s="112"/>
      <c r="N847" s="115"/>
      <c r="O847" s="93"/>
      <c r="P847" s="61"/>
      <c r="Q847" s="180"/>
      <c r="R847" s="115"/>
      <c r="S847" s="93"/>
      <c r="T847" s="61"/>
      <c r="U847" s="180"/>
      <c r="V847" s="115"/>
      <c r="W847" s="93"/>
      <c r="X847" s="61"/>
      <c r="Y847" s="112"/>
      <c r="Z847" s="181"/>
      <c r="AA847" s="182"/>
      <c r="AB847" s="183"/>
      <c r="AC847" s="112"/>
      <c r="AD847" s="115"/>
      <c r="AE847" s="151"/>
      <c r="AF847" s="184"/>
      <c r="AG847" s="188"/>
      <c r="AH847" s="188"/>
      <c r="AI847" s="188"/>
      <c r="AJ847" s="188"/>
      <c r="AK847" s="61"/>
      <c r="AL847" s="61"/>
      <c r="AM847" s="61"/>
      <c r="AN847" s="61"/>
      <c r="AO847" s="61"/>
    </row>
    <row r="848">
      <c r="A848" s="112"/>
      <c r="B848" s="149"/>
      <c r="C848" s="93"/>
      <c r="D848" s="61"/>
      <c r="E848" s="112"/>
      <c r="F848" s="149"/>
      <c r="G848" s="93"/>
      <c r="H848" s="61"/>
      <c r="I848" s="112"/>
      <c r="J848" s="149"/>
      <c r="K848" s="93"/>
      <c r="L848" s="61"/>
      <c r="M848" s="112"/>
      <c r="N848" s="115"/>
      <c r="O848" s="93"/>
      <c r="P848" s="61"/>
      <c r="Q848" s="180"/>
      <c r="R848" s="115"/>
      <c r="S848" s="93"/>
      <c r="T848" s="61"/>
      <c r="U848" s="180"/>
      <c r="V848" s="115"/>
      <c r="W848" s="93"/>
      <c r="X848" s="61"/>
      <c r="Y848" s="112"/>
      <c r="Z848" s="181"/>
      <c r="AA848" s="182"/>
      <c r="AB848" s="183"/>
      <c r="AC848" s="112"/>
      <c r="AD848" s="115"/>
      <c r="AE848" s="151"/>
      <c r="AF848" s="184"/>
      <c r="AG848" s="188"/>
      <c r="AH848" s="188"/>
      <c r="AI848" s="188"/>
      <c r="AJ848" s="188"/>
      <c r="AK848" s="61"/>
      <c r="AL848" s="61"/>
      <c r="AM848" s="61"/>
      <c r="AN848" s="61"/>
      <c r="AO848" s="61"/>
    </row>
    <row r="849">
      <c r="A849" s="112"/>
      <c r="B849" s="149"/>
      <c r="C849" s="93"/>
      <c r="D849" s="61"/>
      <c r="E849" s="112"/>
      <c r="F849" s="149"/>
      <c r="G849" s="93"/>
      <c r="H849" s="61"/>
      <c r="I849" s="112"/>
      <c r="J849" s="149"/>
      <c r="K849" s="93"/>
      <c r="L849" s="61"/>
      <c r="M849" s="112"/>
      <c r="N849" s="115"/>
      <c r="O849" s="93"/>
      <c r="P849" s="61"/>
      <c r="Q849" s="180"/>
      <c r="R849" s="115"/>
      <c r="S849" s="93"/>
      <c r="T849" s="61"/>
      <c r="U849" s="180"/>
      <c r="V849" s="115"/>
      <c r="W849" s="93"/>
      <c r="X849" s="61"/>
      <c r="Y849" s="112"/>
      <c r="Z849" s="181"/>
      <c r="AA849" s="182"/>
      <c r="AB849" s="183"/>
      <c r="AC849" s="112"/>
      <c r="AD849" s="115"/>
      <c r="AE849" s="151"/>
      <c r="AF849" s="184"/>
      <c r="AG849" s="188"/>
      <c r="AH849" s="188"/>
      <c r="AI849" s="188"/>
      <c r="AJ849" s="188"/>
      <c r="AK849" s="61"/>
      <c r="AL849" s="61"/>
      <c r="AM849" s="61"/>
      <c r="AN849" s="61"/>
      <c r="AO849" s="61"/>
    </row>
    <row r="850">
      <c r="A850" s="112"/>
      <c r="B850" s="149"/>
      <c r="C850" s="93"/>
      <c r="D850" s="61"/>
      <c r="E850" s="112"/>
      <c r="F850" s="149"/>
      <c r="G850" s="93"/>
      <c r="H850" s="61"/>
      <c r="I850" s="112"/>
      <c r="J850" s="149"/>
      <c r="K850" s="93"/>
      <c r="L850" s="61"/>
      <c r="M850" s="112"/>
      <c r="N850" s="115"/>
      <c r="O850" s="93"/>
      <c r="P850" s="61"/>
      <c r="Q850" s="180"/>
      <c r="R850" s="115"/>
      <c r="S850" s="93"/>
      <c r="T850" s="61"/>
      <c r="U850" s="180"/>
      <c r="V850" s="115"/>
      <c r="W850" s="93"/>
      <c r="X850" s="61"/>
      <c r="Y850" s="112"/>
      <c r="Z850" s="181"/>
      <c r="AA850" s="182"/>
      <c r="AB850" s="183"/>
      <c r="AC850" s="112"/>
      <c r="AD850" s="115"/>
      <c r="AE850" s="151"/>
      <c r="AF850" s="184"/>
      <c r="AG850" s="188"/>
      <c r="AH850" s="188"/>
      <c r="AI850" s="188"/>
      <c r="AJ850" s="188"/>
      <c r="AK850" s="61"/>
      <c r="AL850" s="61"/>
      <c r="AM850" s="61"/>
      <c r="AN850" s="61"/>
      <c r="AO850" s="61"/>
    </row>
    <row r="851">
      <c r="A851" s="112"/>
      <c r="B851" s="149"/>
      <c r="C851" s="93"/>
      <c r="D851" s="61"/>
      <c r="E851" s="112"/>
      <c r="F851" s="149"/>
      <c r="G851" s="93"/>
      <c r="H851" s="61"/>
      <c r="I851" s="112"/>
      <c r="J851" s="149"/>
      <c r="K851" s="93"/>
      <c r="L851" s="61"/>
      <c r="M851" s="112"/>
      <c r="N851" s="115"/>
      <c r="O851" s="93"/>
      <c r="P851" s="61"/>
      <c r="Q851" s="180"/>
      <c r="R851" s="115"/>
      <c r="S851" s="93"/>
      <c r="T851" s="61"/>
      <c r="U851" s="180"/>
      <c r="V851" s="115"/>
      <c r="W851" s="93"/>
      <c r="X851" s="61"/>
      <c r="Y851" s="112"/>
      <c r="Z851" s="181"/>
      <c r="AA851" s="182"/>
      <c r="AB851" s="183"/>
      <c r="AC851" s="112"/>
      <c r="AD851" s="115"/>
      <c r="AE851" s="151"/>
      <c r="AF851" s="184"/>
      <c r="AG851" s="188"/>
      <c r="AH851" s="188"/>
      <c r="AI851" s="188"/>
      <c r="AJ851" s="188"/>
      <c r="AK851" s="61"/>
      <c r="AL851" s="61"/>
      <c r="AM851" s="61"/>
      <c r="AN851" s="61"/>
      <c r="AO851" s="61"/>
    </row>
    <row r="852">
      <c r="A852" s="112"/>
      <c r="B852" s="149"/>
      <c r="C852" s="93"/>
      <c r="D852" s="61"/>
      <c r="E852" s="112"/>
      <c r="F852" s="149"/>
      <c r="G852" s="93"/>
      <c r="H852" s="61"/>
      <c r="I852" s="112"/>
      <c r="J852" s="149"/>
      <c r="K852" s="93"/>
      <c r="L852" s="61"/>
      <c r="M852" s="112"/>
      <c r="N852" s="115"/>
      <c r="O852" s="93"/>
      <c r="P852" s="61"/>
      <c r="Q852" s="180"/>
      <c r="R852" s="115"/>
      <c r="S852" s="93"/>
      <c r="T852" s="61"/>
      <c r="U852" s="180"/>
      <c r="V852" s="115"/>
      <c r="W852" s="93"/>
      <c r="X852" s="61"/>
      <c r="Y852" s="112"/>
      <c r="Z852" s="181"/>
      <c r="AA852" s="182"/>
      <c r="AB852" s="183"/>
      <c r="AC852" s="112"/>
      <c r="AD852" s="115"/>
      <c r="AE852" s="151"/>
      <c r="AF852" s="184"/>
      <c r="AG852" s="188"/>
      <c r="AH852" s="188"/>
      <c r="AI852" s="188"/>
      <c r="AJ852" s="188"/>
      <c r="AK852" s="61"/>
      <c r="AL852" s="61"/>
      <c r="AM852" s="61"/>
      <c r="AN852" s="61"/>
      <c r="AO852" s="61"/>
    </row>
    <row r="853">
      <c r="A853" s="112"/>
      <c r="B853" s="149"/>
      <c r="C853" s="93"/>
      <c r="D853" s="61"/>
      <c r="E853" s="112"/>
      <c r="F853" s="149"/>
      <c r="G853" s="93"/>
      <c r="H853" s="61"/>
      <c r="I853" s="112"/>
      <c r="J853" s="149"/>
      <c r="K853" s="93"/>
      <c r="L853" s="61"/>
      <c r="M853" s="112"/>
      <c r="N853" s="115"/>
      <c r="O853" s="93"/>
      <c r="P853" s="61"/>
      <c r="Q853" s="180"/>
      <c r="R853" s="115"/>
      <c r="S853" s="93"/>
      <c r="T853" s="61"/>
      <c r="U853" s="180"/>
      <c r="V853" s="115"/>
      <c r="W853" s="93"/>
      <c r="X853" s="61"/>
      <c r="Y853" s="112"/>
      <c r="Z853" s="181"/>
      <c r="AA853" s="182"/>
      <c r="AB853" s="183"/>
      <c r="AC853" s="112"/>
      <c r="AD853" s="115"/>
      <c r="AE853" s="151"/>
      <c r="AF853" s="184"/>
      <c r="AG853" s="188"/>
      <c r="AH853" s="188"/>
      <c r="AI853" s="188"/>
      <c r="AJ853" s="188"/>
      <c r="AK853" s="61"/>
      <c r="AL853" s="61"/>
      <c r="AM853" s="61"/>
      <c r="AN853" s="61"/>
      <c r="AO853" s="61"/>
    </row>
    <row r="854">
      <c r="A854" s="112"/>
      <c r="B854" s="149"/>
      <c r="C854" s="93"/>
      <c r="D854" s="61"/>
      <c r="E854" s="112"/>
      <c r="F854" s="149"/>
      <c r="G854" s="93"/>
      <c r="H854" s="61"/>
      <c r="I854" s="112"/>
      <c r="J854" s="149"/>
      <c r="K854" s="93"/>
      <c r="L854" s="61"/>
      <c r="M854" s="112"/>
      <c r="N854" s="115"/>
      <c r="O854" s="93"/>
      <c r="P854" s="61"/>
      <c r="Q854" s="180"/>
      <c r="R854" s="115"/>
      <c r="S854" s="93"/>
      <c r="T854" s="61"/>
      <c r="U854" s="180"/>
      <c r="V854" s="115"/>
      <c r="W854" s="93"/>
      <c r="X854" s="61"/>
      <c r="Y854" s="112"/>
      <c r="Z854" s="181"/>
      <c r="AA854" s="182"/>
      <c r="AB854" s="183"/>
      <c r="AC854" s="112"/>
      <c r="AD854" s="115"/>
      <c r="AE854" s="151"/>
      <c r="AF854" s="184"/>
      <c r="AG854" s="188"/>
      <c r="AH854" s="188"/>
      <c r="AI854" s="188"/>
      <c r="AJ854" s="188"/>
      <c r="AK854" s="61"/>
      <c r="AL854" s="61"/>
      <c r="AM854" s="61"/>
      <c r="AN854" s="61"/>
      <c r="AO854" s="61"/>
    </row>
    <row r="855">
      <c r="A855" s="112"/>
      <c r="B855" s="149"/>
      <c r="C855" s="93"/>
      <c r="D855" s="61"/>
      <c r="E855" s="112"/>
      <c r="F855" s="149"/>
      <c r="G855" s="93"/>
      <c r="H855" s="61"/>
      <c r="I855" s="112"/>
      <c r="J855" s="149"/>
      <c r="K855" s="93"/>
      <c r="L855" s="61"/>
      <c r="M855" s="112"/>
      <c r="N855" s="115"/>
      <c r="O855" s="93"/>
      <c r="P855" s="61"/>
      <c r="Q855" s="180"/>
      <c r="R855" s="115"/>
      <c r="S855" s="93"/>
      <c r="T855" s="61"/>
      <c r="U855" s="180"/>
      <c r="V855" s="115"/>
      <c r="W855" s="93"/>
      <c r="X855" s="61"/>
      <c r="Y855" s="112"/>
      <c r="Z855" s="181"/>
      <c r="AA855" s="182"/>
      <c r="AB855" s="183"/>
      <c r="AC855" s="112"/>
      <c r="AD855" s="115"/>
      <c r="AE855" s="151"/>
      <c r="AF855" s="184"/>
      <c r="AG855" s="188"/>
      <c r="AH855" s="188"/>
      <c r="AI855" s="188"/>
      <c r="AJ855" s="188"/>
      <c r="AK855" s="61"/>
      <c r="AL855" s="61"/>
      <c r="AM855" s="61"/>
      <c r="AN855" s="61"/>
      <c r="AO855" s="61"/>
    </row>
    <row r="856">
      <c r="A856" s="112"/>
      <c r="B856" s="149"/>
      <c r="C856" s="93"/>
      <c r="D856" s="61"/>
      <c r="E856" s="112"/>
      <c r="F856" s="149"/>
      <c r="G856" s="93"/>
      <c r="H856" s="61"/>
      <c r="I856" s="112"/>
      <c r="J856" s="149"/>
      <c r="K856" s="93"/>
      <c r="L856" s="61"/>
      <c r="M856" s="112"/>
      <c r="N856" s="115"/>
      <c r="O856" s="93"/>
      <c r="P856" s="61"/>
      <c r="Q856" s="180"/>
      <c r="R856" s="115"/>
      <c r="S856" s="93"/>
      <c r="T856" s="61"/>
      <c r="U856" s="180"/>
      <c r="V856" s="115"/>
      <c r="W856" s="93"/>
      <c r="X856" s="61"/>
      <c r="Y856" s="112"/>
      <c r="Z856" s="181"/>
      <c r="AA856" s="182"/>
      <c r="AB856" s="183"/>
      <c r="AC856" s="112"/>
      <c r="AD856" s="115"/>
      <c r="AE856" s="151"/>
      <c r="AF856" s="184"/>
      <c r="AG856" s="188"/>
      <c r="AH856" s="188"/>
      <c r="AI856" s="188"/>
      <c r="AJ856" s="188"/>
      <c r="AK856" s="61"/>
      <c r="AL856" s="61"/>
      <c r="AM856" s="61"/>
      <c r="AN856" s="61"/>
      <c r="AO856" s="61"/>
    </row>
    <row r="857">
      <c r="A857" s="112"/>
      <c r="B857" s="149"/>
      <c r="C857" s="93"/>
      <c r="D857" s="61"/>
      <c r="E857" s="112"/>
      <c r="F857" s="149"/>
      <c r="G857" s="93"/>
      <c r="H857" s="61"/>
      <c r="I857" s="112"/>
      <c r="J857" s="149"/>
      <c r="K857" s="93"/>
      <c r="L857" s="61"/>
      <c r="M857" s="112"/>
      <c r="N857" s="115"/>
      <c r="O857" s="93"/>
      <c r="P857" s="61"/>
      <c r="Q857" s="180"/>
      <c r="R857" s="115"/>
      <c r="S857" s="93"/>
      <c r="T857" s="61"/>
      <c r="U857" s="180"/>
      <c r="V857" s="115"/>
      <c r="W857" s="93"/>
      <c r="X857" s="61"/>
      <c r="Y857" s="112"/>
      <c r="Z857" s="181"/>
      <c r="AA857" s="182"/>
      <c r="AB857" s="183"/>
      <c r="AC857" s="112"/>
      <c r="AD857" s="115"/>
      <c r="AE857" s="151"/>
      <c r="AF857" s="184"/>
      <c r="AG857" s="188"/>
      <c r="AH857" s="188"/>
      <c r="AI857" s="188"/>
      <c r="AJ857" s="188"/>
      <c r="AK857" s="61"/>
      <c r="AL857" s="61"/>
      <c r="AM857" s="61"/>
      <c r="AN857" s="61"/>
      <c r="AO857" s="61"/>
    </row>
    <row r="858">
      <c r="A858" s="112"/>
      <c r="B858" s="149"/>
      <c r="C858" s="93"/>
      <c r="D858" s="61"/>
      <c r="E858" s="112"/>
      <c r="F858" s="149"/>
      <c r="G858" s="93"/>
      <c r="H858" s="61"/>
      <c r="I858" s="112"/>
      <c r="J858" s="149"/>
      <c r="K858" s="93"/>
      <c r="L858" s="61"/>
      <c r="M858" s="112"/>
      <c r="N858" s="115"/>
      <c r="O858" s="93"/>
      <c r="P858" s="61"/>
      <c r="Q858" s="180"/>
      <c r="R858" s="115"/>
      <c r="S858" s="93"/>
      <c r="T858" s="61"/>
      <c r="U858" s="180"/>
      <c r="V858" s="115"/>
      <c r="W858" s="93"/>
      <c r="X858" s="61"/>
      <c r="Y858" s="112"/>
      <c r="Z858" s="181"/>
      <c r="AA858" s="182"/>
      <c r="AB858" s="183"/>
      <c r="AC858" s="112"/>
      <c r="AD858" s="115"/>
      <c r="AE858" s="151"/>
      <c r="AF858" s="184"/>
      <c r="AG858" s="188"/>
      <c r="AH858" s="188"/>
      <c r="AI858" s="188"/>
      <c r="AJ858" s="188"/>
      <c r="AK858" s="61"/>
      <c r="AL858" s="61"/>
      <c r="AM858" s="61"/>
      <c r="AN858" s="61"/>
      <c r="AO858" s="61"/>
    </row>
    <row r="859">
      <c r="A859" s="112"/>
      <c r="B859" s="149"/>
      <c r="C859" s="93"/>
      <c r="D859" s="61"/>
      <c r="E859" s="112"/>
      <c r="F859" s="149"/>
      <c r="G859" s="93"/>
      <c r="H859" s="61"/>
      <c r="I859" s="112"/>
      <c r="J859" s="149"/>
      <c r="K859" s="93"/>
      <c r="L859" s="61"/>
      <c r="M859" s="112"/>
      <c r="N859" s="115"/>
      <c r="O859" s="93"/>
      <c r="P859" s="61"/>
      <c r="Q859" s="180"/>
      <c r="R859" s="115"/>
      <c r="S859" s="93"/>
      <c r="T859" s="61"/>
      <c r="U859" s="180"/>
      <c r="V859" s="115"/>
      <c r="W859" s="93"/>
      <c r="X859" s="61"/>
      <c r="Y859" s="112"/>
      <c r="Z859" s="181"/>
      <c r="AA859" s="182"/>
      <c r="AB859" s="183"/>
      <c r="AC859" s="112"/>
      <c r="AD859" s="115"/>
      <c r="AE859" s="151"/>
      <c r="AF859" s="184"/>
      <c r="AG859" s="188"/>
      <c r="AH859" s="188"/>
      <c r="AI859" s="188"/>
      <c r="AJ859" s="188"/>
      <c r="AK859" s="61"/>
      <c r="AL859" s="61"/>
      <c r="AM859" s="61"/>
      <c r="AN859" s="61"/>
      <c r="AO859" s="61"/>
    </row>
    <row r="860">
      <c r="A860" s="112"/>
      <c r="B860" s="149"/>
      <c r="C860" s="93"/>
      <c r="D860" s="61"/>
      <c r="E860" s="112"/>
      <c r="F860" s="149"/>
      <c r="G860" s="93"/>
      <c r="H860" s="61"/>
      <c r="I860" s="112"/>
      <c r="J860" s="149"/>
      <c r="K860" s="93"/>
      <c r="L860" s="61"/>
      <c r="M860" s="112"/>
      <c r="N860" s="115"/>
      <c r="O860" s="93"/>
      <c r="P860" s="61"/>
      <c r="Q860" s="180"/>
      <c r="R860" s="115"/>
      <c r="S860" s="93"/>
      <c r="T860" s="61"/>
      <c r="U860" s="180"/>
      <c r="V860" s="115"/>
      <c r="W860" s="93"/>
      <c r="X860" s="61"/>
      <c r="Y860" s="112"/>
      <c r="Z860" s="181"/>
      <c r="AA860" s="182"/>
      <c r="AB860" s="183"/>
      <c r="AC860" s="112"/>
      <c r="AD860" s="115"/>
      <c r="AE860" s="151"/>
      <c r="AF860" s="184"/>
      <c r="AG860" s="188"/>
      <c r="AH860" s="188"/>
      <c r="AI860" s="188"/>
      <c r="AJ860" s="188"/>
      <c r="AK860" s="61"/>
      <c r="AL860" s="61"/>
      <c r="AM860" s="61"/>
      <c r="AN860" s="61"/>
      <c r="AO860" s="61"/>
    </row>
    <row r="861">
      <c r="A861" s="112"/>
      <c r="B861" s="149"/>
      <c r="C861" s="93"/>
      <c r="D861" s="61"/>
      <c r="E861" s="112"/>
      <c r="F861" s="149"/>
      <c r="G861" s="93"/>
      <c r="H861" s="61"/>
      <c r="I861" s="112"/>
      <c r="J861" s="149"/>
      <c r="K861" s="93"/>
      <c r="L861" s="61"/>
      <c r="M861" s="112"/>
      <c r="N861" s="115"/>
      <c r="O861" s="93"/>
      <c r="P861" s="61"/>
      <c r="Q861" s="180"/>
      <c r="R861" s="115"/>
      <c r="S861" s="93"/>
      <c r="T861" s="61"/>
      <c r="U861" s="180"/>
      <c r="V861" s="115"/>
      <c r="W861" s="93"/>
      <c r="X861" s="61"/>
      <c r="Y861" s="112"/>
      <c r="Z861" s="181"/>
      <c r="AA861" s="182"/>
      <c r="AB861" s="183"/>
      <c r="AC861" s="112"/>
      <c r="AD861" s="115"/>
      <c r="AE861" s="151"/>
      <c r="AF861" s="184"/>
      <c r="AG861" s="188"/>
      <c r="AH861" s="188"/>
      <c r="AI861" s="188"/>
      <c r="AJ861" s="188"/>
      <c r="AK861" s="61"/>
      <c r="AL861" s="61"/>
      <c r="AM861" s="61"/>
      <c r="AN861" s="61"/>
      <c r="AO861" s="61"/>
    </row>
    <row r="862">
      <c r="A862" s="112"/>
      <c r="B862" s="149"/>
      <c r="C862" s="93"/>
      <c r="D862" s="61"/>
      <c r="E862" s="112"/>
      <c r="F862" s="149"/>
      <c r="G862" s="93"/>
      <c r="H862" s="61"/>
      <c r="I862" s="112"/>
      <c r="J862" s="149"/>
      <c r="K862" s="93"/>
      <c r="L862" s="61"/>
      <c r="M862" s="112"/>
      <c r="N862" s="115"/>
      <c r="O862" s="93"/>
      <c r="P862" s="61"/>
      <c r="Q862" s="180"/>
      <c r="R862" s="115"/>
      <c r="S862" s="93"/>
      <c r="T862" s="61"/>
      <c r="U862" s="180"/>
      <c r="V862" s="115"/>
      <c r="W862" s="93"/>
      <c r="X862" s="61"/>
      <c r="Y862" s="112"/>
      <c r="Z862" s="181"/>
      <c r="AA862" s="182"/>
      <c r="AB862" s="183"/>
      <c r="AC862" s="112"/>
      <c r="AD862" s="115"/>
      <c r="AE862" s="151"/>
      <c r="AF862" s="184"/>
      <c r="AG862" s="188"/>
      <c r="AH862" s="188"/>
      <c r="AI862" s="188"/>
      <c r="AJ862" s="188"/>
      <c r="AK862" s="61"/>
      <c r="AL862" s="61"/>
      <c r="AM862" s="61"/>
      <c r="AN862" s="61"/>
      <c r="AO862" s="61"/>
    </row>
    <row r="863">
      <c r="A863" s="112"/>
      <c r="B863" s="149"/>
      <c r="C863" s="93"/>
      <c r="D863" s="61"/>
      <c r="E863" s="112"/>
      <c r="F863" s="149"/>
      <c r="G863" s="93"/>
      <c r="H863" s="61"/>
      <c r="I863" s="112"/>
      <c r="J863" s="149"/>
      <c r="K863" s="93"/>
      <c r="L863" s="61"/>
      <c r="M863" s="112"/>
      <c r="N863" s="115"/>
      <c r="O863" s="93"/>
      <c r="P863" s="61"/>
      <c r="Q863" s="180"/>
      <c r="R863" s="115"/>
      <c r="S863" s="93"/>
      <c r="T863" s="61"/>
      <c r="U863" s="180"/>
      <c r="V863" s="115"/>
      <c r="W863" s="93"/>
      <c r="X863" s="61"/>
      <c r="Y863" s="112"/>
      <c r="Z863" s="181"/>
      <c r="AA863" s="182"/>
      <c r="AB863" s="183"/>
      <c r="AC863" s="112"/>
      <c r="AD863" s="115"/>
      <c r="AE863" s="151"/>
      <c r="AF863" s="184"/>
      <c r="AG863" s="188"/>
      <c r="AH863" s="188"/>
      <c r="AI863" s="188"/>
      <c r="AJ863" s="188"/>
      <c r="AK863" s="61"/>
      <c r="AL863" s="61"/>
      <c r="AM863" s="61"/>
      <c r="AN863" s="61"/>
      <c r="AO863" s="61"/>
    </row>
    <row r="864">
      <c r="A864" s="112"/>
      <c r="B864" s="149"/>
      <c r="C864" s="93"/>
      <c r="D864" s="61"/>
      <c r="E864" s="112"/>
      <c r="F864" s="149"/>
      <c r="G864" s="93"/>
      <c r="H864" s="61"/>
      <c r="I864" s="112"/>
      <c r="J864" s="149"/>
      <c r="K864" s="93"/>
      <c r="L864" s="61"/>
      <c r="M864" s="112"/>
      <c r="N864" s="115"/>
      <c r="O864" s="93"/>
      <c r="P864" s="61"/>
      <c r="Q864" s="180"/>
      <c r="R864" s="115"/>
      <c r="S864" s="93"/>
      <c r="T864" s="61"/>
      <c r="U864" s="180"/>
      <c r="V864" s="115"/>
      <c r="W864" s="93"/>
      <c r="X864" s="61"/>
      <c r="Y864" s="112"/>
      <c r="Z864" s="181"/>
      <c r="AA864" s="182"/>
      <c r="AB864" s="183"/>
      <c r="AC864" s="112"/>
      <c r="AD864" s="115"/>
      <c r="AE864" s="151"/>
      <c r="AF864" s="184"/>
      <c r="AG864" s="188"/>
      <c r="AH864" s="188"/>
      <c r="AI864" s="188"/>
      <c r="AJ864" s="188"/>
      <c r="AK864" s="61"/>
      <c r="AL864" s="61"/>
      <c r="AM864" s="61"/>
      <c r="AN864" s="61"/>
      <c r="AO864" s="61"/>
    </row>
    <row r="865">
      <c r="A865" s="112"/>
      <c r="B865" s="149"/>
      <c r="C865" s="93"/>
      <c r="D865" s="61"/>
      <c r="E865" s="112"/>
      <c r="F865" s="149"/>
      <c r="G865" s="93"/>
      <c r="H865" s="61"/>
      <c r="I865" s="112"/>
      <c r="J865" s="149"/>
      <c r="K865" s="93"/>
      <c r="L865" s="61"/>
      <c r="M865" s="112"/>
      <c r="N865" s="115"/>
      <c r="O865" s="93"/>
      <c r="P865" s="61"/>
      <c r="Q865" s="180"/>
      <c r="R865" s="115"/>
      <c r="S865" s="93"/>
      <c r="T865" s="61"/>
      <c r="U865" s="180"/>
      <c r="V865" s="115"/>
      <c r="W865" s="93"/>
      <c r="X865" s="61"/>
      <c r="Y865" s="112"/>
      <c r="Z865" s="181"/>
      <c r="AA865" s="182"/>
      <c r="AB865" s="183"/>
      <c r="AC865" s="112"/>
      <c r="AD865" s="115"/>
      <c r="AE865" s="151"/>
      <c r="AF865" s="184"/>
      <c r="AG865" s="188"/>
      <c r="AH865" s="188"/>
      <c r="AI865" s="188"/>
      <c r="AJ865" s="188"/>
      <c r="AK865" s="61"/>
      <c r="AL865" s="61"/>
      <c r="AM865" s="61"/>
      <c r="AN865" s="61"/>
      <c r="AO865" s="61"/>
    </row>
    <row r="866">
      <c r="A866" s="112"/>
      <c r="B866" s="149"/>
      <c r="C866" s="93"/>
      <c r="D866" s="61"/>
      <c r="E866" s="112"/>
      <c r="F866" s="149"/>
      <c r="G866" s="93"/>
      <c r="H866" s="61"/>
      <c r="I866" s="112"/>
      <c r="J866" s="149"/>
      <c r="K866" s="93"/>
      <c r="L866" s="61"/>
      <c r="M866" s="112"/>
      <c r="N866" s="115"/>
      <c r="O866" s="93"/>
      <c r="P866" s="61"/>
      <c r="Q866" s="180"/>
      <c r="R866" s="115"/>
      <c r="S866" s="93"/>
      <c r="T866" s="61"/>
      <c r="U866" s="180"/>
      <c r="V866" s="115"/>
      <c r="W866" s="93"/>
      <c r="X866" s="61"/>
      <c r="Y866" s="112"/>
      <c r="Z866" s="181"/>
      <c r="AA866" s="182"/>
      <c r="AB866" s="183"/>
      <c r="AC866" s="112"/>
      <c r="AD866" s="115"/>
      <c r="AE866" s="151"/>
      <c r="AF866" s="184"/>
      <c r="AG866" s="188"/>
      <c r="AH866" s="188"/>
      <c r="AI866" s="188"/>
      <c r="AJ866" s="188"/>
      <c r="AK866" s="61"/>
      <c r="AL866" s="61"/>
      <c r="AM866" s="61"/>
      <c r="AN866" s="61"/>
      <c r="AO866" s="61"/>
    </row>
    <row r="867">
      <c r="A867" s="112"/>
      <c r="B867" s="149"/>
      <c r="C867" s="93"/>
      <c r="D867" s="61"/>
      <c r="E867" s="112"/>
      <c r="F867" s="149"/>
      <c r="G867" s="93"/>
      <c r="H867" s="61"/>
      <c r="I867" s="112"/>
      <c r="J867" s="149"/>
      <c r="K867" s="93"/>
      <c r="L867" s="61"/>
      <c r="M867" s="112"/>
      <c r="N867" s="115"/>
      <c r="O867" s="93"/>
      <c r="P867" s="61"/>
      <c r="Q867" s="180"/>
      <c r="R867" s="115"/>
      <c r="S867" s="93"/>
      <c r="T867" s="61"/>
      <c r="U867" s="180"/>
      <c r="V867" s="115"/>
      <c r="W867" s="93"/>
      <c r="X867" s="61"/>
      <c r="Y867" s="112"/>
      <c r="Z867" s="181"/>
      <c r="AA867" s="182"/>
      <c r="AB867" s="183"/>
      <c r="AC867" s="112"/>
      <c r="AD867" s="115"/>
      <c r="AE867" s="151"/>
      <c r="AF867" s="184"/>
      <c r="AG867" s="188"/>
      <c r="AH867" s="188"/>
      <c r="AI867" s="188"/>
      <c r="AJ867" s="188"/>
      <c r="AK867" s="61"/>
      <c r="AL867" s="61"/>
      <c r="AM867" s="61"/>
      <c r="AN867" s="61"/>
      <c r="AO867" s="61"/>
    </row>
    <row r="868">
      <c r="A868" s="112"/>
      <c r="B868" s="149"/>
      <c r="C868" s="93"/>
      <c r="D868" s="61"/>
      <c r="E868" s="112"/>
      <c r="F868" s="149"/>
      <c r="G868" s="93"/>
      <c r="H868" s="61"/>
      <c r="I868" s="112"/>
      <c r="J868" s="149"/>
      <c r="K868" s="93"/>
      <c r="L868" s="61"/>
      <c r="M868" s="112"/>
      <c r="N868" s="115"/>
      <c r="O868" s="93"/>
      <c r="P868" s="61"/>
      <c r="Q868" s="180"/>
      <c r="R868" s="115"/>
      <c r="S868" s="93"/>
      <c r="T868" s="61"/>
      <c r="U868" s="180"/>
      <c r="V868" s="115"/>
      <c r="W868" s="93"/>
      <c r="X868" s="61"/>
      <c r="Y868" s="112"/>
      <c r="Z868" s="181"/>
      <c r="AA868" s="182"/>
      <c r="AB868" s="183"/>
      <c r="AC868" s="112"/>
      <c r="AD868" s="115"/>
      <c r="AE868" s="151"/>
      <c r="AF868" s="184"/>
      <c r="AG868" s="188"/>
      <c r="AH868" s="188"/>
      <c r="AI868" s="188"/>
      <c r="AJ868" s="188"/>
      <c r="AK868" s="61"/>
      <c r="AL868" s="61"/>
      <c r="AM868" s="61"/>
      <c r="AN868" s="61"/>
      <c r="AO868" s="61"/>
    </row>
    <row r="869">
      <c r="A869" s="112"/>
      <c r="B869" s="149"/>
      <c r="C869" s="93"/>
      <c r="D869" s="61"/>
      <c r="E869" s="112"/>
      <c r="F869" s="149"/>
      <c r="G869" s="93"/>
      <c r="H869" s="61"/>
      <c r="I869" s="112"/>
      <c r="J869" s="149"/>
      <c r="K869" s="93"/>
      <c r="L869" s="61"/>
      <c r="M869" s="112"/>
      <c r="N869" s="115"/>
      <c r="O869" s="93"/>
      <c r="P869" s="61"/>
      <c r="Q869" s="180"/>
      <c r="R869" s="115"/>
      <c r="S869" s="93"/>
      <c r="T869" s="61"/>
      <c r="U869" s="180"/>
      <c r="V869" s="115"/>
      <c r="W869" s="93"/>
      <c r="X869" s="61"/>
      <c r="Y869" s="112"/>
      <c r="Z869" s="181"/>
      <c r="AA869" s="182"/>
      <c r="AB869" s="183"/>
      <c r="AC869" s="112"/>
      <c r="AD869" s="115"/>
      <c r="AE869" s="151"/>
      <c r="AF869" s="184"/>
      <c r="AG869" s="188"/>
      <c r="AH869" s="188"/>
      <c r="AI869" s="188"/>
      <c r="AJ869" s="188"/>
      <c r="AK869" s="61"/>
      <c r="AL869" s="61"/>
      <c r="AM869" s="61"/>
      <c r="AN869" s="61"/>
      <c r="AO869" s="61"/>
    </row>
    <row r="870">
      <c r="A870" s="112"/>
      <c r="B870" s="149"/>
      <c r="C870" s="93"/>
      <c r="D870" s="61"/>
      <c r="E870" s="112"/>
      <c r="F870" s="149"/>
      <c r="G870" s="93"/>
      <c r="H870" s="61"/>
      <c r="I870" s="112"/>
      <c r="J870" s="149"/>
      <c r="K870" s="93"/>
      <c r="L870" s="61"/>
      <c r="M870" s="112"/>
      <c r="N870" s="115"/>
      <c r="O870" s="93"/>
      <c r="P870" s="61"/>
      <c r="Q870" s="180"/>
      <c r="R870" s="115"/>
      <c r="S870" s="93"/>
      <c r="T870" s="61"/>
      <c r="U870" s="180"/>
      <c r="V870" s="115"/>
      <c r="W870" s="93"/>
      <c r="X870" s="61"/>
      <c r="Y870" s="112"/>
      <c r="Z870" s="181"/>
      <c r="AA870" s="182"/>
      <c r="AB870" s="183"/>
      <c r="AC870" s="112"/>
      <c r="AD870" s="115"/>
      <c r="AE870" s="151"/>
      <c r="AF870" s="184"/>
      <c r="AG870" s="188"/>
      <c r="AH870" s="188"/>
      <c r="AI870" s="188"/>
      <c r="AJ870" s="188"/>
      <c r="AK870" s="61"/>
      <c r="AL870" s="61"/>
      <c r="AM870" s="61"/>
      <c r="AN870" s="61"/>
      <c r="AO870" s="61"/>
    </row>
    <row r="871">
      <c r="A871" s="112"/>
      <c r="B871" s="149"/>
      <c r="C871" s="93"/>
      <c r="D871" s="61"/>
      <c r="E871" s="112"/>
      <c r="F871" s="149"/>
      <c r="G871" s="93"/>
      <c r="H871" s="61"/>
      <c r="I871" s="112"/>
      <c r="J871" s="149"/>
      <c r="K871" s="93"/>
      <c r="L871" s="61"/>
      <c r="M871" s="112"/>
      <c r="N871" s="115"/>
      <c r="O871" s="93"/>
      <c r="P871" s="61"/>
      <c r="Q871" s="180"/>
      <c r="R871" s="115"/>
      <c r="S871" s="93"/>
      <c r="T871" s="61"/>
      <c r="U871" s="180"/>
      <c r="V871" s="115"/>
      <c r="W871" s="93"/>
      <c r="X871" s="61"/>
      <c r="Y871" s="112"/>
      <c r="Z871" s="181"/>
      <c r="AA871" s="182"/>
      <c r="AB871" s="183"/>
      <c r="AC871" s="112"/>
      <c r="AD871" s="115"/>
      <c r="AE871" s="151"/>
      <c r="AF871" s="184"/>
      <c r="AG871" s="188"/>
      <c r="AH871" s="188"/>
      <c r="AI871" s="188"/>
      <c r="AJ871" s="188"/>
      <c r="AK871" s="61"/>
      <c r="AL871" s="61"/>
      <c r="AM871" s="61"/>
      <c r="AN871" s="61"/>
      <c r="AO871" s="61"/>
    </row>
    <row r="872">
      <c r="A872" s="112"/>
      <c r="B872" s="149"/>
      <c r="C872" s="93"/>
      <c r="D872" s="61"/>
      <c r="E872" s="112"/>
      <c r="F872" s="149"/>
      <c r="G872" s="93"/>
      <c r="H872" s="61"/>
      <c r="I872" s="112"/>
      <c r="J872" s="149"/>
      <c r="K872" s="93"/>
      <c r="L872" s="61"/>
      <c r="M872" s="112"/>
      <c r="N872" s="115"/>
      <c r="O872" s="93"/>
      <c r="P872" s="61"/>
      <c r="Q872" s="180"/>
      <c r="R872" s="115"/>
      <c r="S872" s="93"/>
      <c r="T872" s="61"/>
      <c r="U872" s="180"/>
      <c r="V872" s="115"/>
      <c r="W872" s="93"/>
      <c r="X872" s="61"/>
      <c r="Y872" s="112"/>
      <c r="Z872" s="181"/>
      <c r="AA872" s="182"/>
      <c r="AB872" s="183"/>
      <c r="AC872" s="112"/>
      <c r="AD872" s="115"/>
      <c r="AE872" s="151"/>
      <c r="AF872" s="184"/>
      <c r="AG872" s="188"/>
      <c r="AH872" s="188"/>
      <c r="AI872" s="188"/>
      <c r="AJ872" s="188"/>
      <c r="AK872" s="61"/>
      <c r="AL872" s="61"/>
      <c r="AM872" s="61"/>
      <c r="AN872" s="61"/>
      <c r="AO872" s="61"/>
    </row>
    <row r="873">
      <c r="A873" s="112"/>
      <c r="B873" s="149"/>
      <c r="C873" s="93"/>
      <c r="D873" s="61"/>
      <c r="E873" s="112"/>
      <c r="F873" s="149"/>
      <c r="G873" s="93"/>
      <c r="H873" s="61"/>
      <c r="I873" s="112"/>
      <c r="J873" s="149"/>
      <c r="K873" s="93"/>
      <c r="L873" s="61"/>
      <c r="M873" s="112"/>
      <c r="N873" s="115"/>
      <c r="O873" s="93"/>
      <c r="P873" s="61"/>
      <c r="Q873" s="180"/>
      <c r="R873" s="115"/>
      <c r="S873" s="93"/>
      <c r="T873" s="61"/>
      <c r="U873" s="180"/>
      <c r="V873" s="115"/>
      <c r="W873" s="93"/>
      <c r="X873" s="61"/>
      <c r="Y873" s="112"/>
      <c r="Z873" s="181"/>
      <c r="AA873" s="182"/>
      <c r="AB873" s="183"/>
      <c r="AC873" s="112"/>
      <c r="AD873" s="115"/>
      <c r="AE873" s="151"/>
      <c r="AF873" s="184"/>
      <c r="AG873" s="188"/>
      <c r="AH873" s="188"/>
      <c r="AI873" s="188"/>
      <c r="AJ873" s="188"/>
      <c r="AK873" s="61"/>
      <c r="AL873" s="61"/>
      <c r="AM873" s="61"/>
      <c r="AN873" s="61"/>
      <c r="AO873" s="61"/>
    </row>
    <row r="874">
      <c r="A874" s="112"/>
      <c r="B874" s="149"/>
      <c r="C874" s="93"/>
      <c r="D874" s="61"/>
      <c r="E874" s="112"/>
      <c r="F874" s="149"/>
      <c r="G874" s="93"/>
      <c r="H874" s="61"/>
      <c r="I874" s="112"/>
      <c r="J874" s="149"/>
      <c r="K874" s="93"/>
      <c r="L874" s="61"/>
      <c r="M874" s="112"/>
      <c r="N874" s="115"/>
      <c r="O874" s="93"/>
      <c r="P874" s="61"/>
      <c r="Q874" s="180"/>
      <c r="R874" s="115"/>
      <c r="S874" s="93"/>
      <c r="T874" s="61"/>
      <c r="U874" s="180"/>
      <c r="V874" s="115"/>
      <c r="W874" s="93"/>
      <c r="X874" s="61"/>
      <c r="Y874" s="112"/>
      <c r="Z874" s="181"/>
      <c r="AA874" s="182"/>
      <c r="AB874" s="183"/>
      <c r="AC874" s="112"/>
      <c r="AD874" s="115"/>
      <c r="AE874" s="151"/>
      <c r="AF874" s="184"/>
      <c r="AG874" s="188"/>
      <c r="AH874" s="188"/>
      <c r="AI874" s="188"/>
      <c r="AJ874" s="188"/>
      <c r="AK874" s="61"/>
      <c r="AL874" s="61"/>
      <c r="AM874" s="61"/>
      <c r="AN874" s="61"/>
      <c r="AO874" s="61"/>
    </row>
    <row r="875">
      <c r="A875" s="112"/>
      <c r="B875" s="149"/>
      <c r="C875" s="93"/>
      <c r="D875" s="61"/>
      <c r="E875" s="112"/>
      <c r="F875" s="149"/>
      <c r="G875" s="93"/>
      <c r="H875" s="61"/>
      <c r="I875" s="112"/>
      <c r="J875" s="149"/>
      <c r="K875" s="93"/>
      <c r="L875" s="61"/>
      <c r="M875" s="112"/>
      <c r="N875" s="115"/>
      <c r="O875" s="93"/>
      <c r="P875" s="61"/>
      <c r="Q875" s="180"/>
      <c r="R875" s="115"/>
      <c r="S875" s="93"/>
      <c r="T875" s="61"/>
      <c r="U875" s="180"/>
      <c r="V875" s="115"/>
      <c r="W875" s="93"/>
      <c r="X875" s="61"/>
      <c r="Y875" s="112"/>
      <c r="Z875" s="181"/>
      <c r="AA875" s="182"/>
      <c r="AB875" s="183"/>
      <c r="AC875" s="112"/>
      <c r="AD875" s="115"/>
      <c r="AE875" s="151"/>
      <c r="AF875" s="184"/>
      <c r="AG875" s="188"/>
      <c r="AH875" s="188"/>
      <c r="AI875" s="188"/>
      <c r="AJ875" s="188"/>
      <c r="AK875" s="61"/>
      <c r="AL875" s="61"/>
      <c r="AM875" s="61"/>
      <c r="AN875" s="61"/>
      <c r="AO875" s="61"/>
    </row>
    <row r="876">
      <c r="A876" s="112"/>
      <c r="B876" s="149"/>
      <c r="C876" s="93"/>
      <c r="D876" s="61"/>
      <c r="E876" s="112"/>
      <c r="F876" s="149"/>
      <c r="G876" s="93"/>
      <c r="H876" s="61"/>
      <c r="I876" s="112"/>
      <c r="J876" s="149"/>
      <c r="K876" s="93"/>
      <c r="L876" s="61"/>
      <c r="M876" s="112"/>
      <c r="N876" s="115"/>
      <c r="O876" s="93"/>
      <c r="P876" s="61"/>
      <c r="Q876" s="180"/>
      <c r="R876" s="115"/>
      <c r="S876" s="93"/>
      <c r="T876" s="61"/>
      <c r="U876" s="180"/>
      <c r="V876" s="115"/>
      <c r="W876" s="93"/>
      <c r="X876" s="61"/>
      <c r="Y876" s="112"/>
      <c r="Z876" s="181"/>
      <c r="AA876" s="182"/>
      <c r="AB876" s="183"/>
      <c r="AC876" s="112"/>
      <c r="AD876" s="115"/>
      <c r="AE876" s="151"/>
      <c r="AF876" s="184"/>
      <c r="AG876" s="188"/>
      <c r="AH876" s="188"/>
      <c r="AI876" s="188"/>
      <c r="AJ876" s="188"/>
      <c r="AK876" s="61"/>
      <c r="AL876" s="61"/>
      <c r="AM876" s="61"/>
      <c r="AN876" s="61"/>
      <c r="AO876" s="61"/>
    </row>
    <row r="877">
      <c r="A877" s="112"/>
      <c r="B877" s="149"/>
      <c r="C877" s="93"/>
      <c r="D877" s="61"/>
      <c r="E877" s="112"/>
      <c r="F877" s="149"/>
      <c r="G877" s="93"/>
      <c r="H877" s="61"/>
      <c r="I877" s="112"/>
      <c r="J877" s="149"/>
      <c r="K877" s="93"/>
      <c r="L877" s="61"/>
      <c r="M877" s="112"/>
      <c r="N877" s="115"/>
      <c r="O877" s="93"/>
      <c r="P877" s="61"/>
      <c r="Q877" s="180"/>
      <c r="R877" s="115"/>
      <c r="S877" s="93"/>
      <c r="T877" s="61"/>
      <c r="U877" s="180"/>
      <c r="V877" s="115"/>
      <c r="W877" s="93"/>
      <c r="X877" s="61"/>
      <c r="Y877" s="112"/>
      <c r="Z877" s="181"/>
      <c r="AA877" s="182"/>
      <c r="AB877" s="183"/>
      <c r="AC877" s="112"/>
      <c r="AD877" s="115"/>
      <c r="AE877" s="151"/>
      <c r="AF877" s="184"/>
      <c r="AG877" s="188"/>
      <c r="AH877" s="188"/>
      <c r="AI877" s="188"/>
      <c r="AJ877" s="188"/>
      <c r="AK877" s="61"/>
      <c r="AL877" s="61"/>
      <c r="AM877" s="61"/>
      <c r="AN877" s="61"/>
      <c r="AO877" s="61"/>
    </row>
    <row r="878">
      <c r="A878" s="112"/>
      <c r="B878" s="149"/>
      <c r="C878" s="93"/>
      <c r="D878" s="61"/>
      <c r="E878" s="112"/>
      <c r="F878" s="149"/>
      <c r="G878" s="93"/>
      <c r="H878" s="61"/>
      <c r="I878" s="112"/>
      <c r="J878" s="149"/>
      <c r="K878" s="93"/>
      <c r="L878" s="61"/>
      <c r="M878" s="112"/>
      <c r="N878" s="115"/>
      <c r="O878" s="93"/>
      <c r="P878" s="61"/>
      <c r="Q878" s="180"/>
      <c r="R878" s="115"/>
      <c r="S878" s="93"/>
      <c r="T878" s="61"/>
      <c r="U878" s="180"/>
      <c r="V878" s="115"/>
      <c r="W878" s="93"/>
      <c r="X878" s="61"/>
      <c r="Y878" s="112"/>
      <c r="Z878" s="181"/>
      <c r="AA878" s="182"/>
      <c r="AB878" s="183"/>
      <c r="AC878" s="112"/>
      <c r="AD878" s="115"/>
      <c r="AE878" s="151"/>
      <c r="AF878" s="184"/>
      <c r="AG878" s="188"/>
      <c r="AH878" s="188"/>
      <c r="AI878" s="188"/>
      <c r="AJ878" s="188"/>
      <c r="AK878" s="61"/>
      <c r="AL878" s="61"/>
      <c r="AM878" s="61"/>
      <c r="AN878" s="61"/>
      <c r="AO878" s="61"/>
    </row>
    <row r="879">
      <c r="A879" s="112"/>
      <c r="B879" s="149"/>
      <c r="C879" s="93"/>
      <c r="D879" s="61"/>
      <c r="E879" s="112"/>
      <c r="F879" s="149"/>
      <c r="G879" s="93"/>
      <c r="H879" s="61"/>
      <c r="I879" s="112"/>
      <c r="J879" s="149"/>
      <c r="K879" s="93"/>
      <c r="L879" s="61"/>
      <c r="M879" s="112"/>
      <c r="N879" s="115"/>
      <c r="O879" s="93"/>
      <c r="P879" s="61"/>
      <c r="Q879" s="180"/>
      <c r="R879" s="115"/>
      <c r="S879" s="93"/>
      <c r="T879" s="61"/>
      <c r="U879" s="180"/>
      <c r="V879" s="115"/>
      <c r="W879" s="93"/>
      <c r="X879" s="61"/>
      <c r="Y879" s="112"/>
      <c r="Z879" s="181"/>
      <c r="AA879" s="182"/>
      <c r="AB879" s="183"/>
      <c r="AC879" s="112"/>
      <c r="AD879" s="115"/>
      <c r="AE879" s="151"/>
      <c r="AF879" s="184"/>
      <c r="AG879" s="188"/>
      <c r="AH879" s="188"/>
      <c r="AI879" s="188"/>
      <c r="AJ879" s="188"/>
      <c r="AK879" s="61"/>
      <c r="AL879" s="61"/>
      <c r="AM879" s="61"/>
      <c r="AN879" s="61"/>
      <c r="AO879" s="61"/>
    </row>
    <row r="880">
      <c r="A880" s="112"/>
      <c r="B880" s="149"/>
      <c r="C880" s="93"/>
      <c r="D880" s="61"/>
      <c r="E880" s="112"/>
      <c r="F880" s="149"/>
      <c r="G880" s="93"/>
      <c r="H880" s="61"/>
      <c r="I880" s="112"/>
      <c r="J880" s="149"/>
      <c r="K880" s="93"/>
      <c r="L880" s="61"/>
      <c r="M880" s="112"/>
      <c r="N880" s="115"/>
      <c r="O880" s="93"/>
      <c r="P880" s="61"/>
      <c r="Q880" s="180"/>
      <c r="R880" s="115"/>
      <c r="S880" s="93"/>
      <c r="T880" s="61"/>
      <c r="U880" s="180"/>
      <c r="V880" s="115"/>
      <c r="W880" s="93"/>
      <c r="X880" s="61"/>
      <c r="Y880" s="112"/>
      <c r="Z880" s="181"/>
      <c r="AA880" s="182"/>
      <c r="AB880" s="183"/>
      <c r="AC880" s="112"/>
      <c r="AD880" s="115"/>
      <c r="AE880" s="151"/>
      <c r="AF880" s="184"/>
      <c r="AG880" s="188"/>
      <c r="AH880" s="188"/>
      <c r="AI880" s="188"/>
      <c r="AJ880" s="188"/>
      <c r="AK880" s="61"/>
      <c r="AL880" s="61"/>
      <c r="AM880" s="61"/>
      <c r="AN880" s="61"/>
      <c r="AO880" s="61"/>
    </row>
    <row r="881">
      <c r="A881" s="112"/>
      <c r="B881" s="149"/>
      <c r="C881" s="93"/>
      <c r="D881" s="61"/>
      <c r="E881" s="112"/>
      <c r="F881" s="149"/>
      <c r="G881" s="93"/>
      <c r="H881" s="61"/>
      <c r="I881" s="112"/>
      <c r="J881" s="149"/>
      <c r="K881" s="93"/>
      <c r="L881" s="61"/>
      <c r="M881" s="112"/>
      <c r="N881" s="115"/>
      <c r="O881" s="93"/>
      <c r="P881" s="61"/>
      <c r="Q881" s="180"/>
      <c r="R881" s="115"/>
      <c r="S881" s="93"/>
      <c r="T881" s="61"/>
      <c r="U881" s="180"/>
      <c r="V881" s="115"/>
      <c r="W881" s="93"/>
      <c r="X881" s="61"/>
      <c r="Y881" s="112"/>
      <c r="Z881" s="181"/>
      <c r="AA881" s="182"/>
      <c r="AB881" s="183"/>
      <c r="AC881" s="112"/>
      <c r="AD881" s="115"/>
      <c r="AE881" s="151"/>
      <c r="AF881" s="184"/>
      <c r="AG881" s="188"/>
      <c r="AH881" s="188"/>
      <c r="AI881" s="188"/>
      <c r="AJ881" s="188"/>
      <c r="AK881" s="61"/>
      <c r="AL881" s="61"/>
      <c r="AM881" s="61"/>
      <c r="AN881" s="61"/>
      <c r="AO881" s="61"/>
    </row>
    <row r="882">
      <c r="A882" s="112"/>
      <c r="B882" s="149"/>
      <c r="C882" s="93"/>
      <c r="D882" s="61"/>
      <c r="E882" s="112"/>
      <c r="F882" s="149"/>
      <c r="G882" s="93"/>
      <c r="H882" s="61"/>
      <c r="I882" s="112"/>
      <c r="J882" s="149"/>
      <c r="K882" s="93"/>
      <c r="L882" s="61"/>
      <c r="M882" s="112"/>
      <c r="N882" s="115"/>
      <c r="O882" s="93"/>
      <c r="P882" s="61"/>
      <c r="Q882" s="180"/>
      <c r="R882" s="115"/>
      <c r="S882" s="93"/>
      <c r="T882" s="61"/>
      <c r="U882" s="180"/>
      <c r="V882" s="115"/>
      <c r="W882" s="93"/>
      <c r="X882" s="61"/>
      <c r="Y882" s="112"/>
      <c r="Z882" s="181"/>
      <c r="AA882" s="182"/>
      <c r="AB882" s="183"/>
      <c r="AC882" s="112"/>
      <c r="AD882" s="115"/>
      <c r="AE882" s="151"/>
      <c r="AF882" s="184"/>
      <c r="AG882" s="188"/>
      <c r="AH882" s="188"/>
      <c r="AI882" s="188"/>
      <c r="AJ882" s="188"/>
      <c r="AK882" s="61"/>
      <c r="AL882" s="61"/>
      <c r="AM882" s="61"/>
      <c r="AN882" s="61"/>
      <c r="AO882" s="61"/>
    </row>
    <row r="883">
      <c r="A883" s="112"/>
      <c r="B883" s="149"/>
      <c r="C883" s="93"/>
      <c r="D883" s="61"/>
      <c r="E883" s="112"/>
      <c r="F883" s="149"/>
      <c r="G883" s="93"/>
      <c r="H883" s="61"/>
      <c r="I883" s="112"/>
      <c r="J883" s="149"/>
      <c r="K883" s="93"/>
      <c r="L883" s="61"/>
      <c r="M883" s="112"/>
      <c r="N883" s="115"/>
      <c r="O883" s="93"/>
      <c r="P883" s="61"/>
      <c r="Q883" s="180"/>
      <c r="R883" s="115"/>
      <c r="S883" s="93"/>
      <c r="T883" s="61"/>
      <c r="U883" s="180"/>
      <c r="V883" s="115"/>
      <c r="W883" s="93"/>
      <c r="X883" s="61"/>
      <c r="Y883" s="112"/>
      <c r="Z883" s="181"/>
      <c r="AA883" s="182"/>
      <c r="AB883" s="183"/>
      <c r="AC883" s="112"/>
      <c r="AD883" s="115"/>
      <c r="AE883" s="151"/>
      <c r="AF883" s="184"/>
      <c r="AG883" s="188"/>
      <c r="AH883" s="188"/>
      <c r="AI883" s="188"/>
      <c r="AJ883" s="188"/>
      <c r="AK883" s="61"/>
      <c r="AL883" s="61"/>
      <c r="AM883" s="61"/>
      <c r="AN883" s="61"/>
      <c r="AO883" s="61"/>
    </row>
    <row r="884">
      <c r="A884" s="112"/>
      <c r="B884" s="149"/>
      <c r="C884" s="93"/>
      <c r="D884" s="61"/>
      <c r="E884" s="112"/>
      <c r="F884" s="149"/>
      <c r="G884" s="93"/>
      <c r="H884" s="61"/>
      <c r="I884" s="112"/>
      <c r="J884" s="149"/>
      <c r="K884" s="93"/>
      <c r="L884" s="61"/>
      <c r="M884" s="112"/>
      <c r="N884" s="115"/>
      <c r="O884" s="93"/>
      <c r="P884" s="61"/>
      <c r="Q884" s="180"/>
      <c r="R884" s="115"/>
      <c r="S884" s="93"/>
      <c r="T884" s="61"/>
      <c r="U884" s="180"/>
      <c r="V884" s="115"/>
      <c r="W884" s="93"/>
      <c r="X884" s="61"/>
      <c r="Y884" s="112"/>
      <c r="Z884" s="181"/>
      <c r="AA884" s="182"/>
      <c r="AB884" s="183"/>
      <c r="AC884" s="112"/>
      <c r="AD884" s="115"/>
      <c r="AE884" s="151"/>
      <c r="AF884" s="184"/>
      <c r="AG884" s="188"/>
      <c r="AH884" s="188"/>
      <c r="AI884" s="188"/>
      <c r="AJ884" s="188"/>
      <c r="AK884" s="61"/>
      <c r="AL884" s="61"/>
      <c r="AM884" s="61"/>
      <c r="AN884" s="61"/>
      <c r="AO884" s="61"/>
    </row>
    <row r="885">
      <c r="A885" s="112"/>
      <c r="B885" s="149"/>
      <c r="C885" s="93"/>
      <c r="D885" s="61"/>
      <c r="E885" s="112"/>
      <c r="F885" s="149"/>
      <c r="G885" s="93"/>
      <c r="H885" s="61"/>
      <c r="I885" s="112"/>
      <c r="J885" s="149"/>
      <c r="K885" s="93"/>
      <c r="L885" s="61"/>
      <c r="M885" s="112"/>
      <c r="N885" s="115"/>
      <c r="O885" s="93"/>
      <c r="P885" s="61"/>
      <c r="Q885" s="180"/>
      <c r="R885" s="115"/>
      <c r="S885" s="93"/>
      <c r="T885" s="61"/>
      <c r="U885" s="180"/>
      <c r="V885" s="115"/>
      <c r="W885" s="93"/>
      <c r="X885" s="61"/>
      <c r="Y885" s="112"/>
      <c r="Z885" s="181"/>
      <c r="AA885" s="182"/>
      <c r="AB885" s="183"/>
      <c r="AC885" s="112"/>
      <c r="AD885" s="115"/>
      <c r="AE885" s="151"/>
      <c r="AF885" s="184"/>
      <c r="AG885" s="188"/>
      <c r="AH885" s="188"/>
      <c r="AI885" s="188"/>
      <c r="AJ885" s="188"/>
      <c r="AK885" s="61"/>
      <c r="AL885" s="61"/>
      <c r="AM885" s="61"/>
      <c r="AN885" s="61"/>
      <c r="AO885" s="61"/>
    </row>
    <row r="886">
      <c r="A886" s="112"/>
      <c r="B886" s="149"/>
      <c r="C886" s="93"/>
      <c r="D886" s="61"/>
      <c r="E886" s="112"/>
      <c r="F886" s="149"/>
      <c r="G886" s="93"/>
      <c r="H886" s="61"/>
      <c r="I886" s="112"/>
      <c r="J886" s="149"/>
      <c r="K886" s="93"/>
      <c r="L886" s="61"/>
      <c r="M886" s="112"/>
      <c r="N886" s="115"/>
      <c r="O886" s="93"/>
      <c r="P886" s="61"/>
      <c r="Q886" s="180"/>
      <c r="R886" s="115"/>
      <c r="S886" s="93"/>
      <c r="T886" s="61"/>
      <c r="U886" s="180"/>
      <c r="V886" s="115"/>
      <c r="W886" s="93"/>
      <c r="X886" s="61"/>
      <c r="Y886" s="112"/>
      <c r="Z886" s="181"/>
      <c r="AA886" s="182"/>
      <c r="AB886" s="183"/>
      <c r="AC886" s="112"/>
      <c r="AD886" s="115"/>
      <c r="AE886" s="151"/>
      <c r="AF886" s="184"/>
      <c r="AG886" s="188"/>
      <c r="AH886" s="188"/>
      <c r="AI886" s="188"/>
      <c r="AJ886" s="188"/>
      <c r="AK886" s="61"/>
      <c r="AL886" s="61"/>
      <c r="AM886" s="61"/>
      <c r="AN886" s="61"/>
      <c r="AO886" s="61"/>
    </row>
    <row r="887">
      <c r="A887" s="112"/>
      <c r="B887" s="149"/>
      <c r="C887" s="93"/>
      <c r="D887" s="61"/>
      <c r="E887" s="112"/>
      <c r="F887" s="149"/>
      <c r="G887" s="93"/>
      <c r="H887" s="61"/>
      <c r="I887" s="112"/>
      <c r="J887" s="149"/>
      <c r="K887" s="93"/>
      <c r="L887" s="61"/>
      <c r="M887" s="112"/>
      <c r="N887" s="115"/>
      <c r="O887" s="93"/>
      <c r="P887" s="61"/>
      <c r="Q887" s="180"/>
      <c r="R887" s="115"/>
      <c r="S887" s="93"/>
      <c r="T887" s="61"/>
      <c r="U887" s="180"/>
      <c r="V887" s="115"/>
      <c r="W887" s="93"/>
      <c r="X887" s="61"/>
      <c r="Y887" s="112"/>
      <c r="Z887" s="181"/>
      <c r="AA887" s="182"/>
      <c r="AB887" s="183"/>
      <c r="AC887" s="112"/>
      <c r="AD887" s="115"/>
      <c r="AE887" s="151"/>
      <c r="AF887" s="184"/>
      <c r="AG887" s="188"/>
      <c r="AH887" s="188"/>
      <c r="AI887" s="188"/>
      <c r="AJ887" s="188"/>
      <c r="AK887" s="61"/>
      <c r="AL887" s="61"/>
      <c r="AM887" s="61"/>
      <c r="AN887" s="61"/>
      <c r="AO887" s="61"/>
    </row>
    <row r="888">
      <c r="A888" s="112"/>
      <c r="B888" s="149"/>
      <c r="C888" s="93"/>
      <c r="D888" s="61"/>
      <c r="E888" s="112"/>
      <c r="F888" s="149"/>
      <c r="G888" s="93"/>
      <c r="H888" s="61"/>
      <c r="I888" s="112"/>
      <c r="J888" s="149"/>
      <c r="K888" s="93"/>
      <c r="L888" s="61"/>
      <c r="M888" s="112"/>
      <c r="N888" s="115"/>
      <c r="O888" s="93"/>
      <c r="P888" s="61"/>
      <c r="Q888" s="180"/>
      <c r="R888" s="115"/>
      <c r="S888" s="93"/>
      <c r="T888" s="61"/>
      <c r="U888" s="180"/>
      <c r="V888" s="115"/>
      <c r="W888" s="93"/>
      <c r="X888" s="61"/>
      <c r="Y888" s="112"/>
      <c r="Z888" s="181"/>
      <c r="AA888" s="182"/>
      <c r="AB888" s="183"/>
      <c r="AC888" s="112"/>
      <c r="AD888" s="115"/>
      <c r="AE888" s="151"/>
      <c r="AF888" s="184"/>
      <c r="AG888" s="188"/>
      <c r="AH888" s="188"/>
      <c r="AI888" s="188"/>
      <c r="AJ888" s="188"/>
      <c r="AK888" s="61"/>
      <c r="AL888" s="61"/>
      <c r="AM888" s="61"/>
      <c r="AN888" s="61"/>
      <c r="AO888" s="61"/>
    </row>
    <row r="889">
      <c r="A889" s="112"/>
      <c r="B889" s="149"/>
      <c r="C889" s="93"/>
      <c r="D889" s="61"/>
      <c r="E889" s="112"/>
      <c r="F889" s="149"/>
      <c r="G889" s="93"/>
      <c r="H889" s="61"/>
      <c r="I889" s="112"/>
      <c r="J889" s="149"/>
      <c r="K889" s="93"/>
      <c r="L889" s="61"/>
      <c r="M889" s="112"/>
      <c r="N889" s="115"/>
      <c r="O889" s="93"/>
      <c r="P889" s="61"/>
      <c r="Q889" s="180"/>
      <c r="R889" s="115"/>
      <c r="S889" s="93"/>
      <c r="T889" s="61"/>
      <c r="U889" s="180"/>
      <c r="V889" s="115"/>
      <c r="W889" s="93"/>
      <c r="X889" s="61"/>
      <c r="Y889" s="112"/>
      <c r="Z889" s="181"/>
      <c r="AA889" s="182"/>
      <c r="AB889" s="183"/>
      <c r="AC889" s="112"/>
      <c r="AD889" s="115"/>
      <c r="AE889" s="151"/>
      <c r="AF889" s="184"/>
      <c r="AG889" s="188"/>
      <c r="AH889" s="188"/>
      <c r="AI889" s="188"/>
      <c r="AJ889" s="188"/>
      <c r="AK889" s="61"/>
      <c r="AL889" s="61"/>
      <c r="AM889" s="61"/>
      <c r="AN889" s="61"/>
      <c r="AO889" s="61"/>
    </row>
    <row r="890">
      <c r="A890" s="112"/>
      <c r="B890" s="149"/>
      <c r="C890" s="93"/>
      <c r="D890" s="61"/>
      <c r="E890" s="112"/>
      <c r="F890" s="149"/>
      <c r="G890" s="93"/>
      <c r="H890" s="61"/>
      <c r="I890" s="112"/>
      <c r="J890" s="149"/>
      <c r="K890" s="93"/>
      <c r="L890" s="61"/>
      <c r="M890" s="112"/>
      <c r="N890" s="115"/>
      <c r="O890" s="93"/>
      <c r="P890" s="61"/>
      <c r="Q890" s="180"/>
      <c r="R890" s="115"/>
      <c r="S890" s="93"/>
      <c r="T890" s="61"/>
      <c r="U890" s="180"/>
      <c r="V890" s="115"/>
      <c r="W890" s="93"/>
      <c r="X890" s="61"/>
      <c r="Y890" s="112"/>
      <c r="Z890" s="181"/>
      <c r="AA890" s="182"/>
      <c r="AB890" s="183"/>
      <c r="AC890" s="112"/>
      <c r="AD890" s="115"/>
      <c r="AE890" s="151"/>
      <c r="AF890" s="184"/>
      <c r="AG890" s="188"/>
      <c r="AH890" s="188"/>
      <c r="AI890" s="188"/>
      <c r="AJ890" s="188"/>
      <c r="AK890" s="61"/>
      <c r="AL890" s="61"/>
      <c r="AM890" s="61"/>
      <c r="AN890" s="61"/>
      <c r="AO890" s="61"/>
    </row>
    <row r="891">
      <c r="A891" s="112"/>
      <c r="B891" s="149"/>
      <c r="C891" s="93"/>
      <c r="D891" s="61"/>
      <c r="E891" s="112"/>
      <c r="F891" s="149"/>
      <c r="G891" s="93"/>
      <c r="H891" s="61"/>
      <c r="I891" s="112"/>
      <c r="J891" s="149"/>
      <c r="K891" s="93"/>
      <c r="L891" s="61"/>
      <c r="M891" s="112"/>
      <c r="N891" s="115"/>
      <c r="O891" s="93"/>
      <c r="P891" s="61"/>
      <c r="Q891" s="180"/>
      <c r="R891" s="115"/>
      <c r="S891" s="93"/>
      <c r="T891" s="61"/>
      <c r="U891" s="180"/>
      <c r="V891" s="115"/>
      <c r="W891" s="93"/>
      <c r="X891" s="61"/>
      <c r="Y891" s="112"/>
      <c r="Z891" s="181"/>
      <c r="AA891" s="182"/>
      <c r="AB891" s="183"/>
      <c r="AC891" s="112"/>
      <c r="AD891" s="115"/>
      <c r="AE891" s="151"/>
      <c r="AF891" s="184"/>
      <c r="AG891" s="188"/>
      <c r="AH891" s="188"/>
      <c r="AI891" s="188"/>
      <c r="AJ891" s="188"/>
      <c r="AK891" s="61"/>
      <c r="AL891" s="61"/>
      <c r="AM891" s="61"/>
      <c r="AN891" s="61"/>
      <c r="AO891" s="61"/>
    </row>
    <row r="892">
      <c r="A892" s="112"/>
      <c r="B892" s="149"/>
      <c r="C892" s="93"/>
      <c r="D892" s="61"/>
      <c r="E892" s="112"/>
      <c r="F892" s="149"/>
      <c r="G892" s="93"/>
      <c r="H892" s="61"/>
      <c r="I892" s="112"/>
      <c r="J892" s="149"/>
      <c r="K892" s="93"/>
      <c r="L892" s="61"/>
      <c r="M892" s="112"/>
      <c r="N892" s="115"/>
      <c r="O892" s="93"/>
      <c r="P892" s="61"/>
      <c r="Q892" s="180"/>
      <c r="R892" s="115"/>
      <c r="S892" s="93"/>
      <c r="T892" s="61"/>
      <c r="U892" s="180"/>
      <c r="V892" s="115"/>
      <c r="W892" s="93"/>
      <c r="X892" s="61"/>
      <c r="Y892" s="112"/>
      <c r="Z892" s="181"/>
      <c r="AA892" s="182"/>
      <c r="AB892" s="183"/>
      <c r="AC892" s="112"/>
      <c r="AD892" s="115"/>
      <c r="AE892" s="151"/>
      <c r="AF892" s="184"/>
      <c r="AG892" s="188"/>
      <c r="AH892" s="188"/>
      <c r="AI892" s="188"/>
      <c r="AJ892" s="188"/>
      <c r="AK892" s="61"/>
      <c r="AL892" s="61"/>
      <c r="AM892" s="61"/>
      <c r="AN892" s="61"/>
      <c r="AO892" s="61"/>
    </row>
    <row r="893">
      <c r="A893" s="112"/>
      <c r="B893" s="149"/>
      <c r="C893" s="93"/>
      <c r="D893" s="61"/>
      <c r="E893" s="112"/>
      <c r="F893" s="149"/>
      <c r="G893" s="93"/>
      <c r="H893" s="61"/>
      <c r="I893" s="112"/>
      <c r="J893" s="149"/>
      <c r="K893" s="93"/>
      <c r="L893" s="61"/>
      <c r="M893" s="112"/>
      <c r="N893" s="115"/>
      <c r="O893" s="93"/>
      <c r="P893" s="61"/>
      <c r="Q893" s="180"/>
      <c r="R893" s="115"/>
      <c r="S893" s="93"/>
      <c r="T893" s="61"/>
      <c r="U893" s="180"/>
      <c r="V893" s="115"/>
      <c r="W893" s="93"/>
      <c r="X893" s="61"/>
      <c r="Y893" s="112"/>
      <c r="Z893" s="181"/>
      <c r="AA893" s="182"/>
      <c r="AB893" s="183"/>
      <c r="AC893" s="112"/>
      <c r="AD893" s="115"/>
      <c r="AE893" s="151"/>
      <c r="AF893" s="184"/>
      <c r="AG893" s="188"/>
      <c r="AH893" s="188"/>
      <c r="AI893" s="188"/>
      <c r="AJ893" s="188"/>
      <c r="AK893" s="61"/>
      <c r="AL893" s="61"/>
      <c r="AM893" s="61"/>
      <c r="AN893" s="61"/>
      <c r="AO893" s="61"/>
    </row>
    <row r="894">
      <c r="A894" s="112"/>
      <c r="B894" s="149"/>
      <c r="C894" s="93"/>
      <c r="D894" s="61"/>
      <c r="E894" s="112"/>
      <c r="F894" s="149"/>
      <c r="G894" s="93"/>
      <c r="H894" s="61"/>
      <c r="I894" s="112"/>
      <c r="J894" s="149"/>
      <c r="K894" s="93"/>
      <c r="L894" s="61"/>
      <c r="M894" s="112"/>
      <c r="N894" s="115"/>
      <c r="O894" s="93"/>
      <c r="P894" s="61"/>
      <c r="Q894" s="180"/>
      <c r="R894" s="115"/>
      <c r="S894" s="93"/>
      <c r="T894" s="61"/>
      <c r="U894" s="180"/>
      <c r="V894" s="115"/>
      <c r="W894" s="93"/>
      <c r="X894" s="61"/>
      <c r="Y894" s="112"/>
      <c r="Z894" s="181"/>
      <c r="AA894" s="182"/>
      <c r="AB894" s="183"/>
      <c r="AC894" s="112"/>
      <c r="AD894" s="115"/>
      <c r="AE894" s="151"/>
      <c r="AF894" s="184"/>
      <c r="AG894" s="188"/>
      <c r="AH894" s="188"/>
      <c r="AI894" s="188"/>
      <c r="AJ894" s="188"/>
      <c r="AK894" s="61"/>
      <c r="AL894" s="61"/>
      <c r="AM894" s="61"/>
      <c r="AN894" s="61"/>
      <c r="AO894" s="61"/>
    </row>
    <row r="895">
      <c r="A895" s="112"/>
      <c r="B895" s="149"/>
      <c r="C895" s="93"/>
      <c r="D895" s="61"/>
      <c r="E895" s="112"/>
      <c r="F895" s="149"/>
      <c r="G895" s="93"/>
      <c r="H895" s="61"/>
      <c r="I895" s="112"/>
      <c r="J895" s="149"/>
      <c r="K895" s="93"/>
      <c r="L895" s="61"/>
      <c r="M895" s="112"/>
      <c r="N895" s="115"/>
      <c r="O895" s="93"/>
      <c r="P895" s="61"/>
      <c r="Q895" s="180"/>
      <c r="R895" s="115"/>
      <c r="S895" s="93"/>
      <c r="T895" s="61"/>
      <c r="U895" s="180"/>
      <c r="V895" s="115"/>
      <c r="W895" s="93"/>
      <c r="X895" s="61"/>
      <c r="Y895" s="112"/>
      <c r="Z895" s="181"/>
      <c r="AA895" s="182"/>
      <c r="AB895" s="183"/>
      <c r="AC895" s="112"/>
      <c r="AD895" s="115"/>
      <c r="AE895" s="151"/>
      <c r="AF895" s="184"/>
      <c r="AG895" s="188"/>
      <c r="AH895" s="188"/>
      <c r="AI895" s="188"/>
      <c r="AJ895" s="188"/>
      <c r="AK895" s="61"/>
      <c r="AL895" s="61"/>
      <c r="AM895" s="61"/>
      <c r="AN895" s="61"/>
      <c r="AO895" s="61"/>
    </row>
    <row r="896">
      <c r="A896" s="112"/>
      <c r="B896" s="149"/>
      <c r="C896" s="93"/>
      <c r="D896" s="61"/>
      <c r="E896" s="112"/>
      <c r="F896" s="149"/>
      <c r="G896" s="93"/>
      <c r="H896" s="61"/>
      <c r="I896" s="112"/>
      <c r="J896" s="149"/>
      <c r="K896" s="93"/>
      <c r="L896" s="61"/>
      <c r="M896" s="112"/>
      <c r="N896" s="115"/>
      <c r="O896" s="93"/>
      <c r="P896" s="61"/>
      <c r="Q896" s="180"/>
      <c r="R896" s="115"/>
      <c r="S896" s="93"/>
      <c r="T896" s="61"/>
      <c r="U896" s="180"/>
      <c r="V896" s="115"/>
      <c r="W896" s="93"/>
      <c r="X896" s="61"/>
      <c r="Y896" s="112"/>
      <c r="Z896" s="181"/>
      <c r="AA896" s="182"/>
      <c r="AB896" s="183"/>
      <c r="AC896" s="112"/>
      <c r="AD896" s="115"/>
      <c r="AE896" s="151"/>
      <c r="AF896" s="184"/>
      <c r="AG896" s="188"/>
      <c r="AH896" s="188"/>
      <c r="AI896" s="188"/>
      <c r="AJ896" s="188"/>
      <c r="AK896" s="61"/>
      <c r="AL896" s="61"/>
      <c r="AM896" s="61"/>
      <c r="AN896" s="61"/>
      <c r="AO896" s="61"/>
    </row>
    <row r="897">
      <c r="A897" s="112"/>
      <c r="B897" s="149"/>
      <c r="C897" s="93"/>
      <c r="D897" s="61"/>
      <c r="E897" s="112"/>
      <c r="F897" s="149"/>
      <c r="G897" s="93"/>
      <c r="H897" s="61"/>
      <c r="I897" s="112"/>
      <c r="J897" s="149"/>
      <c r="K897" s="93"/>
      <c r="L897" s="61"/>
      <c r="M897" s="112"/>
      <c r="N897" s="115"/>
      <c r="O897" s="93"/>
      <c r="P897" s="61"/>
      <c r="Q897" s="180"/>
      <c r="R897" s="115"/>
      <c r="S897" s="93"/>
      <c r="T897" s="61"/>
      <c r="U897" s="180"/>
      <c r="V897" s="115"/>
      <c r="W897" s="93"/>
      <c r="X897" s="61"/>
      <c r="Y897" s="112"/>
      <c r="Z897" s="181"/>
      <c r="AA897" s="182"/>
      <c r="AB897" s="183"/>
      <c r="AC897" s="112"/>
      <c r="AD897" s="115"/>
      <c r="AE897" s="151"/>
      <c r="AF897" s="184"/>
      <c r="AG897" s="188"/>
      <c r="AH897" s="188"/>
      <c r="AI897" s="188"/>
      <c r="AJ897" s="188"/>
      <c r="AK897" s="61"/>
      <c r="AL897" s="61"/>
      <c r="AM897" s="61"/>
      <c r="AN897" s="61"/>
      <c r="AO897" s="61"/>
    </row>
    <row r="898">
      <c r="A898" s="112"/>
      <c r="B898" s="149"/>
      <c r="C898" s="93"/>
      <c r="D898" s="61"/>
      <c r="E898" s="112"/>
      <c r="F898" s="149"/>
      <c r="G898" s="93"/>
      <c r="H898" s="61"/>
      <c r="I898" s="112"/>
      <c r="J898" s="149"/>
      <c r="K898" s="93"/>
      <c r="L898" s="61"/>
      <c r="M898" s="112"/>
      <c r="N898" s="115"/>
      <c r="O898" s="93"/>
      <c r="P898" s="61"/>
      <c r="Q898" s="180"/>
      <c r="R898" s="115"/>
      <c r="S898" s="93"/>
      <c r="T898" s="61"/>
      <c r="U898" s="180"/>
      <c r="V898" s="115"/>
      <c r="W898" s="93"/>
      <c r="X898" s="61"/>
      <c r="Y898" s="112"/>
      <c r="Z898" s="181"/>
      <c r="AA898" s="182"/>
      <c r="AB898" s="183"/>
      <c r="AC898" s="112"/>
      <c r="AD898" s="115"/>
      <c r="AE898" s="151"/>
      <c r="AF898" s="184"/>
      <c r="AG898" s="188"/>
      <c r="AH898" s="188"/>
      <c r="AI898" s="188"/>
      <c r="AJ898" s="188"/>
      <c r="AK898" s="61"/>
      <c r="AL898" s="61"/>
      <c r="AM898" s="61"/>
      <c r="AN898" s="61"/>
      <c r="AO898" s="61"/>
    </row>
    <row r="899">
      <c r="A899" s="112"/>
      <c r="B899" s="149"/>
      <c r="C899" s="93"/>
      <c r="D899" s="61"/>
      <c r="E899" s="112"/>
      <c r="F899" s="149"/>
      <c r="G899" s="93"/>
      <c r="H899" s="61"/>
      <c r="I899" s="112"/>
      <c r="J899" s="149"/>
      <c r="K899" s="93"/>
      <c r="L899" s="61"/>
      <c r="M899" s="112"/>
      <c r="N899" s="115"/>
      <c r="O899" s="93"/>
      <c r="P899" s="61"/>
      <c r="Q899" s="180"/>
      <c r="R899" s="115"/>
      <c r="S899" s="93"/>
      <c r="T899" s="61"/>
      <c r="U899" s="180"/>
      <c r="V899" s="115"/>
      <c r="W899" s="93"/>
      <c r="X899" s="61"/>
      <c r="Y899" s="112"/>
      <c r="Z899" s="181"/>
      <c r="AA899" s="182"/>
      <c r="AB899" s="183"/>
      <c r="AC899" s="112"/>
      <c r="AD899" s="115"/>
      <c r="AE899" s="151"/>
      <c r="AF899" s="184"/>
      <c r="AG899" s="188"/>
      <c r="AH899" s="188"/>
      <c r="AI899" s="188"/>
      <c r="AJ899" s="188"/>
      <c r="AK899" s="61"/>
      <c r="AL899" s="61"/>
      <c r="AM899" s="61"/>
      <c r="AN899" s="61"/>
      <c r="AO899" s="61"/>
    </row>
    <row r="900">
      <c r="A900" s="112"/>
      <c r="B900" s="149"/>
      <c r="C900" s="93"/>
      <c r="D900" s="61"/>
      <c r="E900" s="112"/>
      <c r="F900" s="149"/>
      <c r="G900" s="93"/>
      <c r="H900" s="61"/>
      <c r="I900" s="112"/>
      <c r="J900" s="149"/>
      <c r="K900" s="93"/>
      <c r="L900" s="61"/>
      <c r="M900" s="112"/>
      <c r="N900" s="115"/>
      <c r="O900" s="93"/>
      <c r="P900" s="61"/>
      <c r="Q900" s="180"/>
      <c r="R900" s="115"/>
      <c r="S900" s="93"/>
      <c r="T900" s="61"/>
      <c r="U900" s="180"/>
      <c r="V900" s="115"/>
      <c r="W900" s="93"/>
      <c r="X900" s="61"/>
      <c r="Y900" s="112"/>
      <c r="Z900" s="181"/>
      <c r="AA900" s="182"/>
      <c r="AB900" s="183"/>
      <c r="AC900" s="112"/>
      <c r="AD900" s="115"/>
      <c r="AE900" s="151"/>
      <c r="AF900" s="184"/>
      <c r="AG900" s="188"/>
      <c r="AH900" s="188"/>
      <c r="AI900" s="188"/>
      <c r="AJ900" s="188"/>
      <c r="AK900" s="61"/>
      <c r="AL900" s="61"/>
      <c r="AM900" s="61"/>
      <c r="AN900" s="61"/>
      <c r="AO900" s="61"/>
    </row>
    <row r="901">
      <c r="A901" s="112"/>
      <c r="B901" s="149"/>
      <c r="C901" s="93"/>
      <c r="D901" s="61"/>
      <c r="E901" s="112"/>
      <c r="F901" s="149"/>
      <c r="G901" s="93"/>
      <c r="H901" s="61"/>
      <c r="I901" s="112"/>
      <c r="J901" s="149"/>
      <c r="K901" s="93"/>
      <c r="L901" s="61"/>
      <c r="M901" s="112"/>
      <c r="N901" s="115"/>
      <c r="O901" s="93"/>
      <c r="P901" s="61"/>
      <c r="Q901" s="180"/>
      <c r="R901" s="115"/>
      <c r="S901" s="93"/>
      <c r="T901" s="61"/>
      <c r="U901" s="180"/>
      <c r="V901" s="115"/>
      <c r="W901" s="93"/>
      <c r="X901" s="61"/>
      <c r="Y901" s="112"/>
      <c r="Z901" s="181"/>
      <c r="AA901" s="182"/>
      <c r="AB901" s="183"/>
      <c r="AC901" s="112"/>
      <c r="AD901" s="115"/>
      <c r="AE901" s="151"/>
      <c r="AF901" s="184"/>
      <c r="AG901" s="188"/>
      <c r="AH901" s="188"/>
      <c r="AI901" s="188"/>
      <c r="AJ901" s="188"/>
      <c r="AK901" s="61"/>
      <c r="AL901" s="61"/>
      <c r="AM901" s="61"/>
      <c r="AN901" s="61"/>
      <c r="AO901" s="61"/>
    </row>
    <row r="902">
      <c r="A902" s="112"/>
      <c r="B902" s="149"/>
      <c r="C902" s="93"/>
      <c r="D902" s="61"/>
      <c r="E902" s="112"/>
      <c r="F902" s="149"/>
      <c r="G902" s="93"/>
      <c r="H902" s="61"/>
      <c r="I902" s="112"/>
      <c r="J902" s="149"/>
      <c r="K902" s="93"/>
      <c r="L902" s="61"/>
      <c r="M902" s="112"/>
      <c r="N902" s="115"/>
      <c r="O902" s="93"/>
      <c r="P902" s="61"/>
      <c r="Q902" s="180"/>
      <c r="R902" s="115"/>
      <c r="S902" s="93"/>
      <c r="T902" s="61"/>
      <c r="U902" s="180"/>
      <c r="V902" s="115"/>
      <c r="W902" s="93"/>
      <c r="X902" s="61"/>
      <c r="Y902" s="112"/>
      <c r="Z902" s="181"/>
      <c r="AA902" s="182"/>
      <c r="AB902" s="183"/>
      <c r="AC902" s="112"/>
      <c r="AD902" s="115"/>
      <c r="AE902" s="151"/>
      <c r="AF902" s="184"/>
      <c r="AG902" s="188"/>
      <c r="AH902" s="188"/>
      <c r="AI902" s="188"/>
      <c r="AJ902" s="188"/>
      <c r="AK902" s="61"/>
      <c r="AL902" s="61"/>
      <c r="AM902" s="61"/>
      <c r="AN902" s="61"/>
      <c r="AO902" s="61"/>
    </row>
    <row r="903">
      <c r="A903" s="112"/>
      <c r="B903" s="149"/>
      <c r="C903" s="93"/>
      <c r="D903" s="61"/>
      <c r="E903" s="112"/>
      <c r="F903" s="149"/>
      <c r="G903" s="93"/>
      <c r="H903" s="61"/>
      <c r="I903" s="112"/>
      <c r="J903" s="149"/>
      <c r="K903" s="93"/>
      <c r="L903" s="61"/>
      <c r="M903" s="112"/>
      <c r="N903" s="115"/>
      <c r="O903" s="93"/>
      <c r="P903" s="61"/>
      <c r="Q903" s="180"/>
      <c r="R903" s="115"/>
      <c r="S903" s="93"/>
      <c r="T903" s="61"/>
      <c r="U903" s="180"/>
      <c r="V903" s="115"/>
      <c r="W903" s="93"/>
      <c r="X903" s="61"/>
      <c r="Y903" s="112"/>
      <c r="Z903" s="181"/>
      <c r="AA903" s="182"/>
      <c r="AB903" s="183"/>
      <c r="AC903" s="112"/>
      <c r="AD903" s="115"/>
      <c r="AE903" s="151"/>
      <c r="AF903" s="184"/>
      <c r="AG903" s="188"/>
      <c r="AH903" s="188"/>
      <c r="AI903" s="188"/>
      <c r="AJ903" s="188"/>
      <c r="AK903" s="61"/>
      <c r="AL903" s="61"/>
      <c r="AM903" s="61"/>
      <c r="AN903" s="61"/>
      <c r="AO903" s="61"/>
    </row>
    <row r="904">
      <c r="A904" s="112"/>
      <c r="B904" s="149"/>
      <c r="C904" s="93"/>
      <c r="D904" s="61"/>
      <c r="E904" s="112"/>
      <c r="F904" s="149"/>
      <c r="G904" s="93"/>
      <c r="H904" s="61"/>
      <c r="I904" s="112"/>
      <c r="J904" s="149"/>
      <c r="K904" s="93"/>
      <c r="L904" s="61"/>
      <c r="M904" s="112"/>
      <c r="N904" s="115"/>
      <c r="O904" s="93"/>
      <c r="P904" s="61"/>
      <c r="Q904" s="180"/>
      <c r="R904" s="115"/>
      <c r="S904" s="93"/>
      <c r="T904" s="61"/>
      <c r="U904" s="180"/>
      <c r="V904" s="115"/>
      <c r="W904" s="93"/>
      <c r="X904" s="61"/>
      <c r="Y904" s="112"/>
      <c r="Z904" s="181"/>
      <c r="AA904" s="182"/>
      <c r="AB904" s="183"/>
      <c r="AC904" s="112"/>
      <c r="AD904" s="115"/>
      <c r="AE904" s="151"/>
      <c r="AF904" s="184"/>
      <c r="AG904" s="188"/>
      <c r="AH904" s="188"/>
      <c r="AI904" s="188"/>
      <c r="AJ904" s="188"/>
      <c r="AK904" s="61"/>
      <c r="AL904" s="61"/>
      <c r="AM904" s="61"/>
      <c r="AN904" s="61"/>
      <c r="AO904" s="61"/>
    </row>
    <row r="905">
      <c r="A905" s="112"/>
      <c r="B905" s="149"/>
      <c r="C905" s="93"/>
      <c r="D905" s="61"/>
      <c r="E905" s="112"/>
      <c r="F905" s="149"/>
      <c r="G905" s="93"/>
      <c r="H905" s="61"/>
      <c r="I905" s="112"/>
      <c r="J905" s="149"/>
      <c r="K905" s="93"/>
      <c r="L905" s="61"/>
      <c r="M905" s="112"/>
      <c r="N905" s="115"/>
      <c r="O905" s="93"/>
      <c r="P905" s="61"/>
      <c r="Q905" s="180"/>
      <c r="R905" s="115"/>
      <c r="S905" s="93"/>
      <c r="T905" s="61"/>
      <c r="U905" s="180"/>
      <c r="V905" s="115"/>
      <c r="W905" s="93"/>
      <c r="X905" s="61"/>
      <c r="Y905" s="112"/>
      <c r="Z905" s="181"/>
      <c r="AA905" s="182"/>
      <c r="AB905" s="183"/>
      <c r="AC905" s="112"/>
      <c r="AD905" s="115"/>
      <c r="AE905" s="151"/>
      <c r="AF905" s="184"/>
      <c r="AG905" s="188"/>
      <c r="AH905" s="188"/>
      <c r="AI905" s="188"/>
      <c r="AJ905" s="188"/>
      <c r="AK905" s="61"/>
      <c r="AL905" s="61"/>
      <c r="AM905" s="61"/>
      <c r="AN905" s="61"/>
      <c r="AO905" s="61"/>
    </row>
    <row r="906">
      <c r="A906" s="112"/>
      <c r="B906" s="149"/>
      <c r="C906" s="93"/>
      <c r="D906" s="61"/>
      <c r="E906" s="112"/>
      <c r="F906" s="149"/>
      <c r="G906" s="93"/>
      <c r="H906" s="61"/>
      <c r="I906" s="112"/>
      <c r="J906" s="149"/>
      <c r="K906" s="93"/>
      <c r="L906" s="61"/>
      <c r="M906" s="112"/>
      <c r="N906" s="115"/>
      <c r="O906" s="93"/>
      <c r="P906" s="61"/>
      <c r="Q906" s="180"/>
      <c r="R906" s="115"/>
      <c r="S906" s="93"/>
      <c r="T906" s="61"/>
      <c r="U906" s="180"/>
      <c r="V906" s="115"/>
      <c r="W906" s="93"/>
      <c r="X906" s="61"/>
      <c r="Y906" s="112"/>
      <c r="Z906" s="181"/>
      <c r="AA906" s="182"/>
      <c r="AB906" s="183"/>
      <c r="AC906" s="112"/>
      <c r="AD906" s="115"/>
      <c r="AE906" s="151"/>
      <c r="AF906" s="184"/>
      <c r="AG906" s="188"/>
      <c r="AH906" s="188"/>
      <c r="AI906" s="188"/>
      <c r="AJ906" s="188"/>
      <c r="AK906" s="61"/>
      <c r="AL906" s="61"/>
      <c r="AM906" s="61"/>
      <c r="AN906" s="61"/>
      <c r="AO906" s="61"/>
    </row>
    <row r="907">
      <c r="A907" s="112"/>
      <c r="B907" s="149"/>
      <c r="C907" s="93"/>
      <c r="D907" s="61"/>
      <c r="E907" s="112"/>
      <c r="F907" s="149"/>
      <c r="G907" s="93"/>
      <c r="H907" s="61"/>
      <c r="I907" s="112"/>
      <c r="J907" s="149"/>
      <c r="K907" s="93"/>
      <c r="L907" s="61"/>
      <c r="M907" s="112"/>
      <c r="N907" s="115"/>
      <c r="O907" s="93"/>
      <c r="P907" s="61"/>
      <c r="Q907" s="180"/>
      <c r="R907" s="115"/>
      <c r="S907" s="93"/>
      <c r="T907" s="61"/>
      <c r="U907" s="180"/>
      <c r="V907" s="115"/>
      <c r="W907" s="93"/>
      <c r="X907" s="61"/>
      <c r="Y907" s="112"/>
      <c r="Z907" s="181"/>
      <c r="AA907" s="182"/>
      <c r="AB907" s="183"/>
      <c r="AC907" s="112"/>
      <c r="AD907" s="115"/>
      <c r="AE907" s="151"/>
      <c r="AF907" s="184"/>
      <c r="AG907" s="188"/>
      <c r="AH907" s="188"/>
      <c r="AI907" s="188"/>
      <c r="AJ907" s="188"/>
      <c r="AK907" s="61"/>
      <c r="AL907" s="61"/>
      <c r="AM907" s="61"/>
      <c r="AN907" s="61"/>
      <c r="AO907" s="61"/>
    </row>
    <row r="908">
      <c r="A908" s="112"/>
      <c r="B908" s="149"/>
      <c r="C908" s="93"/>
      <c r="D908" s="61"/>
      <c r="E908" s="112"/>
      <c r="F908" s="149"/>
      <c r="G908" s="93"/>
      <c r="H908" s="61"/>
      <c r="I908" s="112"/>
      <c r="J908" s="149"/>
      <c r="K908" s="93"/>
      <c r="L908" s="61"/>
      <c r="M908" s="112"/>
      <c r="N908" s="115"/>
      <c r="O908" s="93"/>
      <c r="P908" s="61"/>
      <c r="Q908" s="180"/>
      <c r="R908" s="115"/>
      <c r="S908" s="93"/>
      <c r="T908" s="61"/>
      <c r="U908" s="180"/>
      <c r="V908" s="115"/>
      <c r="W908" s="93"/>
      <c r="X908" s="61"/>
      <c r="Y908" s="112"/>
      <c r="Z908" s="181"/>
      <c r="AA908" s="182"/>
      <c r="AB908" s="183"/>
      <c r="AC908" s="112"/>
      <c r="AD908" s="115"/>
      <c r="AE908" s="151"/>
      <c r="AF908" s="184"/>
      <c r="AG908" s="188"/>
      <c r="AH908" s="188"/>
      <c r="AI908" s="188"/>
      <c r="AJ908" s="188"/>
      <c r="AK908" s="61"/>
      <c r="AL908" s="61"/>
      <c r="AM908" s="61"/>
      <c r="AN908" s="61"/>
      <c r="AO908" s="61"/>
    </row>
    <row r="909">
      <c r="A909" s="112"/>
      <c r="B909" s="149"/>
      <c r="C909" s="93"/>
      <c r="D909" s="61"/>
      <c r="E909" s="112"/>
      <c r="F909" s="149"/>
      <c r="G909" s="93"/>
      <c r="H909" s="61"/>
      <c r="I909" s="112"/>
      <c r="J909" s="149"/>
      <c r="K909" s="93"/>
      <c r="L909" s="61"/>
      <c r="M909" s="112"/>
      <c r="N909" s="115"/>
      <c r="O909" s="93"/>
      <c r="P909" s="61"/>
      <c r="Q909" s="180"/>
      <c r="R909" s="115"/>
      <c r="S909" s="93"/>
      <c r="T909" s="61"/>
      <c r="U909" s="180"/>
      <c r="V909" s="115"/>
      <c r="W909" s="93"/>
      <c r="X909" s="61"/>
      <c r="Y909" s="112"/>
      <c r="Z909" s="181"/>
      <c r="AA909" s="182"/>
      <c r="AB909" s="183"/>
      <c r="AC909" s="112"/>
      <c r="AD909" s="115"/>
      <c r="AE909" s="151"/>
      <c r="AF909" s="184"/>
      <c r="AG909" s="188"/>
      <c r="AH909" s="188"/>
      <c r="AI909" s="188"/>
      <c r="AJ909" s="188"/>
      <c r="AK909" s="61"/>
      <c r="AL909" s="61"/>
      <c r="AM909" s="61"/>
      <c r="AN909" s="61"/>
      <c r="AO909" s="61"/>
    </row>
    <row r="910">
      <c r="A910" s="112"/>
      <c r="B910" s="149"/>
      <c r="C910" s="93"/>
      <c r="D910" s="61"/>
      <c r="E910" s="112"/>
      <c r="F910" s="149"/>
      <c r="G910" s="93"/>
      <c r="H910" s="61"/>
      <c r="I910" s="112"/>
      <c r="J910" s="149"/>
      <c r="K910" s="93"/>
      <c r="L910" s="61"/>
      <c r="M910" s="112"/>
      <c r="N910" s="115"/>
      <c r="O910" s="93"/>
      <c r="P910" s="61"/>
      <c r="Q910" s="180"/>
      <c r="R910" s="115"/>
      <c r="S910" s="93"/>
      <c r="T910" s="61"/>
      <c r="U910" s="180"/>
      <c r="V910" s="115"/>
      <c r="W910" s="93"/>
      <c r="X910" s="61"/>
      <c r="Y910" s="112"/>
      <c r="Z910" s="181"/>
      <c r="AA910" s="182"/>
      <c r="AB910" s="183"/>
      <c r="AC910" s="112"/>
      <c r="AD910" s="115"/>
      <c r="AE910" s="151"/>
      <c r="AF910" s="184"/>
      <c r="AG910" s="188"/>
      <c r="AH910" s="188"/>
      <c r="AI910" s="188"/>
      <c r="AJ910" s="188"/>
      <c r="AK910" s="61"/>
      <c r="AL910" s="61"/>
      <c r="AM910" s="61"/>
      <c r="AN910" s="61"/>
      <c r="AO910" s="61"/>
    </row>
    <row r="911">
      <c r="A911" s="112"/>
      <c r="B911" s="149"/>
      <c r="C911" s="93"/>
      <c r="D911" s="61"/>
      <c r="E911" s="112"/>
      <c r="F911" s="149"/>
      <c r="G911" s="93"/>
      <c r="H911" s="61"/>
      <c r="I911" s="112"/>
      <c r="J911" s="149"/>
      <c r="K911" s="93"/>
      <c r="L911" s="61"/>
      <c r="M911" s="112"/>
      <c r="N911" s="115"/>
      <c r="O911" s="93"/>
      <c r="P911" s="61"/>
      <c r="Q911" s="180"/>
      <c r="R911" s="115"/>
      <c r="S911" s="93"/>
      <c r="T911" s="61"/>
      <c r="U911" s="180"/>
      <c r="V911" s="115"/>
      <c r="W911" s="93"/>
      <c r="X911" s="61"/>
      <c r="Y911" s="112"/>
      <c r="Z911" s="181"/>
      <c r="AA911" s="182"/>
      <c r="AB911" s="183"/>
      <c r="AC911" s="112"/>
      <c r="AD911" s="115"/>
      <c r="AE911" s="151"/>
      <c r="AF911" s="184"/>
      <c r="AG911" s="188"/>
      <c r="AH911" s="188"/>
      <c r="AI911" s="188"/>
      <c r="AJ911" s="188"/>
      <c r="AK911" s="61"/>
      <c r="AL911" s="61"/>
      <c r="AM911" s="61"/>
      <c r="AN911" s="61"/>
      <c r="AO911" s="61"/>
    </row>
    <row r="912">
      <c r="A912" s="112"/>
      <c r="B912" s="149"/>
      <c r="C912" s="93"/>
      <c r="D912" s="61"/>
      <c r="E912" s="112"/>
      <c r="F912" s="149"/>
      <c r="G912" s="93"/>
      <c r="H912" s="61"/>
      <c r="I912" s="112"/>
      <c r="J912" s="149"/>
      <c r="K912" s="93"/>
      <c r="L912" s="61"/>
      <c r="M912" s="112"/>
      <c r="N912" s="115"/>
      <c r="O912" s="93"/>
      <c r="P912" s="61"/>
      <c r="Q912" s="180"/>
      <c r="R912" s="115"/>
      <c r="S912" s="93"/>
      <c r="T912" s="61"/>
      <c r="U912" s="180"/>
      <c r="V912" s="115"/>
      <c r="W912" s="93"/>
      <c r="X912" s="61"/>
      <c r="Y912" s="112"/>
      <c r="Z912" s="181"/>
      <c r="AA912" s="182"/>
      <c r="AB912" s="183"/>
      <c r="AC912" s="112"/>
      <c r="AD912" s="115"/>
      <c r="AE912" s="151"/>
      <c r="AF912" s="184"/>
      <c r="AG912" s="188"/>
      <c r="AH912" s="188"/>
      <c r="AI912" s="188"/>
      <c r="AJ912" s="188"/>
      <c r="AK912" s="61"/>
      <c r="AL912" s="61"/>
      <c r="AM912" s="61"/>
      <c r="AN912" s="61"/>
      <c r="AO912" s="61"/>
    </row>
    <row r="913">
      <c r="A913" s="112"/>
      <c r="B913" s="149"/>
      <c r="C913" s="93"/>
      <c r="D913" s="61"/>
      <c r="E913" s="112"/>
      <c r="F913" s="149"/>
      <c r="G913" s="93"/>
      <c r="H913" s="61"/>
      <c r="I913" s="112"/>
      <c r="J913" s="149"/>
      <c r="K913" s="93"/>
      <c r="L913" s="61"/>
      <c r="M913" s="112"/>
      <c r="N913" s="115"/>
      <c r="O913" s="93"/>
      <c r="P913" s="61"/>
      <c r="Q913" s="180"/>
      <c r="R913" s="115"/>
      <c r="S913" s="93"/>
      <c r="T913" s="61"/>
      <c r="U913" s="180"/>
      <c r="V913" s="115"/>
      <c r="W913" s="93"/>
      <c r="X913" s="61"/>
      <c r="Y913" s="112"/>
      <c r="Z913" s="181"/>
      <c r="AA913" s="182"/>
      <c r="AB913" s="183"/>
      <c r="AC913" s="112"/>
      <c r="AD913" s="115"/>
      <c r="AE913" s="151"/>
      <c r="AF913" s="184"/>
      <c r="AG913" s="188"/>
      <c r="AH913" s="188"/>
      <c r="AI913" s="188"/>
      <c r="AJ913" s="188"/>
      <c r="AK913" s="61"/>
      <c r="AL913" s="61"/>
      <c r="AM913" s="61"/>
      <c r="AN913" s="61"/>
      <c r="AO913" s="61"/>
    </row>
    <row r="914">
      <c r="A914" s="112"/>
      <c r="B914" s="149"/>
      <c r="C914" s="93"/>
      <c r="D914" s="61"/>
      <c r="E914" s="112"/>
      <c r="F914" s="149"/>
      <c r="G914" s="93"/>
      <c r="H914" s="61"/>
      <c r="I914" s="112"/>
      <c r="J914" s="149"/>
      <c r="K914" s="93"/>
      <c r="L914" s="61"/>
      <c r="M914" s="112"/>
      <c r="N914" s="115"/>
      <c r="O914" s="93"/>
      <c r="P914" s="61"/>
      <c r="Q914" s="180"/>
      <c r="R914" s="115"/>
      <c r="S914" s="93"/>
      <c r="T914" s="61"/>
      <c r="U914" s="180"/>
      <c r="V914" s="115"/>
      <c r="W914" s="93"/>
      <c r="X914" s="61"/>
      <c r="Y914" s="112"/>
      <c r="Z914" s="181"/>
      <c r="AA914" s="182"/>
      <c r="AB914" s="183"/>
      <c r="AC914" s="112"/>
      <c r="AD914" s="115"/>
      <c r="AE914" s="151"/>
      <c r="AF914" s="184"/>
      <c r="AG914" s="188"/>
      <c r="AH914" s="188"/>
      <c r="AI914" s="188"/>
      <c r="AJ914" s="188"/>
      <c r="AK914" s="61"/>
      <c r="AL914" s="61"/>
      <c r="AM914" s="61"/>
      <c r="AN914" s="61"/>
      <c r="AO914" s="61"/>
    </row>
    <row r="915">
      <c r="A915" s="112"/>
      <c r="B915" s="149"/>
      <c r="C915" s="93"/>
      <c r="D915" s="61"/>
      <c r="E915" s="112"/>
      <c r="F915" s="149"/>
      <c r="G915" s="93"/>
      <c r="H915" s="61"/>
      <c r="I915" s="112"/>
      <c r="J915" s="149"/>
      <c r="K915" s="93"/>
      <c r="L915" s="61"/>
      <c r="M915" s="112"/>
      <c r="N915" s="115"/>
      <c r="O915" s="93"/>
      <c r="P915" s="61"/>
      <c r="Q915" s="180"/>
      <c r="R915" s="115"/>
      <c r="S915" s="93"/>
      <c r="T915" s="61"/>
      <c r="U915" s="180"/>
      <c r="V915" s="115"/>
      <c r="W915" s="93"/>
      <c r="X915" s="61"/>
      <c r="Y915" s="112"/>
      <c r="Z915" s="181"/>
      <c r="AA915" s="182"/>
      <c r="AB915" s="183"/>
      <c r="AC915" s="112"/>
      <c r="AD915" s="115"/>
      <c r="AE915" s="151"/>
      <c r="AF915" s="184"/>
      <c r="AG915" s="188"/>
      <c r="AH915" s="188"/>
      <c r="AI915" s="188"/>
      <c r="AJ915" s="188"/>
      <c r="AK915" s="61"/>
      <c r="AL915" s="61"/>
      <c r="AM915" s="61"/>
      <c r="AN915" s="61"/>
      <c r="AO915" s="61"/>
    </row>
    <row r="916">
      <c r="A916" s="112"/>
      <c r="B916" s="149"/>
      <c r="C916" s="93"/>
      <c r="D916" s="61"/>
      <c r="E916" s="112"/>
      <c r="F916" s="149"/>
      <c r="G916" s="93"/>
      <c r="H916" s="61"/>
      <c r="I916" s="112"/>
      <c r="J916" s="149"/>
      <c r="K916" s="93"/>
      <c r="L916" s="61"/>
      <c r="M916" s="112"/>
      <c r="N916" s="115"/>
      <c r="O916" s="93"/>
      <c r="P916" s="61"/>
      <c r="Q916" s="180"/>
      <c r="R916" s="115"/>
      <c r="S916" s="93"/>
      <c r="T916" s="61"/>
      <c r="U916" s="180"/>
      <c r="V916" s="115"/>
      <c r="W916" s="93"/>
      <c r="X916" s="61"/>
      <c r="Y916" s="112"/>
      <c r="Z916" s="181"/>
      <c r="AA916" s="182"/>
      <c r="AB916" s="183"/>
      <c r="AC916" s="112"/>
      <c r="AD916" s="115"/>
      <c r="AE916" s="151"/>
      <c r="AF916" s="184"/>
      <c r="AG916" s="188"/>
      <c r="AH916" s="188"/>
      <c r="AI916" s="188"/>
      <c r="AJ916" s="188"/>
      <c r="AK916" s="61"/>
      <c r="AL916" s="61"/>
      <c r="AM916" s="61"/>
      <c r="AN916" s="61"/>
      <c r="AO916" s="61"/>
    </row>
    <row r="917">
      <c r="A917" s="112"/>
      <c r="B917" s="149"/>
      <c r="C917" s="93"/>
      <c r="D917" s="61"/>
      <c r="E917" s="112"/>
      <c r="F917" s="149"/>
      <c r="G917" s="93"/>
      <c r="H917" s="61"/>
      <c r="I917" s="112"/>
      <c r="J917" s="149"/>
      <c r="K917" s="93"/>
      <c r="L917" s="61"/>
      <c r="M917" s="112"/>
      <c r="N917" s="115"/>
      <c r="O917" s="93"/>
      <c r="P917" s="61"/>
      <c r="Q917" s="180"/>
      <c r="R917" s="115"/>
      <c r="S917" s="93"/>
      <c r="T917" s="61"/>
      <c r="U917" s="180"/>
      <c r="V917" s="115"/>
      <c r="W917" s="93"/>
      <c r="X917" s="61"/>
      <c r="Y917" s="112"/>
      <c r="Z917" s="181"/>
      <c r="AA917" s="182"/>
      <c r="AB917" s="183"/>
      <c r="AC917" s="112"/>
      <c r="AD917" s="115"/>
      <c r="AE917" s="151"/>
      <c r="AF917" s="184"/>
      <c r="AG917" s="188"/>
      <c r="AH917" s="188"/>
      <c r="AI917" s="188"/>
      <c r="AJ917" s="188"/>
      <c r="AK917" s="61"/>
      <c r="AL917" s="61"/>
      <c r="AM917" s="61"/>
      <c r="AN917" s="61"/>
      <c r="AO917" s="61"/>
    </row>
    <row r="918">
      <c r="A918" s="112"/>
      <c r="B918" s="149"/>
      <c r="C918" s="93"/>
      <c r="D918" s="61"/>
      <c r="E918" s="112"/>
      <c r="F918" s="149"/>
      <c r="G918" s="93"/>
      <c r="H918" s="61"/>
      <c r="I918" s="112"/>
      <c r="J918" s="149"/>
      <c r="K918" s="93"/>
      <c r="L918" s="61"/>
      <c r="M918" s="112"/>
      <c r="N918" s="115"/>
      <c r="O918" s="93"/>
      <c r="P918" s="61"/>
      <c r="Q918" s="180"/>
      <c r="R918" s="115"/>
      <c r="S918" s="93"/>
      <c r="T918" s="61"/>
      <c r="U918" s="180"/>
      <c r="V918" s="115"/>
      <c r="W918" s="93"/>
      <c r="X918" s="61"/>
      <c r="Y918" s="112"/>
      <c r="Z918" s="181"/>
      <c r="AA918" s="182"/>
      <c r="AB918" s="183"/>
      <c r="AC918" s="112"/>
      <c r="AD918" s="115"/>
      <c r="AE918" s="151"/>
      <c r="AF918" s="184"/>
      <c r="AG918" s="188"/>
      <c r="AH918" s="188"/>
      <c r="AI918" s="188"/>
      <c r="AJ918" s="188"/>
      <c r="AK918" s="61"/>
      <c r="AL918" s="61"/>
      <c r="AM918" s="61"/>
      <c r="AN918" s="61"/>
      <c r="AO918" s="61"/>
    </row>
    <row r="919">
      <c r="A919" s="112"/>
      <c r="B919" s="149"/>
      <c r="C919" s="93"/>
      <c r="D919" s="61"/>
      <c r="E919" s="112"/>
      <c r="F919" s="149"/>
      <c r="G919" s="93"/>
      <c r="H919" s="61"/>
      <c r="I919" s="112"/>
      <c r="J919" s="149"/>
      <c r="K919" s="93"/>
      <c r="L919" s="61"/>
      <c r="M919" s="112"/>
      <c r="N919" s="115"/>
      <c r="O919" s="93"/>
      <c r="P919" s="61"/>
      <c r="Q919" s="180"/>
      <c r="R919" s="115"/>
      <c r="S919" s="93"/>
      <c r="T919" s="61"/>
      <c r="U919" s="180"/>
      <c r="V919" s="115"/>
      <c r="W919" s="93"/>
      <c r="X919" s="61"/>
      <c r="Y919" s="112"/>
      <c r="Z919" s="181"/>
      <c r="AA919" s="182"/>
      <c r="AB919" s="183"/>
      <c r="AC919" s="112"/>
      <c r="AD919" s="115"/>
      <c r="AE919" s="151"/>
      <c r="AF919" s="184"/>
      <c r="AG919" s="188"/>
      <c r="AH919" s="188"/>
      <c r="AI919" s="188"/>
      <c r="AJ919" s="188"/>
      <c r="AK919" s="61"/>
      <c r="AL919" s="61"/>
      <c r="AM919" s="61"/>
      <c r="AN919" s="61"/>
      <c r="AO919" s="61"/>
    </row>
    <row r="920">
      <c r="A920" s="112"/>
      <c r="B920" s="149"/>
      <c r="C920" s="93"/>
      <c r="D920" s="61"/>
      <c r="E920" s="112"/>
      <c r="F920" s="149"/>
      <c r="G920" s="93"/>
      <c r="H920" s="61"/>
      <c r="I920" s="112"/>
      <c r="J920" s="149"/>
      <c r="K920" s="93"/>
      <c r="L920" s="61"/>
      <c r="M920" s="112"/>
      <c r="N920" s="115"/>
      <c r="O920" s="93"/>
      <c r="P920" s="61"/>
      <c r="Q920" s="180"/>
      <c r="R920" s="115"/>
      <c r="S920" s="93"/>
      <c r="T920" s="61"/>
      <c r="U920" s="180"/>
      <c r="V920" s="115"/>
      <c r="W920" s="93"/>
      <c r="X920" s="61"/>
      <c r="Y920" s="112"/>
      <c r="Z920" s="181"/>
      <c r="AA920" s="182"/>
      <c r="AB920" s="183"/>
      <c r="AC920" s="112"/>
      <c r="AD920" s="115"/>
      <c r="AE920" s="151"/>
      <c r="AF920" s="184"/>
      <c r="AG920" s="188"/>
      <c r="AH920" s="188"/>
      <c r="AI920" s="188"/>
      <c r="AJ920" s="188"/>
      <c r="AK920" s="61"/>
      <c r="AL920" s="61"/>
      <c r="AM920" s="61"/>
      <c r="AN920" s="61"/>
      <c r="AO920" s="61"/>
    </row>
    <row r="921">
      <c r="A921" s="112"/>
      <c r="B921" s="149"/>
      <c r="C921" s="93"/>
      <c r="D921" s="61"/>
      <c r="E921" s="112"/>
      <c r="F921" s="149"/>
      <c r="G921" s="93"/>
      <c r="H921" s="61"/>
      <c r="I921" s="112"/>
      <c r="J921" s="149"/>
      <c r="K921" s="93"/>
      <c r="L921" s="61"/>
      <c r="M921" s="112"/>
      <c r="N921" s="115"/>
      <c r="O921" s="93"/>
      <c r="P921" s="61"/>
      <c r="Q921" s="180"/>
      <c r="R921" s="115"/>
      <c r="S921" s="93"/>
      <c r="T921" s="61"/>
      <c r="U921" s="180"/>
      <c r="V921" s="115"/>
      <c r="W921" s="93"/>
      <c r="X921" s="61"/>
      <c r="Y921" s="112"/>
      <c r="Z921" s="181"/>
      <c r="AA921" s="182"/>
      <c r="AB921" s="183"/>
      <c r="AC921" s="112"/>
      <c r="AD921" s="115"/>
      <c r="AE921" s="151"/>
      <c r="AF921" s="184"/>
      <c r="AG921" s="188"/>
      <c r="AH921" s="188"/>
      <c r="AI921" s="188"/>
      <c r="AJ921" s="188"/>
      <c r="AK921" s="61"/>
      <c r="AL921" s="61"/>
      <c r="AM921" s="61"/>
      <c r="AN921" s="61"/>
      <c r="AO921" s="61"/>
    </row>
    <row r="922">
      <c r="A922" s="112"/>
      <c r="B922" s="149"/>
      <c r="C922" s="93"/>
      <c r="D922" s="61"/>
      <c r="E922" s="112"/>
      <c r="F922" s="149"/>
      <c r="G922" s="93"/>
      <c r="H922" s="61"/>
      <c r="I922" s="112"/>
      <c r="J922" s="149"/>
      <c r="K922" s="93"/>
      <c r="L922" s="61"/>
      <c r="M922" s="112"/>
      <c r="N922" s="115"/>
      <c r="O922" s="93"/>
      <c r="P922" s="61"/>
      <c r="Q922" s="180"/>
      <c r="R922" s="115"/>
      <c r="S922" s="93"/>
      <c r="T922" s="61"/>
      <c r="U922" s="180"/>
      <c r="V922" s="115"/>
      <c r="W922" s="93"/>
      <c r="X922" s="61"/>
      <c r="Y922" s="112"/>
      <c r="Z922" s="181"/>
      <c r="AA922" s="182"/>
      <c r="AB922" s="183"/>
      <c r="AC922" s="112"/>
      <c r="AD922" s="115"/>
      <c r="AE922" s="151"/>
      <c r="AF922" s="184"/>
      <c r="AG922" s="188"/>
      <c r="AH922" s="188"/>
      <c r="AI922" s="188"/>
      <c r="AJ922" s="188"/>
      <c r="AK922" s="61"/>
      <c r="AL922" s="61"/>
      <c r="AM922" s="61"/>
      <c r="AN922" s="61"/>
      <c r="AO922" s="61"/>
    </row>
    <row r="923">
      <c r="A923" s="112"/>
      <c r="B923" s="149"/>
      <c r="C923" s="93"/>
      <c r="D923" s="61"/>
      <c r="E923" s="112"/>
      <c r="F923" s="149"/>
      <c r="G923" s="93"/>
      <c r="H923" s="61"/>
      <c r="I923" s="112"/>
      <c r="J923" s="149"/>
      <c r="K923" s="93"/>
      <c r="L923" s="61"/>
      <c r="M923" s="112"/>
      <c r="N923" s="115"/>
      <c r="O923" s="93"/>
      <c r="P923" s="61"/>
      <c r="Q923" s="180"/>
      <c r="R923" s="115"/>
      <c r="S923" s="93"/>
      <c r="T923" s="61"/>
      <c r="U923" s="180"/>
      <c r="V923" s="115"/>
      <c r="W923" s="93"/>
      <c r="X923" s="61"/>
      <c r="Y923" s="112"/>
      <c r="Z923" s="181"/>
      <c r="AA923" s="182"/>
      <c r="AB923" s="183"/>
      <c r="AC923" s="112"/>
      <c r="AD923" s="115"/>
      <c r="AE923" s="151"/>
      <c r="AF923" s="184"/>
      <c r="AG923" s="188"/>
      <c r="AH923" s="188"/>
      <c r="AI923" s="188"/>
      <c r="AJ923" s="188"/>
      <c r="AK923" s="61"/>
      <c r="AL923" s="61"/>
      <c r="AM923" s="61"/>
      <c r="AN923" s="61"/>
      <c r="AO923" s="61"/>
    </row>
    <row r="924">
      <c r="A924" s="112"/>
      <c r="B924" s="149"/>
      <c r="C924" s="93"/>
      <c r="D924" s="61"/>
      <c r="E924" s="112"/>
      <c r="F924" s="149"/>
      <c r="G924" s="93"/>
      <c r="H924" s="61"/>
      <c r="I924" s="112"/>
      <c r="J924" s="149"/>
      <c r="K924" s="93"/>
      <c r="L924" s="61"/>
      <c r="M924" s="112"/>
      <c r="N924" s="115"/>
      <c r="O924" s="93"/>
      <c r="P924" s="61"/>
      <c r="Q924" s="180"/>
      <c r="R924" s="115"/>
      <c r="S924" s="93"/>
      <c r="T924" s="61"/>
      <c r="U924" s="180"/>
      <c r="V924" s="115"/>
      <c r="W924" s="93"/>
      <c r="X924" s="61"/>
      <c r="Y924" s="112"/>
      <c r="Z924" s="181"/>
      <c r="AA924" s="182"/>
      <c r="AB924" s="183"/>
      <c r="AC924" s="112"/>
      <c r="AD924" s="115"/>
      <c r="AE924" s="151"/>
      <c r="AF924" s="184"/>
      <c r="AG924" s="188"/>
      <c r="AH924" s="188"/>
      <c r="AI924" s="188"/>
      <c r="AJ924" s="188"/>
      <c r="AK924" s="61"/>
      <c r="AL924" s="61"/>
      <c r="AM924" s="61"/>
      <c r="AN924" s="61"/>
      <c r="AO924" s="61"/>
    </row>
    <row r="925">
      <c r="A925" s="112"/>
      <c r="B925" s="149"/>
      <c r="C925" s="93"/>
      <c r="D925" s="61"/>
      <c r="E925" s="112"/>
      <c r="F925" s="149"/>
      <c r="G925" s="93"/>
      <c r="H925" s="61"/>
      <c r="I925" s="112"/>
      <c r="J925" s="149"/>
      <c r="K925" s="93"/>
      <c r="L925" s="61"/>
      <c r="M925" s="112"/>
      <c r="N925" s="115"/>
      <c r="O925" s="93"/>
      <c r="P925" s="61"/>
      <c r="Q925" s="180"/>
      <c r="R925" s="115"/>
      <c r="S925" s="93"/>
      <c r="T925" s="61"/>
      <c r="U925" s="180"/>
      <c r="V925" s="115"/>
      <c r="W925" s="93"/>
      <c r="X925" s="61"/>
      <c r="Y925" s="112"/>
      <c r="Z925" s="181"/>
      <c r="AA925" s="182"/>
      <c r="AB925" s="183"/>
      <c r="AC925" s="112"/>
      <c r="AD925" s="115"/>
      <c r="AE925" s="151"/>
      <c r="AF925" s="184"/>
      <c r="AG925" s="188"/>
      <c r="AH925" s="188"/>
      <c r="AI925" s="188"/>
      <c r="AJ925" s="188"/>
      <c r="AK925" s="61"/>
      <c r="AL925" s="61"/>
      <c r="AM925" s="61"/>
      <c r="AN925" s="61"/>
      <c r="AO925" s="61"/>
    </row>
    <row r="926">
      <c r="A926" s="112"/>
      <c r="B926" s="149"/>
      <c r="C926" s="93"/>
      <c r="D926" s="61"/>
      <c r="E926" s="112"/>
      <c r="F926" s="149"/>
      <c r="G926" s="93"/>
      <c r="H926" s="61"/>
      <c r="I926" s="112"/>
      <c r="J926" s="149"/>
      <c r="K926" s="93"/>
      <c r="L926" s="61"/>
      <c r="M926" s="112"/>
      <c r="N926" s="115"/>
      <c r="O926" s="93"/>
      <c r="P926" s="61"/>
      <c r="Q926" s="180"/>
      <c r="R926" s="115"/>
      <c r="S926" s="93"/>
      <c r="T926" s="61"/>
      <c r="U926" s="180"/>
      <c r="V926" s="115"/>
      <c r="W926" s="93"/>
      <c r="X926" s="61"/>
      <c r="Y926" s="112"/>
      <c r="Z926" s="181"/>
      <c r="AA926" s="182"/>
      <c r="AB926" s="183"/>
      <c r="AC926" s="112"/>
      <c r="AD926" s="115"/>
      <c r="AE926" s="151"/>
      <c r="AF926" s="184"/>
      <c r="AG926" s="188"/>
      <c r="AH926" s="188"/>
      <c r="AI926" s="188"/>
      <c r="AJ926" s="188"/>
      <c r="AK926" s="61"/>
      <c r="AL926" s="61"/>
      <c r="AM926" s="61"/>
      <c r="AN926" s="61"/>
      <c r="AO926" s="61"/>
    </row>
    <row r="927">
      <c r="A927" s="112"/>
      <c r="B927" s="149"/>
      <c r="C927" s="93"/>
      <c r="D927" s="61"/>
      <c r="E927" s="112"/>
      <c r="F927" s="149"/>
      <c r="G927" s="93"/>
      <c r="H927" s="61"/>
      <c r="I927" s="112"/>
      <c r="J927" s="149"/>
      <c r="K927" s="93"/>
      <c r="L927" s="61"/>
      <c r="M927" s="112"/>
      <c r="N927" s="115"/>
      <c r="O927" s="93"/>
      <c r="P927" s="61"/>
      <c r="Q927" s="180"/>
      <c r="R927" s="115"/>
      <c r="S927" s="93"/>
      <c r="T927" s="61"/>
      <c r="U927" s="180"/>
      <c r="V927" s="115"/>
      <c r="W927" s="93"/>
      <c r="X927" s="61"/>
      <c r="Y927" s="112"/>
      <c r="Z927" s="181"/>
      <c r="AA927" s="182"/>
      <c r="AB927" s="183"/>
      <c r="AC927" s="112"/>
      <c r="AD927" s="115"/>
      <c r="AE927" s="151"/>
      <c r="AF927" s="184"/>
      <c r="AG927" s="188"/>
      <c r="AH927" s="188"/>
      <c r="AI927" s="188"/>
      <c r="AJ927" s="188"/>
      <c r="AK927" s="61"/>
      <c r="AL927" s="61"/>
      <c r="AM927" s="61"/>
      <c r="AN927" s="61"/>
      <c r="AO927" s="61"/>
    </row>
    <row r="928">
      <c r="A928" s="112"/>
      <c r="B928" s="149"/>
      <c r="C928" s="93"/>
      <c r="D928" s="61"/>
      <c r="E928" s="112"/>
      <c r="F928" s="149"/>
      <c r="G928" s="93"/>
      <c r="H928" s="61"/>
      <c r="I928" s="112"/>
      <c r="J928" s="149"/>
      <c r="K928" s="93"/>
      <c r="L928" s="61"/>
      <c r="M928" s="112"/>
      <c r="N928" s="115"/>
      <c r="O928" s="93"/>
      <c r="P928" s="61"/>
      <c r="Q928" s="180"/>
      <c r="R928" s="115"/>
      <c r="S928" s="93"/>
      <c r="T928" s="61"/>
      <c r="U928" s="180"/>
      <c r="V928" s="115"/>
      <c r="W928" s="93"/>
      <c r="X928" s="61"/>
      <c r="Y928" s="112"/>
      <c r="Z928" s="181"/>
      <c r="AA928" s="182"/>
      <c r="AB928" s="183"/>
      <c r="AC928" s="112"/>
      <c r="AD928" s="115"/>
      <c r="AE928" s="151"/>
      <c r="AF928" s="184"/>
      <c r="AG928" s="188"/>
      <c r="AH928" s="188"/>
      <c r="AI928" s="188"/>
      <c r="AJ928" s="188"/>
      <c r="AK928" s="61"/>
      <c r="AL928" s="61"/>
      <c r="AM928" s="61"/>
      <c r="AN928" s="61"/>
      <c r="AO928" s="61"/>
    </row>
    <row r="929">
      <c r="A929" s="112"/>
      <c r="B929" s="149"/>
      <c r="C929" s="93"/>
      <c r="D929" s="61"/>
      <c r="E929" s="112"/>
      <c r="F929" s="149"/>
      <c r="G929" s="93"/>
      <c r="H929" s="61"/>
      <c r="I929" s="112"/>
      <c r="J929" s="149"/>
      <c r="K929" s="93"/>
      <c r="L929" s="61"/>
      <c r="M929" s="112"/>
      <c r="N929" s="115"/>
      <c r="O929" s="93"/>
      <c r="P929" s="61"/>
      <c r="Q929" s="180"/>
      <c r="R929" s="115"/>
      <c r="S929" s="93"/>
      <c r="T929" s="61"/>
      <c r="U929" s="180"/>
      <c r="V929" s="115"/>
      <c r="W929" s="93"/>
      <c r="X929" s="61"/>
      <c r="Y929" s="112"/>
      <c r="Z929" s="181"/>
      <c r="AA929" s="182"/>
      <c r="AB929" s="183"/>
      <c r="AC929" s="112"/>
      <c r="AD929" s="115"/>
      <c r="AE929" s="151"/>
      <c r="AF929" s="184"/>
      <c r="AG929" s="188"/>
      <c r="AH929" s="188"/>
      <c r="AI929" s="188"/>
      <c r="AJ929" s="188"/>
      <c r="AK929" s="61"/>
      <c r="AL929" s="61"/>
      <c r="AM929" s="61"/>
      <c r="AN929" s="61"/>
      <c r="AO929" s="61"/>
    </row>
    <row r="930">
      <c r="A930" s="112"/>
      <c r="B930" s="149"/>
      <c r="C930" s="93"/>
      <c r="D930" s="61"/>
      <c r="E930" s="112"/>
      <c r="F930" s="149"/>
      <c r="G930" s="93"/>
      <c r="H930" s="61"/>
      <c r="I930" s="112"/>
      <c r="J930" s="149"/>
      <c r="K930" s="93"/>
      <c r="L930" s="61"/>
      <c r="M930" s="112"/>
      <c r="N930" s="115"/>
      <c r="O930" s="93"/>
      <c r="P930" s="61"/>
      <c r="Q930" s="180"/>
      <c r="R930" s="115"/>
      <c r="S930" s="93"/>
      <c r="T930" s="61"/>
      <c r="U930" s="180"/>
      <c r="V930" s="115"/>
      <c r="W930" s="93"/>
      <c r="X930" s="61"/>
      <c r="Y930" s="112"/>
      <c r="Z930" s="181"/>
      <c r="AA930" s="182"/>
      <c r="AB930" s="183"/>
      <c r="AC930" s="112"/>
      <c r="AD930" s="115"/>
      <c r="AE930" s="151"/>
      <c r="AF930" s="184"/>
      <c r="AG930" s="188"/>
      <c r="AH930" s="188"/>
      <c r="AI930" s="188"/>
      <c r="AJ930" s="188"/>
      <c r="AK930" s="61"/>
      <c r="AL930" s="61"/>
      <c r="AM930" s="61"/>
      <c r="AN930" s="61"/>
      <c r="AO930" s="61"/>
    </row>
    <row r="931">
      <c r="A931" s="112"/>
      <c r="B931" s="149"/>
      <c r="C931" s="93"/>
      <c r="D931" s="61"/>
      <c r="E931" s="112"/>
      <c r="F931" s="149"/>
      <c r="G931" s="93"/>
      <c r="H931" s="61"/>
      <c r="I931" s="112"/>
      <c r="J931" s="149"/>
      <c r="K931" s="93"/>
      <c r="L931" s="61"/>
      <c r="M931" s="112"/>
      <c r="N931" s="115"/>
      <c r="O931" s="93"/>
      <c r="P931" s="61"/>
      <c r="Q931" s="180"/>
      <c r="R931" s="115"/>
      <c r="S931" s="93"/>
      <c r="T931" s="61"/>
      <c r="U931" s="180"/>
      <c r="V931" s="115"/>
      <c r="W931" s="93"/>
      <c r="X931" s="61"/>
      <c r="Y931" s="112"/>
      <c r="Z931" s="181"/>
      <c r="AA931" s="182"/>
      <c r="AB931" s="183"/>
      <c r="AC931" s="112"/>
      <c r="AD931" s="115"/>
      <c r="AE931" s="151"/>
      <c r="AF931" s="184"/>
      <c r="AG931" s="188"/>
      <c r="AH931" s="188"/>
      <c r="AI931" s="188"/>
      <c r="AJ931" s="188"/>
      <c r="AK931" s="61"/>
      <c r="AL931" s="61"/>
      <c r="AM931" s="61"/>
      <c r="AN931" s="61"/>
      <c r="AO931" s="61"/>
    </row>
    <row r="932">
      <c r="A932" s="112"/>
      <c r="B932" s="149"/>
      <c r="C932" s="93"/>
      <c r="D932" s="61"/>
      <c r="E932" s="112"/>
      <c r="F932" s="149"/>
      <c r="G932" s="93"/>
      <c r="H932" s="61"/>
      <c r="I932" s="112"/>
      <c r="J932" s="149"/>
      <c r="K932" s="93"/>
      <c r="L932" s="61"/>
      <c r="M932" s="112"/>
      <c r="N932" s="115"/>
      <c r="O932" s="93"/>
      <c r="P932" s="61"/>
      <c r="Q932" s="180"/>
      <c r="R932" s="115"/>
      <c r="S932" s="93"/>
      <c r="T932" s="61"/>
      <c r="U932" s="180"/>
      <c r="V932" s="115"/>
      <c r="W932" s="93"/>
      <c r="X932" s="61"/>
      <c r="Y932" s="112"/>
      <c r="Z932" s="181"/>
      <c r="AA932" s="182"/>
      <c r="AB932" s="183"/>
      <c r="AC932" s="112"/>
      <c r="AD932" s="115"/>
      <c r="AE932" s="151"/>
      <c r="AF932" s="184"/>
      <c r="AG932" s="188"/>
      <c r="AH932" s="188"/>
      <c r="AI932" s="188"/>
      <c r="AJ932" s="188"/>
      <c r="AK932" s="61"/>
      <c r="AL932" s="61"/>
      <c r="AM932" s="61"/>
      <c r="AN932" s="61"/>
      <c r="AO932" s="61"/>
    </row>
    <row r="933">
      <c r="A933" s="112"/>
      <c r="B933" s="149"/>
      <c r="C933" s="93"/>
      <c r="D933" s="61"/>
      <c r="E933" s="112"/>
      <c r="F933" s="149"/>
      <c r="G933" s="93"/>
      <c r="H933" s="61"/>
      <c r="I933" s="112"/>
      <c r="J933" s="149"/>
      <c r="K933" s="93"/>
      <c r="L933" s="61"/>
      <c r="M933" s="112"/>
      <c r="N933" s="115"/>
      <c r="O933" s="93"/>
      <c r="P933" s="61"/>
      <c r="Q933" s="180"/>
      <c r="R933" s="115"/>
      <c r="S933" s="93"/>
      <c r="T933" s="61"/>
      <c r="U933" s="180"/>
      <c r="V933" s="115"/>
      <c r="W933" s="93"/>
      <c r="X933" s="61"/>
      <c r="Y933" s="112"/>
      <c r="Z933" s="181"/>
      <c r="AA933" s="182"/>
      <c r="AB933" s="183"/>
      <c r="AC933" s="112"/>
      <c r="AD933" s="115"/>
      <c r="AE933" s="151"/>
      <c r="AF933" s="184"/>
      <c r="AG933" s="188"/>
      <c r="AH933" s="188"/>
      <c r="AI933" s="188"/>
      <c r="AJ933" s="188"/>
      <c r="AK933" s="61"/>
      <c r="AL933" s="61"/>
      <c r="AM933" s="61"/>
      <c r="AN933" s="61"/>
      <c r="AO933" s="61"/>
    </row>
    <row r="934">
      <c r="A934" s="112"/>
      <c r="B934" s="149"/>
      <c r="C934" s="93"/>
      <c r="D934" s="61"/>
      <c r="E934" s="112"/>
      <c r="F934" s="149"/>
      <c r="G934" s="93"/>
      <c r="H934" s="61"/>
      <c r="I934" s="112"/>
      <c r="J934" s="149"/>
      <c r="K934" s="93"/>
      <c r="L934" s="61"/>
      <c r="M934" s="112"/>
      <c r="N934" s="115"/>
      <c r="O934" s="93"/>
      <c r="P934" s="61"/>
      <c r="Q934" s="180"/>
      <c r="R934" s="115"/>
      <c r="S934" s="93"/>
      <c r="T934" s="61"/>
      <c r="U934" s="180"/>
      <c r="V934" s="115"/>
      <c r="W934" s="93"/>
      <c r="X934" s="61"/>
      <c r="Y934" s="112"/>
      <c r="Z934" s="181"/>
      <c r="AA934" s="182"/>
      <c r="AB934" s="183"/>
      <c r="AC934" s="112"/>
      <c r="AD934" s="115"/>
      <c r="AE934" s="151"/>
      <c r="AF934" s="184"/>
      <c r="AG934" s="188"/>
      <c r="AH934" s="188"/>
      <c r="AI934" s="188"/>
      <c r="AJ934" s="188"/>
      <c r="AK934" s="61"/>
      <c r="AL934" s="61"/>
      <c r="AM934" s="61"/>
      <c r="AN934" s="61"/>
      <c r="AO934" s="61"/>
    </row>
    <row r="935">
      <c r="A935" s="112"/>
      <c r="B935" s="149"/>
      <c r="C935" s="93"/>
      <c r="D935" s="61"/>
      <c r="E935" s="112"/>
      <c r="F935" s="149"/>
      <c r="G935" s="93"/>
      <c r="H935" s="61"/>
      <c r="I935" s="112"/>
      <c r="J935" s="149"/>
      <c r="K935" s="93"/>
      <c r="L935" s="61"/>
      <c r="M935" s="112"/>
      <c r="N935" s="115"/>
      <c r="O935" s="93"/>
      <c r="P935" s="61"/>
      <c r="Q935" s="180"/>
      <c r="R935" s="115"/>
      <c r="S935" s="93"/>
      <c r="T935" s="61"/>
      <c r="U935" s="180"/>
      <c r="V935" s="115"/>
      <c r="W935" s="93"/>
      <c r="X935" s="61"/>
      <c r="Y935" s="112"/>
      <c r="Z935" s="181"/>
      <c r="AA935" s="182"/>
      <c r="AB935" s="183"/>
      <c r="AC935" s="112"/>
      <c r="AD935" s="115"/>
      <c r="AE935" s="151"/>
      <c r="AF935" s="184"/>
      <c r="AG935" s="188"/>
      <c r="AH935" s="188"/>
      <c r="AI935" s="188"/>
      <c r="AJ935" s="188"/>
      <c r="AK935" s="61"/>
      <c r="AL935" s="61"/>
      <c r="AM935" s="61"/>
      <c r="AN935" s="61"/>
      <c r="AO935" s="61"/>
    </row>
    <row r="936">
      <c r="A936" s="112"/>
      <c r="B936" s="149"/>
      <c r="C936" s="93"/>
      <c r="D936" s="61"/>
      <c r="E936" s="112"/>
      <c r="F936" s="149"/>
      <c r="G936" s="93"/>
      <c r="H936" s="61"/>
      <c r="I936" s="112"/>
      <c r="J936" s="149"/>
      <c r="K936" s="93"/>
      <c r="L936" s="61"/>
      <c r="M936" s="112"/>
      <c r="N936" s="115"/>
      <c r="O936" s="93"/>
      <c r="P936" s="61"/>
      <c r="Q936" s="180"/>
      <c r="R936" s="115"/>
      <c r="S936" s="93"/>
      <c r="T936" s="61"/>
      <c r="U936" s="180"/>
      <c r="V936" s="115"/>
      <c r="W936" s="93"/>
      <c r="X936" s="61"/>
      <c r="Y936" s="112"/>
      <c r="Z936" s="181"/>
      <c r="AA936" s="182"/>
      <c r="AB936" s="183"/>
      <c r="AC936" s="112"/>
      <c r="AD936" s="115"/>
      <c r="AE936" s="151"/>
      <c r="AF936" s="184"/>
      <c r="AG936" s="188"/>
      <c r="AH936" s="188"/>
      <c r="AI936" s="188"/>
      <c r="AJ936" s="188"/>
      <c r="AK936" s="61"/>
      <c r="AL936" s="61"/>
      <c r="AM936" s="61"/>
      <c r="AN936" s="61"/>
      <c r="AO936" s="61"/>
    </row>
    <row r="937">
      <c r="A937" s="112"/>
      <c r="B937" s="149"/>
      <c r="C937" s="93"/>
      <c r="D937" s="61"/>
      <c r="E937" s="112"/>
      <c r="F937" s="149"/>
      <c r="G937" s="93"/>
      <c r="H937" s="61"/>
      <c r="I937" s="112"/>
      <c r="J937" s="149"/>
      <c r="K937" s="93"/>
      <c r="L937" s="61"/>
      <c r="M937" s="112"/>
      <c r="N937" s="115"/>
      <c r="O937" s="93"/>
      <c r="P937" s="61"/>
      <c r="Q937" s="180"/>
      <c r="R937" s="115"/>
      <c r="S937" s="93"/>
      <c r="T937" s="61"/>
      <c r="U937" s="180"/>
      <c r="V937" s="115"/>
      <c r="W937" s="93"/>
      <c r="X937" s="61"/>
      <c r="Y937" s="112"/>
      <c r="Z937" s="181"/>
      <c r="AA937" s="182"/>
      <c r="AB937" s="183"/>
      <c r="AC937" s="112"/>
      <c r="AD937" s="115"/>
      <c r="AE937" s="151"/>
      <c r="AF937" s="184"/>
      <c r="AG937" s="188"/>
      <c r="AH937" s="188"/>
      <c r="AI937" s="188"/>
      <c r="AJ937" s="188"/>
      <c r="AK937" s="61"/>
      <c r="AL937" s="61"/>
      <c r="AM937" s="61"/>
      <c r="AN937" s="61"/>
      <c r="AO937" s="61"/>
    </row>
    <row r="938">
      <c r="A938" s="112"/>
      <c r="B938" s="149"/>
      <c r="C938" s="93"/>
      <c r="D938" s="61"/>
      <c r="E938" s="112"/>
      <c r="F938" s="149"/>
      <c r="G938" s="93"/>
      <c r="H938" s="61"/>
      <c r="I938" s="112"/>
      <c r="J938" s="149"/>
      <c r="K938" s="93"/>
      <c r="L938" s="61"/>
      <c r="M938" s="112"/>
      <c r="N938" s="115"/>
      <c r="O938" s="93"/>
      <c r="P938" s="61"/>
      <c r="Q938" s="180"/>
      <c r="R938" s="115"/>
      <c r="S938" s="93"/>
      <c r="T938" s="61"/>
      <c r="U938" s="180"/>
      <c r="V938" s="115"/>
      <c r="W938" s="93"/>
      <c r="X938" s="61"/>
      <c r="Y938" s="112"/>
      <c r="Z938" s="181"/>
      <c r="AA938" s="182"/>
      <c r="AB938" s="183"/>
      <c r="AC938" s="112"/>
      <c r="AD938" s="115"/>
      <c r="AE938" s="151"/>
      <c r="AF938" s="184"/>
      <c r="AG938" s="188"/>
      <c r="AH938" s="188"/>
      <c r="AI938" s="188"/>
      <c r="AJ938" s="188"/>
      <c r="AK938" s="61"/>
      <c r="AL938" s="61"/>
      <c r="AM938" s="61"/>
      <c r="AN938" s="61"/>
      <c r="AO938" s="61"/>
    </row>
    <row r="939">
      <c r="A939" s="112"/>
      <c r="B939" s="149"/>
      <c r="C939" s="93"/>
      <c r="D939" s="61"/>
      <c r="E939" s="112"/>
      <c r="F939" s="149"/>
      <c r="G939" s="93"/>
      <c r="H939" s="61"/>
      <c r="I939" s="112"/>
      <c r="J939" s="149"/>
      <c r="K939" s="93"/>
      <c r="L939" s="61"/>
      <c r="M939" s="112"/>
      <c r="N939" s="115"/>
      <c r="O939" s="93"/>
      <c r="P939" s="61"/>
      <c r="Q939" s="180"/>
      <c r="R939" s="115"/>
      <c r="S939" s="93"/>
      <c r="T939" s="61"/>
      <c r="U939" s="180"/>
      <c r="V939" s="115"/>
      <c r="W939" s="93"/>
      <c r="X939" s="61"/>
      <c r="Y939" s="112"/>
      <c r="Z939" s="181"/>
      <c r="AA939" s="182"/>
      <c r="AB939" s="183"/>
      <c r="AC939" s="112"/>
      <c r="AD939" s="115"/>
      <c r="AE939" s="151"/>
      <c r="AF939" s="184"/>
      <c r="AG939" s="188"/>
      <c r="AH939" s="188"/>
      <c r="AI939" s="188"/>
      <c r="AJ939" s="188"/>
      <c r="AK939" s="61"/>
      <c r="AL939" s="61"/>
      <c r="AM939" s="61"/>
      <c r="AN939" s="61"/>
      <c r="AO939" s="61"/>
    </row>
    <row r="940">
      <c r="A940" s="112"/>
      <c r="B940" s="149"/>
      <c r="C940" s="93"/>
      <c r="D940" s="61"/>
      <c r="E940" s="112"/>
      <c r="F940" s="149"/>
      <c r="G940" s="93"/>
      <c r="H940" s="61"/>
      <c r="I940" s="112"/>
      <c r="J940" s="149"/>
      <c r="K940" s="93"/>
      <c r="L940" s="61"/>
      <c r="M940" s="112"/>
      <c r="N940" s="115"/>
      <c r="O940" s="93"/>
      <c r="P940" s="61"/>
      <c r="Q940" s="180"/>
      <c r="R940" s="115"/>
      <c r="S940" s="93"/>
      <c r="T940" s="61"/>
      <c r="U940" s="180"/>
      <c r="V940" s="115"/>
      <c r="W940" s="93"/>
      <c r="X940" s="61"/>
      <c r="Y940" s="112"/>
      <c r="Z940" s="181"/>
      <c r="AA940" s="182"/>
      <c r="AB940" s="183"/>
      <c r="AC940" s="112"/>
      <c r="AD940" s="115"/>
      <c r="AE940" s="151"/>
      <c r="AF940" s="184"/>
      <c r="AG940" s="188"/>
      <c r="AH940" s="188"/>
      <c r="AI940" s="188"/>
      <c r="AJ940" s="188"/>
      <c r="AK940" s="61"/>
      <c r="AL940" s="61"/>
      <c r="AM940" s="61"/>
      <c r="AN940" s="61"/>
      <c r="AO940" s="61"/>
    </row>
    <row r="941">
      <c r="A941" s="112"/>
      <c r="B941" s="149"/>
      <c r="C941" s="93"/>
      <c r="D941" s="61"/>
      <c r="E941" s="112"/>
      <c r="F941" s="149"/>
      <c r="G941" s="93"/>
      <c r="H941" s="61"/>
      <c r="I941" s="112"/>
      <c r="J941" s="149"/>
      <c r="K941" s="93"/>
      <c r="L941" s="61"/>
      <c r="M941" s="112"/>
      <c r="N941" s="115"/>
      <c r="O941" s="93"/>
      <c r="P941" s="61"/>
      <c r="Q941" s="180"/>
      <c r="R941" s="115"/>
      <c r="S941" s="93"/>
      <c r="T941" s="61"/>
      <c r="U941" s="180"/>
      <c r="V941" s="115"/>
      <c r="W941" s="93"/>
      <c r="X941" s="61"/>
      <c r="Y941" s="112"/>
      <c r="Z941" s="181"/>
      <c r="AA941" s="182"/>
      <c r="AB941" s="183"/>
      <c r="AC941" s="112"/>
      <c r="AD941" s="115"/>
      <c r="AE941" s="151"/>
      <c r="AF941" s="184"/>
      <c r="AG941" s="188"/>
      <c r="AH941" s="188"/>
      <c r="AI941" s="188"/>
      <c r="AJ941" s="188"/>
      <c r="AK941" s="61"/>
      <c r="AL941" s="61"/>
      <c r="AM941" s="61"/>
      <c r="AN941" s="61"/>
      <c r="AO941" s="61"/>
    </row>
    <row r="942">
      <c r="A942" s="112"/>
      <c r="B942" s="149"/>
      <c r="C942" s="93"/>
      <c r="D942" s="61"/>
      <c r="E942" s="112"/>
      <c r="F942" s="149"/>
      <c r="G942" s="93"/>
      <c r="H942" s="61"/>
      <c r="I942" s="112"/>
      <c r="J942" s="149"/>
      <c r="K942" s="93"/>
      <c r="L942" s="61"/>
      <c r="M942" s="112"/>
      <c r="N942" s="115"/>
      <c r="O942" s="93"/>
      <c r="P942" s="61"/>
      <c r="Q942" s="180"/>
      <c r="R942" s="115"/>
      <c r="S942" s="93"/>
      <c r="T942" s="61"/>
      <c r="U942" s="180"/>
      <c r="V942" s="115"/>
      <c r="W942" s="93"/>
      <c r="X942" s="61"/>
      <c r="Y942" s="112"/>
      <c r="Z942" s="181"/>
      <c r="AA942" s="182"/>
      <c r="AB942" s="183"/>
      <c r="AC942" s="112"/>
      <c r="AD942" s="115"/>
      <c r="AE942" s="151"/>
      <c r="AF942" s="184"/>
      <c r="AG942" s="188"/>
      <c r="AH942" s="188"/>
      <c r="AI942" s="188"/>
      <c r="AJ942" s="188"/>
      <c r="AK942" s="61"/>
      <c r="AL942" s="61"/>
      <c r="AM942" s="61"/>
      <c r="AN942" s="61"/>
      <c r="AO942" s="61"/>
    </row>
    <row r="943">
      <c r="A943" s="112"/>
      <c r="B943" s="149"/>
      <c r="C943" s="93"/>
      <c r="D943" s="61"/>
      <c r="E943" s="112"/>
      <c r="F943" s="149"/>
      <c r="G943" s="93"/>
      <c r="H943" s="61"/>
      <c r="I943" s="112"/>
      <c r="J943" s="149"/>
      <c r="K943" s="93"/>
      <c r="L943" s="61"/>
      <c r="M943" s="112"/>
      <c r="N943" s="115"/>
      <c r="O943" s="93"/>
      <c r="P943" s="61"/>
      <c r="Q943" s="180"/>
      <c r="R943" s="115"/>
      <c r="S943" s="93"/>
      <c r="T943" s="61"/>
      <c r="U943" s="180"/>
      <c r="V943" s="115"/>
      <c r="W943" s="93"/>
      <c r="X943" s="61"/>
      <c r="Y943" s="112"/>
      <c r="Z943" s="181"/>
      <c r="AA943" s="182"/>
      <c r="AB943" s="183"/>
      <c r="AC943" s="112"/>
      <c r="AD943" s="115"/>
      <c r="AE943" s="151"/>
      <c r="AF943" s="184"/>
      <c r="AG943" s="188"/>
      <c r="AH943" s="188"/>
      <c r="AI943" s="188"/>
      <c r="AJ943" s="188"/>
      <c r="AK943" s="61"/>
      <c r="AL943" s="61"/>
      <c r="AM943" s="61"/>
      <c r="AN943" s="61"/>
      <c r="AO943" s="61"/>
    </row>
    <row r="944">
      <c r="A944" s="112"/>
      <c r="B944" s="149"/>
      <c r="C944" s="93"/>
      <c r="D944" s="61"/>
      <c r="E944" s="112"/>
      <c r="F944" s="149"/>
      <c r="G944" s="93"/>
      <c r="H944" s="61"/>
      <c r="I944" s="112"/>
      <c r="J944" s="149"/>
      <c r="K944" s="93"/>
      <c r="L944" s="61"/>
      <c r="M944" s="112"/>
      <c r="N944" s="115"/>
      <c r="O944" s="93"/>
      <c r="P944" s="61"/>
      <c r="Q944" s="180"/>
      <c r="R944" s="115"/>
      <c r="S944" s="93"/>
      <c r="T944" s="61"/>
      <c r="U944" s="180"/>
      <c r="V944" s="115"/>
      <c r="W944" s="93"/>
      <c r="X944" s="61"/>
      <c r="Y944" s="112"/>
      <c r="Z944" s="181"/>
      <c r="AA944" s="182"/>
      <c r="AB944" s="183"/>
      <c r="AC944" s="112"/>
      <c r="AD944" s="115"/>
      <c r="AE944" s="151"/>
      <c r="AF944" s="184"/>
      <c r="AG944" s="188"/>
      <c r="AH944" s="188"/>
      <c r="AI944" s="188"/>
      <c r="AJ944" s="188"/>
      <c r="AK944" s="61"/>
      <c r="AL944" s="61"/>
      <c r="AM944" s="61"/>
      <c r="AN944" s="61"/>
      <c r="AO944" s="61"/>
    </row>
    <row r="945">
      <c r="A945" s="112"/>
      <c r="B945" s="149"/>
      <c r="C945" s="93"/>
      <c r="D945" s="61"/>
      <c r="E945" s="112"/>
      <c r="F945" s="149"/>
      <c r="G945" s="93"/>
      <c r="H945" s="61"/>
      <c r="I945" s="112"/>
      <c r="J945" s="149"/>
      <c r="K945" s="93"/>
      <c r="L945" s="61"/>
      <c r="M945" s="112"/>
      <c r="N945" s="115"/>
      <c r="O945" s="93"/>
      <c r="P945" s="61"/>
      <c r="Q945" s="180"/>
      <c r="R945" s="115"/>
      <c r="S945" s="93"/>
      <c r="T945" s="61"/>
      <c r="U945" s="180"/>
      <c r="V945" s="115"/>
      <c r="W945" s="93"/>
      <c r="X945" s="61"/>
      <c r="Y945" s="112"/>
      <c r="Z945" s="181"/>
      <c r="AA945" s="182"/>
      <c r="AB945" s="183"/>
      <c r="AC945" s="112"/>
      <c r="AD945" s="115"/>
      <c r="AE945" s="151"/>
      <c r="AF945" s="184"/>
      <c r="AG945" s="188"/>
      <c r="AH945" s="188"/>
      <c r="AI945" s="188"/>
      <c r="AJ945" s="188"/>
      <c r="AK945" s="61"/>
      <c r="AL945" s="61"/>
      <c r="AM945" s="61"/>
      <c r="AN945" s="61"/>
      <c r="AO945" s="61"/>
    </row>
    <row r="946">
      <c r="A946" s="112"/>
      <c r="B946" s="149"/>
      <c r="C946" s="93"/>
      <c r="D946" s="61"/>
      <c r="E946" s="112"/>
      <c r="F946" s="149"/>
      <c r="G946" s="93"/>
      <c r="H946" s="61"/>
      <c r="I946" s="112"/>
      <c r="J946" s="149"/>
      <c r="K946" s="93"/>
      <c r="L946" s="61"/>
      <c r="M946" s="112"/>
      <c r="N946" s="115"/>
      <c r="O946" s="93"/>
      <c r="P946" s="61"/>
      <c r="Q946" s="180"/>
      <c r="R946" s="115"/>
      <c r="S946" s="93"/>
      <c r="T946" s="61"/>
      <c r="U946" s="180"/>
      <c r="V946" s="115"/>
      <c r="W946" s="93"/>
      <c r="X946" s="61"/>
      <c r="Y946" s="112"/>
      <c r="Z946" s="181"/>
      <c r="AA946" s="182"/>
      <c r="AB946" s="183"/>
      <c r="AC946" s="112"/>
      <c r="AD946" s="115"/>
      <c r="AE946" s="151"/>
      <c r="AF946" s="184"/>
      <c r="AG946" s="188"/>
      <c r="AH946" s="188"/>
      <c r="AI946" s="188"/>
      <c r="AJ946" s="188"/>
      <c r="AK946" s="61"/>
      <c r="AL946" s="61"/>
      <c r="AM946" s="61"/>
      <c r="AN946" s="61"/>
      <c r="AO946" s="61"/>
    </row>
    <row r="947">
      <c r="A947" s="112"/>
      <c r="B947" s="149"/>
      <c r="C947" s="93"/>
      <c r="D947" s="61"/>
      <c r="E947" s="112"/>
      <c r="F947" s="149"/>
      <c r="G947" s="93"/>
      <c r="H947" s="61"/>
      <c r="I947" s="112"/>
      <c r="J947" s="149"/>
      <c r="K947" s="93"/>
      <c r="L947" s="61"/>
      <c r="M947" s="112"/>
      <c r="N947" s="115"/>
      <c r="O947" s="93"/>
      <c r="P947" s="61"/>
      <c r="Q947" s="180"/>
      <c r="R947" s="115"/>
      <c r="S947" s="93"/>
      <c r="T947" s="61"/>
      <c r="U947" s="180"/>
      <c r="V947" s="115"/>
      <c r="W947" s="93"/>
      <c r="X947" s="61"/>
      <c r="Y947" s="112"/>
      <c r="Z947" s="181"/>
      <c r="AA947" s="182"/>
      <c r="AB947" s="183"/>
      <c r="AC947" s="112"/>
      <c r="AD947" s="115"/>
      <c r="AE947" s="151"/>
      <c r="AF947" s="184"/>
      <c r="AG947" s="188"/>
      <c r="AH947" s="188"/>
      <c r="AI947" s="188"/>
      <c r="AJ947" s="188"/>
      <c r="AK947" s="61"/>
      <c r="AL947" s="61"/>
      <c r="AM947" s="61"/>
      <c r="AN947" s="61"/>
      <c r="AO947" s="61"/>
    </row>
    <row r="948">
      <c r="A948" s="112"/>
      <c r="B948" s="149"/>
      <c r="C948" s="93"/>
      <c r="D948" s="61"/>
      <c r="E948" s="112"/>
      <c r="F948" s="149"/>
      <c r="G948" s="93"/>
      <c r="H948" s="61"/>
      <c r="I948" s="112"/>
      <c r="J948" s="149"/>
      <c r="K948" s="93"/>
      <c r="L948" s="61"/>
      <c r="M948" s="112"/>
      <c r="N948" s="115"/>
      <c r="O948" s="93"/>
      <c r="P948" s="61"/>
      <c r="Q948" s="180"/>
      <c r="R948" s="115"/>
      <c r="S948" s="93"/>
      <c r="T948" s="61"/>
      <c r="U948" s="180"/>
      <c r="V948" s="115"/>
      <c r="W948" s="93"/>
      <c r="X948" s="61"/>
      <c r="Y948" s="112"/>
      <c r="Z948" s="181"/>
      <c r="AA948" s="182"/>
      <c r="AB948" s="183"/>
      <c r="AC948" s="112"/>
      <c r="AD948" s="115"/>
      <c r="AE948" s="151"/>
      <c r="AF948" s="184"/>
      <c r="AG948" s="188"/>
      <c r="AH948" s="188"/>
      <c r="AI948" s="188"/>
      <c r="AJ948" s="188"/>
      <c r="AK948" s="61"/>
      <c r="AL948" s="61"/>
      <c r="AM948" s="61"/>
      <c r="AN948" s="61"/>
      <c r="AO948" s="61"/>
    </row>
    <row r="949">
      <c r="A949" s="112"/>
      <c r="B949" s="149"/>
      <c r="C949" s="93"/>
      <c r="D949" s="61"/>
      <c r="E949" s="112"/>
      <c r="F949" s="149"/>
      <c r="G949" s="93"/>
      <c r="H949" s="61"/>
      <c r="I949" s="112"/>
      <c r="J949" s="149"/>
      <c r="K949" s="93"/>
      <c r="L949" s="61"/>
      <c r="M949" s="112"/>
      <c r="N949" s="115"/>
      <c r="O949" s="93"/>
      <c r="P949" s="61"/>
      <c r="Q949" s="180"/>
      <c r="R949" s="115"/>
      <c r="S949" s="93"/>
      <c r="T949" s="61"/>
      <c r="U949" s="180"/>
      <c r="V949" s="115"/>
      <c r="W949" s="93"/>
      <c r="X949" s="61"/>
      <c r="Y949" s="112"/>
      <c r="Z949" s="181"/>
      <c r="AA949" s="182"/>
      <c r="AB949" s="183"/>
      <c r="AC949" s="112"/>
      <c r="AD949" s="115"/>
      <c r="AE949" s="151"/>
      <c r="AF949" s="184"/>
      <c r="AG949" s="188"/>
      <c r="AH949" s="188"/>
      <c r="AI949" s="188"/>
      <c r="AJ949" s="188"/>
      <c r="AK949" s="61"/>
      <c r="AL949" s="61"/>
      <c r="AM949" s="61"/>
      <c r="AN949" s="61"/>
      <c r="AO949" s="61"/>
    </row>
    <row r="950">
      <c r="A950" s="112"/>
      <c r="B950" s="149"/>
      <c r="C950" s="93"/>
      <c r="D950" s="61"/>
      <c r="E950" s="112"/>
      <c r="F950" s="149"/>
      <c r="G950" s="93"/>
      <c r="H950" s="61"/>
      <c r="I950" s="112"/>
      <c r="J950" s="149"/>
      <c r="K950" s="93"/>
      <c r="L950" s="61"/>
      <c r="M950" s="112"/>
      <c r="N950" s="115"/>
      <c r="O950" s="93"/>
      <c r="P950" s="61"/>
      <c r="Q950" s="180"/>
      <c r="R950" s="115"/>
      <c r="S950" s="93"/>
      <c r="T950" s="61"/>
      <c r="U950" s="180"/>
      <c r="V950" s="115"/>
      <c r="W950" s="93"/>
      <c r="X950" s="61"/>
      <c r="Y950" s="112"/>
      <c r="Z950" s="181"/>
      <c r="AA950" s="182"/>
      <c r="AB950" s="183"/>
      <c r="AC950" s="112"/>
      <c r="AD950" s="115"/>
      <c r="AE950" s="151"/>
      <c r="AF950" s="184"/>
      <c r="AG950" s="188"/>
      <c r="AH950" s="188"/>
      <c r="AI950" s="188"/>
      <c r="AJ950" s="188"/>
      <c r="AK950" s="61"/>
      <c r="AL950" s="61"/>
      <c r="AM950" s="61"/>
      <c r="AN950" s="61"/>
      <c r="AO950" s="61"/>
    </row>
    <row r="951">
      <c r="A951" s="112"/>
      <c r="B951" s="149"/>
      <c r="C951" s="93"/>
      <c r="D951" s="61"/>
      <c r="E951" s="112"/>
      <c r="F951" s="149"/>
      <c r="G951" s="93"/>
      <c r="H951" s="61"/>
      <c r="I951" s="112"/>
      <c r="J951" s="149"/>
      <c r="K951" s="93"/>
      <c r="L951" s="61"/>
      <c r="M951" s="112"/>
      <c r="N951" s="115"/>
      <c r="O951" s="93"/>
      <c r="P951" s="61"/>
      <c r="Q951" s="180"/>
      <c r="R951" s="115"/>
      <c r="S951" s="93"/>
      <c r="T951" s="61"/>
      <c r="U951" s="180"/>
      <c r="V951" s="115"/>
      <c r="W951" s="93"/>
      <c r="X951" s="61"/>
      <c r="Y951" s="112"/>
      <c r="Z951" s="181"/>
      <c r="AA951" s="182"/>
      <c r="AB951" s="183"/>
      <c r="AC951" s="112"/>
      <c r="AD951" s="115"/>
      <c r="AE951" s="151"/>
      <c r="AF951" s="184"/>
      <c r="AG951" s="188"/>
      <c r="AH951" s="188"/>
      <c r="AI951" s="188"/>
      <c r="AJ951" s="188"/>
      <c r="AK951" s="61"/>
      <c r="AL951" s="61"/>
      <c r="AM951" s="61"/>
      <c r="AN951" s="61"/>
      <c r="AO951" s="61"/>
    </row>
    <row r="952">
      <c r="A952" s="112"/>
      <c r="B952" s="149"/>
      <c r="C952" s="93"/>
      <c r="D952" s="61"/>
      <c r="E952" s="112"/>
      <c r="F952" s="149"/>
      <c r="G952" s="93"/>
      <c r="H952" s="61"/>
      <c r="I952" s="112"/>
      <c r="J952" s="149"/>
      <c r="K952" s="93"/>
      <c r="L952" s="61"/>
      <c r="M952" s="112"/>
      <c r="N952" s="115"/>
      <c r="O952" s="93"/>
      <c r="P952" s="61"/>
      <c r="Q952" s="180"/>
      <c r="R952" s="115"/>
      <c r="S952" s="93"/>
      <c r="T952" s="61"/>
      <c r="U952" s="180"/>
      <c r="V952" s="115"/>
      <c r="W952" s="93"/>
      <c r="X952" s="61"/>
      <c r="Y952" s="112"/>
      <c r="Z952" s="181"/>
      <c r="AA952" s="182"/>
      <c r="AB952" s="183"/>
      <c r="AC952" s="112"/>
      <c r="AD952" s="115"/>
      <c r="AE952" s="151"/>
      <c r="AF952" s="184"/>
      <c r="AG952" s="188"/>
      <c r="AH952" s="188"/>
      <c r="AI952" s="188"/>
      <c r="AJ952" s="188"/>
      <c r="AK952" s="61"/>
      <c r="AL952" s="61"/>
      <c r="AM952" s="61"/>
      <c r="AN952" s="61"/>
      <c r="AO952" s="61"/>
    </row>
    <row r="953">
      <c r="A953" s="112"/>
      <c r="B953" s="149"/>
      <c r="C953" s="93"/>
      <c r="D953" s="61"/>
      <c r="E953" s="112"/>
      <c r="F953" s="149"/>
      <c r="G953" s="93"/>
      <c r="H953" s="61"/>
      <c r="I953" s="112"/>
      <c r="J953" s="149"/>
      <c r="K953" s="93"/>
      <c r="L953" s="61"/>
      <c r="M953" s="112"/>
      <c r="N953" s="115"/>
      <c r="O953" s="93"/>
      <c r="P953" s="61"/>
      <c r="Q953" s="180"/>
      <c r="R953" s="115"/>
      <c r="S953" s="93"/>
      <c r="T953" s="61"/>
      <c r="U953" s="180"/>
      <c r="V953" s="115"/>
      <c r="W953" s="93"/>
      <c r="X953" s="61"/>
      <c r="Y953" s="112"/>
      <c r="Z953" s="181"/>
      <c r="AA953" s="182"/>
      <c r="AB953" s="183"/>
      <c r="AC953" s="112"/>
      <c r="AD953" s="115"/>
      <c r="AE953" s="151"/>
      <c r="AF953" s="184"/>
      <c r="AG953" s="188"/>
      <c r="AH953" s="188"/>
      <c r="AI953" s="188"/>
      <c r="AJ953" s="188"/>
      <c r="AK953" s="61"/>
      <c r="AL953" s="61"/>
      <c r="AM953" s="61"/>
      <c r="AN953" s="61"/>
      <c r="AO953" s="61"/>
    </row>
    <row r="954">
      <c r="A954" s="112"/>
      <c r="B954" s="149"/>
      <c r="C954" s="93"/>
      <c r="D954" s="61"/>
      <c r="E954" s="112"/>
      <c r="F954" s="149"/>
      <c r="G954" s="93"/>
      <c r="H954" s="61"/>
      <c r="I954" s="112"/>
      <c r="J954" s="149"/>
      <c r="K954" s="93"/>
      <c r="L954" s="61"/>
      <c r="M954" s="112"/>
      <c r="N954" s="115"/>
      <c r="O954" s="93"/>
      <c r="P954" s="61"/>
      <c r="Q954" s="180"/>
      <c r="R954" s="115"/>
      <c r="S954" s="93"/>
      <c r="T954" s="61"/>
      <c r="U954" s="180"/>
      <c r="V954" s="115"/>
      <c r="W954" s="93"/>
      <c r="X954" s="61"/>
      <c r="Y954" s="112"/>
      <c r="Z954" s="181"/>
      <c r="AA954" s="182"/>
      <c r="AB954" s="183"/>
      <c r="AC954" s="112"/>
      <c r="AD954" s="115"/>
      <c r="AE954" s="151"/>
      <c r="AF954" s="184"/>
      <c r="AG954" s="188"/>
      <c r="AH954" s="188"/>
      <c r="AI954" s="188"/>
      <c r="AJ954" s="188"/>
      <c r="AK954" s="61"/>
      <c r="AL954" s="61"/>
      <c r="AM954" s="61"/>
      <c r="AN954" s="61"/>
      <c r="AO954" s="61"/>
    </row>
    <row r="955">
      <c r="A955" s="112"/>
      <c r="B955" s="149"/>
      <c r="C955" s="93"/>
      <c r="D955" s="61"/>
      <c r="E955" s="112"/>
      <c r="F955" s="149"/>
      <c r="G955" s="93"/>
      <c r="H955" s="61"/>
      <c r="I955" s="112"/>
      <c r="J955" s="149"/>
      <c r="K955" s="93"/>
      <c r="L955" s="61"/>
      <c r="M955" s="112"/>
      <c r="N955" s="115"/>
      <c r="O955" s="93"/>
      <c r="P955" s="61"/>
      <c r="Q955" s="180"/>
      <c r="R955" s="115"/>
      <c r="S955" s="93"/>
      <c r="T955" s="61"/>
      <c r="U955" s="180"/>
      <c r="V955" s="115"/>
      <c r="W955" s="93"/>
      <c r="X955" s="61"/>
      <c r="Y955" s="112"/>
      <c r="Z955" s="181"/>
      <c r="AA955" s="182"/>
      <c r="AB955" s="183"/>
      <c r="AC955" s="112"/>
      <c r="AD955" s="115"/>
      <c r="AE955" s="151"/>
      <c r="AF955" s="184"/>
      <c r="AG955" s="188"/>
      <c r="AH955" s="188"/>
      <c r="AI955" s="188"/>
      <c r="AJ955" s="188"/>
      <c r="AK955" s="61"/>
      <c r="AL955" s="61"/>
      <c r="AM955" s="61"/>
      <c r="AN955" s="61"/>
      <c r="AO955" s="61"/>
    </row>
    <row r="956">
      <c r="A956" s="112"/>
      <c r="B956" s="149"/>
      <c r="C956" s="93"/>
      <c r="D956" s="61"/>
      <c r="E956" s="112"/>
      <c r="F956" s="149"/>
      <c r="G956" s="93"/>
      <c r="H956" s="61"/>
      <c r="I956" s="112"/>
      <c r="J956" s="149"/>
      <c r="K956" s="93"/>
      <c r="L956" s="61"/>
      <c r="M956" s="112"/>
      <c r="N956" s="115"/>
      <c r="O956" s="93"/>
      <c r="P956" s="61"/>
      <c r="Q956" s="180"/>
      <c r="R956" s="115"/>
      <c r="S956" s="93"/>
      <c r="T956" s="61"/>
      <c r="U956" s="180"/>
      <c r="V956" s="115"/>
      <c r="W956" s="93"/>
      <c r="X956" s="61"/>
      <c r="Y956" s="112"/>
      <c r="Z956" s="181"/>
      <c r="AA956" s="182"/>
      <c r="AB956" s="183"/>
      <c r="AC956" s="112"/>
      <c r="AD956" s="115"/>
      <c r="AE956" s="151"/>
      <c r="AF956" s="184"/>
      <c r="AG956" s="188"/>
      <c r="AH956" s="188"/>
      <c r="AI956" s="188"/>
      <c r="AJ956" s="188"/>
      <c r="AK956" s="61"/>
      <c r="AL956" s="61"/>
      <c r="AM956" s="61"/>
      <c r="AN956" s="61"/>
      <c r="AO956" s="61"/>
    </row>
    <row r="957">
      <c r="A957" s="112"/>
      <c r="B957" s="149"/>
      <c r="C957" s="93"/>
      <c r="D957" s="61"/>
      <c r="E957" s="112"/>
      <c r="F957" s="149"/>
      <c r="G957" s="93"/>
      <c r="H957" s="61"/>
      <c r="I957" s="112"/>
      <c r="J957" s="149"/>
      <c r="K957" s="93"/>
      <c r="L957" s="61"/>
      <c r="M957" s="112"/>
      <c r="N957" s="115"/>
      <c r="O957" s="93"/>
      <c r="P957" s="61"/>
      <c r="Q957" s="180"/>
      <c r="R957" s="115"/>
      <c r="S957" s="93"/>
      <c r="T957" s="61"/>
      <c r="U957" s="180"/>
      <c r="V957" s="115"/>
      <c r="W957" s="93"/>
      <c r="X957" s="61"/>
      <c r="Y957" s="112"/>
      <c r="Z957" s="181"/>
      <c r="AA957" s="182"/>
      <c r="AB957" s="183"/>
      <c r="AC957" s="112"/>
      <c r="AD957" s="115"/>
      <c r="AE957" s="151"/>
      <c r="AF957" s="184"/>
      <c r="AG957" s="188"/>
      <c r="AH957" s="188"/>
      <c r="AI957" s="188"/>
      <c r="AJ957" s="188"/>
      <c r="AK957" s="61"/>
      <c r="AL957" s="61"/>
      <c r="AM957" s="61"/>
      <c r="AN957" s="61"/>
      <c r="AO957" s="61"/>
    </row>
    <row r="958">
      <c r="A958" s="112"/>
      <c r="B958" s="149"/>
      <c r="C958" s="93"/>
      <c r="D958" s="61"/>
      <c r="E958" s="112"/>
      <c r="F958" s="149"/>
      <c r="G958" s="93"/>
      <c r="H958" s="61"/>
      <c r="I958" s="112"/>
      <c r="J958" s="149"/>
      <c r="K958" s="93"/>
      <c r="L958" s="61"/>
      <c r="M958" s="112"/>
      <c r="N958" s="115"/>
      <c r="O958" s="93"/>
      <c r="P958" s="61"/>
      <c r="Q958" s="180"/>
      <c r="R958" s="115"/>
      <c r="S958" s="93"/>
      <c r="T958" s="61"/>
      <c r="U958" s="180"/>
      <c r="V958" s="115"/>
      <c r="W958" s="93"/>
      <c r="X958" s="61"/>
      <c r="Y958" s="112"/>
      <c r="Z958" s="181"/>
      <c r="AA958" s="182"/>
      <c r="AB958" s="183"/>
      <c r="AC958" s="112"/>
      <c r="AD958" s="115"/>
      <c r="AE958" s="151"/>
      <c r="AF958" s="184"/>
      <c r="AG958" s="188"/>
      <c r="AH958" s="188"/>
      <c r="AI958" s="188"/>
      <c r="AJ958" s="188"/>
      <c r="AK958" s="61"/>
      <c r="AL958" s="61"/>
      <c r="AM958" s="61"/>
      <c r="AN958" s="61"/>
      <c r="AO958" s="61"/>
    </row>
    <row r="959">
      <c r="A959" s="112"/>
      <c r="B959" s="149"/>
      <c r="C959" s="93"/>
      <c r="D959" s="61"/>
      <c r="E959" s="112"/>
      <c r="F959" s="149"/>
      <c r="G959" s="93"/>
      <c r="H959" s="61"/>
      <c r="I959" s="112"/>
      <c r="J959" s="149"/>
      <c r="K959" s="93"/>
      <c r="L959" s="61"/>
      <c r="M959" s="112"/>
      <c r="N959" s="115"/>
      <c r="O959" s="93"/>
      <c r="P959" s="61"/>
      <c r="Q959" s="180"/>
      <c r="R959" s="115"/>
      <c r="S959" s="93"/>
      <c r="T959" s="61"/>
      <c r="U959" s="180"/>
      <c r="V959" s="115"/>
      <c r="W959" s="93"/>
      <c r="X959" s="61"/>
      <c r="Y959" s="112"/>
      <c r="Z959" s="181"/>
      <c r="AA959" s="182"/>
      <c r="AB959" s="183"/>
      <c r="AC959" s="112"/>
      <c r="AD959" s="115"/>
      <c r="AE959" s="151"/>
      <c r="AF959" s="184"/>
      <c r="AG959" s="188"/>
      <c r="AH959" s="188"/>
      <c r="AI959" s="188"/>
      <c r="AJ959" s="188"/>
      <c r="AK959" s="61"/>
      <c r="AL959" s="61"/>
      <c r="AM959" s="61"/>
      <c r="AN959" s="61"/>
      <c r="AO959" s="61"/>
    </row>
    <row r="960">
      <c r="A960" s="112"/>
      <c r="B960" s="149"/>
      <c r="C960" s="93"/>
      <c r="D960" s="61"/>
      <c r="E960" s="112"/>
      <c r="F960" s="149"/>
      <c r="G960" s="93"/>
      <c r="H960" s="61"/>
      <c r="I960" s="112"/>
      <c r="J960" s="149"/>
      <c r="K960" s="93"/>
      <c r="L960" s="61"/>
      <c r="M960" s="112"/>
      <c r="N960" s="115"/>
      <c r="O960" s="93"/>
      <c r="P960" s="61"/>
      <c r="Q960" s="180"/>
      <c r="R960" s="115"/>
      <c r="S960" s="93"/>
      <c r="T960" s="61"/>
      <c r="U960" s="180"/>
      <c r="V960" s="115"/>
      <c r="W960" s="93"/>
      <c r="X960" s="61"/>
      <c r="Y960" s="112"/>
      <c r="Z960" s="181"/>
      <c r="AA960" s="182"/>
      <c r="AB960" s="183"/>
      <c r="AC960" s="112"/>
      <c r="AD960" s="115"/>
      <c r="AE960" s="151"/>
      <c r="AF960" s="184"/>
      <c r="AG960" s="188"/>
      <c r="AH960" s="188"/>
      <c r="AI960" s="188"/>
      <c r="AJ960" s="188"/>
      <c r="AK960" s="61"/>
      <c r="AL960" s="61"/>
      <c r="AM960" s="61"/>
      <c r="AN960" s="61"/>
      <c r="AO960" s="61"/>
    </row>
    <row r="961">
      <c r="A961" s="112"/>
      <c r="B961" s="149"/>
      <c r="C961" s="93"/>
      <c r="D961" s="61"/>
      <c r="E961" s="112"/>
      <c r="F961" s="149"/>
      <c r="G961" s="93"/>
      <c r="H961" s="61"/>
      <c r="I961" s="112"/>
      <c r="J961" s="149"/>
      <c r="K961" s="93"/>
      <c r="L961" s="61"/>
      <c r="M961" s="112"/>
      <c r="N961" s="115"/>
      <c r="O961" s="93"/>
      <c r="P961" s="61"/>
      <c r="Q961" s="180"/>
      <c r="R961" s="115"/>
      <c r="S961" s="93"/>
      <c r="T961" s="61"/>
      <c r="U961" s="180"/>
      <c r="V961" s="115"/>
      <c r="W961" s="93"/>
      <c r="X961" s="61"/>
      <c r="Y961" s="112"/>
      <c r="Z961" s="181"/>
      <c r="AA961" s="182"/>
      <c r="AB961" s="183"/>
      <c r="AC961" s="112"/>
      <c r="AD961" s="115"/>
      <c r="AE961" s="151"/>
      <c r="AF961" s="184"/>
      <c r="AG961" s="188"/>
      <c r="AH961" s="188"/>
      <c r="AI961" s="188"/>
      <c r="AJ961" s="188"/>
      <c r="AK961" s="61"/>
      <c r="AL961" s="61"/>
      <c r="AM961" s="61"/>
      <c r="AN961" s="61"/>
      <c r="AO961" s="61"/>
    </row>
    <row r="962">
      <c r="A962" s="112"/>
      <c r="B962" s="149"/>
      <c r="C962" s="93"/>
      <c r="D962" s="61"/>
      <c r="E962" s="112"/>
      <c r="F962" s="149"/>
      <c r="G962" s="93"/>
      <c r="H962" s="61"/>
      <c r="I962" s="112"/>
      <c r="J962" s="149"/>
      <c r="K962" s="93"/>
      <c r="L962" s="61"/>
      <c r="M962" s="112"/>
      <c r="N962" s="115"/>
      <c r="O962" s="93"/>
      <c r="P962" s="61"/>
      <c r="Q962" s="180"/>
      <c r="R962" s="115"/>
      <c r="S962" s="93"/>
      <c r="T962" s="61"/>
      <c r="U962" s="180"/>
      <c r="V962" s="115"/>
      <c r="W962" s="93"/>
      <c r="X962" s="61"/>
      <c r="Y962" s="112"/>
      <c r="Z962" s="189"/>
      <c r="AA962" s="190"/>
      <c r="AB962" s="191"/>
      <c r="AC962" s="112"/>
      <c r="AD962" s="20"/>
      <c r="AE962" s="130"/>
      <c r="AF962" s="130"/>
      <c r="AG962" s="188"/>
      <c r="AH962" s="188"/>
      <c r="AI962" s="188"/>
      <c r="AJ962" s="188"/>
      <c r="AK962" s="55"/>
      <c r="AL962" s="55"/>
      <c r="AM962" s="55"/>
      <c r="AN962" s="55"/>
      <c r="AO962" s="55"/>
    </row>
    <row r="963">
      <c r="A963" s="112"/>
      <c r="B963" s="149"/>
      <c r="C963" s="93"/>
      <c r="D963" s="61"/>
      <c r="E963" s="112"/>
      <c r="F963" s="149"/>
      <c r="G963" s="93"/>
      <c r="H963" s="61"/>
      <c r="I963" s="112"/>
      <c r="J963" s="149"/>
      <c r="K963" s="93"/>
      <c r="L963" s="61"/>
      <c r="M963" s="112"/>
      <c r="N963" s="115"/>
      <c r="O963" s="93"/>
      <c r="P963" s="61"/>
      <c r="Q963" s="180"/>
      <c r="R963" s="115"/>
      <c r="S963" s="93"/>
      <c r="T963" s="61"/>
      <c r="U963" s="180"/>
      <c r="V963" s="115"/>
      <c r="W963" s="93"/>
      <c r="X963" s="61"/>
      <c r="Y963" s="112"/>
      <c r="Z963" s="189"/>
      <c r="AA963" s="190"/>
      <c r="AB963" s="191"/>
      <c r="AC963" s="112"/>
      <c r="AD963" s="20"/>
      <c r="AE963" s="130"/>
      <c r="AF963" s="130"/>
      <c r="AG963" s="188"/>
      <c r="AH963" s="188"/>
      <c r="AI963" s="188"/>
      <c r="AJ963" s="188"/>
      <c r="AK963" s="55"/>
      <c r="AL963" s="55"/>
      <c r="AM963" s="55"/>
      <c r="AN963" s="55"/>
      <c r="AO963" s="55"/>
    </row>
    <row r="964">
      <c r="A964" s="112"/>
      <c r="B964" s="149"/>
      <c r="C964" s="93"/>
      <c r="D964" s="61"/>
      <c r="E964" s="112"/>
      <c r="F964" s="149"/>
      <c r="G964" s="93"/>
      <c r="H964" s="61"/>
      <c r="I964" s="112"/>
      <c r="J964" s="149"/>
      <c r="K964" s="93"/>
      <c r="L964" s="61"/>
      <c r="M964" s="112"/>
      <c r="N964" s="115"/>
      <c r="O964" s="93"/>
      <c r="P964" s="61"/>
      <c r="Q964" s="180"/>
      <c r="R964" s="115"/>
      <c r="S964" s="93"/>
      <c r="T964" s="61"/>
      <c r="U964" s="180"/>
      <c r="V964" s="115"/>
      <c r="W964" s="93"/>
      <c r="X964" s="61"/>
      <c r="Y964" s="112"/>
      <c r="Z964" s="189"/>
      <c r="AA964" s="190"/>
      <c r="AB964" s="191"/>
      <c r="AC964" s="112"/>
      <c r="AD964" s="20"/>
      <c r="AE964" s="130"/>
      <c r="AF964" s="130"/>
      <c r="AG964" s="188"/>
      <c r="AH964" s="188"/>
      <c r="AI964" s="188"/>
      <c r="AJ964" s="188"/>
      <c r="AK964" s="55"/>
      <c r="AL964" s="55"/>
      <c r="AM964" s="55"/>
      <c r="AN964" s="55"/>
      <c r="AO964" s="55"/>
    </row>
    <row r="965">
      <c r="A965" s="112"/>
      <c r="B965" s="149"/>
      <c r="C965" s="93"/>
      <c r="D965" s="61"/>
      <c r="E965" s="112"/>
      <c r="F965" s="149"/>
      <c r="G965" s="93"/>
      <c r="H965" s="61"/>
      <c r="I965" s="112"/>
      <c r="J965" s="149"/>
      <c r="K965" s="93"/>
      <c r="L965" s="61"/>
      <c r="M965" s="112"/>
      <c r="N965" s="115"/>
      <c r="O965" s="93"/>
      <c r="P965" s="61"/>
      <c r="Q965" s="180"/>
      <c r="R965" s="115"/>
      <c r="S965" s="93"/>
      <c r="T965" s="61"/>
      <c r="U965" s="180"/>
      <c r="V965" s="115"/>
      <c r="W965" s="93"/>
      <c r="X965" s="61"/>
      <c r="Y965" s="112"/>
      <c r="Z965" s="189"/>
      <c r="AA965" s="190"/>
      <c r="AB965" s="191"/>
      <c r="AC965" s="112"/>
      <c r="AD965" s="20"/>
      <c r="AE965" s="130"/>
      <c r="AF965" s="130"/>
      <c r="AG965" s="188"/>
      <c r="AH965" s="188"/>
      <c r="AI965" s="188"/>
      <c r="AJ965" s="188"/>
      <c r="AK965" s="55"/>
      <c r="AL965" s="55"/>
      <c r="AM965" s="55"/>
      <c r="AN965" s="55"/>
      <c r="AO965" s="55"/>
    </row>
    <row r="966">
      <c r="A966" s="112"/>
      <c r="B966" s="149"/>
      <c r="C966" s="93"/>
      <c r="D966" s="61"/>
      <c r="E966" s="112"/>
      <c r="F966" s="149"/>
      <c r="G966" s="93"/>
      <c r="H966" s="61"/>
      <c r="I966" s="112"/>
      <c r="J966" s="149"/>
      <c r="K966" s="93"/>
      <c r="L966" s="61"/>
      <c r="M966" s="112"/>
      <c r="N966" s="115"/>
      <c r="O966" s="93"/>
      <c r="P966" s="61"/>
      <c r="Q966" s="180"/>
      <c r="R966" s="115"/>
      <c r="S966" s="93"/>
      <c r="T966" s="61"/>
      <c r="U966" s="180"/>
      <c r="V966" s="115"/>
      <c r="W966" s="93"/>
      <c r="X966" s="61"/>
      <c r="Y966" s="20"/>
      <c r="Z966" s="20"/>
      <c r="AA966" s="130"/>
      <c r="AB966" s="192"/>
      <c r="AC966" s="20"/>
      <c r="AD966" s="20"/>
      <c r="AE966" s="130"/>
      <c r="AF966" s="193"/>
      <c r="AG966" s="188"/>
      <c r="AH966" s="188"/>
      <c r="AI966" s="188"/>
      <c r="AJ966" s="188"/>
      <c r="AK966" s="20"/>
      <c r="AL966" s="20"/>
      <c r="AM966" s="20"/>
      <c r="AN966" s="20"/>
      <c r="AO966" s="20"/>
    </row>
    <row r="967">
      <c r="A967" s="112"/>
      <c r="B967" s="149"/>
      <c r="C967" s="93"/>
      <c r="D967" s="61"/>
      <c r="E967" s="112"/>
      <c r="F967" s="149"/>
      <c r="G967" s="93"/>
      <c r="H967" s="61"/>
      <c r="I967" s="112"/>
      <c r="J967" s="149"/>
      <c r="K967" s="93"/>
      <c r="L967" s="61"/>
      <c r="M967" s="112"/>
      <c r="N967" s="115"/>
      <c r="O967" s="93"/>
      <c r="P967" s="61"/>
      <c r="Q967" s="180"/>
      <c r="R967" s="115"/>
      <c r="S967" s="93"/>
      <c r="T967" s="61"/>
      <c r="U967" s="180"/>
      <c r="V967" s="115"/>
      <c r="W967" s="93"/>
      <c r="X967" s="61"/>
      <c r="Y967" s="20"/>
      <c r="Z967" s="20"/>
      <c r="AA967" s="130"/>
      <c r="AB967" s="192"/>
      <c r="AC967" s="20"/>
      <c r="AD967" s="20"/>
      <c r="AE967" s="130"/>
      <c r="AF967" s="193"/>
      <c r="AG967" s="188"/>
      <c r="AH967" s="188"/>
      <c r="AI967" s="188"/>
      <c r="AJ967" s="188"/>
      <c r="AK967" s="20"/>
      <c r="AL967" s="20"/>
      <c r="AM967" s="20"/>
      <c r="AN967" s="20"/>
      <c r="AO967" s="20"/>
    </row>
    <row r="968">
      <c r="A968" s="112"/>
      <c r="B968" s="149"/>
      <c r="C968" s="93"/>
      <c r="D968" s="61"/>
      <c r="E968" s="112"/>
      <c r="F968" s="149"/>
      <c r="G968" s="93"/>
      <c r="H968" s="61"/>
      <c r="I968" s="112"/>
      <c r="J968" s="149"/>
      <c r="K968" s="93"/>
      <c r="L968" s="61"/>
      <c r="M968" s="112"/>
      <c r="N968" s="115"/>
      <c r="O968" s="93"/>
      <c r="P968" s="61"/>
      <c r="Q968" s="180"/>
      <c r="R968" s="115"/>
      <c r="S968" s="93"/>
      <c r="T968" s="61"/>
      <c r="U968" s="180"/>
      <c r="V968" s="115"/>
      <c r="W968" s="93"/>
      <c r="X968" s="61"/>
      <c r="Y968" s="20"/>
      <c r="Z968" s="20"/>
      <c r="AA968" s="130"/>
      <c r="AB968" s="192"/>
      <c r="AC968" s="20"/>
      <c r="AD968" s="20"/>
      <c r="AE968" s="130"/>
      <c r="AF968" s="193"/>
      <c r="AG968" s="188"/>
      <c r="AH968" s="188"/>
      <c r="AI968" s="188"/>
      <c r="AJ968" s="188"/>
      <c r="AK968" s="20"/>
      <c r="AL968" s="20"/>
      <c r="AM968" s="20"/>
      <c r="AN968" s="20"/>
      <c r="AO968" s="20"/>
    </row>
    <row r="969">
      <c r="A969" s="112"/>
      <c r="B969" s="149"/>
      <c r="C969" s="93"/>
      <c r="D969" s="61"/>
      <c r="E969" s="112"/>
      <c r="F969" s="149"/>
      <c r="G969" s="93"/>
      <c r="H969" s="61"/>
      <c r="I969" s="112"/>
      <c r="J969" s="149"/>
      <c r="K969" s="93"/>
      <c r="L969" s="61"/>
      <c r="M969" s="112"/>
      <c r="N969" s="115"/>
      <c r="O969" s="93"/>
      <c r="P969" s="61"/>
      <c r="Q969" s="180"/>
      <c r="R969" s="115"/>
      <c r="S969" s="93"/>
      <c r="T969" s="61"/>
      <c r="U969" s="180"/>
      <c r="V969" s="115"/>
      <c r="W969" s="93"/>
      <c r="X969" s="61"/>
      <c r="Y969" s="20"/>
      <c r="Z969" s="20"/>
      <c r="AA969" s="130"/>
      <c r="AB969" s="192"/>
      <c r="AC969" s="20"/>
      <c r="AD969" s="20"/>
      <c r="AE969" s="130"/>
      <c r="AF969" s="193"/>
      <c r="AG969" s="188"/>
      <c r="AH969" s="188"/>
      <c r="AI969" s="188"/>
      <c r="AJ969" s="188"/>
      <c r="AK969" s="20"/>
      <c r="AL969" s="20"/>
      <c r="AM969" s="20"/>
      <c r="AN969" s="20"/>
      <c r="AO969" s="20"/>
    </row>
    <row r="970">
      <c r="A970" s="112"/>
      <c r="B970" s="149"/>
      <c r="C970" s="93"/>
      <c r="D970" s="61"/>
      <c r="E970" s="112"/>
      <c r="F970" s="149"/>
      <c r="G970" s="93"/>
      <c r="H970" s="61"/>
      <c r="I970" s="112"/>
      <c r="J970" s="149"/>
      <c r="K970" s="93"/>
      <c r="L970" s="61"/>
      <c r="M970" s="112"/>
      <c r="N970" s="115"/>
      <c r="O970" s="93"/>
      <c r="P970" s="61"/>
      <c r="Q970" s="180"/>
      <c r="R970" s="115"/>
      <c r="S970" s="93"/>
      <c r="T970" s="61"/>
      <c r="U970" s="180"/>
      <c r="V970" s="115"/>
      <c r="W970" s="93"/>
      <c r="X970" s="61"/>
      <c r="Y970" s="20"/>
      <c r="Z970" s="20"/>
      <c r="AA970" s="130"/>
      <c r="AB970" s="192"/>
      <c r="AC970" s="20"/>
      <c r="AD970" s="20"/>
      <c r="AE970" s="130"/>
      <c r="AF970" s="193"/>
      <c r="AG970" s="188"/>
      <c r="AH970" s="188"/>
      <c r="AI970" s="188"/>
      <c r="AJ970" s="188"/>
      <c r="AK970" s="20"/>
      <c r="AL970" s="20"/>
      <c r="AM970" s="20"/>
      <c r="AN970" s="20"/>
      <c r="AO970" s="20"/>
    </row>
    <row r="971">
      <c r="A971" s="112"/>
      <c r="B971" s="149"/>
      <c r="C971" s="93"/>
      <c r="D971" s="61"/>
      <c r="E971" s="112"/>
      <c r="F971" s="149"/>
      <c r="G971" s="93"/>
      <c r="H971" s="61"/>
      <c r="I971" s="112"/>
      <c r="J971" s="149"/>
      <c r="K971" s="93"/>
      <c r="L971" s="61"/>
      <c r="M971" s="112"/>
      <c r="N971" s="115"/>
      <c r="O971" s="93"/>
      <c r="P971" s="61"/>
      <c r="Q971" s="180"/>
      <c r="R971" s="115"/>
      <c r="S971" s="93"/>
      <c r="T971" s="61"/>
      <c r="U971" s="180"/>
      <c r="V971" s="115"/>
      <c r="W971" s="93"/>
      <c r="X971" s="61"/>
      <c r="Y971" s="20"/>
      <c r="Z971" s="20"/>
      <c r="AA971" s="130"/>
      <c r="AB971" s="192"/>
      <c r="AC971" s="20"/>
      <c r="AD971" s="20"/>
      <c r="AE971" s="130"/>
      <c r="AF971" s="193"/>
      <c r="AG971" s="188"/>
      <c r="AH971" s="188"/>
      <c r="AI971" s="188"/>
      <c r="AJ971" s="188"/>
      <c r="AK971" s="20"/>
      <c r="AL971" s="20"/>
      <c r="AM971" s="20"/>
      <c r="AN971" s="20"/>
      <c r="AO971" s="20"/>
    </row>
    <row r="972">
      <c r="A972" s="112"/>
      <c r="B972" s="149"/>
      <c r="C972" s="93"/>
      <c r="D972" s="61"/>
      <c r="E972" s="112"/>
      <c r="F972" s="149"/>
      <c r="G972" s="93"/>
      <c r="H972" s="61"/>
      <c r="I972" s="112"/>
      <c r="J972" s="149"/>
      <c r="K972" s="93"/>
      <c r="L972" s="61"/>
      <c r="M972" s="112"/>
      <c r="N972" s="115"/>
      <c r="O972" s="93"/>
      <c r="P972" s="61"/>
      <c r="Q972" s="180"/>
      <c r="R972" s="115"/>
      <c r="S972" s="93"/>
      <c r="T972" s="61"/>
      <c r="U972" s="180"/>
      <c r="V972" s="115"/>
      <c r="W972" s="93"/>
      <c r="X972" s="61"/>
      <c r="Y972" s="20"/>
      <c r="Z972" s="20"/>
      <c r="AA972" s="130"/>
      <c r="AB972" s="192"/>
      <c r="AC972" s="20"/>
      <c r="AD972" s="20"/>
      <c r="AE972" s="130"/>
      <c r="AF972" s="193"/>
      <c r="AG972" s="188"/>
      <c r="AH972" s="188"/>
      <c r="AI972" s="188"/>
      <c r="AJ972" s="188"/>
      <c r="AK972" s="20"/>
      <c r="AL972" s="20"/>
      <c r="AM972" s="20"/>
      <c r="AN972" s="20"/>
      <c r="AO972" s="20"/>
    </row>
    <row r="973">
      <c r="A973" s="112"/>
      <c r="B973" s="149"/>
      <c r="C973" s="93"/>
      <c r="D973" s="61"/>
      <c r="E973" s="112"/>
      <c r="F973" s="149"/>
      <c r="G973" s="93"/>
      <c r="H973" s="61"/>
      <c r="I973" s="112"/>
      <c r="J973" s="149"/>
      <c r="K973" s="93"/>
      <c r="L973" s="61"/>
      <c r="M973" s="112"/>
      <c r="N973" s="115"/>
      <c r="O973" s="93"/>
      <c r="P973" s="61"/>
      <c r="Q973" s="180"/>
      <c r="R973" s="115"/>
      <c r="S973" s="93"/>
      <c r="T973" s="61"/>
      <c r="U973" s="180"/>
      <c r="V973" s="115"/>
      <c r="W973" s="93"/>
      <c r="X973" s="61"/>
      <c r="Y973" s="20"/>
      <c r="Z973" s="20"/>
      <c r="AA973" s="130"/>
      <c r="AB973" s="192"/>
      <c r="AC973" s="20"/>
      <c r="AD973" s="20"/>
      <c r="AE973" s="130"/>
      <c r="AF973" s="193"/>
      <c r="AG973" s="188"/>
      <c r="AH973" s="188"/>
      <c r="AI973" s="188"/>
      <c r="AJ973" s="188"/>
      <c r="AK973" s="20"/>
      <c r="AL973" s="20"/>
      <c r="AM973" s="20"/>
      <c r="AN973" s="20"/>
      <c r="AO973" s="20"/>
    </row>
    <row r="974">
      <c r="A974" s="112"/>
      <c r="B974" s="149"/>
      <c r="C974" s="93"/>
      <c r="D974" s="61"/>
      <c r="E974" s="112"/>
      <c r="F974" s="149"/>
      <c r="G974" s="93"/>
      <c r="H974" s="61"/>
      <c r="I974" s="112"/>
      <c r="J974" s="149"/>
      <c r="K974" s="93"/>
      <c r="L974" s="61"/>
      <c r="M974" s="112"/>
      <c r="N974" s="115"/>
      <c r="O974" s="93"/>
      <c r="P974" s="61"/>
      <c r="Q974" s="180"/>
      <c r="R974" s="115"/>
      <c r="S974" s="93"/>
      <c r="T974" s="61"/>
      <c r="U974" s="180"/>
      <c r="V974" s="115"/>
      <c r="W974" s="93"/>
      <c r="X974" s="61"/>
      <c r="Y974" s="20"/>
      <c r="Z974" s="20"/>
      <c r="AA974" s="130"/>
      <c r="AB974" s="192"/>
      <c r="AC974" s="20"/>
      <c r="AD974" s="20"/>
      <c r="AE974" s="130"/>
      <c r="AF974" s="193"/>
      <c r="AG974" s="188"/>
      <c r="AH974" s="188"/>
      <c r="AI974" s="188"/>
      <c r="AJ974" s="188"/>
      <c r="AK974" s="20"/>
      <c r="AL974" s="20"/>
      <c r="AM974" s="20"/>
      <c r="AN974" s="20"/>
      <c r="AO974" s="20"/>
    </row>
    <row r="975">
      <c r="A975" s="112"/>
      <c r="B975" s="149"/>
      <c r="C975" s="93"/>
      <c r="D975" s="61"/>
      <c r="E975" s="112"/>
      <c r="F975" s="149"/>
      <c r="G975" s="93"/>
      <c r="H975" s="61"/>
      <c r="I975" s="112"/>
      <c r="J975" s="149"/>
      <c r="K975" s="93"/>
      <c r="L975" s="61"/>
      <c r="M975" s="112"/>
      <c r="N975" s="115"/>
      <c r="O975" s="93"/>
      <c r="P975" s="61"/>
      <c r="Q975" s="180"/>
      <c r="R975" s="115"/>
      <c r="S975" s="93"/>
      <c r="T975" s="61"/>
      <c r="U975" s="180"/>
      <c r="V975" s="115"/>
      <c r="W975" s="93"/>
      <c r="X975" s="61"/>
      <c r="Y975" s="20"/>
      <c r="Z975" s="20"/>
      <c r="AA975" s="130"/>
      <c r="AB975" s="192"/>
      <c r="AC975" s="20"/>
      <c r="AD975" s="20"/>
      <c r="AE975" s="130"/>
      <c r="AF975" s="193"/>
      <c r="AG975" s="188"/>
      <c r="AH975" s="188"/>
      <c r="AI975" s="188"/>
      <c r="AJ975" s="188"/>
      <c r="AK975" s="20"/>
      <c r="AL975" s="20"/>
      <c r="AM975" s="20"/>
      <c r="AN975" s="20"/>
      <c r="AO975" s="20"/>
    </row>
    <row r="976">
      <c r="A976" s="112"/>
      <c r="B976" s="149"/>
      <c r="C976" s="93"/>
      <c r="D976" s="61"/>
      <c r="E976" s="112"/>
      <c r="F976" s="149"/>
      <c r="G976" s="93"/>
      <c r="H976" s="61"/>
      <c r="I976" s="112"/>
      <c r="J976" s="149"/>
      <c r="K976" s="93"/>
      <c r="L976" s="61"/>
      <c r="M976" s="112"/>
      <c r="N976" s="115"/>
      <c r="O976" s="93"/>
      <c r="P976" s="61"/>
      <c r="Q976" s="180"/>
      <c r="R976" s="115"/>
      <c r="S976" s="93"/>
      <c r="T976" s="61"/>
      <c r="U976" s="180"/>
      <c r="V976" s="115"/>
      <c r="W976" s="93"/>
      <c r="X976" s="61"/>
      <c r="Y976" s="20"/>
      <c r="Z976" s="20"/>
      <c r="AA976" s="130"/>
      <c r="AB976" s="192"/>
      <c r="AC976" s="20"/>
      <c r="AD976" s="20"/>
      <c r="AE976" s="130"/>
      <c r="AF976" s="193"/>
      <c r="AG976" s="188"/>
      <c r="AH976" s="188"/>
      <c r="AI976" s="188"/>
      <c r="AJ976" s="188"/>
      <c r="AK976" s="20"/>
      <c r="AL976" s="20"/>
      <c r="AM976" s="20"/>
      <c r="AN976" s="20"/>
      <c r="AO976" s="20"/>
    </row>
    <row r="977">
      <c r="A977" s="112"/>
      <c r="B977" s="149"/>
      <c r="C977" s="93"/>
      <c r="D977" s="61"/>
      <c r="E977" s="112"/>
      <c r="F977" s="149"/>
      <c r="G977" s="93"/>
      <c r="H977" s="61"/>
      <c r="I977" s="112"/>
      <c r="J977" s="149"/>
      <c r="K977" s="93"/>
      <c r="L977" s="61"/>
      <c r="M977" s="112"/>
      <c r="N977" s="115"/>
      <c r="O977" s="93"/>
      <c r="P977" s="61"/>
      <c r="Q977" s="180"/>
      <c r="R977" s="115"/>
      <c r="S977" s="93"/>
      <c r="T977" s="61"/>
      <c r="U977" s="180"/>
      <c r="V977" s="115"/>
      <c r="W977" s="93"/>
      <c r="X977" s="61"/>
      <c r="Y977" s="20"/>
      <c r="Z977" s="20"/>
      <c r="AA977" s="130"/>
      <c r="AB977" s="192"/>
      <c r="AC977" s="20"/>
      <c r="AD977" s="20"/>
      <c r="AE977" s="130"/>
      <c r="AF977" s="193"/>
      <c r="AG977" s="188"/>
      <c r="AH977" s="188"/>
      <c r="AI977" s="188"/>
      <c r="AJ977" s="188"/>
      <c r="AK977" s="20"/>
      <c r="AL977" s="20"/>
      <c r="AM977" s="20"/>
      <c r="AN977" s="20"/>
      <c r="AO977" s="20"/>
    </row>
    <row r="978">
      <c r="A978" s="112"/>
      <c r="B978" s="149"/>
      <c r="C978" s="93"/>
      <c r="D978" s="61"/>
      <c r="E978" s="112"/>
      <c r="F978" s="149"/>
      <c r="G978" s="93"/>
      <c r="H978" s="61"/>
      <c r="I978" s="112"/>
      <c r="J978" s="149"/>
      <c r="K978" s="93"/>
      <c r="L978" s="61"/>
      <c r="M978" s="112"/>
      <c r="N978" s="115"/>
      <c r="O978" s="93"/>
      <c r="P978" s="61"/>
      <c r="Q978" s="180"/>
      <c r="R978" s="115"/>
      <c r="S978" s="93"/>
      <c r="T978" s="61"/>
      <c r="U978" s="180"/>
      <c r="V978" s="115"/>
      <c r="W978" s="93"/>
      <c r="X978" s="61"/>
      <c r="Y978" s="20"/>
      <c r="Z978" s="20"/>
      <c r="AA978" s="130"/>
      <c r="AB978" s="192"/>
      <c r="AC978" s="20"/>
      <c r="AD978" s="20"/>
      <c r="AE978" s="130"/>
      <c r="AF978" s="193"/>
      <c r="AG978" s="188"/>
      <c r="AH978" s="188"/>
      <c r="AI978" s="188"/>
      <c r="AJ978" s="188"/>
      <c r="AK978" s="20"/>
      <c r="AL978" s="20"/>
      <c r="AM978" s="20"/>
      <c r="AN978" s="20"/>
      <c r="AO978" s="20"/>
    </row>
    <row r="979">
      <c r="A979" s="112"/>
      <c r="B979" s="149"/>
      <c r="C979" s="93"/>
      <c r="D979" s="61"/>
      <c r="E979" s="112"/>
      <c r="F979" s="149"/>
      <c r="G979" s="93"/>
      <c r="H979" s="61"/>
      <c r="I979" s="112"/>
      <c r="J979" s="149"/>
      <c r="K979" s="93"/>
      <c r="L979" s="61"/>
      <c r="M979" s="112"/>
      <c r="N979" s="115"/>
      <c r="O979" s="93"/>
      <c r="P979" s="61"/>
      <c r="Q979" s="180"/>
      <c r="R979" s="115"/>
      <c r="S979" s="93"/>
      <c r="T979" s="61"/>
      <c r="U979" s="180"/>
      <c r="V979" s="115"/>
      <c r="W979" s="93"/>
      <c r="X979" s="61"/>
      <c r="Y979" s="20"/>
      <c r="Z979" s="20"/>
      <c r="AA979" s="130"/>
      <c r="AB979" s="192"/>
      <c r="AC979" s="20"/>
      <c r="AD979" s="20"/>
      <c r="AE979" s="130"/>
      <c r="AF979" s="193"/>
      <c r="AG979" s="188"/>
      <c r="AH979" s="188"/>
      <c r="AI979" s="188"/>
      <c r="AJ979" s="188"/>
      <c r="AK979" s="20"/>
      <c r="AL979" s="20"/>
      <c r="AM979" s="20"/>
      <c r="AN979" s="20"/>
      <c r="AO979" s="20"/>
    </row>
    <row r="980">
      <c r="A980" s="112"/>
      <c r="B980" s="149"/>
      <c r="C980" s="93"/>
      <c r="D980" s="61"/>
      <c r="E980" s="112"/>
      <c r="F980" s="149"/>
      <c r="G980" s="93"/>
      <c r="H980" s="61"/>
      <c r="I980" s="112"/>
      <c r="J980" s="149"/>
      <c r="K980" s="93"/>
      <c r="L980" s="61"/>
      <c r="M980" s="112"/>
      <c r="N980" s="115"/>
      <c r="O980" s="93"/>
      <c r="P980" s="61"/>
      <c r="Q980" s="180"/>
      <c r="R980" s="115"/>
      <c r="S980" s="93"/>
      <c r="T980" s="61"/>
      <c r="U980" s="180"/>
      <c r="V980" s="115"/>
      <c r="W980" s="93"/>
      <c r="X980" s="61"/>
      <c r="Y980" s="20"/>
      <c r="Z980" s="20"/>
      <c r="AA980" s="130"/>
      <c r="AB980" s="192"/>
      <c r="AC980" s="20"/>
      <c r="AD980" s="20"/>
      <c r="AE980" s="130"/>
      <c r="AF980" s="193"/>
      <c r="AG980" s="188"/>
      <c r="AH980" s="188"/>
      <c r="AI980" s="188"/>
      <c r="AJ980" s="188"/>
      <c r="AK980" s="20"/>
      <c r="AL980" s="20"/>
      <c r="AM980" s="20"/>
      <c r="AN980" s="20"/>
      <c r="AO980" s="20"/>
    </row>
    <row r="981">
      <c r="A981" s="112"/>
      <c r="B981" s="149"/>
      <c r="C981" s="93"/>
      <c r="D981" s="61"/>
      <c r="E981" s="112"/>
      <c r="F981" s="149"/>
      <c r="G981" s="93"/>
      <c r="H981" s="61"/>
      <c r="I981" s="112"/>
      <c r="J981" s="149"/>
      <c r="K981" s="93"/>
      <c r="L981" s="61"/>
      <c r="M981" s="112"/>
      <c r="N981" s="115"/>
      <c r="O981" s="93"/>
      <c r="P981" s="61"/>
      <c r="Q981" s="180"/>
      <c r="R981" s="115"/>
      <c r="S981" s="93"/>
      <c r="T981" s="61"/>
      <c r="U981" s="180"/>
      <c r="V981" s="115"/>
      <c r="W981" s="93"/>
      <c r="X981" s="61"/>
      <c r="Y981" s="20"/>
      <c r="Z981" s="20"/>
      <c r="AA981" s="130"/>
      <c r="AB981" s="192"/>
      <c r="AC981" s="20"/>
      <c r="AD981" s="20"/>
      <c r="AE981" s="130"/>
      <c r="AF981" s="193"/>
      <c r="AG981" s="188"/>
      <c r="AH981" s="188"/>
      <c r="AI981" s="188"/>
      <c r="AJ981" s="188"/>
      <c r="AK981" s="20"/>
      <c r="AL981" s="20"/>
      <c r="AM981" s="20"/>
      <c r="AN981" s="20"/>
      <c r="AO981" s="20"/>
    </row>
    <row r="982">
      <c r="A982" s="112"/>
      <c r="B982" s="149"/>
      <c r="C982" s="93"/>
      <c r="D982" s="61"/>
      <c r="E982" s="112"/>
      <c r="F982" s="149"/>
      <c r="G982" s="93"/>
      <c r="H982" s="61"/>
      <c r="I982" s="112"/>
      <c r="J982" s="149"/>
      <c r="K982" s="93"/>
      <c r="L982" s="61"/>
      <c r="M982" s="112"/>
      <c r="N982" s="115"/>
      <c r="O982" s="93"/>
      <c r="P982" s="61"/>
      <c r="Q982" s="180"/>
      <c r="R982" s="115"/>
      <c r="S982" s="93"/>
      <c r="T982" s="61"/>
      <c r="U982" s="180"/>
      <c r="V982" s="115"/>
      <c r="W982" s="93"/>
      <c r="X982" s="61"/>
      <c r="Y982" s="20"/>
      <c r="Z982" s="20"/>
      <c r="AA982" s="130"/>
      <c r="AB982" s="192"/>
      <c r="AC982" s="20"/>
      <c r="AD982" s="20"/>
      <c r="AE982" s="130"/>
      <c r="AF982" s="193"/>
      <c r="AG982" s="188"/>
      <c r="AH982" s="188"/>
      <c r="AI982" s="188"/>
      <c r="AJ982" s="188"/>
      <c r="AK982" s="20"/>
      <c r="AL982" s="20"/>
      <c r="AM982" s="20"/>
      <c r="AN982" s="20"/>
      <c r="AO982" s="20"/>
    </row>
    <row r="983">
      <c r="A983" s="112"/>
      <c r="B983" s="149"/>
      <c r="C983" s="93"/>
      <c r="D983" s="61"/>
      <c r="E983" s="112"/>
      <c r="F983" s="149"/>
      <c r="G983" s="93"/>
      <c r="H983" s="61"/>
      <c r="I983" s="112"/>
      <c r="J983" s="149"/>
      <c r="K983" s="93"/>
      <c r="L983" s="61"/>
      <c r="M983" s="112"/>
      <c r="N983" s="115"/>
      <c r="O983" s="93"/>
      <c r="P983" s="61"/>
      <c r="Q983" s="180"/>
      <c r="R983" s="115"/>
      <c r="S983" s="93"/>
      <c r="T983" s="61"/>
      <c r="U983" s="180"/>
      <c r="V983" s="115"/>
      <c r="W983" s="93"/>
      <c r="X983" s="61"/>
      <c r="Y983" s="20"/>
      <c r="Z983" s="20"/>
      <c r="AA983" s="130"/>
      <c r="AB983" s="192"/>
      <c r="AC983" s="20"/>
      <c r="AD983" s="20"/>
      <c r="AE983" s="130"/>
      <c r="AF983" s="193"/>
      <c r="AG983" s="188"/>
      <c r="AH983" s="188"/>
      <c r="AI983" s="188"/>
      <c r="AJ983" s="188"/>
      <c r="AK983" s="20"/>
      <c r="AL983" s="20"/>
      <c r="AM983" s="20"/>
      <c r="AN983" s="20"/>
      <c r="AO983" s="20"/>
    </row>
    <row r="984">
      <c r="A984" s="112"/>
      <c r="B984" s="149"/>
      <c r="C984" s="93"/>
      <c r="D984" s="61"/>
      <c r="E984" s="112"/>
      <c r="F984" s="149"/>
      <c r="G984" s="93"/>
      <c r="H984" s="61"/>
      <c r="I984" s="112"/>
      <c r="J984" s="149"/>
      <c r="K984" s="93"/>
      <c r="L984" s="61"/>
      <c r="M984" s="112"/>
      <c r="N984" s="115"/>
      <c r="O984" s="93"/>
      <c r="P984" s="61"/>
      <c r="Q984" s="180"/>
      <c r="R984" s="115"/>
      <c r="S984" s="93"/>
      <c r="T984" s="61"/>
      <c r="U984" s="180"/>
      <c r="V984" s="115"/>
      <c r="W984" s="93"/>
      <c r="X984" s="61"/>
      <c r="Y984" s="20"/>
      <c r="Z984" s="20"/>
      <c r="AA984" s="130"/>
      <c r="AB984" s="192"/>
      <c r="AC984" s="20"/>
      <c r="AD984" s="20"/>
      <c r="AE984" s="130"/>
      <c r="AF984" s="193"/>
      <c r="AG984" s="188"/>
      <c r="AH984" s="188"/>
      <c r="AI984" s="188"/>
      <c r="AJ984" s="188"/>
      <c r="AK984" s="20"/>
      <c r="AL984" s="20"/>
      <c r="AM984" s="20"/>
      <c r="AN984" s="20"/>
      <c r="AO984" s="20"/>
    </row>
    <row r="985">
      <c r="A985" s="112"/>
      <c r="B985" s="149"/>
      <c r="C985" s="93"/>
      <c r="D985" s="61"/>
      <c r="E985" s="112"/>
      <c r="F985" s="149"/>
      <c r="G985" s="93"/>
      <c r="H985" s="61"/>
      <c r="I985" s="112"/>
      <c r="J985" s="149"/>
      <c r="K985" s="93"/>
      <c r="L985" s="61"/>
      <c r="M985" s="112"/>
      <c r="N985" s="115"/>
      <c r="O985" s="93"/>
      <c r="P985" s="61"/>
      <c r="Q985" s="180"/>
      <c r="R985" s="115"/>
      <c r="S985" s="93"/>
      <c r="T985" s="61"/>
      <c r="U985" s="180"/>
      <c r="V985" s="115"/>
      <c r="W985" s="93"/>
      <c r="X985" s="61"/>
      <c r="Y985" s="20"/>
      <c r="Z985" s="20"/>
      <c r="AA985" s="130"/>
      <c r="AB985" s="192"/>
      <c r="AC985" s="20"/>
      <c r="AD985" s="20"/>
      <c r="AE985" s="130"/>
      <c r="AF985" s="193"/>
      <c r="AG985" s="188"/>
      <c r="AH985" s="188"/>
      <c r="AI985" s="188"/>
      <c r="AJ985" s="188"/>
      <c r="AK985" s="20"/>
      <c r="AL985" s="20"/>
      <c r="AM985" s="20"/>
      <c r="AN985" s="20"/>
      <c r="AO985" s="20"/>
    </row>
    <row r="986">
      <c r="A986" s="112"/>
      <c r="B986" s="149"/>
      <c r="C986" s="93"/>
      <c r="D986" s="61"/>
      <c r="E986" s="112"/>
      <c r="F986" s="149"/>
      <c r="G986" s="93"/>
      <c r="H986" s="61"/>
      <c r="I986" s="112"/>
      <c r="J986" s="149"/>
      <c r="K986" s="93"/>
      <c r="L986" s="61"/>
      <c r="M986" s="112"/>
      <c r="N986" s="115"/>
      <c r="O986" s="93"/>
      <c r="P986" s="61"/>
      <c r="Q986" s="180"/>
      <c r="R986" s="115"/>
      <c r="S986" s="93"/>
      <c r="T986" s="61"/>
      <c r="U986" s="180"/>
      <c r="V986" s="115"/>
      <c r="W986" s="93"/>
      <c r="X986" s="61"/>
      <c r="Y986" s="20"/>
      <c r="Z986" s="20"/>
      <c r="AA986" s="130"/>
      <c r="AB986" s="192"/>
      <c r="AC986" s="20"/>
      <c r="AD986" s="20"/>
      <c r="AE986" s="130"/>
      <c r="AF986" s="193"/>
      <c r="AG986" s="188"/>
      <c r="AH986" s="188"/>
      <c r="AI986" s="188"/>
      <c r="AJ986" s="188"/>
      <c r="AK986" s="20"/>
      <c r="AL986" s="20"/>
      <c r="AM986" s="20"/>
      <c r="AN986" s="20"/>
      <c r="AO986" s="20"/>
    </row>
    <row r="987">
      <c r="A987" s="112"/>
      <c r="B987" s="149"/>
      <c r="C987" s="93"/>
      <c r="D987" s="61"/>
      <c r="E987" s="112"/>
      <c r="F987" s="149"/>
      <c r="G987" s="93"/>
      <c r="H987" s="61"/>
      <c r="I987" s="112"/>
      <c r="J987" s="149"/>
      <c r="K987" s="93"/>
      <c r="L987" s="61"/>
      <c r="M987" s="112"/>
      <c r="N987" s="115"/>
      <c r="O987" s="93"/>
      <c r="P987" s="61"/>
      <c r="Q987" s="180"/>
      <c r="R987" s="115"/>
      <c r="S987" s="93"/>
      <c r="T987" s="61"/>
      <c r="U987" s="180"/>
      <c r="V987" s="115"/>
      <c r="W987" s="93"/>
      <c r="X987" s="61"/>
      <c r="Y987" s="20"/>
      <c r="Z987" s="20"/>
      <c r="AA987" s="130"/>
      <c r="AB987" s="192"/>
      <c r="AC987" s="20"/>
      <c r="AD987" s="20"/>
      <c r="AE987" s="130"/>
      <c r="AF987" s="193"/>
      <c r="AG987" s="188"/>
      <c r="AH987" s="188"/>
      <c r="AI987" s="188"/>
      <c r="AJ987" s="188"/>
      <c r="AK987" s="20"/>
      <c r="AL987" s="20"/>
      <c r="AM987" s="20"/>
      <c r="AN987" s="20"/>
      <c r="AO987" s="20"/>
    </row>
    <row r="988">
      <c r="A988" s="112"/>
      <c r="B988" s="149"/>
      <c r="C988" s="93"/>
      <c r="D988" s="61"/>
      <c r="E988" s="112"/>
      <c r="F988" s="149"/>
      <c r="G988" s="93"/>
      <c r="H988" s="61"/>
      <c r="I988" s="112"/>
      <c r="J988" s="149"/>
      <c r="K988" s="93"/>
      <c r="L988" s="61"/>
      <c r="M988" s="112"/>
      <c r="N988" s="115"/>
      <c r="O988" s="93"/>
      <c r="P988" s="61"/>
      <c r="Q988" s="180"/>
      <c r="R988" s="115"/>
      <c r="S988" s="93"/>
      <c r="T988" s="61"/>
      <c r="U988" s="180"/>
      <c r="V988" s="115"/>
      <c r="W988" s="93"/>
      <c r="X988" s="61"/>
      <c r="Y988" s="20"/>
      <c r="Z988" s="20"/>
      <c r="AA988" s="130"/>
      <c r="AB988" s="192"/>
      <c r="AC988" s="20"/>
      <c r="AD988" s="20"/>
      <c r="AE988" s="130"/>
      <c r="AF988" s="193"/>
      <c r="AG988" s="188"/>
      <c r="AH988" s="188"/>
      <c r="AI988" s="188"/>
      <c r="AJ988" s="188"/>
      <c r="AK988" s="20"/>
      <c r="AL988" s="20"/>
      <c r="AM988" s="20"/>
      <c r="AN988" s="20"/>
      <c r="AO988" s="20"/>
    </row>
    <row r="989">
      <c r="A989" s="112"/>
      <c r="B989" s="149"/>
      <c r="C989" s="93"/>
      <c r="D989" s="61"/>
      <c r="E989" s="112"/>
      <c r="F989" s="149"/>
      <c r="G989" s="93"/>
      <c r="H989" s="61"/>
      <c r="I989" s="112"/>
      <c r="J989" s="149"/>
      <c r="K989" s="93"/>
      <c r="L989" s="61"/>
      <c r="M989" s="112"/>
      <c r="N989" s="115"/>
      <c r="O989" s="93"/>
      <c r="P989" s="61"/>
      <c r="Q989" s="180"/>
      <c r="R989" s="115"/>
      <c r="S989" s="93"/>
      <c r="T989" s="61"/>
      <c r="U989" s="180"/>
      <c r="V989" s="115"/>
      <c r="W989" s="93"/>
      <c r="X989" s="61"/>
      <c r="Y989" s="20"/>
      <c r="Z989" s="20"/>
      <c r="AA989" s="130"/>
      <c r="AB989" s="192"/>
      <c r="AC989" s="20"/>
      <c r="AD989" s="20"/>
      <c r="AE989" s="130"/>
      <c r="AF989" s="193"/>
      <c r="AG989" s="188"/>
      <c r="AH989" s="188"/>
      <c r="AI989" s="188"/>
      <c r="AJ989" s="188"/>
      <c r="AK989" s="20"/>
      <c r="AL989" s="20"/>
      <c r="AM989" s="20"/>
      <c r="AN989" s="20"/>
      <c r="AO989" s="20"/>
    </row>
    <row r="990">
      <c r="A990" s="112"/>
      <c r="B990" s="149"/>
      <c r="C990" s="93"/>
      <c r="D990" s="61"/>
      <c r="E990" s="112"/>
      <c r="F990" s="149"/>
      <c r="G990" s="93"/>
      <c r="H990" s="61"/>
      <c r="I990" s="112"/>
      <c r="J990" s="149"/>
      <c r="K990" s="93"/>
      <c r="L990" s="61"/>
      <c r="M990" s="112"/>
      <c r="N990" s="115"/>
      <c r="O990" s="93"/>
      <c r="P990" s="61"/>
      <c r="Q990" s="180"/>
      <c r="R990" s="115"/>
      <c r="S990" s="93"/>
      <c r="T990" s="61"/>
      <c r="U990" s="180"/>
      <c r="V990" s="115"/>
      <c r="W990" s="93"/>
      <c r="X990" s="61"/>
      <c r="Y990" s="20"/>
      <c r="Z990" s="20"/>
      <c r="AA990" s="130"/>
      <c r="AB990" s="192"/>
      <c r="AC990" s="20"/>
      <c r="AD990" s="20"/>
      <c r="AE990" s="130"/>
      <c r="AF990" s="193"/>
      <c r="AG990" s="188"/>
      <c r="AH990" s="188"/>
      <c r="AI990" s="188"/>
      <c r="AJ990" s="188"/>
      <c r="AK990" s="20"/>
      <c r="AL990" s="20"/>
      <c r="AM990" s="20"/>
      <c r="AN990" s="20"/>
      <c r="AO990" s="20"/>
    </row>
    <row r="991">
      <c r="A991" s="112"/>
      <c r="B991" s="149"/>
      <c r="C991" s="93"/>
      <c r="D991" s="61"/>
      <c r="E991" s="112"/>
      <c r="F991" s="149"/>
      <c r="G991" s="93"/>
      <c r="H991" s="61"/>
      <c r="I991" s="112"/>
      <c r="J991" s="149"/>
      <c r="K991" s="93"/>
      <c r="L991" s="61"/>
      <c r="M991" s="112"/>
      <c r="N991" s="115"/>
      <c r="O991" s="93"/>
      <c r="P991" s="61"/>
      <c r="Q991" s="180"/>
      <c r="R991" s="115"/>
      <c r="S991" s="93"/>
      <c r="T991" s="61"/>
      <c r="U991" s="180"/>
      <c r="V991" s="115"/>
      <c r="W991" s="93"/>
      <c r="X991" s="61"/>
      <c r="Y991" s="20"/>
      <c r="Z991" s="20"/>
      <c r="AA991" s="130"/>
      <c r="AB991" s="192"/>
      <c r="AC991" s="20"/>
      <c r="AD991" s="20"/>
      <c r="AE991" s="130"/>
      <c r="AF991" s="193"/>
      <c r="AG991" s="188"/>
      <c r="AH991" s="188"/>
      <c r="AI991" s="188"/>
      <c r="AJ991" s="188"/>
      <c r="AK991" s="20"/>
      <c r="AL991" s="20"/>
      <c r="AM991" s="20"/>
      <c r="AN991" s="20"/>
      <c r="AO991" s="20"/>
    </row>
    <row r="992">
      <c r="A992" s="112"/>
      <c r="B992" s="149"/>
      <c r="C992" s="93"/>
      <c r="D992" s="61"/>
      <c r="E992" s="112"/>
      <c r="F992" s="149"/>
      <c r="G992" s="93"/>
      <c r="H992" s="61"/>
      <c r="I992" s="112"/>
      <c r="J992" s="149"/>
      <c r="K992" s="93"/>
      <c r="L992" s="61"/>
      <c r="M992" s="112"/>
      <c r="N992" s="115"/>
      <c r="O992" s="93"/>
      <c r="P992" s="61"/>
      <c r="Q992" s="180"/>
      <c r="R992" s="115"/>
      <c r="S992" s="93"/>
      <c r="T992" s="61"/>
      <c r="U992" s="180"/>
      <c r="V992" s="115"/>
      <c r="W992" s="93"/>
      <c r="X992" s="61"/>
      <c r="Y992" s="20"/>
      <c r="Z992" s="20"/>
      <c r="AA992" s="130"/>
      <c r="AB992" s="192"/>
      <c r="AC992" s="20"/>
      <c r="AD992" s="20"/>
      <c r="AE992" s="130"/>
      <c r="AF992" s="193"/>
      <c r="AG992" s="188"/>
      <c r="AH992" s="188"/>
      <c r="AI992" s="188"/>
      <c r="AJ992" s="188"/>
      <c r="AK992" s="20"/>
      <c r="AL992" s="20"/>
      <c r="AM992" s="20"/>
      <c r="AN992" s="20"/>
      <c r="AO992" s="20"/>
    </row>
    <row r="993">
      <c r="A993" s="112"/>
      <c r="B993" s="149"/>
      <c r="C993" s="93"/>
      <c r="D993" s="61"/>
      <c r="E993" s="112"/>
      <c r="F993" s="149"/>
      <c r="G993" s="93"/>
      <c r="H993" s="61"/>
      <c r="I993" s="112"/>
      <c r="J993" s="149"/>
      <c r="K993" s="93"/>
      <c r="L993" s="61"/>
      <c r="M993" s="112"/>
      <c r="N993" s="115"/>
      <c r="O993" s="93"/>
      <c r="P993" s="61"/>
      <c r="Q993" s="180"/>
      <c r="R993" s="115"/>
      <c r="S993" s="93"/>
      <c r="T993" s="61"/>
      <c r="U993" s="180"/>
      <c r="V993" s="115"/>
      <c r="W993" s="93"/>
      <c r="X993" s="61"/>
      <c r="Y993" s="20"/>
      <c r="Z993" s="20"/>
      <c r="AA993" s="130"/>
      <c r="AB993" s="192"/>
      <c r="AC993" s="20"/>
      <c r="AD993" s="20"/>
      <c r="AE993" s="130"/>
      <c r="AF993" s="193"/>
      <c r="AG993" s="188"/>
      <c r="AH993" s="188"/>
      <c r="AI993" s="188"/>
      <c r="AJ993" s="188"/>
      <c r="AK993" s="20"/>
      <c r="AL993" s="20"/>
      <c r="AM993" s="20"/>
      <c r="AN993" s="20"/>
      <c r="AO993" s="20"/>
    </row>
    <row r="994">
      <c r="A994" s="112"/>
      <c r="B994" s="149"/>
      <c r="C994" s="93"/>
      <c r="D994" s="61"/>
      <c r="E994" s="112"/>
      <c r="F994" s="149"/>
      <c r="G994" s="93"/>
      <c r="H994" s="61"/>
      <c r="I994" s="112"/>
      <c r="J994" s="149"/>
      <c r="K994" s="93"/>
      <c r="L994" s="61"/>
      <c r="M994" s="112"/>
      <c r="N994" s="115"/>
      <c r="O994" s="93"/>
      <c r="P994" s="61"/>
      <c r="Q994" s="180"/>
      <c r="R994" s="115"/>
      <c r="S994" s="93"/>
      <c r="T994" s="61"/>
      <c r="U994" s="180"/>
      <c r="V994" s="115"/>
      <c r="W994" s="93"/>
      <c r="X994" s="61"/>
      <c r="Y994" s="20"/>
      <c r="Z994" s="20"/>
      <c r="AA994" s="130"/>
      <c r="AB994" s="192"/>
      <c r="AC994" s="20"/>
      <c r="AD994" s="20"/>
      <c r="AE994" s="130"/>
      <c r="AF994" s="193"/>
      <c r="AG994" s="188"/>
      <c r="AH994" s="188"/>
      <c r="AI994" s="188"/>
      <c r="AJ994" s="188"/>
      <c r="AK994" s="20"/>
      <c r="AL994" s="20"/>
      <c r="AM994" s="20"/>
      <c r="AN994" s="20"/>
      <c r="AO994" s="20"/>
    </row>
    <row r="995">
      <c r="A995" s="112"/>
      <c r="B995" s="149"/>
      <c r="C995" s="93"/>
      <c r="D995" s="61"/>
      <c r="E995" s="112"/>
      <c r="F995" s="149"/>
      <c r="G995" s="93"/>
      <c r="H995" s="61"/>
      <c r="I995" s="112"/>
      <c r="J995" s="149"/>
      <c r="K995" s="93"/>
      <c r="L995" s="61"/>
      <c r="M995" s="112"/>
      <c r="N995" s="115"/>
      <c r="O995" s="93"/>
      <c r="P995" s="61"/>
      <c r="Q995" s="180"/>
      <c r="R995" s="115"/>
      <c r="S995" s="93"/>
      <c r="T995" s="61"/>
      <c r="U995" s="180"/>
      <c r="V995" s="115"/>
      <c r="W995" s="93"/>
      <c r="X995" s="61"/>
      <c r="Y995" s="20"/>
      <c r="Z995" s="20"/>
      <c r="AA995" s="130"/>
      <c r="AB995" s="192"/>
      <c r="AC995" s="20"/>
      <c r="AD995" s="20"/>
      <c r="AE995" s="130"/>
      <c r="AF995" s="193"/>
      <c r="AG995" s="188"/>
      <c r="AH995" s="188"/>
      <c r="AI995" s="188"/>
      <c r="AJ995" s="188"/>
      <c r="AK995" s="20"/>
      <c r="AL995" s="20"/>
      <c r="AM995" s="20"/>
      <c r="AN995" s="20"/>
      <c r="AO995" s="20"/>
    </row>
    <row r="996">
      <c r="A996" s="112"/>
      <c r="B996" s="149"/>
      <c r="C996" s="93"/>
      <c r="D996" s="61"/>
      <c r="E996" s="112"/>
      <c r="F996" s="149"/>
      <c r="G996" s="93"/>
      <c r="H996" s="61"/>
      <c r="I996" s="112"/>
      <c r="J996" s="149"/>
      <c r="K996" s="93"/>
      <c r="L996" s="61"/>
      <c r="M996" s="112"/>
      <c r="N996" s="115"/>
      <c r="O996" s="93"/>
      <c r="P996" s="61"/>
      <c r="Q996" s="180"/>
      <c r="R996" s="115"/>
      <c r="S996" s="93"/>
      <c r="T996" s="61"/>
      <c r="U996" s="180"/>
      <c r="V996" s="115"/>
      <c r="W996" s="93"/>
      <c r="X996" s="61"/>
      <c r="Y996" s="20"/>
      <c r="Z996" s="20"/>
      <c r="AA996" s="130"/>
      <c r="AB996" s="192"/>
      <c r="AC996" s="20"/>
      <c r="AD996" s="20"/>
      <c r="AE996" s="130"/>
      <c r="AF996" s="193"/>
      <c r="AG996" s="188"/>
      <c r="AH996" s="188"/>
      <c r="AI996" s="188"/>
      <c r="AJ996" s="188"/>
      <c r="AK996" s="20"/>
      <c r="AL996" s="20"/>
      <c r="AM996" s="20"/>
      <c r="AN996" s="20"/>
      <c r="AO996" s="20"/>
    </row>
    <row r="997">
      <c r="A997" s="112"/>
      <c r="B997" s="149"/>
      <c r="C997" s="93"/>
      <c r="D997" s="61"/>
      <c r="E997" s="112"/>
      <c r="F997" s="149"/>
      <c r="G997" s="93"/>
      <c r="H997" s="61"/>
      <c r="I997" s="112"/>
      <c r="J997" s="149"/>
      <c r="K997" s="93"/>
      <c r="L997" s="61"/>
      <c r="M997" s="112"/>
      <c r="N997" s="115"/>
      <c r="O997" s="93"/>
      <c r="P997" s="61"/>
      <c r="Q997" s="180"/>
      <c r="R997" s="115"/>
      <c r="S997" s="93"/>
      <c r="T997" s="61"/>
      <c r="U997" s="180"/>
      <c r="V997" s="115"/>
      <c r="W997" s="93"/>
      <c r="X997" s="61"/>
      <c r="Y997" s="20"/>
      <c r="Z997" s="20"/>
      <c r="AA997" s="130"/>
      <c r="AB997" s="192"/>
      <c r="AC997" s="20"/>
      <c r="AD997" s="20"/>
      <c r="AE997" s="130"/>
      <c r="AF997" s="193"/>
      <c r="AG997" s="188"/>
      <c r="AH997" s="188"/>
      <c r="AI997" s="188"/>
      <c r="AJ997" s="188"/>
      <c r="AK997" s="20"/>
      <c r="AL997" s="20"/>
      <c r="AM997" s="20"/>
      <c r="AN997" s="20"/>
      <c r="AO997" s="20"/>
    </row>
    <row r="998">
      <c r="A998" s="112"/>
      <c r="B998" s="149"/>
      <c r="C998" s="93"/>
      <c r="D998" s="61"/>
      <c r="E998" s="112"/>
      <c r="F998" s="149"/>
      <c r="G998" s="93"/>
      <c r="H998" s="61"/>
      <c r="I998" s="112"/>
      <c r="J998" s="149"/>
      <c r="K998" s="93"/>
      <c r="L998" s="61"/>
      <c r="M998" s="112"/>
      <c r="N998" s="115"/>
      <c r="O998" s="93"/>
      <c r="P998" s="61"/>
      <c r="Q998" s="180"/>
      <c r="R998" s="115"/>
      <c r="S998" s="93"/>
      <c r="T998" s="61"/>
      <c r="U998" s="180"/>
      <c r="V998" s="115"/>
      <c r="W998" s="93"/>
      <c r="X998" s="61"/>
      <c r="Y998" s="20"/>
      <c r="Z998" s="20"/>
      <c r="AA998" s="130"/>
      <c r="AB998" s="192"/>
      <c r="AC998" s="20"/>
      <c r="AD998" s="20"/>
      <c r="AE998" s="130"/>
      <c r="AF998" s="193"/>
      <c r="AG998" s="188"/>
      <c r="AH998" s="188"/>
      <c r="AI998" s="188"/>
      <c r="AJ998" s="188"/>
      <c r="AK998" s="20"/>
      <c r="AL998" s="20"/>
      <c r="AM998" s="20"/>
      <c r="AN998" s="20"/>
      <c r="AO998" s="20"/>
    </row>
    <row r="999">
      <c r="A999" s="112"/>
      <c r="B999" s="149"/>
      <c r="C999" s="93"/>
      <c r="D999" s="61"/>
      <c r="E999" s="112"/>
      <c r="F999" s="149"/>
      <c r="G999" s="93"/>
      <c r="H999" s="61"/>
      <c r="I999" s="112"/>
      <c r="J999" s="149"/>
      <c r="K999" s="93"/>
      <c r="L999" s="61"/>
      <c r="M999" s="112"/>
      <c r="N999" s="115"/>
      <c r="O999" s="93"/>
      <c r="P999" s="61"/>
      <c r="Q999" s="20"/>
      <c r="R999" s="20"/>
      <c r="S999" s="55"/>
      <c r="T999" s="55"/>
      <c r="U999" s="20"/>
      <c r="V999" s="20"/>
      <c r="W999" s="55"/>
      <c r="X999" s="55"/>
      <c r="Y999" s="20"/>
      <c r="Z999" s="20"/>
      <c r="AA999" s="130"/>
      <c r="AB999" s="192"/>
      <c r="AC999" s="20"/>
      <c r="AD999" s="20"/>
      <c r="AE999" s="130"/>
      <c r="AF999" s="193"/>
      <c r="AG999" s="188"/>
      <c r="AH999" s="188"/>
      <c r="AI999" s="188"/>
      <c r="AJ999" s="188"/>
      <c r="AK999" s="20"/>
      <c r="AL999" s="20"/>
      <c r="AM999" s="20"/>
      <c r="AN999" s="20"/>
      <c r="AO999" s="20"/>
    </row>
    <row r="1000">
      <c r="A1000" s="112"/>
      <c r="B1000" s="149"/>
      <c r="C1000" s="93"/>
      <c r="D1000" s="61"/>
      <c r="E1000" s="112"/>
      <c r="F1000" s="149"/>
      <c r="G1000" s="93"/>
      <c r="H1000" s="61"/>
      <c r="I1000" s="112"/>
      <c r="J1000" s="149"/>
      <c r="K1000" s="93"/>
      <c r="L1000" s="61"/>
      <c r="M1000" s="112"/>
      <c r="N1000" s="115"/>
      <c r="O1000" s="93"/>
      <c r="P1000" s="61"/>
      <c r="Q1000" s="20"/>
      <c r="R1000" s="20"/>
      <c r="S1000" s="55"/>
      <c r="T1000" s="55"/>
      <c r="U1000" s="20"/>
      <c r="V1000" s="20"/>
      <c r="W1000" s="55"/>
      <c r="X1000" s="55"/>
      <c r="Y1000" s="20"/>
      <c r="Z1000" s="20"/>
      <c r="AA1000" s="130"/>
      <c r="AB1000" s="192"/>
      <c r="AC1000" s="20"/>
      <c r="AD1000" s="20"/>
      <c r="AE1000" s="130"/>
      <c r="AF1000" s="193"/>
      <c r="AG1000" s="188"/>
      <c r="AH1000" s="188"/>
      <c r="AI1000" s="188"/>
      <c r="AJ1000" s="188"/>
      <c r="AK1000" s="20"/>
      <c r="AL1000" s="20"/>
      <c r="AM1000" s="20"/>
      <c r="AN1000" s="20"/>
      <c r="AO1000" s="20"/>
    </row>
    <row r="1001">
      <c r="A1001" s="112"/>
      <c r="B1001" s="149"/>
      <c r="C1001" s="93"/>
      <c r="D1001" s="61"/>
      <c r="E1001" s="112"/>
      <c r="F1001" s="149"/>
      <c r="G1001" s="93"/>
      <c r="H1001" s="61"/>
      <c r="I1001" s="112"/>
      <c r="J1001" s="149"/>
      <c r="K1001" s="93"/>
      <c r="L1001" s="61"/>
      <c r="M1001" s="112"/>
      <c r="N1001" s="115"/>
      <c r="O1001" s="93"/>
      <c r="P1001" s="61"/>
      <c r="Q1001" s="20"/>
      <c r="R1001" s="20"/>
      <c r="S1001" s="55"/>
      <c r="T1001" s="55"/>
      <c r="U1001" s="20"/>
      <c r="V1001" s="20"/>
      <c r="W1001" s="55"/>
      <c r="X1001" s="55"/>
      <c r="Y1001" s="20"/>
      <c r="Z1001" s="20"/>
      <c r="AA1001" s="130"/>
      <c r="AB1001" s="192"/>
      <c r="AC1001" s="20"/>
      <c r="AD1001" s="20"/>
      <c r="AE1001" s="130"/>
      <c r="AF1001" s="193"/>
      <c r="AG1001" s="188"/>
      <c r="AH1001" s="188"/>
      <c r="AI1001" s="188"/>
      <c r="AJ1001" s="188"/>
      <c r="AK1001" s="20"/>
      <c r="AL1001" s="20"/>
      <c r="AM1001" s="20"/>
      <c r="AN1001" s="20"/>
      <c r="AO1001" s="20"/>
    </row>
    <row r="1002">
      <c r="A1002" s="112"/>
      <c r="B1002" s="149"/>
      <c r="C1002" s="93"/>
      <c r="D1002" s="61"/>
      <c r="E1002" s="112"/>
      <c r="F1002" s="149"/>
      <c r="G1002" s="93"/>
      <c r="H1002" s="61"/>
      <c r="I1002" s="112"/>
      <c r="J1002" s="149"/>
      <c r="K1002" s="93"/>
      <c r="L1002" s="61"/>
      <c r="M1002" s="112"/>
      <c r="N1002" s="115"/>
      <c r="O1002" s="93"/>
      <c r="P1002" s="61"/>
      <c r="Q1002" s="20"/>
      <c r="R1002" s="20"/>
      <c r="S1002" s="55"/>
      <c r="T1002" s="55"/>
      <c r="U1002" s="20"/>
      <c r="V1002" s="20"/>
      <c r="W1002" s="55"/>
      <c r="X1002" s="55"/>
      <c r="Y1002" s="20"/>
      <c r="Z1002" s="20"/>
      <c r="AA1002" s="130"/>
      <c r="AB1002" s="192"/>
      <c r="AC1002" s="20"/>
      <c r="AD1002" s="20"/>
      <c r="AE1002" s="130"/>
      <c r="AF1002" s="193"/>
      <c r="AG1002" s="112"/>
      <c r="AH1002" s="149"/>
      <c r="AI1002" s="93"/>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3705</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3706</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3" t="s">
        <v>3707</v>
      </c>
      <c r="J1" s="199" t="s">
        <v>3708</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59" t="s">
        <v>3709</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1"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3712</v>
      </c>
      <c r="I3" s="117" t="s">
        <v>3713</v>
      </c>
      <c r="J3" s="203" t="s">
        <v>3714</v>
      </c>
      <c r="K3" s="55"/>
      <c r="L3" s="55"/>
      <c r="M3" s="55"/>
      <c r="N3" s="55"/>
      <c r="O3" s="55"/>
      <c r="P3" s="55"/>
      <c r="Q3" s="55"/>
      <c r="R3" s="55"/>
      <c r="S3" s="55"/>
      <c r="T3" s="55"/>
      <c r="U3" s="55"/>
      <c r="V3" s="55"/>
      <c r="W3" s="55"/>
    </row>
    <row r="4">
      <c r="A4" s="59" t="s">
        <v>3715</v>
      </c>
      <c r="B4" s="201" t="s">
        <v>3716</v>
      </c>
      <c r="C4" s="59" t="s">
        <v>3717</v>
      </c>
      <c r="D4" s="201"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4" t="s">
        <v>3718</v>
      </c>
      <c r="I4" s="56" t="s">
        <v>3719</v>
      </c>
      <c r="J4" s="203" t="s">
        <v>3720</v>
      </c>
      <c r="K4" s="55"/>
      <c r="L4" s="55"/>
      <c r="M4" s="55"/>
      <c r="N4" s="55"/>
      <c r="O4" s="55"/>
      <c r="P4" s="55"/>
      <c r="Q4" s="55"/>
      <c r="R4" s="55"/>
      <c r="S4" s="55"/>
      <c r="T4" s="55"/>
      <c r="U4" s="55"/>
      <c r="V4" s="55"/>
      <c r="W4" s="55"/>
    </row>
    <row r="5">
      <c r="A5" s="59" t="s">
        <v>3721</v>
      </c>
      <c r="B5" s="201" t="str">
        <f>IFERROR(__xludf.DUMMYFUNCTION("GOOGLETRANSLATE(A5,""zh-tw"",""ja"")"),"CTRL キーを押すと会話が速くなります。")</f>
        <v>CTRL キーを押すと会話が速くなります。</v>
      </c>
      <c r="C5" s="59" t="s">
        <v>3722</v>
      </c>
      <c r="D5" s="201" t="str">
        <f>IFERROR(__xludf.DUMMYFUNCTION("GOOGLETRANSLATE(A5,""zh-tw"",""zh"")"),"CTRL可加速对话")</f>
        <v>CTRL可加速对话</v>
      </c>
      <c r="E5" s="61" t="str">
        <f>IFERROR(__xludf.DUMMYFUNCTION("GOOGLETRANSLATE(A5,""zh-tw"",""es-MX"")"),"CTRL puede acelerar las conversaciones.")</f>
        <v>CTRL puede acelerar las conversaciones.</v>
      </c>
      <c r="F5" s="202"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1" t="s">
        <v>3723</v>
      </c>
      <c r="I5" s="117" t="s">
        <v>3724</v>
      </c>
      <c r="J5" s="203" t="s">
        <v>3725</v>
      </c>
      <c r="K5" s="55"/>
      <c r="L5" s="55"/>
      <c r="M5" s="55"/>
      <c r="N5" s="55"/>
      <c r="O5" s="55"/>
      <c r="P5" s="55"/>
      <c r="Q5" s="55"/>
      <c r="R5" s="55"/>
      <c r="S5" s="55"/>
      <c r="T5" s="55"/>
      <c r="U5" s="55"/>
      <c r="V5" s="55"/>
      <c r="W5" s="55"/>
    </row>
    <row r="6">
      <c r="A6" s="59" t="s">
        <v>3726</v>
      </c>
      <c r="B6" s="201" t="str">
        <f>IFERROR(__xludf.DUMMYFUNCTION("GOOGLETRANSLATE(A6,""zh-tw"",""ja"")"),"Z キーを押すと、会話が進みます。")</f>
        <v>Z キーを押すと、会話が進みます。</v>
      </c>
      <c r="C6" s="59" t="s">
        <v>3727</v>
      </c>
      <c r="D6" s="201" t="str">
        <f>IFERROR(__xludf.DUMMYFUNCTION("GOOGLETRANSLATE(A6,""zh-tw"",""zh"")"),"Z键可以推进对话")</f>
        <v>Z键可以推进对话</v>
      </c>
      <c r="E6" s="61" t="str">
        <f>IFERROR(__xludf.DUMMYFUNCTION("GOOGLETRANSLATE(A6,""zh-tw"",""es-MX"")"),"La tecla Z avanza el diálogo.")</f>
        <v>La tecla Z avanza el diálogo.</v>
      </c>
      <c r="F6" s="202"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1" t="s">
        <v>3728</v>
      </c>
      <c r="I6" s="117" t="s">
        <v>3729</v>
      </c>
      <c r="J6" s="203" t="s">
        <v>3730</v>
      </c>
      <c r="K6" s="55"/>
      <c r="L6" s="55"/>
      <c r="M6" s="55"/>
      <c r="N6" s="55"/>
      <c r="O6" s="55"/>
      <c r="P6" s="55"/>
      <c r="Q6" s="55"/>
      <c r="R6" s="55"/>
      <c r="S6" s="55"/>
      <c r="T6" s="55"/>
      <c r="U6" s="55"/>
      <c r="V6" s="55"/>
      <c r="W6" s="55"/>
    </row>
    <row r="7">
      <c r="A7" s="59" t="s">
        <v>3731</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1"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3733</v>
      </c>
      <c r="I7" s="117" t="s">
        <v>3734</v>
      </c>
      <c r="J7" s="203" t="s">
        <v>3735</v>
      </c>
      <c r="K7" s="55"/>
      <c r="L7" s="55"/>
      <c r="M7" s="55"/>
      <c r="N7" s="55"/>
      <c r="O7" s="55"/>
      <c r="P7" s="55"/>
      <c r="Q7" s="55"/>
      <c r="R7" s="55"/>
      <c r="S7" s="55"/>
      <c r="T7" s="55"/>
      <c r="U7" s="55"/>
      <c r="V7" s="55"/>
      <c r="W7" s="55"/>
    </row>
    <row r="8">
      <c r="A8" s="59" t="s">
        <v>3736</v>
      </c>
      <c r="B8" s="201" t="str">
        <f>IFERROR(__xludf.DUMMYFUNCTION("GOOGLETRANSLATE(A8,""zh-tw"",""ja"")"),"F12 キーを押してコンソールを表示します。")</f>
        <v>F12 キーを押してコンソールを表示します。</v>
      </c>
      <c r="C8" s="59" t="s">
        <v>3737</v>
      </c>
      <c r="D8" s="201" t="str">
        <f>IFERROR(__xludf.DUMMYFUNCTION("GOOGLETRANSLATE(A8,""zh-tw"",""zh"")"),"F12可显示控制台")</f>
        <v>F12可显示控制台</v>
      </c>
      <c r="E8" s="6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1" t="s">
        <v>3738</v>
      </c>
      <c r="I8" s="117" t="s">
        <v>3739</v>
      </c>
      <c r="J8" s="203" t="s">
        <v>3740</v>
      </c>
      <c r="K8" s="55"/>
      <c r="L8" s="55"/>
      <c r="M8" s="55"/>
      <c r="N8" s="55"/>
      <c r="O8" s="55"/>
      <c r="P8" s="55"/>
      <c r="Q8" s="55"/>
      <c r="R8" s="55"/>
      <c r="S8" s="55"/>
      <c r="T8" s="55"/>
      <c r="U8" s="55"/>
      <c r="V8" s="55"/>
      <c r="W8" s="55"/>
    </row>
    <row r="9">
      <c r="A9" s="59" t="s">
        <v>3741</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3743</v>
      </c>
      <c r="I9" s="117" t="s">
        <v>3744</v>
      </c>
      <c r="J9" s="203" t="s">
        <v>3745</v>
      </c>
      <c r="K9" s="55"/>
      <c r="L9" s="55"/>
      <c r="M9" s="55"/>
      <c r="N9" s="55"/>
      <c r="O9" s="55"/>
      <c r="P9" s="55"/>
      <c r="Q9" s="55"/>
      <c r="R9" s="55"/>
      <c r="S9" s="55"/>
      <c r="T9" s="55"/>
      <c r="U9" s="55"/>
      <c r="V9" s="55"/>
      <c r="W9" s="55"/>
    </row>
    <row r="10">
      <c r="A10" s="59" t="s">
        <v>3746</v>
      </c>
      <c r="B10" s="201"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9" t="s">
        <v>3747</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2"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1"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1" t="s">
        <v>3748</v>
      </c>
      <c r="I10" s="117" t="s">
        <v>3749</v>
      </c>
      <c r="J10" s="203" t="s">
        <v>3750</v>
      </c>
      <c r="K10" s="55"/>
      <c r="L10" s="55"/>
      <c r="M10" s="55"/>
      <c r="N10" s="55"/>
      <c r="O10" s="55"/>
      <c r="P10" s="55"/>
      <c r="Q10" s="55"/>
      <c r="R10" s="55"/>
      <c r="S10" s="55"/>
      <c r="T10" s="55"/>
      <c r="U10" s="55"/>
      <c r="V10" s="55"/>
      <c r="W10" s="55"/>
    </row>
    <row r="11">
      <c r="A11" s="59" t="s">
        <v>3751</v>
      </c>
      <c r="B11" s="201" t="s">
        <v>3752</v>
      </c>
      <c r="C11" s="59" t="s">
        <v>3753</v>
      </c>
      <c r="D11" s="201"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3754</v>
      </c>
      <c r="I11" s="117" t="s">
        <v>3755</v>
      </c>
      <c r="J11" s="203" t="s">
        <v>3756</v>
      </c>
      <c r="K11" s="55"/>
      <c r="L11" s="55"/>
      <c r="M11" s="55"/>
      <c r="N11" s="55"/>
      <c r="O11" s="55"/>
      <c r="P11" s="55"/>
      <c r="Q11" s="55"/>
      <c r="R11" s="55"/>
      <c r="S11" s="55"/>
      <c r="T11" s="55"/>
      <c r="U11" s="55"/>
      <c r="V11" s="55"/>
      <c r="W11" s="55"/>
    </row>
    <row r="12">
      <c r="A12" s="59" t="s">
        <v>3757</v>
      </c>
      <c r="B12" s="201" t="s">
        <v>3758</v>
      </c>
      <c r="C12" s="59" t="s">
        <v>3759</v>
      </c>
      <c r="D12" s="201"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3760</v>
      </c>
      <c r="I12" s="117" t="s">
        <v>3761</v>
      </c>
      <c r="J12" s="203" t="s">
        <v>3762</v>
      </c>
      <c r="K12" s="55"/>
      <c r="L12" s="55"/>
      <c r="M12" s="55"/>
      <c r="N12" s="55"/>
      <c r="O12" s="55"/>
      <c r="P12" s="55"/>
      <c r="Q12" s="55"/>
      <c r="R12" s="55"/>
      <c r="S12" s="55"/>
      <c r="T12" s="55"/>
      <c r="U12" s="55"/>
      <c r="V12" s="55"/>
      <c r="W12" s="55"/>
    </row>
    <row r="13">
      <c r="A13" s="59" t="s">
        <v>3763</v>
      </c>
      <c r="B13" s="201" t="s">
        <v>3764</v>
      </c>
      <c r="C13" s="59" t="s">
        <v>3765</v>
      </c>
      <c r="D13" s="201"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3766</v>
      </c>
      <c r="I13" s="117" t="s">
        <v>3767</v>
      </c>
      <c r="J13" s="203" t="s">
        <v>3768</v>
      </c>
      <c r="K13" s="55"/>
      <c r="L13" s="55"/>
      <c r="M13" s="55"/>
      <c r="N13" s="55"/>
      <c r="O13" s="55"/>
      <c r="P13" s="55"/>
      <c r="Q13" s="55"/>
      <c r="R13" s="55"/>
      <c r="S13" s="55"/>
      <c r="T13" s="55"/>
      <c r="U13" s="55"/>
      <c r="V13" s="55"/>
      <c r="W13" s="55"/>
    </row>
    <row r="14">
      <c r="A14" s="59" t="s">
        <v>3769</v>
      </c>
      <c r="B14" s="201" t="str">
        <f>IFERROR(__xludf.DUMMYFUNCTION("GOOGLETRANSLATE(A14,""zh-tw"",""ja"")"),"夜襲は兄の性欲が一定値を超えた時のみ発動します。")</f>
        <v>夜襲は兄の性欲が一定値を超えた時のみ発動します。</v>
      </c>
      <c r="C14" s="59" t="s">
        <v>3770</v>
      </c>
      <c r="D14" s="201"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2"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1" t="s">
        <v>3771</v>
      </c>
      <c r="I14" s="117" t="s">
        <v>3772</v>
      </c>
      <c r="J14" s="203" t="s">
        <v>3773</v>
      </c>
      <c r="K14" s="55"/>
      <c r="L14" s="55"/>
      <c r="M14" s="55"/>
      <c r="N14" s="55"/>
      <c r="O14" s="55"/>
      <c r="P14" s="55"/>
      <c r="Q14" s="55"/>
      <c r="R14" s="55"/>
      <c r="S14" s="55"/>
      <c r="T14" s="55"/>
      <c r="U14" s="55"/>
      <c r="V14" s="55"/>
      <c r="W14" s="55"/>
    </row>
    <row r="15">
      <c r="A15" s="59" t="s">
        <v>3774</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1"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3776</v>
      </c>
      <c r="I15" s="56" t="s">
        <v>3777</v>
      </c>
      <c r="J15" s="203" t="s">
        <v>3778</v>
      </c>
      <c r="K15" s="55"/>
      <c r="L15" s="55"/>
      <c r="M15" s="55"/>
      <c r="N15" s="55"/>
      <c r="O15" s="55"/>
      <c r="P15" s="55"/>
      <c r="Q15" s="55"/>
      <c r="R15" s="55"/>
      <c r="S15" s="55"/>
      <c r="T15" s="55"/>
      <c r="U15" s="55"/>
      <c r="V15" s="55"/>
      <c r="W15" s="55"/>
    </row>
    <row r="16">
      <c r="A16" s="59" t="s">
        <v>3779</v>
      </c>
      <c r="B16" s="201" t="str">
        <f>IFERROR(__xludf.DUMMYFUNCTION("GOOGLETRANSLATE(A16,""zh-tw"",""ja"")"),"ガシャポンマシンの後ろから近づくと飛び出します。")</f>
        <v>ガシャポンマシンの後ろから近づくと飛び出します。</v>
      </c>
      <c r="C16" s="59" t="s">
        <v>3780</v>
      </c>
      <c r="D16" s="201"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2"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1" t="s">
        <v>3781</v>
      </c>
      <c r="I16" s="117" t="s">
        <v>3782</v>
      </c>
      <c r="J16" s="203" t="s">
        <v>3783</v>
      </c>
      <c r="K16" s="55"/>
      <c r="L16" s="55"/>
      <c r="M16" s="55"/>
      <c r="N16" s="55"/>
      <c r="O16" s="55"/>
      <c r="P16" s="55"/>
      <c r="Q16" s="55"/>
      <c r="R16" s="55"/>
      <c r="S16" s="55"/>
      <c r="T16" s="55"/>
      <c r="U16" s="55"/>
      <c r="V16" s="55"/>
      <c r="W16" s="55"/>
    </row>
    <row r="17">
      <c r="A17" s="59" t="s">
        <v>3784</v>
      </c>
      <c r="B17" s="201" t="s">
        <v>3785</v>
      </c>
      <c r="C17" s="59" t="s">
        <v>3786</v>
      </c>
      <c r="D17" s="201"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3787</v>
      </c>
      <c r="I17" s="117" t="s">
        <v>3788</v>
      </c>
      <c r="J17" s="203" t="s">
        <v>3789</v>
      </c>
      <c r="K17" s="55"/>
      <c r="L17" s="55"/>
      <c r="M17" s="55"/>
      <c r="N17" s="55"/>
      <c r="O17" s="55"/>
      <c r="P17" s="55"/>
      <c r="Q17" s="55"/>
      <c r="R17" s="55"/>
      <c r="S17" s="55"/>
      <c r="T17" s="55"/>
      <c r="U17" s="55"/>
      <c r="V17" s="55"/>
      <c r="W17" s="55"/>
    </row>
    <row r="18">
      <c r="A18" s="59" t="s">
        <v>3790</v>
      </c>
      <c r="B18" s="201" t="s">
        <v>3791</v>
      </c>
      <c r="C18" s="59" t="s">
        <v>3792</v>
      </c>
      <c r="D18" s="201"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3793</v>
      </c>
      <c r="I18" s="117" t="s">
        <v>3794</v>
      </c>
      <c r="J18" s="203" t="s">
        <v>3795</v>
      </c>
      <c r="K18" s="55"/>
      <c r="L18" s="55"/>
      <c r="M18" s="55"/>
      <c r="N18" s="55"/>
      <c r="O18" s="55"/>
      <c r="P18" s="55"/>
      <c r="Q18" s="55"/>
      <c r="R18" s="55"/>
      <c r="S18" s="55"/>
      <c r="T18" s="55"/>
      <c r="U18" s="55"/>
      <c r="V18" s="55"/>
      <c r="W18" s="55"/>
    </row>
    <row r="19">
      <c r="A19" s="59" t="s">
        <v>3796</v>
      </c>
      <c r="B19" s="201" t="s">
        <v>3797</v>
      </c>
      <c r="C19" s="59" t="s">
        <v>3798</v>
      </c>
      <c r="D19" s="201"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좋아해요.")</f>
        <v>저는 언니와 마찬가지로 가샤폰 머신을 좋아해요.</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3799</v>
      </c>
      <c r="I19" s="117" t="s">
        <v>3800</v>
      </c>
      <c r="J19" s="203" t="s">
        <v>3801</v>
      </c>
      <c r="K19" s="55"/>
      <c r="L19" s="55"/>
      <c r="M19" s="55"/>
      <c r="N19" s="55"/>
      <c r="O19" s="55"/>
      <c r="P19" s="55"/>
      <c r="Q19" s="55"/>
      <c r="R19" s="55"/>
      <c r="S19" s="55"/>
      <c r="T19" s="55"/>
      <c r="U19" s="55"/>
      <c r="V19" s="55"/>
      <c r="W19" s="55"/>
    </row>
    <row r="20">
      <c r="A20" s="59" t="s">
        <v>3802</v>
      </c>
      <c r="B20" s="201" t="s">
        <v>3803</v>
      </c>
      <c r="C20" s="59" t="s">
        <v>3804</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3805</v>
      </c>
      <c r="I20" s="117" t="s">
        <v>3806</v>
      </c>
      <c r="J20" s="203" t="s">
        <v>3807</v>
      </c>
      <c r="K20" s="55"/>
      <c r="L20" s="55"/>
      <c r="M20" s="55"/>
      <c r="N20" s="55"/>
      <c r="O20" s="55"/>
      <c r="P20" s="55"/>
      <c r="Q20" s="55"/>
      <c r="R20" s="55"/>
      <c r="S20" s="55"/>
      <c r="T20" s="55"/>
      <c r="U20" s="55"/>
      <c r="V20" s="55"/>
      <c r="W20" s="55"/>
    </row>
    <row r="21">
      <c r="A21" s="59" t="s">
        <v>3808</v>
      </c>
      <c r="B21" s="201" t="s">
        <v>3809</v>
      </c>
      <c r="C21" s="59" t="s">
        <v>3810</v>
      </c>
      <c r="D21" s="201"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3811</v>
      </c>
      <c r="I21" s="117" t="s">
        <v>3812</v>
      </c>
      <c r="J21" s="203" t="s">
        <v>3813</v>
      </c>
      <c r="K21" s="55"/>
      <c r="L21" s="55"/>
      <c r="M21" s="55"/>
      <c r="N21" s="55"/>
      <c r="O21" s="55"/>
      <c r="P21" s="55"/>
      <c r="Q21" s="55"/>
      <c r="R21" s="55"/>
      <c r="S21" s="55"/>
      <c r="T21" s="55"/>
      <c r="U21" s="55"/>
      <c r="V21" s="55"/>
      <c r="W21" s="55"/>
    </row>
    <row r="22">
      <c r="A22" s="59" t="s">
        <v>3814</v>
      </c>
      <c r="B22" s="201" t="s">
        <v>3815</v>
      </c>
      <c r="C22" s="59" t="s">
        <v>3816</v>
      </c>
      <c r="D22" s="201"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3817</v>
      </c>
      <c r="I22" s="56" t="s">
        <v>3818</v>
      </c>
      <c r="J22" s="203" t="s">
        <v>3819</v>
      </c>
      <c r="K22" s="55"/>
      <c r="L22" s="55"/>
      <c r="M22" s="55"/>
      <c r="N22" s="55"/>
      <c r="O22" s="55"/>
      <c r="P22" s="55"/>
      <c r="Q22" s="55"/>
      <c r="R22" s="55"/>
      <c r="S22" s="55"/>
      <c r="T22" s="55"/>
      <c r="U22" s="55"/>
      <c r="V22" s="55"/>
      <c r="W22" s="55"/>
    </row>
    <row r="23">
      <c r="A23" s="59" t="s">
        <v>3820</v>
      </c>
      <c r="B23" s="201" t="str">
        <f>IFERROR(__xludf.DUMMYFUNCTION("GOOGLETRANSLATE(A23,""zh-tw"",""ja"")"),"メカが消えるとマップ名が変わります。")</f>
        <v>メカが消えるとマップ名が変わります。</v>
      </c>
      <c r="C23" s="59" t="s">
        <v>3821</v>
      </c>
      <c r="D23" s="201"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1" t="s">
        <v>3822</v>
      </c>
      <c r="I23" s="56" t="s">
        <v>3823</v>
      </c>
      <c r="J23" s="203" t="s">
        <v>3824</v>
      </c>
      <c r="K23" s="55"/>
      <c r="L23" s="55"/>
      <c r="M23" s="55"/>
      <c r="N23" s="55"/>
      <c r="O23" s="55"/>
      <c r="P23" s="55"/>
      <c r="Q23" s="55"/>
      <c r="R23" s="55"/>
      <c r="S23" s="55"/>
      <c r="T23" s="55"/>
      <c r="U23" s="55"/>
      <c r="V23" s="55"/>
      <c r="W23" s="55"/>
    </row>
    <row r="24">
      <c r="A24" s="59" t="s">
        <v>3825</v>
      </c>
      <c r="B24" s="201" t="s">
        <v>3826</v>
      </c>
      <c r="C24" s="59" t="s">
        <v>3827</v>
      </c>
      <c r="D24" s="201"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3828</v>
      </c>
      <c r="I24" s="117" t="s">
        <v>3829</v>
      </c>
      <c r="J24" s="203" t="s">
        <v>3830</v>
      </c>
      <c r="K24" s="55"/>
      <c r="L24" s="55"/>
      <c r="M24" s="55"/>
      <c r="N24" s="55"/>
      <c r="O24" s="55"/>
      <c r="P24" s="55"/>
      <c r="Q24" s="55"/>
      <c r="R24" s="55"/>
      <c r="S24" s="55"/>
      <c r="T24" s="55"/>
      <c r="U24" s="55"/>
      <c r="V24" s="55"/>
      <c r="W24" s="55"/>
    </row>
    <row r="25">
      <c r="A25" s="59" t="s">
        <v>3831</v>
      </c>
      <c r="B25" s="201" t="s">
        <v>3832</v>
      </c>
      <c r="C25" s="59" t="s">
        <v>3833</v>
      </c>
      <c r="D25" s="201"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3834</v>
      </c>
      <c r="I25" s="117" t="s">
        <v>3835</v>
      </c>
      <c r="J25" s="203" t="s">
        <v>3836</v>
      </c>
      <c r="K25" s="55"/>
      <c r="L25" s="55"/>
      <c r="M25" s="55"/>
      <c r="N25" s="55"/>
      <c r="O25" s="55"/>
      <c r="P25" s="55"/>
      <c r="Q25" s="55"/>
      <c r="R25" s="55"/>
      <c r="S25" s="55"/>
      <c r="T25" s="55"/>
      <c r="U25" s="55"/>
      <c r="V25" s="55"/>
      <c r="W25" s="55"/>
    </row>
    <row r="26">
      <c r="A26" s="59" t="s">
        <v>3837</v>
      </c>
      <c r="B26" s="201" t="s">
        <v>3838</v>
      </c>
      <c r="C26" s="59" t="s">
        <v>3839</v>
      </c>
      <c r="D26" s="201"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3840</v>
      </c>
      <c r="I26" s="117" t="s">
        <v>3841</v>
      </c>
      <c r="J26" s="203" t="s">
        <v>3842</v>
      </c>
      <c r="K26" s="55"/>
      <c r="L26" s="55"/>
      <c r="M26" s="55"/>
      <c r="N26" s="55"/>
      <c r="O26" s="55"/>
      <c r="P26" s="55"/>
      <c r="Q26" s="55"/>
      <c r="R26" s="55"/>
      <c r="S26" s="55"/>
      <c r="T26" s="55"/>
      <c r="U26" s="55"/>
      <c r="V26" s="55"/>
      <c r="W26" s="55"/>
    </row>
    <row r="27">
      <c r="A27" s="59" t="s">
        <v>3843</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1" t="s">
        <v>3845</v>
      </c>
      <c r="E27" s="6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3846</v>
      </c>
      <c r="I27" s="117" t="s">
        <v>3847</v>
      </c>
      <c r="J27" s="203" t="s">
        <v>3848</v>
      </c>
      <c r="K27" s="55"/>
      <c r="L27" s="55"/>
      <c r="M27" s="55"/>
      <c r="N27" s="55"/>
      <c r="O27" s="55"/>
      <c r="P27" s="55"/>
      <c r="Q27" s="55"/>
      <c r="R27" s="55"/>
      <c r="S27" s="55"/>
      <c r="T27" s="55"/>
      <c r="U27" s="55"/>
      <c r="V27" s="55"/>
      <c r="W27" s="55"/>
    </row>
    <row r="28">
      <c r="A28" s="205" t="s">
        <v>3849</v>
      </c>
      <c r="B28" s="201" t="s">
        <v>3850</v>
      </c>
      <c r="C28" s="59" t="s">
        <v>3851</v>
      </c>
      <c r="D28" s="201" t="s">
        <v>3852</v>
      </c>
      <c r="E28" s="6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3853</v>
      </c>
      <c r="I28" s="117" t="s">
        <v>3854</v>
      </c>
      <c r="J28" s="203" t="s">
        <v>3855</v>
      </c>
      <c r="K28" s="55"/>
      <c r="L28" s="55"/>
      <c r="M28" s="55"/>
      <c r="N28" s="55"/>
      <c r="O28" s="55"/>
      <c r="P28" s="55"/>
      <c r="Q28" s="55"/>
      <c r="R28" s="55"/>
      <c r="S28" s="55"/>
      <c r="T28" s="55"/>
      <c r="U28" s="55"/>
      <c r="V28" s="55"/>
      <c r="W28" s="55"/>
    </row>
    <row r="29">
      <c r="A29" s="59" t="s">
        <v>3856</v>
      </c>
      <c r="B29" s="201" t="s">
        <v>3857</v>
      </c>
      <c r="C29" s="59" t="s">
        <v>3858</v>
      </c>
      <c r="D29" s="201"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3859</v>
      </c>
      <c r="I29" s="117" t="s">
        <v>3860</v>
      </c>
      <c r="J29" s="203" t="s">
        <v>3861</v>
      </c>
      <c r="K29" s="55"/>
      <c r="L29" s="55"/>
      <c r="M29" s="55"/>
      <c r="N29" s="55"/>
      <c r="O29" s="55"/>
      <c r="P29" s="55"/>
      <c r="Q29" s="55"/>
      <c r="R29" s="55"/>
      <c r="S29" s="55"/>
      <c r="T29" s="55"/>
      <c r="U29" s="55"/>
      <c r="V29" s="55"/>
      <c r="W29" s="55"/>
    </row>
    <row r="30">
      <c r="A30" s="59" t="s">
        <v>3862</v>
      </c>
      <c r="B30" s="201" t="s">
        <v>3863</v>
      </c>
      <c r="C30" s="6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3864</v>
      </c>
      <c r="I30" s="117" t="s">
        <v>3865</v>
      </c>
      <c r="J30" s="203" t="s">
        <v>3866</v>
      </c>
      <c r="K30" s="55"/>
      <c r="L30" s="55"/>
      <c r="M30" s="55"/>
      <c r="N30" s="55"/>
      <c r="O30" s="55"/>
      <c r="P30" s="55"/>
      <c r="Q30" s="55"/>
      <c r="R30" s="55"/>
      <c r="S30" s="55"/>
      <c r="T30" s="55"/>
      <c r="U30" s="55"/>
      <c r="V30" s="55"/>
      <c r="W30" s="55"/>
    </row>
    <row r="31">
      <c r="A31" s="59" t="s">
        <v>3867</v>
      </c>
      <c r="B31" s="201"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1"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2"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1" t="s">
        <v>3869</v>
      </c>
      <c r="I31" s="117" t="s">
        <v>3870</v>
      </c>
      <c r="J31" s="203" t="s">
        <v>3871</v>
      </c>
      <c r="K31" s="55"/>
      <c r="L31" s="55"/>
      <c r="M31" s="55"/>
      <c r="N31" s="55"/>
      <c r="O31" s="55"/>
      <c r="P31" s="55"/>
      <c r="Q31" s="55"/>
      <c r="R31" s="55"/>
      <c r="S31" s="55"/>
      <c r="T31" s="55"/>
      <c r="U31" s="55"/>
      <c r="V31" s="55"/>
      <c r="W31" s="55"/>
    </row>
    <row r="32">
      <c r="A32" s="59" t="s">
        <v>3872</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1"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3874</v>
      </c>
      <c r="I32" s="117" t="s">
        <v>3875</v>
      </c>
      <c r="J32" s="203" t="s">
        <v>3876</v>
      </c>
      <c r="K32" s="55"/>
      <c r="L32" s="55"/>
      <c r="M32" s="55"/>
      <c r="N32" s="55"/>
      <c r="O32" s="55"/>
      <c r="P32" s="55"/>
      <c r="Q32" s="55"/>
      <c r="R32" s="55"/>
      <c r="S32" s="55"/>
      <c r="T32" s="55"/>
      <c r="U32" s="55"/>
      <c r="V32" s="55"/>
      <c r="W32" s="55"/>
    </row>
    <row r="33">
      <c r="A33" s="59" t="s">
        <v>3877</v>
      </c>
      <c r="B33" s="201" t="s">
        <v>3878</v>
      </c>
      <c r="C33" s="59" t="s">
        <v>3879</v>
      </c>
      <c r="D33" s="201"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3880</v>
      </c>
      <c r="I33" s="117" t="s">
        <v>3881</v>
      </c>
      <c r="J33" s="203" t="s">
        <v>3882</v>
      </c>
      <c r="K33" s="55"/>
      <c r="L33" s="55"/>
      <c r="M33" s="55"/>
      <c r="N33" s="55"/>
      <c r="O33" s="55"/>
      <c r="P33" s="55"/>
      <c r="Q33" s="55"/>
      <c r="R33" s="55"/>
      <c r="S33" s="55"/>
      <c r="T33" s="55"/>
      <c r="U33" s="55"/>
      <c r="V33" s="55"/>
      <c r="W33" s="55"/>
    </row>
    <row r="34">
      <c r="A34" s="59" t="s">
        <v>3883</v>
      </c>
      <c r="B34" s="201" t="s">
        <v>3884</v>
      </c>
      <c r="C34" s="59" t="s">
        <v>3885</v>
      </c>
      <c r="D34" s="201"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3886</v>
      </c>
      <c r="I34" s="117" t="s">
        <v>3887</v>
      </c>
      <c r="J34" s="203" t="s">
        <v>3888</v>
      </c>
      <c r="K34" s="55"/>
      <c r="L34" s="55"/>
      <c r="M34" s="55"/>
      <c r="N34" s="55"/>
      <c r="O34" s="55"/>
      <c r="P34" s="55"/>
      <c r="Q34" s="55"/>
      <c r="R34" s="55"/>
      <c r="S34" s="55"/>
      <c r="T34" s="55"/>
      <c r="U34" s="55"/>
      <c r="V34" s="55"/>
      <c r="W34" s="55"/>
    </row>
    <row r="35">
      <c r="A35" s="59" t="s">
        <v>3889</v>
      </c>
      <c r="B35" s="201" t="str">
        <f>IFERROR(__xludf.DUMMYFUNCTION("GOOGLETRANSLATE(A35,""zh-tw"",""ja"")"),"生き物が可愛ければ可愛いほど、攻撃力も高くなります。")</f>
        <v>生き物が可愛ければ可愛いほど、攻撃力も高くなります。</v>
      </c>
      <c r="C35" s="59" t="s">
        <v>3890</v>
      </c>
      <c r="D35" s="201" t="s">
        <v>3891</v>
      </c>
      <c r="E35" s="6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3892</v>
      </c>
      <c r="I35" s="117" t="s">
        <v>3893</v>
      </c>
      <c r="J35" s="203" t="s">
        <v>3894</v>
      </c>
      <c r="K35" s="55"/>
      <c r="L35" s="55"/>
      <c r="M35" s="55"/>
      <c r="N35" s="55"/>
      <c r="O35" s="55"/>
      <c r="P35" s="55"/>
      <c r="Q35" s="55"/>
      <c r="R35" s="55"/>
      <c r="S35" s="55"/>
      <c r="T35" s="55"/>
      <c r="U35" s="55"/>
      <c r="V35" s="55"/>
      <c r="W35" s="55"/>
    </row>
    <row r="36">
      <c r="A36" s="59" t="s">
        <v>3895</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3897</v>
      </c>
      <c r="I36" s="56" t="s">
        <v>3898</v>
      </c>
      <c r="J36" s="203" t="s">
        <v>3899</v>
      </c>
      <c r="K36" s="55"/>
      <c r="L36" s="55"/>
      <c r="M36" s="55"/>
      <c r="N36" s="55"/>
      <c r="O36" s="55"/>
      <c r="P36" s="55"/>
      <c r="Q36" s="55"/>
      <c r="R36" s="55"/>
      <c r="S36" s="55"/>
      <c r="T36" s="55"/>
      <c r="U36" s="55"/>
      <c r="V36" s="55"/>
      <c r="W36" s="55"/>
    </row>
    <row r="37">
      <c r="A37" s="59" t="s">
        <v>3900</v>
      </c>
      <c r="B37" s="201" t="str">
        <f>IFERROR(__xludf.DUMMYFUNCTION("GOOGLETRANSLATE(A37,""zh-tw"",""ja"")"),"モンスタースライム 1 個は、スライムスライム 2 個とほぼ同等です。")</f>
        <v>モンスタースライム 1 個は、スライムスライム 2 個とほぼ同等です。</v>
      </c>
      <c r="C37" s="59" t="s">
        <v>3901</v>
      </c>
      <c r="D37" s="201"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2"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1" t="s">
        <v>3902</v>
      </c>
      <c r="I37" s="117" t="s">
        <v>3903</v>
      </c>
      <c r="J37" s="203" t="s">
        <v>3904</v>
      </c>
      <c r="K37" s="55"/>
      <c r="L37" s="55"/>
      <c r="M37" s="55"/>
      <c r="N37" s="55"/>
      <c r="O37" s="55"/>
      <c r="P37" s="55"/>
      <c r="Q37" s="55"/>
      <c r="R37" s="55"/>
      <c r="S37" s="55"/>
      <c r="T37" s="55"/>
      <c r="U37" s="55"/>
      <c r="V37" s="55"/>
      <c r="W37" s="55"/>
    </row>
    <row r="38">
      <c r="A38" s="59" t="s">
        <v>3905</v>
      </c>
      <c r="B38" s="201" t="s">
        <v>3906</v>
      </c>
      <c r="C38" s="59" t="s">
        <v>3907</v>
      </c>
      <c r="D38" s="201"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3908</v>
      </c>
      <c r="I38" s="117" t="s">
        <v>3909</v>
      </c>
      <c r="J38" s="203" t="s">
        <v>3910</v>
      </c>
      <c r="K38" s="55"/>
      <c r="L38" s="55"/>
      <c r="M38" s="55"/>
      <c r="N38" s="55"/>
      <c r="O38" s="55"/>
      <c r="P38" s="55"/>
      <c r="Q38" s="55"/>
      <c r="R38" s="55"/>
      <c r="S38" s="55"/>
      <c r="T38" s="55"/>
      <c r="U38" s="55"/>
      <c r="V38" s="55"/>
      <c r="W38" s="55"/>
    </row>
    <row r="39">
      <c r="A39" s="59" t="s">
        <v>3911</v>
      </c>
      <c r="B39" s="201" t="s">
        <v>3912</v>
      </c>
      <c r="C39" s="59" t="s">
        <v>3913</v>
      </c>
      <c r="D39" s="201"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3915</v>
      </c>
      <c r="I39" s="117" t="s">
        <v>3916</v>
      </c>
      <c r="J39" s="203" t="s">
        <v>3917</v>
      </c>
      <c r="K39" s="55"/>
      <c r="L39" s="55"/>
      <c r="M39" s="55"/>
      <c r="N39" s="55"/>
      <c r="O39" s="55"/>
      <c r="P39" s="55"/>
      <c r="Q39" s="55"/>
      <c r="R39" s="55"/>
      <c r="S39" s="55"/>
      <c r="T39" s="55"/>
      <c r="U39" s="55"/>
      <c r="V39" s="55"/>
      <c r="W39" s="55"/>
    </row>
    <row r="40">
      <c r="A40" s="59" t="s">
        <v>3918</v>
      </c>
      <c r="B40" s="201" t="s">
        <v>3919</v>
      </c>
      <c r="C40" s="59" t="s">
        <v>3920</v>
      </c>
      <c r="D40" s="201"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7" t="s">
        <v>3921</v>
      </c>
      <c r="J40" s="203" t="s">
        <v>3922</v>
      </c>
      <c r="K40" s="55"/>
      <c r="L40" s="55"/>
      <c r="M40" s="55"/>
      <c r="N40" s="55"/>
      <c r="O40" s="55"/>
      <c r="P40" s="55"/>
      <c r="Q40" s="55"/>
      <c r="R40" s="55"/>
      <c r="S40" s="55"/>
      <c r="T40" s="55"/>
      <c r="U40" s="55"/>
      <c r="V40" s="55"/>
      <c r="W40" s="55"/>
    </row>
    <row r="41">
      <c r="A41" s="59" t="s">
        <v>3923</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7" t="s">
        <v>3925</v>
      </c>
      <c r="J41" s="203" t="s">
        <v>3926</v>
      </c>
      <c r="K41" s="55"/>
      <c r="L41" s="55"/>
      <c r="M41" s="55"/>
      <c r="N41" s="55"/>
      <c r="O41" s="55"/>
      <c r="P41" s="55"/>
      <c r="Q41" s="55"/>
      <c r="R41" s="55"/>
      <c r="S41" s="55"/>
      <c r="T41" s="55"/>
      <c r="U41" s="55"/>
      <c r="V41" s="55"/>
      <c r="W41" s="55"/>
    </row>
    <row r="42">
      <c r="A42" s="59" t="s">
        <v>3927</v>
      </c>
      <c r="B42" s="201" t="s">
        <v>3928</v>
      </c>
      <c r="C42" s="59" t="s">
        <v>3929</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7" t="s">
        <v>3930</v>
      </c>
      <c r="J42" s="203" t="s">
        <v>3931</v>
      </c>
      <c r="K42" s="55"/>
      <c r="L42" s="55"/>
      <c r="M42" s="55"/>
      <c r="N42" s="55"/>
      <c r="O42" s="55"/>
      <c r="P42" s="55"/>
      <c r="Q42" s="55"/>
      <c r="R42" s="55"/>
      <c r="S42" s="55"/>
      <c r="T42" s="55"/>
      <c r="U42" s="55"/>
      <c r="V42" s="55"/>
      <c r="W42" s="55"/>
    </row>
    <row r="43">
      <c r="A43" s="59" t="s">
        <v>3932</v>
      </c>
      <c r="B43" s="201" t="s">
        <v>3933</v>
      </c>
      <c r="C43" s="59" t="s">
        <v>3934</v>
      </c>
      <c r="D43" s="201"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17" t="s">
        <v>3935</v>
      </c>
      <c r="J43" s="203" t="s">
        <v>3936</v>
      </c>
      <c r="K43" s="55"/>
      <c r="L43" s="55"/>
      <c r="M43" s="55"/>
      <c r="N43" s="55"/>
      <c r="O43" s="55"/>
      <c r="P43" s="55"/>
      <c r="Q43" s="55"/>
      <c r="R43" s="55"/>
      <c r="S43" s="55"/>
      <c r="T43" s="55"/>
      <c r="U43" s="55"/>
      <c r="V43" s="55"/>
      <c r="W43" s="55"/>
    </row>
    <row r="44">
      <c r="A44" s="59" t="s">
        <v>3937</v>
      </c>
      <c r="B44" s="201" t="s">
        <v>3938</v>
      </c>
      <c r="C44" s="59" t="s">
        <v>3939</v>
      </c>
      <c r="D44" s="201"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17" t="s">
        <v>3940</v>
      </c>
      <c r="J44" s="203" t="s">
        <v>3941</v>
      </c>
      <c r="K44" s="55"/>
      <c r="L44" s="55"/>
      <c r="M44" s="55"/>
      <c r="N44" s="55"/>
      <c r="O44" s="55"/>
      <c r="P44" s="55"/>
      <c r="Q44" s="55"/>
      <c r="R44" s="55"/>
      <c r="S44" s="55"/>
      <c r="T44" s="55"/>
      <c r="U44" s="55"/>
      <c r="V44" s="55"/>
      <c r="W44" s="55"/>
    </row>
    <row r="45">
      <c r="A45" s="59" t="s">
        <v>3942</v>
      </c>
      <c r="B45" s="201" t="s">
        <v>3943</v>
      </c>
      <c r="C45" s="59" t="s">
        <v>3944</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7" t="s">
        <v>3945</v>
      </c>
      <c r="J45" s="203" t="s">
        <v>3946</v>
      </c>
      <c r="K45" s="55"/>
      <c r="L45" s="55"/>
      <c r="M45" s="55"/>
      <c r="N45" s="55"/>
      <c r="O45" s="55"/>
      <c r="P45" s="55"/>
      <c r="Q45" s="55"/>
      <c r="R45" s="55"/>
      <c r="S45" s="55"/>
      <c r="T45" s="55"/>
      <c r="U45" s="55"/>
      <c r="V45" s="55"/>
      <c r="W45" s="55"/>
    </row>
    <row r="46">
      <c r="A46" s="59" t="s">
        <v>3947</v>
      </c>
      <c r="B46" s="201" t="s">
        <v>3948</v>
      </c>
      <c r="C46" s="59" t="s">
        <v>3949</v>
      </c>
      <c r="D46" s="201"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7" t="s">
        <v>3950</v>
      </c>
      <c r="J46" s="203" t="s">
        <v>3951</v>
      </c>
      <c r="K46" s="55"/>
      <c r="L46" s="55"/>
      <c r="M46" s="55"/>
      <c r="N46" s="55"/>
      <c r="O46" s="55"/>
      <c r="P46" s="55"/>
      <c r="Q46" s="55"/>
      <c r="R46" s="55"/>
      <c r="S46" s="55"/>
      <c r="T46" s="55"/>
      <c r="U46" s="55"/>
      <c r="V46" s="55"/>
      <c r="W46" s="55"/>
    </row>
    <row r="47">
      <c r="A47" s="59" t="s">
        <v>3952</v>
      </c>
      <c r="B47" s="201" t="s">
        <v>3953</v>
      </c>
      <c r="C47" s="59" t="s">
        <v>3954</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2"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7" t="s">
        <v>3955</v>
      </c>
      <c r="J47" s="203" t="s">
        <v>3956</v>
      </c>
      <c r="K47" s="55"/>
      <c r="L47" s="55"/>
      <c r="M47" s="55"/>
      <c r="N47" s="55"/>
      <c r="O47" s="55"/>
      <c r="P47" s="55"/>
      <c r="Q47" s="55"/>
      <c r="R47" s="55"/>
      <c r="S47" s="55"/>
      <c r="T47" s="55"/>
      <c r="U47" s="55"/>
      <c r="V47" s="55"/>
      <c r="W47" s="55"/>
    </row>
    <row r="48">
      <c r="A48" s="59" t="s">
        <v>3957</v>
      </c>
      <c r="B48" s="201" t="s">
        <v>3958</v>
      </c>
      <c r="C48" s="59" t="s">
        <v>3959</v>
      </c>
      <c r="D48" s="201"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7" t="s">
        <v>3960</v>
      </c>
      <c r="J48" s="203" t="s">
        <v>3961</v>
      </c>
      <c r="K48" s="55"/>
      <c r="L48" s="55"/>
      <c r="M48" s="55"/>
      <c r="N48" s="55"/>
      <c r="O48" s="55"/>
      <c r="P48" s="55"/>
      <c r="Q48" s="55"/>
      <c r="R48" s="55"/>
      <c r="S48" s="55"/>
      <c r="T48" s="55"/>
      <c r="U48" s="55"/>
      <c r="V48" s="55"/>
      <c r="W48" s="55"/>
    </row>
    <row r="49">
      <c r="A49" s="59" t="s">
        <v>3962</v>
      </c>
      <c r="B49" s="201" t="s">
        <v>3963</v>
      </c>
      <c r="C49" s="61" t="s">
        <v>3964</v>
      </c>
      <c r="D49" s="201"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die Position mit jedem Gegner, den sie berührt.")</f>
        <v>Die Ehwaz-Rune tauscht nach dem Werfen die Position mit jedem Gegner, den sie berührt.</v>
      </c>
      <c r="I49" s="117" t="s">
        <v>3965</v>
      </c>
      <c r="J49" s="203" t="s">
        <v>3966</v>
      </c>
      <c r="K49" s="55"/>
      <c r="L49" s="55"/>
      <c r="M49" s="55"/>
      <c r="N49" s="55"/>
      <c r="O49" s="55"/>
      <c r="P49" s="55"/>
      <c r="Q49" s="55"/>
      <c r="R49" s="55"/>
      <c r="S49" s="55"/>
      <c r="T49" s="55"/>
      <c r="U49" s="55"/>
      <c r="V49" s="55"/>
      <c r="W49" s="55"/>
    </row>
    <row r="50">
      <c r="A50" s="59" t="s">
        <v>3967</v>
      </c>
      <c r="B50" s="201" t="s">
        <v>3968</v>
      </c>
      <c r="C50" s="59" t="s">
        <v>3969</v>
      </c>
      <c r="D50" s="201"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7" t="s">
        <v>3971</v>
      </c>
      <c r="J50" s="203" t="s">
        <v>3972</v>
      </c>
      <c r="K50" s="55"/>
      <c r="L50" s="55"/>
      <c r="M50" s="55"/>
      <c r="N50" s="55"/>
      <c r="O50" s="55"/>
      <c r="P50" s="55"/>
      <c r="Q50" s="55"/>
      <c r="R50" s="55"/>
      <c r="S50" s="55"/>
      <c r="T50" s="55"/>
      <c r="U50" s="55"/>
      <c r="V50" s="55"/>
      <c r="W50" s="55"/>
    </row>
    <row r="51">
      <c r="A51" s="59" t="s">
        <v>3973</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1"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7" t="s">
        <v>3975</v>
      </c>
      <c r="J51" s="203" t="s">
        <v>3976</v>
      </c>
      <c r="K51" s="55"/>
      <c r="L51" s="55"/>
      <c r="M51" s="55"/>
      <c r="N51" s="55"/>
      <c r="O51" s="55"/>
      <c r="P51" s="55"/>
      <c r="Q51" s="55"/>
      <c r="R51" s="55"/>
      <c r="S51" s="55"/>
      <c r="T51" s="55"/>
      <c r="U51" s="55"/>
      <c r="V51" s="55"/>
      <c r="W51" s="55"/>
    </row>
    <row r="52">
      <c r="A52" s="59" t="s">
        <v>3977</v>
      </c>
      <c r="B52" s="201"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9" t="s">
        <v>3978</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2"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17" t="s">
        <v>3979</v>
      </c>
      <c r="J52" s="203" t="s">
        <v>3980</v>
      </c>
      <c r="K52" s="55"/>
      <c r="L52" s="55"/>
      <c r="M52" s="55"/>
      <c r="N52" s="55"/>
      <c r="O52" s="55"/>
      <c r="P52" s="55"/>
      <c r="Q52" s="55"/>
      <c r="R52" s="55"/>
      <c r="S52" s="55"/>
      <c r="T52" s="55"/>
      <c r="U52" s="55"/>
      <c r="V52" s="55"/>
      <c r="W52" s="55"/>
    </row>
    <row r="53">
      <c r="A53" s="59" t="s">
        <v>3981</v>
      </c>
      <c r="B53" s="201" t="s">
        <v>3982</v>
      </c>
      <c r="C53" s="59" t="s">
        <v>3983</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7" t="s">
        <v>3984</v>
      </c>
      <c r="J53" s="203" t="s">
        <v>3985</v>
      </c>
      <c r="K53" s="55"/>
      <c r="L53" s="55"/>
      <c r="M53" s="55"/>
      <c r="N53" s="55"/>
      <c r="O53" s="55"/>
      <c r="P53" s="55"/>
      <c r="Q53" s="55"/>
      <c r="R53" s="55"/>
      <c r="S53" s="55"/>
      <c r="T53" s="55"/>
      <c r="U53" s="55"/>
      <c r="V53" s="55"/>
      <c r="W53" s="55"/>
    </row>
    <row r="54">
      <c r="A54" s="59" t="s">
        <v>3986</v>
      </c>
      <c r="B54" s="201" t="str">
        <f>IFERROR(__xludf.DUMMYFUNCTION("GOOGLETRANSLATE(A54,""zh-tw"",""ja"")"),"ガシャポンが騎士の足元に落ちた場合は、騎士が拾ってくれます。")</f>
        <v>ガシャポンが騎士の足元に落ちた場合は、騎士が拾ってくれます。</v>
      </c>
      <c r="C54" s="59" t="s">
        <v>3987</v>
      </c>
      <c r="D54" s="201"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17" t="s">
        <v>3988</v>
      </c>
      <c r="J54" s="203" t="s">
        <v>3989</v>
      </c>
      <c r="K54" s="55"/>
      <c r="L54" s="55"/>
      <c r="M54" s="55"/>
      <c r="N54" s="55"/>
      <c r="O54" s="55"/>
      <c r="P54" s="55"/>
      <c r="Q54" s="55"/>
      <c r="R54" s="55"/>
      <c r="S54" s="55"/>
      <c r="T54" s="55"/>
      <c r="U54" s="55"/>
      <c r="V54" s="55"/>
      <c r="W54" s="55"/>
    </row>
    <row r="55">
      <c r="A55" s="59" t="s">
        <v>3990</v>
      </c>
      <c r="B55" s="201" t="s">
        <v>3991</v>
      </c>
      <c r="C55" s="59" t="s">
        <v>3992</v>
      </c>
      <c r="D55" s="201"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7" t="s">
        <v>3994</v>
      </c>
      <c r="J55" s="203" t="s">
        <v>3995</v>
      </c>
      <c r="K55" s="55"/>
      <c r="L55" s="55"/>
      <c r="M55" s="55"/>
      <c r="N55" s="55"/>
      <c r="O55" s="55"/>
      <c r="P55" s="55"/>
      <c r="Q55" s="55"/>
      <c r="R55" s="55"/>
      <c r="S55" s="55"/>
      <c r="T55" s="55"/>
      <c r="U55" s="55"/>
      <c r="V55" s="55"/>
      <c r="W55" s="55"/>
    </row>
    <row r="56">
      <c r="A56" s="59" t="s">
        <v>3996</v>
      </c>
      <c r="B56" s="201" t="s">
        <v>3997</v>
      </c>
      <c r="C56" s="59" t="s">
        <v>3998</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7" t="s">
        <v>3999</v>
      </c>
      <c r="J56" s="203" t="s">
        <v>4000</v>
      </c>
      <c r="K56" s="55"/>
      <c r="L56" s="55"/>
      <c r="M56" s="55"/>
      <c r="N56" s="55"/>
      <c r="O56" s="55"/>
      <c r="P56" s="55"/>
      <c r="Q56" s="55"/>
      <c r="R56" s="55"/>
      <c r="S56" s="55"/>
      <c r="T56" s="55"/>
      <c r="U56" s="55"/>
      <c r="V56" s="55"/>
      <c r="W56" s="55"/>
    </row>
    <row r="57">
      <c r="A57" s="59" t="s">
        <v>4001</v>
      </c>
      <c r="B57" s="201" t="s">
        <v>4002</v>
      </c>
      <c r="C57" s="59" t="s">
        <v>4003</v>
      </c>
      <c r="D57" s="201"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7" t="s">
        <v>4005</v>
      </c>
      <c r="J57" s="203" t="s">
        <v>4006</v>
      </c>
      <c r="K57" s="55"/>
      <c r="L57" s="55"/>
      <c r="M57" s="55"/>
      <c r="N57" s="55"/>
      <c r="O57" s="55"/>
      <c r="P57" s="55"/>
      <c r="Q57" s="55"/>
      <c r="R57" s="55"/>
      <c r="S57" s="55"/>
      <c r="T57" s="55"/>
      <c r="U57" s="55"/>
      <c r="V57" s="55"/>
      <c r="W57" s="55"/>
    </row>
    <row r="58">
      <c r="A58" s="59" t="s">
        <v>4007</v>
      </c>
      <c r="B58" s="201" t="s">
        <v>4008</v>
      </c>
      <c r="C58" s="59" t="s">
        <v>4009</v>
      </c>
      <c r="D58" s="201"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7" t="s">
        <v>4010</v>
      </c>
      <c r="J58" s="203" t="s">
        <v>4011</v>
      </c>
      <c r="K58" s="55"/>
      <c r="L58" s="55"/>
      <c r="M58" s="55"/>
      <c r="N58" s="55"/>
      <c r="O58" s="55"/>
      <c r="P58" s="55"/>
      <c r="Q58" s="55"/>
      <c r="R58" s="55"/>
      <c r="S58" s="55"/>
      <c r="T58" s="55"/>
      <c r="U58" s="55"/>
      <c r="V58" s="55"/>
      <c r="W58" s="55"/>
    </row>
    <row r="59">
      <c r="A59" s="59" t="s">
        <v>4012</v>
      </c>
      <c r="B59" s="201" t="s">
        <v>4013</v>
      </c>
      <c r="C59" s="59" t="s">
        <v>4014</v>
      </c>
      <c r="D59" s="201"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7" t="s">
        <v>4016</v>
      </c>
      <c r="J59" s="203" t="s">
        <v>4017</v>
      </c>
      <c r="K59" s="55"/>
      <c r="L59" s="55"/>
      <c r="M59" s="55"/>
      <c r="N59" s="55"/>
      <c r="O59" s="55"/>
      <c r="P59" s="55"/>
      <c r="Q59" s="55"/>
      <c r="R59" s="55"/>
      <c r="S59" s="55"/>
      <c r="T59" s="55"/>
      <c r="U59" s="55"/>
      <c r="V59" s="55"/>
      <c r="W59" s="55"/>
    </row>
    <row r="60">
      <c r="A60" s="59" t="s">
        <v>4018</v>
      </c>
      <c r="B60" s="201" t="s">
        <v>4019</v>
      </c>
      <c r="C60" s="59" t="s">
        <v>4020</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7" t="s">
        <v>4021</v>
      </c>
      <c r="J60" s="203" t="s">
        <v>4022</v>
      </c>
      <c r="K60" s="55"/>
      <c r="L60" s="55"/>
      <c r="M60" s="55"/>
      <c r="N60" s="55"/>
      <c r="O60" s="55"/>
      <c r="P60" s="55"/>
      <c r="Q60" s="55"/>
      <c r="R60" s="55"/>
      <c r="S60" s="55"/>
      <c r="T60" s="55"/>
      <c r="U60" s="55"/>
      <c r="V60" s="55"/>
      <c r="W60" s="55"/>
    </row>
    <row r="61">
      <c r="A61" s="59" t="s">
        <v>4023</v>
      </c>
      <c r="B61" s="201" t="s">
        <v>4024</v>
      </c>
      <c r="C61" s="59" t="s">
        <v>4025</v>
      </c>
      <c r="D61" s="201"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17" t="s">
        <v>4026</v>
      </c>
      <c r="J61" s="203" t="s">
        <v>4027</v>
      </c>
      <c r="K61" s="55"/>
      <c r="L61" s="55"/>
      <c r="M61" s="55"/>
      <c r="N61" s="55"/>
      <c r="O61" s="55"/>
      <c r="P61" s="55"/>
      <c r="Q61" s="55"/>
      <c r="R61" s="55"/>
      <c r="S61" s="55"/>
      <c r="T61" s="55"/>
      <c r="U61" s="55"/>
      <c r="V61" s="55"/>
      <c r="W61" s="55"/>
    </row>
    <row r="62">
      <c r="A62" s="59" t="s">
        <v>4028</v>
      </c>
      <c r="B62" s="201" t="s">
        <v>4029</v>
      </c>
      <c r="C62" s="59" t="s">
        <v>4030</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7" t="s">
        <v>4031</v>
      </c>
      <c r="J62" s="203" t="s">
        <v>4032</v>
      </c>
      <c r="K62" s="55"/>
      <c r="L62" s="55"/>
      <c r="M62" s="55"/>
      <c r="N62" s="55"/>
      <c r="O62" s="55"/>
      <c r="P62" s="55"/>
      <c r="Q62" s="55"/>
      <c r="R62" s="55"/>
      <c r="S62" s="55"/>
      <c r="T62" s="55"/>
      <c r="U62" s="55"/>
      <c r="V62" s="55"/>
      <c r="W62" s="55"/>
    </row>
    <row r="63">
      <c r="A63" s="59" t="s">
        <v>4033</v>
      </c>
      <c r="B63" s="201" t="s">
        <v>4034</v>
      </c>
      <c r="C63" s="59" t="s">
        <v>4035</v>
      </c>
      <c r="D63" s="201"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7" t="s">
        <v>4036</v>
      </c>
      <c r="J63" s="203" t="s">
        <v>4037</v>
      </c>
      <c r="K63" s="55"/>
      <c r="L63" s="55"/>
      <c r="M63" s="55"/>
      <c r="N63" s="55"/>
      <c r="O63" s="55"/>
      <c r="P63" s="55"/>
      <c r="Q63" s="55"/>
      <c r="R63" s="55"/>
      <c r="S63" s="55"/>
      <c r="T63" s="55"/>
      <c r="U63" s="55"/>
      <c r="V63" s="55"/>
      <c r="W63" s="55"/>
    </row>
    <row r="64">
      <c r="A64" s="59" t="s">
        <v>4038</v>
      </c>
      <c r="B64" s="201" t="s">
        <v>4039</v>
      </c>
      <c r="C64" s="59" t="s">
        <v>4040</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7" t="s">
        <v>4041</v>
      </c>
      <c r="J64" s="203" t="s">
        <v>4042</v>
      </c>
      <c r="K64" s="55"/>
      <c r="L64" s="55"/>
      <c r="M64" s="55"/>
      <c r="N64" s="55"/>
      <c r="O64" s="55"/>
      <c r="P64" s="55"/>
      <c r="Q64" s="55"/>
      <c r="R64" s="55"/>
      <c r="S64" s="55"/>
      <c r="T64" s="55"/>
      <c r="U64" s="55"/>
      <c r="V64" s="55"/>
      <c r="W64" s="55"/>
    </row>
    <row r="65">
      <c r="A65" s="59" t="s">
        <v>4043</v>
      </c>
      <c r="B65" s="201" t="s">
        <v>4044</v>
      </c>
      <c r="C65" s="59" t="s">
        <v>4045</v>
      </c>
      <c r="D65" s="201"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3" t="s">
        <v>4047</v>
      </c>
      <c r="K65" s="55"/>
      <c r="L65" s="55"/>
      <c r="M65" s="55"/>
      <c r="N65" s="55"/>
      <c r="O65" s="55"/>
      <c r="P65" s="55"/>
      <c r="Q65" s="55"/>
      <c r="R65" s="55"/>
      <c r="S65" s="55"/>
      <c r="T65" s="55"/>
      <c r="U65" s="55"/>
      <c r="V65" s="55"/>
      <c r="W65" s="55"/>
    </row>
    <row r="66">
      <c r="A66" s="59" t="s">
        <v>4048</v>
      </c>
      <c r="B66" s="201" t="str">
        <f>IFERROR(__xludf.DUMMYFUNCTION("GOOGLETRANSLATE(A66,""zh-tw"",""ja"")"),"Shift キーを押すと、歩行姿勢と走行姿勢を切り替えることができます。")</f>
        <v>Shift キーを押すと、歩行姿勢と走行姿勢を切り替えることができます。</v>
      </c>
      <c r="C66" s="59" t="s">
        <v>4049</v>
      </c>
      <c r="D66" s="201"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17" t="s">
        <v>4050</v>
      </c>
      <c r="J66" s="203" t="s">
        <v>4051</v>
      </c>
      <c r="K66" s="55"/>
      <c r="L66" s="55"/>
      <c r="M66" s="55"/>
      <c r="N66" s="55"/>
      <c r="O66" s="55"/>
      <c r="P66" s="55"/>
      <c r="Q66" s="55"/>
      <c r="R66" s="55"/>
      <c r="S66" s="55"/>
      <c r="T66" s="55"/>
      <c r="U66" s="55"/>
      <c r="V66" s="55"/>
      <c r="W66" s="55"/>
    </row>
    <row r="67">
      <c r="A67" s="59" t="s">
        <v>4052</v>
      </c>
      <c r="B67" s="201" t="s">
        <v>4053</v>
      </c>
      <c r="C67" s="59" t="s">
        <v>4054</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7" t="s">
        <v>4055</v>
      </c>
      <c r="J67" s="203" t="s">
        <v>4056</v>
      </c>
      <c r="K67" s="55"/>
      <c r="L67" s="55"/>
      <c r="M67" s="55"/>
      <c r="N67" s="55"/>
      <c r="O67" s="55"/>
      <c r="P67" s="55"/>
      <c r="Q67" s="55"/>
      <c r="R67" s="55"/>
      <c r="S67" s="55"/>
      <c r="T67" s="55"/>
      <c r="U67" s="55"/>
      <c r="V67" s="55"/>
      <c r="W67" s="55"/>
    </row>
    <row r="68">
      <c r="A68" s="59" t="s">
        <v>4057</v>
      </c>
      <c r="B68" s="201" t="s">
        <v>4058</v>
      </c>
      <c r="C68" s="59" t="s">
        <v>4059</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7" t="s">
        <v>4060</v>
      </c>
      <c r="J68" s="203" t="s">
        <v>4061</v>
      </c>
      <c r="K68" s="55"/>
      <c r="L68" s="55"/>
      <c r="M68" s="55"/>
      <c r="N68" s="55"/>
      <c r="O68" s="55"/>
      <c r="P68" s="55"/>
      <c r="Q68" s="55"/>
      <c r="R68" s="55"/>
      <c r="S68" s="55"/>
      <c r="T68" s="55"/>
      <c r="U68" s="55"/>
      <c r="V68" s="55"/>
      <c r="W68" s="55"/>
    </row>
    <row r="69">
      <c r="A69" s="59" t="s">
        <v>4062</v>
      </c>
      <c r="B69" s="201" t="s">
        <v>4063</v>
      </c>
      <c r="C69" s="59" t="s">
        <v>4064</v>
      </c>
      <c r="D69" s="201"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17" t="s">
        <v>4065</v>
      </c>
      <c r="J69" s="203" t="s">
        <v>4066</v>
      </c>
      <c r="K69" s="55"/>
      <c r="L69" s="55"/>
      <c r="M69" s="55"/>
      <c r="N69" s="55"/>
      <c r="O69" s="55"/>
      <c r="P69" s="55"/>
      <c r="Q69" s="55"/>
      <c r="R69" s="55"/>
      <c r="S69" s="55"/>
      <c r="T69" s="55"/>
      <c r="U69" s="55"/>
      <c r="V69" s="55"/>
      <c r="W69" s="55"/>
    </row>
    <row r="70">
      <c r="A70" s="59" t="s">
        <v>4067</v>
      </c>
      <c r="B70" s="201" t="s">
        <v>4068</v>
      </c>
      <c r="C70" s="59" t="s">
        <v>4069</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7" t="s">
        <v>4070</v>
      </c>
      <c r="J70" s="203" t="s">
        <v>4071</v>
      </c>
      <c r="K70" s="55"/>
      <c r="L70" s="55"/>
      <c r="M70" s="55"/>
      <c r="N70" s="55"/>
      <c r="O70" s="55"/>
      <c r="P70" s="55"/>
      <c r="Q70" s="55"/>
      <c r="R70" s="55"/>
      <c r="S70" s="55"/>
      <c r="T70" s="55"/>
      <c r="U70" s="55"/>
      <c r="V70" s="55"/>
      <c r="W70" s="55"/>
    </row>
    <row r="71">
      <c r="A71" s="59" t="s">
        <v>4072</v>
      </c>
      <c r="B71" s="201" t="s">
        <v>4073</v>
      </c>
      <c r="C71" s="59" t="s">
        <v>4074</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6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4075</v>
      </c>
      <c r="I71" s="117" t="s">
        <v>4076</v>
      </c>
      <c r="J71" s="203" t="s">
        <v>4077</v>
      </c>
      <c r="K71" s="55"/>
      <c r="L71" s="55"/>
      <c r="M71" s="55"/>
      <c r="N71" s="55"/>
      <c r="O71" s="55"/>
      <c r="P71" s="55"/>
      <c r="Q71" s="55"/>
      <c r="R71" s="55"/>
      <c r="S71" s="55"/>
      <c r="T71" s="55"/>
      <c r="U71" s="55"/>
      <c r="V71" s="55"/>
      <c r="W71" s="55"/>
    </row>
    <row r="72">
      <c r="A72" s="59" t="s">
        <v>4078</v>
      </c>
      <c r="B72" s="201" t="s">
        <v>4079</v>
      </c>
      <c r="C72" s="59" t="s">
        <v>4080</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4081</v>
      </c>
      <c r="I72" s="117" t="s">
        <v>4082</v>
      </c>
      <c r="J72" s="203" t="s">
        <v>4083</v>
      </c>
      <c r="K72" s="55"/>
      <c r="L72" s="55"/>
      <c r="M72" s="55"/>
      <c r="N72" s="55"/>
      <c r="O72" s="55"/>
      <c r="P72" s="55"/>
      <c r="Q72" s="55"/>
      <c r="R72" s="55"/>
      <c r="S72" s="55"/>
      <c r="T72" s="55"/>
      <c r="U72" s="55"/>
      <c r="V72" s="55"/>
      <c r="W72" s="55"/>
    </row>
    <row r="73">
      <c r="A73" s="59" t="s">
        <v>4084</v>
      </c>
      <c r="B73" s="201" t="s">
        <v>4085</v>
      </c>
      <c r="C73" s="59" t="s">
        <v>4086</v>
      </c>
      <c r="D73" s="201"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4087</v>
      </c>
      <c r="I73" s="117" t="s">
        <v>4088</v>
      </c>
      <c r="J73" s="203" t="s">
        <v>4089</v>
      </c>
      <c r="K73" s="55"/>
      <c r="L73" s="55"/>
      <c r="M73" s="55"/>
      <c r="N73" s="55"/>
      <c r="O73" s="55"/>
      <c r="P73" s="55"/>
      <c r="Q73" s="55"/>
      <c r="R73" s="55"/>
      <c r="S73" s="55"/>
      <c r="T73" s="55"/>
      <c r="U73" s="55"/>
      <c r="V73" s="55"/>
      <c r="W73" s="55"/>
    </row>
    <row r="74">
      <c r="A74" s="59" t="s">
        <v>4090</v>
      </c>
      <c r="B74" s="201" t="s">
        <v>4091</v>
      </c>
      <c r="C74" s="59" t="s">
        <v>4092</v>
      </c>
      <c r="D74" s="201"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4093</v>
      </c>
      <c r="I74" s="117" t="s">
        <v>4094</v>
      </c>
      <c r="J74" s="203" t="s">
        <v>4095</v>
      </c>
      <c r="K74" s="55"/>
      <c r="L74" s="55"/>
      <c r="M74" s="55"/>
      <c r="N74" s="55"/>
      <c r="O74" s="55"/>
      <c r="P74" s="55"/>
      <c r="Q74" s="55"/>
      <c r="R74" s="55"/>
      <c r="S74" s="55"/>
      <c r="T74" s="55"/>
      <c r="U74" s="55"/>
      <c r="V74" s="55"/>
      <c r="W74" s="55"/>
    </row>
    <row r="75">
      <c r="A75" s="59" t="s">
        <v>4096</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4098</v>
      </c>
      <c r="I75" s="117" t="s">
        <v>4099</v>
      </c>
      <c r="J75" s="203" t="s">
        <v>4100</v>
      </c>
      <c r="K75" s="55"/>
      <c r="L75" s="55"/>
      <c r="M75" s="55"/>
      <c r="N75" s="55"/>
      <c r="O75" s="55"/>
      <c r="P75" s="55"/>
      <c r="Q75" s="55"/>
      <c r="R75" s="55"/>
      <c r="S75" s="55"/>
      <c r="T75" s="55"/>
      <c r="U75" s="55"/>
      <c r="V75" s="55"/>
      <c r="W75" s="55"/>
    </row>
    <row r="76">
      <c r="A76" s="59" t="s">
        <v>4101</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1" t="s">
        <v>4103</v>
      </c>
      <c r="I76" s="117" t="s">
        <v>4104</v>
      </c>
      <c r="J76" s="203" t="s">
        <v>4105</v>
      </c>
      <c r="K76" s="55"/>
      <c r="L76" s="55"/>
      <c r="M76" s="55"/>
      <c r="N76" s="55"/>
      <c r="O76" s="55"/>
      <c r="P76" s="55"/>
      <c r="Q76" s="55"/>
      <c r="R76" s="55"/>
      <c r="S76" s="55"/>
      <c r="T76" s="55"/>
      <c r="U76" s="55"/>
      <c r="V76" s="55"/>
      <c r="W76" s="55"/>
    </row>
    <row r="77">
      <c r="A77" s="59" t="s">
        <v>4106</v>
      </c>
      <c r="B77" s="201"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7" t="s">
        <v>4108</v>
      </c>
      <c r="J77" s="203" t="s">
        <v>4109</v>
      </c>
      <c r="K77" s="55"/>
      <c r="L77" s="55"/>
      <c r="M77" s="55"/>
      <c r="N77" s="55"/>
      <c r="O77" s="55"/>
      <c r="P77" s="55"/>
      <c r="Q77" s="55"/>
      <c r="R77" s="55"/>
      <c r="S77" s="55"/>
      <c r="T77" s="55"/>
      <c r="U77" s="55"/>
      <c r="V77" s="55"/>
      <c r="W77" s="55"/>
    </row>
    <row r="78">
      <c r="A78" s="61" t="s">
        <v>4110</v>
      </c>
      <c r="B78" s="202" t="s">
        <v>4111</v>
      </c>
      <c r="C78" s="61" t="s">
        <v>4112</v>
      </c>
      <c r="D78" s="201" t="str">
        <f>IFERROR(__xludf.DUMMYFUNCTION("GOOGLETRANSLATE(A78,""zh-tw"",""zh"")"),"牛奶是最好的解辣饮品，能大幅缩短解除辣哭了的持续时间")</f>
        <v>牛奶是最好的解辣饮品，能大幅缩短解除辣哭了的持续时间</v>
      </c>
      <c r="E78" s="59" t="s">
        <v>4113</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4114</v>
      </c>
      <c r="I78" s="117" t="s">
        <v>4115</v>
      </c>
      <c r="J78" s="203" t="s">
        <v>4116</v>
      </c>
      <c r="K78" s="55"/>
      <c r="L78" s="55"/>
      <c r="M78" s="55"/>
      <c r="N78" s="55"/>
      <c r="O78" s="55"/>
      <c r="P78" s="55"/>
      <c r="Q78" s="55"/>
      <c r="R78" s="55"/>
      <c r="S78" s="55"/>
      <c r="T78" s="55"/>
      <c r="U78" s="55"/>
      <c r="V78" s="55"/>
      <c r="W78" s="55"/>
    </row>
    <row r="79">
      <c r="A79" s="61" t="s">
        <v>4117</v>
      </c>
      <c r="B79" s="202" t="s">
        <v>4118</v>
      </c>
      <c r="C79" s="61" t="s">
        <v>4119</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2"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2" t="s">
        <v>4121</v>
      </c>
      <c r="I79" s="117" t="s">
        <v>4122</v>
      </c>
      <c r="J79" s="203" t="s">
        <v>4123</v>
      </c>
      <c r="K79" s="55"/>
      <c r="L79" s="55"/>
      <c r="M79" s="55"/>
      <c r="N79" s="55"/>
      <c r="O79" s="55"/>
      <c r="P79" s="55"/>
      <c r="Q79" s="55"/>
      <c r="R79" s="55"/>
      <c r="S79" s="55"/>
      <c r="T79" s="55"/>
      <c r="U79" s="55"/>
      <c r="V79" s="55"/>
      <c r="W79" s="55"/>
    </row>
    <row r="80">
      <c r="A80" s="61" t="s">
        <v>4124</v>
      </c>
      <c r="B80" s="202" t="s">
        <v>4125</v>
      </c>
      <c r="C80" s="61" t="s">
        <v>4126</v>
      </c>
      <c r="D80" s="201" t="str">
        <f>IFERROR(__xludf.DUMMYFUNCTION("GOOGLETRANSLATE(A80,""zh-tw"",""zh"")"),"ASABA通常会出现在路边的草莓丛中")</f>
        <v>ASABA通常会出现在路边的草莓丛中</v>
      </c>
      <c r="E80" s="59" t="s">
        <v>4127</v>
      </c>
      <c r="F80" s="202"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2" t="s">
        <v>4128</v>
      </c>
      <c r="I80" s="117" t="s">
        <v>4129</v>
      </c>
      <c r="J80" s="203" t="s">
        <v>4130</v>
      </c>
      <c r="K80" s="55"/>
      <c r="L80" s="55"/>
      <c r="M80" s="55"/>
      <c r="N80" s="55"/>
      <c r="O80" s="55"/>
      <c r="P80" s="55"/>
      <c r="Q80" s="55"/>
      <c r="R80" s="55"/>
      <c r="S80" s="55"/>
      <c r="T80" s="55"/>
      <c r="U80" s="55"/>
      <c r="V80" s="55"/>
      <c r="W80" s="55"/>
    </row>
    <row r="81">
      <c r="A81" s="61" t="s">
        <v>4131</v>
      </c>
      <c r="B81" s="202" t="s">
        <v>4132</v>
      </c>
      <c r="C81" s="61" t="s">
        <v>4133</v>
      </c>
      <c r="D81" s="201" t="str">
        <f>IFERROR(__xludf.DUMMYFUNCTION("GOOGLETRANSLATE(A81,""zh-tw"",""zh"")"),"""草莓""食材，目前无实际用途，等待未来更新")</f>
        <v>"草莓"食材，目前无实际用途，等待未来更新</v>
      </c>
      <c r="E81" s="59" t="s">
        <v>4134</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4135</v>
      </c>
      <c r="I81" s="117" t="s">
        <v>4136</v>
      </c>
      <c r="J81" s="203" t="s">
        <v>4137</v>
      </c>
      <c r="K81" s="55"/>
      <c r="L81" s="55"/>
      <c r="M81" s="55"/>
      <c r="N81" s="55"/>
      <c r="O81" s="55"/>
      <c r="P81" s="55"/>
      <c r="Q81" s="55"/>
      <c r="R81" s="55"/>
      <c r="S81" s="55"/>
      <c r="T81" s="55"/>
      <c r="U81" s="55"/>
      <c r="V81" s="55"/>
      <c r="W81" s="55"/>
    </row>
    <row r="82">
      <c r="A82" s="59" t="s">
        <v>4138</v>
      </c>
      <c r="B82" s="201" t="s">
        <v>4139</v>
      </c>
      <c r="C82" s="59" t="s">
        <v>4140</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4142</v>
      </c>
      <c r="I82" s="56" t="s">
        <v>4143</v>
      </c>
      <c r="J82" s="203" t="s">
        <v>4144</v>
      </c>
      <c r="K82" s="55"/>
      <c r="L82" s="55"/>
      <c r="M82" s="55"/>
      <c r="N82" s="55"/>
      <c r="O82" s="55"/>
      <c r="P82" s="55"/>
      <c r="Q82" s="55"/>
      <c r="R82" s="55"/>
      <c r="S82" s="55"/>
      <c r="T82" s="55"/>
      <c r="U82" s="55"/>
      <c r="V82" s="55"/>
      <c r="W82" s="55"/>
    </row>
    <row r="83">
      <c r="A83" s="59" t="s">
        <v>4145</v>
      </c>
      <c r="B83" s="201" t="s">
        <v>4146</v>
      </c>
      <c r="C83" s="59" t="s">
        <v>4147</v>
      </c>
      <c r="D83" s="201"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2"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1" t="s">
        <v>4149</v>
      </c>
      <c r="I83" s="56" t="s">
        <v>4150</v>
      </c>
      <c r="J83" s="203" t="s">
        <v>4151</v>
      </c>
      <c r="K83" s="55"/>
      <c r="L83" s="55"/>
      <c r="M83" s="55"/>
      <c r="N83" s="55"/>
      <c r="O83" s="55"/>
      <c r="P83" s="55"/>
      <c r="Q83" s="55"/>
      <c r="R83" s="55"/>
      <c r="S83" s="55"/>
      <c r="T83" s="55"/>
      <c r="U83" s="55"/>
      <c r="V83" s="55"/>
      <c r="W83" s="55"/>
    </row>
    <row r="84" ht="53.25" customHeight="1">
      <c r="A84" s="61" t="s">
        <v>4152</v>
      </c>
      <c r="B84" s="20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1"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2"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2" t="s">
        <v>4154</v>
      </c>
      <c r="I84" s="117" t="s">
        <v>4155</v>
      </c>
      <c r="J84" s="203" t="s">
        <v>4156</v>
      </c>
      <c r="K84" s="55"/>
      <c r="L84" s="55"/>
      <c r="M84" s="55"/>
      <c r="N84" s="55"/>
      <c r="O84" s="55"/>
      <c r="P84" s="55"/>
      <c r="Q84" s="55"/>
      <c r="R84" s="55"/>
      <c r="S84" s="55"/>
      <c r="T84" s="55"/>
      <c r="U84" s="55"/>
      <c r="V84" s="55"/>
      <c r="W84" s="55"/>
    </row>
    <row r="85">
      <c r="A85" s="59" t="s">
        <v>4157</v>
      </c>
      <c r="B85" s="201"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1"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2"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1" t="s">
        <v>4159</v>
      </c>
      <c r="I85" s="117" t="s">
        <v>4160</v>
      </c>
      <c r="J85" s="203" t="s">
        <v>4161</v>
      </c>
      <c r="K85" s="55"/>
      <c r="L85" s="55"/>
      <c r="M85" s="55"/>
      <c r="N85" s="55"/>
      <c r="O85" s="55"/>
      <c r="P85" s="55"/>
      <c r="Q85" s="55"/>
      <c r="R85" s="55"/>
      <c r="S85" s="55"/>
      <c r="T85" s="55"/>
      <c r="U85" s="55"/>
      <c r="V85" s="55"/>
      <c r="W85" s="55"/>
    </row>
    <row r="86">
      <c r="A86" s="61" t="s">
        <v>4162</v>
      </c>
      <c r="B86" s="201"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1" t="s">
        <v>4163</v>
      </c>
      <c r="D86" s="201"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2"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2" t="s">
        <v>4164</v>
      </c>
      <c r="I86" s="117" t="s">
        <v>4165</v>
      </c>
      <c r="J86" s="203" t="s">
        <v>4166</v>
      </c>
      <c r="K86" s="55"/>
      <c r="L86" s="55"/>
      <c r="M86" s="55"/>
      <c r="N86" s="55"/>
      <c r="O86" s="55"/>
      <c r="P86" s="55"/>
      <c r="Q86" s="55"/>
      <c r="R86" s="55"/>
      <c r="S86" s="55"/>
      <c r="T86" s="55"/>
      <c r="U86" s="55"/>
      <c r="V86" s="55"/>
      <c r="W86" s="55"/>
    </row>
    <row r="87">
      <c r="A87" s="61" t="s">
        <v>4167</v>
      </c>
      <c r="B87" s="202" t="s">
        <v>4168</v>
      </c>
      <c r="C87" s="61" t="s">
        <v>4169</v>
      </c>
      <c r="D87" s="201"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2"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2" t="s">
        <v>4171</v>
      </c>
      <c r="I87" s="117" t="s">
        <v>4172</v>
      </c>
      <c r="J87" s="203" t="s">
        <v>4173</v>
      </c>
      <c r="K87" s="55"/>
      <c r="L87" s="55"/>
      <c r="M87" s="55"/>
      <c r="N87" s="55"/>
      <c r="O87" s="55"/>
      <c r="P87" s="55"/>
      <c r="Q87" s="55"/>
      <c r="R87" s="55"/>
      <c r="S87" s="55"/>
      <c r="T87" s="55"/>
      <c r="U87" s="55"/>
      <c r="V87" s="55"/>
      <c r="W87" s="55"/>
    </row>
    <row r="88">
      <c r="A88" s="59" t="s">
        <v>4174</v>
      </c>
      <c r="B88" s="201"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1"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2"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6" t="s">
        <v>4176</v>
      </c>
      <c r="I88" s="117" t="s">
        <v>4177</v>
      </c>
      <c r="J88" s="203" t="s">
        <v>4178</v>
      </c>
      <c r="K88" s="55"/>
      <c r="L88" s="55"/>
      <c r="M88" s="55"/>
      <c r="N88" s="55"/>
      <c r="O88" s="55"/>
      <c r="P88" s="55"/>
      <c r="Q88" s="55"/>
      <c r="R88" s="55"/>
      <c r="S88" s="55"/>
      <c r="T88" s="55"/>
      <c r="U88" s="55"/>
      <c r="V88" s="55"/>
      <c r="W88" s="55"/>
    </row>
    <row r="89">
      <c r="A89" s="61" t="s">
        <v>4179</v>
      </c>
      <c r="B89" s="202" t="s">
        <v>4180</v>
      </c>
      <c r="C89" s="61" t="s">
        <v>4181</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4182</v>
      </c>
      <c r="I89" s="117" t="s">
        <v>4183</v>
      </c>
      <c r="J89" s="203" t="s">
        <v>4184</v>
      </c>
      <c r="K89" s="55"/>
      <c r="L89" s="55"/>
      <c r="M89" s="55"/>
      <c r="N89" s="55"/>
      <c r="O89" s="55"/>
      <c r="P89" s="55"/>
      <c r="Q89" s="55"/>
      <c r="R89" s="55"/>
      <c r="S89" s="55"/>
      <c r="T89" s="55"/>
      <c r="U89" s="55"/>
      <c r="V89" s="55"/>
      <c r="W89" s="55"/>
    </row>
    <row r="90">
      <c r="A90" s="61" t="s">
        <v>4185</v>
      </c>
      <c r="B90" s="202" t="s">
        <v>4186</v>
      </c>
      <c r="C90" s="61" t="s">
        <v>4187</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4188</v>
      </c>
      <c r="I90" s="117" t="s">
        <v>4189</v>
      </c>
      <c r="J90" s="203" t="s">
        <v>4190</v>
      </c>
      <c r="K90" s="55"/>
      <c r="L90" s="55"/>
      <c r="M90" s="55"/>
      <c r="N90" s="55"/>
      <c r="O90" s="55"/>
      <c r="P90" s="55"/>
      <c r="Q90" s="55"/>
      <c r="R90" s="55"/>
      <c r="S90" s="55"/>
      <c r="T90" s="55"/>
      <c r="U90" s="55"/>
      <c r="V90" s="55"/>
      <c r="W90" s="55"/>
    </row>
    <row r="91">
      <c r="A91" s="59" t="s">
        <v>4191</v>
      </c>
      <c r="B91" s="201" t="s">
        <v>4192</v>
      </c>
      <c r="C91" s="59" t="s">
        <v>4193</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7" t="s">
        <v>4194</v>
      </c>
      <c r="J91" s="203" t="s">
        <v>4195</v>
      </c>
      <c r="K91" s="55"/>
      <c r="L91" s="55"/>
      <c r="M91" s="55"/>
      <c r="N91" s="55"/>
      <c r="O91" s="55"/>
      <c r="P91" s="55"/>
      <c r="Q91" s="55"/>
      <c r="R91" s="55"/>
      <c r="S91" s="55"/>
      <c r="T91" s="55"/>
      <c r="U91" s="55"/>
      <c r="V91" s="55"/>
      <c r="W91" s="55"/>
    </row>
    <row r="92">
      <c r="A92" s="61" t="s">
        <v>4196</v>
      </c>
      <c r="B92" s="202" t="s">
        <v>4197</v>
      </c>
      <c r="C92" s="61" t="s">
        <v>4198</v>
      </c>
      <c r="D92" s="201"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4199</v>
      </c>
      <c r="I92" s="117" t="s">
        <v>4200</v>
      </c>
      <c r="J92" s="203" t="s">
        <v>4201</v>
      </c>
      <c r="K92" s="55"/>
      <c r="L92" s="55"/>
      <c r="M92" s="55"/>
      <c r="N92" s="55"/>
      <c r="O92" s="55"/>
      <c r="P92" s="55"/>
      <c r="Q92" s="55"/>
      <c r="R92" s="55"/>
      <c r="S92" s="55"/>
      <c r="T92" s="55"/>
      <c r="U92" s="55"/>
      <c r="V92" s="55"/>
      <c r="W92" s="55"/>
    </row>
    <row r="93">
      <c r="A93" s="59" t="s">
        <v>4202</v>
      </c>
      <c r="B93" s="201" t="s">
        <v>4203</v>
      </c>
      <c r="C93" s="59" t="s">
        <v>4204</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4205</v>
      </c>
      <c r="I93" s="117" t="s">
        <v>4206</v>
      </c>
      <c r="J93" s="203" t="s">
        <v>4207</v>
      </c>
      <c r="K93" s="55"/>
      <c r="L93" s="55"/>
      <c r="M93" s="55"/>
      <c r="N93" s="55"/>
      <c r="O93" s="55"/>
      <c r="P93" s="55"/>
      <c r="Q93" s="55"/>
      <c r="R93" s="55"/>
      <c r="S93" s="55"/>
      <c r="T93" s="55"/>
      <c r="U93" s="55"/>
      <c r="V93" s="55"/>
      <c r="W93" s="55"/>
    </row>
    <row r="94">
      <c r="A94" s="61" t="s">
        <v>4208</v>
      </c>
      <c r="B94" s="201" t="s">
        <v>4209</v>
      </c>
      <c r="C94" s="61" t="s">
        <v>4210</v>
      </c>
      <c r="D94" s="201"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4211</v>
      </c>
      <c r="I94" s="117" t="s">
        <v>4212</v>
      </c>
      <c r="J94" s="203" t="s">
        <v>4213</v>
      </c>
      <c r="K94" s="55"/>
      <c r="L94" s="55"/>
      <c r="M94" s="55"/>
      <c r="N94" s="55"/>
      <c r="O94" s="55"/>
      <c r="P94" s="55"/>
      <c r="Q94" s="55"/>
      <c r="R94" s="55"/>
      <c r="S94" s="55"/>
      <c r="T94" s="55"/>
      <c r="U94" s="55"/>
      <c r="V94" s="55"/>
      <c r="W94" s="55"/>
    </row>
    <row r="95">
      <c r="A95" s="61" t="s">
        <v>4214</v>
      </c>
      <c r="B95" s="202" t="s">
        <v>4215</v>
      </c>
      <c r="C95" s="61" t="s">
        <v>4216</v>
      </c>
      <c r="D95" s="201"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4217</v>
      </c>
      <c r="I95" s="117" t="s">
        <v>4218</v>
      </c>
      <c r="J95" s="203" t="s">
        <v>4219</v>
      </c>
      <c r="K95" s="55"/>
      <c r="L95" s="55"/>
      <c r="M95" s="55"/>
      <c r="N95" s="55"/>
      <c r="O95" s="55"/>
      <c r="P95" s="55"/>
      <c r="Q95" s="55"/>
      <c r="R95" s="55"/>
      <c r="S95" s="55"/>
      <c r="T95" s="55"/>
      <c r="U95" s="55"/>
      <c r="V95" s="55"/>
      <c r="W95" s="55"/>
    </row>
    <row r="96">
      <c r="A96" s="61" t="s">
        <v>4220</v>
      </c>
      <c r="B96" s="202" t="s">
        <v>4221</v>
      </c>
      <c r="C96" s="61" t="s">
        <v>4222</v>
      </c>
      <c r="D96" s="201"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2" t="s">
        <v>4223</v>
      </c>
      <c r="I96" s="117" t="s">
        <v>4224</v>
      </c>
      <c r="J96" s="203" t="s">
        <v>4225</v>
      </c>
      <c r="K96" s="55"/>
      <c r="L96" s="55"/>
      <c r="M96" s="55"/>
      <c r="N96" s="55"/>
      <c r="O96" s="55"/>
      <c r="P96" s="55"/>
      <c r="Q96" s="55"/>
      <c r="R96" s="55"/>
      <c r="S96" s="55"/>
      <c r="T96" s="55"/>
      <c r="U96" s="55"/>
      <c r="V96" s="55"/>
      <c r="W96" s="55"/>
    </row>
    <row r="97">
      <c r="A97" s="59" t="s">
        <v>4226</v>
      </c>
      <c r="B97" s="202" t="s">
        <v>4227</v>
      </c>
      <c r="C97" s="61" t="s">
        <v>4228</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2" t="s">
        <v>4229</v>
      </c>
      <c r="I97" s="117" t="s">
        <v>4230</v>
      </c>
      <c r="J97" s="203" t="s">
        <v>4231</v>
      </c>
      <c r="K97" s="55"/>
      <c r="L97" s="55"/>
      <c r="M97" s="55"/>
      <c r="N97" s="55"/>
      <c r="O97" s="55"/>
      <c r="P97" s="55"/>
      <c r="Q97" s="55"/>
      <c r="R97" s="55"/>
      <c r="S97" s="55"/>
      <c r="T97" s="55"/>
      <c r="U97" s="55"/>
      <c r="V97" s="55"/>
      <c r="W97" s="55"/>
    </row>
    <row r="98">
      <c r="A98" s="59" t="s">
        <v>4232</v>
      </c>
      <c r="B98" s="202" t="s">
        <v>4233</v>
      </c>
      <c r="C98" s="61" t="s">
        <v>4234</v>
      </c>
      <c r="D98" s="201"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4235</v>
      </c>
      <c r="I98" s="117" t="s">
        <v>4236</v>
      </c>
      <c r="J98" s="203" t="s">
        <v>4237</v>
      </c>
      <c r="K98" s="55"/>
      <c r="L98" s="55"/>
      <c r="M98" s="55"/>
      <c r="N98" s="55"/>
      <c r="O98" s="55"/>
      <c r="P98" s="55"/>
      <c r="Q98" s="55"/>
      <c r="R98" s="55"/>
      <c r="S98" s="55"/>
      <c r="T98" s="55"/>
      <c r="U98" s="55"/>
      <c r="V98" s="55"/>
      <c r="W98" s="55"/>
    </row>
    <row r="99">
      <c r="A99" s="59" t="s">
        <v>4238</v>
      </c>
      <c r="B99" s="202" t="s">
        <v>4239</v>
      </c>
      <c r="C99" s="61" t="s">
        <v>4240</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4241</v>
      </c>
      <c r="I99" s="117" t="s">
        <v>4242</v>
      </c>
      <c r="J99" s="203" t="s">
        <v>4243</v>
      </c>
      <c r="K99" s="55"/>
      <c r="L99" s="55"/>
      <c r="M99" s="55"/>
      <c r="N99" s="55"/>
      <c r="O99" s="55"/>
      <c r="P99" s="55"/>
      <c r="Q99" s="55"/>
      <c r="R99" s="55"/>
      <c r="S99" s="55"/>
      <c r="T99" s="55"/>
      <c r="U99" s="55"/>
      <c r="V99" s="55"/>
      <c r="W99" s="55"/>
    </row>
    <row r="100">
      <c r="A100" s="59" t="s">
        <v>4244</v>
      </c>
      <c r="B100" s="201" t="s">
        <v>4245</v>
      </c>
      <c r="C100" s="59" t="s">
        <v>4246</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4247</v>
      </c>
      <c r="I100" s="56" t="s">
        <v>4248</v>
      </c>
      <c r="J100" s="203" t="s">
        <v>4249</v>
      </c>
      <c r="K100" s="55"/>
      <c r="L100" s="55"/>
      <c r="M100" s="55"/>
      <c r="N100" s="55"/>
      <c r="O100" s="55"/>
      <c r="P100" s="55"/>
      <c r="Q100" s="55"/>
      <c r="R100" s="55"/>
      <c r="S100" s="55"/>
      <c r="T100" s="55"/>
      <c r="U100" s="55"/>
      <c r="V100" s="55"/>
      <c r="W100" s="55"/>
    </row>
    <row r="101">
      <c r="A101" s="59" t="s">
        <v>4250</v>
      </c>
      <c r="B101" s="201" t="s">
        <v>4251</v>
      </c>
      <c r="C101" s="59" t="s">
        <v>4252</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1"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56" t="s">
        <v>4253</v>
      </c>
      <c r="J101" s="203" t="s">
        <v>4254</v>
      </c>
      <c r="K101" s="55"/>
      <c r="L101" s="55"/>
      <c r="M101" s="55"/>
      <c r="N101" s="55"/>
      <c r="O101" s="55"/>
      <c r="P101" s="55"/>
      <c r="Q101" s="55"/>
      <c r="R101" s="55"/>
      <c r="S101" s="55"/>
      <c r="T101" s="55"/>
      <c r="U101" s="55"/>
      <c r="V101" s="55"/>
      <c r="W101" s="55"/>
    </row>
    <row r="102">
      <c r="A102" s="59" t="s">
        <v>4255</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7" t="s">
        <v>4257</v>
      </c>
      <c r="J102" s="203" t="s">
        <v>4258</v>
      </c>
      <c r="K102" s="55"/>
      <c r="L102" s="55"/>
      <c r="M102" s="55"/>
      <c r="N102" s="55"/>
      <c r="O102" s="55"/>
      <c r="P102" s="55"/>
      <c r="Q102" s="55"/>
      <c r="R102" s="55"/>
      <c r="S102" s="55"/>
      <c r="T102" s="55"/>
      <c r="U102" s="55"/>
      <c r="V102" s="55"/>
      <c r="W102" s="55"/>
    </row>
    <row r="103">
      <c r="A103" s="59" t="s">
        <v>4259</v>
      </c>
      <c r="B103" s="201" t="s">
        <v>4260</v>
      </c>
      <c r="C103" s="59" t="s">
        <v>4261</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4262</v>
      </c>
      <c r="I103" s="117" t="s">
        <v>4263</v>
      </c>
      <c r="J103" s="203" t="s">
        <v>4264</v>
      </c>
      <c r="K103" s="55"/>
      <c r="L103" s="55"/>
      <c r="M103" s="55"/>
      <c r="N103" s="55"/>
      <c r="O103" s="55"/>
      <c r="P103" s="55"/>
      <c r="Q103" s="55"/>
      <c r="R103" s="55"/>
      <c r="S103" s="55"/>
      <c r="T103" s="55"/>
      <c r="U103" s="55"/>
      <c r="V103" s="55"/>
      <c r="W103" s="55"/>
    </row>
    <row r="104">
      <c r="A104" s="59" t="s">
        <v>4265</v>
      </c>
      <c r="B104" s="201" t="s">
        <v>4266</v>
      </c>
      <c r="C104" s="59" t="s">
        <v>4267</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1" t="s">
        <v>4268</v>
      </c>
      <c r="I104" s="117" t="s">
        <v>4269</v>
      </c>
      <c r="J104" s="203" t="s">
        <v>4270</v>
      </c>
      <c r="K104" s="55"/>
      <c r="L104" s="55"/>
      <c r="M104" s="55"/>
      <c r="N104" s="55"/>
      <c r="O104" s="55"/>
      <c r="P104" s="55"/>
      <c r="Q104" s="55"/>
      <c r="R104" s="55"/>
      <c r="S104" s="55"/>
      <c r="T104" s="55"/>
      <c r="U104" s="55"/>
      <c r="V104" s="55"/>
      <c r="W104" s="55"/>
    </row>
    <row r="105">
      <c r="A105" s="59" t="s">
        <v>4271</v>
      </c>
      <c r="B105" s="201" t="s">
        <v>4272</v>
      </c>
      <c r="C105" s="59" t="s">
        <v>4273</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4274</v>
      </c>
      <c r="I105" s="117" t="s">
        <v>4275</v>
      </c>
      <c r="J105" s="203" t="s">
        <v>4276</v>
      </c>
      <c r="K105" s="55"/>
      <c r="L105" s="55"/>
      <c r="M105" s="55"/>
      <c r="N105" s="55"/>
      <c r="O105" s="55"/>
      <c r="P105" s="55"/>
      <c r="Q105" s="55"/>
      <c r="R105" s="55"/>
      <c r="S105" s="55"/>
      <c r="T105" s="55"/>
      <c r="U105" s="55"/>
      <c r="V105" s="55"/>
      <c r="W105" s="55"/>
    </row>
    <row r="106">
      <c r="A106" s="59" t="s">
        <v>4277</v>
      </c>
      <c r="B106" s="201" t="s">
        <v>4278</v>
      </c>
      <c r="C106" s="59" t="s">
        <v>4279</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4280</v>
      </c>
      <c r="I106" s="56" t="s">
        <v>4281</v>
      </c>
      <c r="J106" s="203" t="s">
        <v>4282</v>
      </c>
      <c r="K106" s="55"/>
      <c r="L106" s="55"/>
      <c r="M106" s="55"/>
      <c r="N106" s="55"/>
      <c r="O106" s="55"/>
      <c r="P106" s="55"/>
      <c r="Q106" s="55"/>
      <c r="R106" s="55"/>
      <c r="S106" s="55"/>
      <c r="T106" s="55"/>
      <c r="U106" s="55"/>
      <c r="V106" s="55"/>
      <c r="W106" s="55"/>
    </row>
    <row r="107">
      <c r="A107" s="59" t="s">
        <v>4283</v>
      </c>
      <c r="B107" s="201" t="s">
        <v>4284</v>
      </c>
      <c r="C107" s="59" t="s">
        <v>4285</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1" t="s">
        <v>4286</v>
      </c>
      <c r="I107" s="117" t="s">
        <v>4287</v>
      </c>
      <c r="J107" s="203" t="s">
        <v>4288</v>
      </c>
      <c r="K107" s="55"/>
      <c r="L107" s="55"/>
      <c r="M107" s="55"/>
      <c r="N107" s="55"/>
      <c r="O107" s="55"/>
      <c r="P107" s="55"/>
      <c r="Q107" s="55"/>
      <c r="R107" s="55"/>
      <c r="S107" s="55"/>
      <c r="T107" s="55"/>
      <c r="U107" s="55"/>
      <c r="V107" s="55"/>
      <c r="W107" s="55"/>
    </row>
    <row r="108">
      <c r="A108" s="59" t="s">
        <v>4289</v>
      </c>
      <c r="B108" s="201" t="s">
        <v>4290</v>
      </c>
      <c r="C108" s="59" t="s">
        <v>4291</v>
      </c>
      <c r="D108" s="201"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4292</v>
      </c>
      <c r="I108" s="117" t="s">
        <v>4293</v>
      </c>
      <c r="J108" s="203" t="s">
        <v>4294</v>
      </c>
      <c r="K108" s="55"/>
      <c r="L108" s="55"/>
      <c r="M108" s="55"/>
      <c r="N108" s="55"/>
      <c r="O108" s="55"/>
      <c r="P108" s="55"/>
      <c r="Q108" s="55"/>
      <c r="R108" s="55"/>
      <c r="S108" s="55"/>
      <c r="T108" s="55"/>
      <c r="U108" s="55"/>
      <c r="V108" s="55"/>
      <c r="W108" s="55"/>
    </row>
    <row r="109">
      <c r="A109" s="59" t="s">
        <v>4295</v>
      </c>
      <c r="B109" s="201" t="s">
        <v>4296</v>
      </c>
      <c r="C109" s="59" t="s">
        <v>4297</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4298</v>
      </c>
      <c r="I109" s="117" t="s">
        <v>4299</v>
      </c>
      <c r="J109" s="203" t="s">
        <v>4300</v>
      </c>
      <c r="K109" s="55"/>
      <c r="L109" s="55"/>
      <c r="M109" s="55"/>
      <c r="N109" s="55"/>
      <c r="O109" s="55"/>
      <c r="P109" s="55"/>
      <c r="Q109" s="55"/>
      <c r="R109" s="55"/>
      <c r="S109" s="55"/>
      <c r="T109" s="55"/>
      <c r="U109" s="55"/>
      <c r="V109" s="55"/>
      <c r="W109" s="55"/>
    </row>
    <row r="110">
      <c r="A110" s="59" t="s">
        <v>4301</v>
      </c>
      <c r="B110" s="201" t="s">
        <v>4302</v>
      </c>
      <c r="C110" s="59" t="s">
        <v>4303</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4304</v>
      </c>
      <c r="I110" s="117" t="s">
        <v>4305</v>
      </c>
      <c r="J110" s="203" t="s">
        <v>4306</v>
      </c>
      <c r="K110" s="55"/>
      <c r="L110" s="55"/>
      <c r="M110" s="55"/>
      <c r="N110" s="55"/>
      <c r="O110" s="55"/>
      <c r="P110" s="55"/>
      <c r="Q110" s="55"/>
      <c r="R110" s="55"/>
      <c r="S110" s="55"/>
      <c r="T110" s="55"/>
      <c r="U110" s="55"/>
      <c r="V110" s="55"/>
      <c r="W110" s="55"/>
    </row>
    <row r="111">
      <c r="A111" s="59" t="s">
        <v>4307</v>
      </c>
      <c r="B111" s="201" t="s">
        <v>4308</v>
      </c>
      <c r="C111" s="59" t="s">
        <v>4309</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1"/>
      <c r="I111" s="59" t="s">
        <v>4310</v>
      </c>
      <c r="J111" s="203" t="s">
        <v>4311</v>
      </c>
      <c r="K111" s="55"/>
      <c r="L111" s="55"/>
      <c r="M111" s="55"/>
      <c r="N111" s="55"/>
      <c r="O111" s="55"/>
      <c r="P111" s="55"/>
      <c r="Q111" s="55"/>
      <c r="R111" s="55"/>
      <c r="S111" s="55"/>
      <c r="T111" s="55"/>
      <c r="U111" s="55"/>
      <c r="V111" s="55"/>
      <c r="W111" s="55"/>
    </row>
    <row r="112">
      <c r="A112" s="61"/>
      <c r="B112" s="202"/>
      <c r="C112" s="61"/>
      <c r="D112" s="202"/>
      <c r="E112" s="61"/>
      <c r="F112" s="202"/>
      <c r="G112" s="61"/>
      <c r="H112" s="202"/>
      <c r="I112" s="18"/>
      <c r="J112" s="203" t="s">
        <v>4312</v>
      </c>
      <c r="K112" s="55"/>
      <c r="L112" s="55"/>
      <c r="M112" s="55"/>
      <c r="N112" s="55"/>
      <c r="O112" s="55"/>
      <c r="P112" s="55"/>
      <c r="Q112" s="55"/>
      <c r="R112" s="55"/>
      <c r="S112" s="55"/>
      <c r="T112" s="55"/>
      <c r="U112" s="55"/>
      <c r="V112" s="55"/>
      <c r="W112" s="55"/>
    </row>
    <row r="113">
      <c r="A113" s="61"/>
      <c r="B113" s="202"/>
      <c r="C113" s="61"/>
      <c r="D113" s="202"/>
      <c r="E113" s="61"/>
      <c r="F113" s="202"/>
      <c r="G113" s="61"/>
      <c r="H113" s="202"/>
      <c r="I113" s="18"/>
      <c r="J113" s="203" t="s">
        <v>4313</v>
      </c>
      <c r="K113" s="55"/>
      <c r="L113" s="55"/>
      <c r="M113" s="55"/>
      <c r="N113" s="55"/>
      <c r="O113" s="55"/>
      <c r="P113" s="55"/>
      <c r="Q113" s="55"/>
      <c r="R113" s="55"/>
      <c r="S113" s="55"/>
      <c r="T113" s="55"/>
      <c r="U113" s="55"/>
      <c r="V113" s="55"/>
      <c r="W113" s="55"/>
    </row>
    <row r="114">
      <c r="A114" s="61"/>
      <c r="B114" s="202"/>
      <c r="C114" s="61"/>
      <c r="D114" s="202"/>
      <c r="E114" s="61"/>
      <c r="F114" s="202"/>
      <c r="G114" s="61"/>
      <c r="H114" s="202"/>
      <c r="I114" s="18"/>
      <c r="J114" s="202"/>
      <c r="K114" s="55"/>
      <c r="L114" s="55"/>
      <c r="M114" s="55"/>
      <c r="N114" s="55"/>
      <c r="O114" s="55"/>
      <c r="P114" s="55"/>
      <c r="Q114" s="55"/>
      <c r="R114" s="55"/>
      <c r="S114" s="55"/>
      <c r="T114" s="55"/>
      <c r="U114" s="55"/>
      <c r="V114" s="55"/>
      <c r="W114" s="55"/>
    </row>
    <row r="115">
      <c r="A115" s="61"/>
      <c r="B115" s="202"/>
      <c r="C115" s="61"/>
      <c r="D115" s="202"/>
      <c r="E115" s="61"/>
      <c r="F115" s="202"/>
      <c r="G115" s="61"/>
      <c r="H115" s="202"/>
      <c r="I115" s="18"/>
      <c r="J115" s="202"/>
      <c r="K115" s="55"/>
      <c r="L115" s="55"/>
      <c r="M115" s="55"/>
      <c r="N115" s="55"/>
      <c r="O115" s="55"/>
      <c r="P115" s="55"/>
      <c r="Q115" s="55"/>
      <c r="R115" s="55"/>
      <c r="S115" s="55"/>
      <c r="T115" s="55"/>
      <c r="U115" s="55"/>
      <c r="V115" s="55"/>
      <c r="W115" s="55"/>
    </row>
    <row r="116">
      <c r="A116" s="61"/>
      <c r="B116" s="202"/>
      <c r="C116" s="61"/>
      <c r="D116" s="202"/>
      <c r="E116" s="61"/>
      <c r="F116" s="202"/>
      <c r="G116" s="61"/>
      <c r="H116" s="202"/>
      <c r="I116" s="18"/>
      <c r="J116" s="202"/>
      <c r="K116" s="55"/>
      <c r="L116" s="55"/>
      <c r="M116" s="55"/>
      <c r="N116" s="55"/>
      <c r="O116" s="55"/>
      <c r="P116" s="55"/>
      <c r="Q116" s="55"/>
      <c r="R116" s="55"/>
      <c r="S116" s="55"/>
      <c r="T116" s="55"/>
      <c r="U116" s="55"/>
      <c r="V116" s="55"/>
      <c r="W116" s="55"/>
    </row>
    <row r="117">
      <c r="A117" s="61"/>
      <c r="B117" s="202"/>
      <c r="C117" s="61"/>
      <c r="D117" s="202"/>
      <c r="E117" s="61"/>
      <c r="F117" s="202"/>
      <c r="G117" s="61"/>
      <c r="H117" s="202"/>
      <c r="I117" s="18"/>
      <c r="J117" s="202"/>
      <c r="K117" s="55"/>
      <c r="L117" s="55"/>
      <c r="M117" s="55"/>
      <c r="N117" s="55"/>
      <c r="O117" s="55"/>
      <c r="P117" s="55"/>
      <c r="Q117" s="55"/>
      <c r="R117" s="55"/>
      <c r="S117" s="55"/>
      <c r="T117" s="55"/>
      <c r="U117" s="55"/>
      <c r="V117" s="55"/>
      <c r="W117" s="55"/>
    </row>
    <row r="118">
      <c r="A118" s="61"/>
      <c r="B118" s="202"/>
      <c r="C118" s="61"/>
      <c r="D118" s="202"/>
      <c r="E118" s="61"/>
      <c r="F118" s="202"/>
      <c r="G118" s="61"/>
      <c r="H118" s="202"/>
      <c r="I118" s="18"/>
      <c r="J118" s="202"/>
      <c r="K118" s="55"/>
      <c r="L118" s="55"/>
      <c r="M118" s="55"/>
      <c r="N118" s="55"/>
      <c r="O118" s="55"/>
      <c r="P118" s="55"/>
      <c r="Q118" s="55"/>
      <c r="R118" s="55"/>
      <c r="S118" s="55"/>
      <c r="T118" s="55"/>
      <c r="U118" s="55"/>
      <c r="V118" s="55"/>
      <c r="W118" s="55"/>
    </row>
    <row r="119">
      <c r="A119" s="61"/>
      <c r="B119" s="202"/>
      <c r="C119" s="61"/>
      <c r="D119" s="202"/>
      <c r="E119" s="61"/>
      <c r="F119" s="202"/>
      <c r="G119" s="61"/>
      <c r="H119" s="202"/>
      <c r="I119" s="18"/>
      <c r="J119" s="202"/>
      <c r="K119" s="55"/>
      <c r="L119" s="55"/>
      <c r="M119" s="55"/>
      <c r="N119" s="55"/>
      <c r="O119" s="55"/>
      <c r="P119" s="55"/>
      <c r="Q119" s="55"/>
      <c r="R119" s="55"/>
      <c r="S119" s="55"/>
      <c r="T119" s="55"/>
      <c r="U119" s="55"/>
      <c r="V119" s="55"/>
      <c r="W119" s="55"/>
    </row>
    <row r="120">
      <c r="A120" s="61"/>
      <c r="B120" s="202"/>
      <c r="C120" s="61"/>
      <c r="D120" s="202"/>
      <c r="E120" s="61"/>
      <c r="F120" s="202"/>
      <c r="G120" s="61"/>
      <c r="H120" s="202"/>
      <c r="I120" s="18"/>
      <c r="J120" s="202"/>
      <c r="K120" s="55"/>
      <c r="L120" s="55"/>
      <c r="M120" s="55"/>
      <c r="N120" s="55"/>
      <c r="O120" s="55"/>
      <c r="P120" s="55"/>
      <c r="Q120" s="55"/>
      <c r="R120" s="55"/>
      <c r="S120" s="55"/>
      <c r="T120" s="55"/>
      <c r="U120" s="55"/>
      <c r="V120" s="55"/>
      <c r="W120" s="55"/>
    </row>
    <row r="121">
      <c r="A121" s="61"/>
      <c r="B121" s="202"/>
      <c r="C121" s="61"/>
      <c r="D121" s="202"/>
      <c r="E121" s="61"/>
      <c r="F121" s="202"/>
      <c r="G121" s="61"/>
      <c r="H121" s="202"/>
      <c r="I121" s="18"/>
      <c r="J121" s="202"/>
      <c r="K121" s="55"/>
      <c r="L121" s="55"/>
      <c r="M121" s="55"/>
      <c r="N121" s="55"/>
      <c r="O121" s="55"/>
      <c r="P121" s="55"/>
      <c r="Q121" s="55"/>
      <c r="R121" s="55"/>
      <c r="S121" s="55"/>
      <c r="T121" s="55"/>
      <c r="U121" s="55"/>
      <c r="V121" s="55"/>
      <c r="W121" s="55"/>
    </row>
    <row r="122">
      <c r="A122" s="61"/>
      <c r="B122" s="202"/>
      <c r="C122" s="61"/>
      <c r="D122" s="202"/>
      <c r="E122" s="61"/>
      <c r="F122" s="202"/>
      <c r="G122" s="61"/>
      <c r="H122" s="202"/>
      <c r="I122" s="18"/>
      <c r="J122" s="202"/>
      <c r="K122" s="55"/>
      <c r="L122" s="55"/>
      <c r="M122" s="55"/>
      <c r="N122" s="55"/>
      <c r="O122" s="55"/>
      <c r="P122" s="55"/>
      <c r="Q122" s="55"/>
      <c r="R122" s="55"/>
      <c r="S122" s="55"/>
      <c r="T122" s="55"/>
      <c r="U122" s="55"/>
      <c r="V122" s="55"/>
      <c r="W122" s="55"/>
    </row>
    <row r="123">
      <c r="A123" s="61"/>
      <c r="B123" s="202"/>
      <c r="C123" s="61"/>
      <c r="D123" s="202"/>
      <c r="E123" s="61"/>
      <c r="F123" s="202"/>
      <c r="G123" s="61"/>
      <c r="H123" s="202"/>
      <c r="I123" s="18"/>
      <c r="J123" s="202"/>
      <c r="K123" s="55"/>
      <c r="L123" s="55"/>
      <c r="M123" s="55"/>
      <c r="N123" s="55"/>
      <c r="O123" s="55"/>
      <c r="P123" s="55"/>
      <c r="Q123" s="55"/>
      <c r="R123" s="55"/>
      <c r="S123" s="55"/>
      <c r="T123" s="55"/>
      <c r="U123" s="55"/>
      <c r="V123" s="55"/>
      <c r="W123" s="55"/>
    </row>
    <row r="124">
      <c r="A124" s="61"/>
      <c r="B124" s="202"/>
      <c r="C124" s="61"/>
      <c r="D124" s="202"/>
      <c r="E124" s="61"/>
      <c r="F124" s="202"/>
      <c r="G124" s="61"/>
      <c r="H124" s="202"/>
      <c r="I124" s="18"/>
      <c r="J124" s="202"/>
      <c r="K124" s="55"/>
      <c r="L124" s="55"/>
      <c r="M124" s="55"/>
      <c r="N124" s="55"/>
      <c r="O124" s="55"/>
      <c r="P124" s="55"/>
      <c r="Q124" s="55"/>
      <c r="R124" s="55"/>
      <c r="S124" s="55"/>
      <c r="T124" s="55"/>
      <c r="U124" s="55"/>
      <c r="V124" s="55"/>
      <c r="W124" s="55"/>
    </row>
    <row r="125">
      <c r="A125" s="61"/>
      <c r="B125" s="202"/>
      <c r="C125" s="61"/>
      <c r="D125" s="202"/>
      <c r="E125" s="61"/>
      <c r="F125" s="202"/>
      <c r="G125" s="61"/>
      <c r="H125" s="202"/>
      <c r="I125" s="18"/>
      <c r="J125" s="202"/>
      <c r="K125" s="55"/>
      <c r="L125" s="55"/>
      <c r="M125" s="55"/>
      <c r="N125" s="55"/>
      <c r="O125" s="55"/>
      <c r="P125" s="55"/>
      <c r="Q125" s="55"/>
      <c r="R125" s="55"/>
      <c r="S125" s="55"/>
      <c r="T125" s="55"/>
      <c r="U125" s="55"/>
      <c r="V125" s="55"/>
      <c r="W125" s="55"/>
    </row>
    <row r="126">
      <c r="A126" s="61"/>
      <c r="B126" s="202"/>
      <c r="C126" s="61"/>
      <c r="D126" s="202"/>
      <c r="E126" s="61"/>
      <c r="F126" s="202"/>
      <c r="G126" s="61"/>
      <c r="H126" s="202"/>
      <c r="I126" s="18"/>
      <c r="J126" s="202"/>
      <c r="K126" s="55"/>
      <c r="L126" s="55"/>
      <c r="M126" s="55"/>
      <c r="N126" s="55"/>
      <c r="O126" s="55"/>
      <c r="P126" s="55"/>
      <c r="Q126" s="55"/>
      <c r="R126" s="55"/>
      <c r="S126" s="55"/>
      <c r="T126" s="55"/>
      <c r="U126" s="55"/>
      <c r="V126" s="55"/>
      <c r="W126" s="55"/>
    </row>
    <row r="127">
      <c r="A127" s="61"/>
      <c r="B127" s="202"/>
      <c r="C127" s="61"/>
      <c r="D127" s="202"/>
      <c r="E127" s="61"/>
      <c r="F127" s="202"/>
      <c r="G127" s="61"/>
      <c r="H127" s="202"/>
      <c r="I127" s="18"/>
      <c r="J127" s="202"/>
      <c r="K127" s="55"/>
      <c r="L127" s="55"/>
      <c r="M127" s="55"/>
      <c r="N127" s="55"/>
      <c r="O127" s="55"/>
      <c r="P127" s="55"/>
      <c r="Q127" s="55"/>
      <c r="R127" s="55"/>
      <c r="S127" s="55"/>
      <c r="T127" s="55"/>
      <c r="U127" s="55"/>
      <c r="V127" s="55"/>
      <c r="W127" s="55"/>
    </row>
    <row r="128">
      <c r="A128" s="61"/>
      <c r="B128" s="202"/>
      <c r="C128" s="61"/>
      <c r="D128" s="202"/>
      <c r="E128" s="61"/>
      <c r="F128" s="202"/>
      <c r="G128" s="61"/>
      <c r="H128" s="202"/>
      <c r="I128" s="18"/>
      <c r="J128" s="202"/>
      <c r="K128" s="55"/>
      <c r="L128" s="55"/>
      <c r="M128" s="55"/>
      <c r="N128" s="55"/>
      <c r="O128" s="55"/>
      <c r="P128" s="55"/>
      <c r="Q128" s="55"/>
      <c r="R128" s="55"/>
      <c r="S128" s="55"/>
      <c r="T128" s="55"/>
      <c r="U128" s="55"/>
      <c r="V128" s="55"/>
      <c r="W128" s="55"/>
    </row>
    <row r="129">
      <c r="A129" s="61"/>
      <c r="B129" s="202"/>
      <c r="C129" s="61"/>
      <c r="D129" s="202"/>
      <c r="E129" s="61"/>
      <c r="F129" s="202"/>
      <c r="G129" s="61"/>
      <c r="H129" s="202"/>
      <c r="I129" s="18"/>
      <c r="J129" s="202"/>
      <c r="K129" s="55"/>
      <c r="L129" s="55"/>
      <c r="M129" s="55"/>
      <c r="N129" s="55"/>
      <c r="O129" s="55"/>
      <c r="P129" s="55"/>
      <c r="Q129" s="55"/>
      <c r="R129" s="55"/>
      <c r="S129" s="55"/>
      <c r="T129" s="55"/>
      <c r="U129" s="55"/>
      <c r="V129" s="55"/>
      <c r="W129" s="55"/>
    </row>
    <row r="130">
      <c r="A130" s="61"/>
      <c r="B130" s="202"/>
      <c r="C130" s="61"/>
      <c r="D130" s="202"/>
      <c r="E130" s="61"/>
      <c r="F130" s="202"/>
      <c r="G130" s="61"/>
      <c r="H130" s="202"/>
      <c r="I130" s="18"/>
      <c r="J130" s="202"/>
      <c r="K130" s="55"/>
      <c r="L130" s="55"/>
      <c r="M130" s="55"/>
      <c r="N130" s="55"/>
      <c r="O130" s="55"/>
      <c r="P130" s="55"/>
      <c r="Q130" s="55"/>
      <c r="R130" s="55"/>
      <c r="S130" s="55"/>
      <c r="T130" s="55"/>
      <c r="U130" s="55"/>
      <c r="V130" s="55"/>
      <c r="W130" s="55"/>
    </row>
    <row r="131">
      <c r="A131" s="61"/>
      <c r="B131" s="202"/>
      <c r="C131" s="61"/>
      <c r="D131" s="202"/>
      <c r="E131" s="61"/>
      <c r="F131" s="202"/>
      <c r="G131" s="61"/>
      <c r="H131" s="202"/>
      <c r="I131" s="18"/>
      <c r="J131" s="202"/>
      <c r="K131" s="55"/>
      <c r="L131" s="55"/>
      <c r="M131" s="55"/>
      <c r="N131" s="55"/>
      <c r="O131" s="55"/>
      <c r="P131" s="55"/>
      <c r="Q131" s="55"/>
      <c r="R131" s="55"/>
      <c r="S131" s="55"/>
      <c r="T131" s="55"/>
      <c r="U131" s="55"/>
      <c r="V131" s="55"/>
      <c r="W131" s="55"/>
    </row>
    <row r="132">
      <c r="A132" s="61"/>
      <c r="B132" s="202"/>
      <c r="C132" s="61"/>
      <c r="D132" s="202"/>
      <c r="E132" s="61"/>
      <c r="F132" s="202"/>
      <c r="G132" s="61"/>
      <c r="H132" s="202"/>
      <c r="I132" s="18"/>
      <c r="J132" s="202"/>
      <c r="K132" s="55"/>
      <c r="L132" s="55"/>
      <c r="M132" s="55"/>
      <c r="N132" s="55"/>
      <c r="O132" s="55"/>
      <c r="P132" s="55"/>
      <c r="Q132" s="55"/>
      <c r="R132" s="55"/>
      <c r="S132" s="55"/>
      <c r="T132" s="55"/>
      <c r="U132" s="55"/>
      <c r="V132" s="55"/>
      <c r="W132" s="55"/>
    </row>
    <row r="133">
      <c r="A133" s="61"/>
      <c r="B133" s="202"/>
      <c r="C133" s="61"/>
      <c r="D133" s="202"/>
      <c r="E133" s="61"/>
      <c r="F133" s="202"/>
      <c r="G133" s="61"/>
      <c r="H133" s="202"/>
      <c r="I133" s="18"/>
      <c r="J133" s="202"/>
      <c r="K133" s="55"/>
      <c r="L133" s="55"/>
      <c r="M133" s="55"/>
      <c r="N133" s="55"/>
      <c r="O133" s="55"/>
      <c r="P133" s="55"/>
      <c r="Q133" s="55"/>
      <c r="R133" s="55"/>
      <c r="S133" s="55"/>
      <c r="T133" s="55"/>
      <c r="U133" s="55"/>
      <c r="V133" s="55"/>
      <c r="W133" s="55"/>
    </row>
    <row r="134">
      <c r="A134" s="61"/>
      <c r="B134" s="202"/>
      <c r="C134" s="61"/>
      <c r="D134" s="202"/>
      <c r="E134" s="61"/>
      <c r="F134" s="202"/>
      <c r="G134" s="61"/>
      <c r="H134" s="202"/>
      <c r="I134" s="18"/>
      <c r="J134" s="202"/>
      <c r="K134" s="55"/>
      <c r="L134" s="55"/>
      <c r="M134" s="55"/>
      <c r="N134" s="55"/>
      <c r="O134" s="55"/>
      <c r="P134" s="55"/>
      <c r="Q134" s="55"/>
      <c r="R134" s="55"/>
      <c r="S134" s="55"/>
      <c r="T134" s="55"/>
      <c r="U134" s="55"/>
      <c r="V134" s="55"/>
      <c r="W134" s="55"/>
    </row>
    <row r="135">
      <c r="A135" s="61"/>
      <c r="B135" s="202"/>
      <c r="C135" s="61"/>
      <c r="D135" s="202"/>
      <c r="E135" s="61"/>
      <c r="F135" s="202"/>
      <c r="G135" s="61"/>
      <c r="H135" s="202"/>
      <c r="I135" s="18"/>
      <c r="J135" s="202"/>
      <c r="K135" s="55"/>
      <c r="L135" s="55"/>
      <c r="M135" s="55"/>
      <c r="N135" s="55"/>
      <c r="O135" s="55"/>
      <c r="P135" s="55"/>
      <c r="Q135" s="55"/>
      <c r="R135" s="55"/>
      <c r="S135" s="55"/>
      <c r="T135" s="55"/>
      <c r="U135" s="55"/>
      <c r="V135" s="55"/>
      <c r="W135" s="55"/>
    </row>
    <row r="136">
      <c r="A136" s="61"/>
      <c r="B136" s="202"/>
      <c r="C136" s="61"/>
      <c r="D136" s="202"/>
      <c r="E136" s="61"/>
      <c r="F136" s="202"/>
      <c r="G136" s="61"/>
      <c r="H136" s="202"/>
      <c r="I136" s="18"/>
      <c r="J136" s="202"/>
      <c r="K136" s="55"/>
      <c r="L136" s="55"/>
      <c r="M136" s="55"/>
      <c r="N136" s="55"/>
      <c r="O136" s="55"/>
      <c r="P136" s="55"/>
      <c r="Q136" s="55"/>
      <c r="R136" s="55"/>
      <c r="S136" s="55"/>
      <c r="T136" s="55"/>
      <c r="U136" s="55"/>
      <c r="V136" s="55"/>
      <c r="W136" s="55"/>
    </row>
    <row r="137">
      <c r="A137" s="61"/>
      <c r="B137" s="202"/>
      <c r="C137" s="61"/>
      <c r="D137" s="202"/>
      <c r="E137" s="61"/>
      <c r="F137" s="202"/>
      <c r="G137" s="61"/>
      <c r="H137" s="202"/>
      <c r="I137" s="18"/>
      <c r="J137" s="202"/>
      <c r="K137" s="55"/>
      <c r="L137" s="55"/>
      <c r="M137" s="55"/>
      <c r="N137" s="55"/>
      <c r="O137" s="55"/>
      <c r="P137" s="55"/>
      <c r="Q137" s="55"/>
      <c r="R137" s="55"/>
      <c r="S137" s="55"/>
      <c r="T137" s="55"/>
      <c r="U137" s="55"/>
      <c r="V137" s="55"/>
      <c r="W137" s="55"/>
    </row>
    <row r="138">
      <c r="A138" s="61"/>
      <c r="B138" s="202"/>
      <c r="C138" s="61"/>
      <c r="D138" s="202"/>
      <c r="E138" s="61"/>
      <c r="F138" s="202"/>
      <c r="G138" s="61"/>
      <c r="H138" s="202"/>
      <c r="I138" s="18"/>
      <c r="J138" s="202"/>
      <c r="K138" s="55"/>
      <c r="L138" s="55"/>
      <c r="M138" s="55"/>
      <c r="N138" s="55"/>
      <c r="O138" s="55"/>
      <c r="P138" s="55"/>
      <c r="Q138" s="55"/>
      <c r="R138" s="55"/>
      <c r="S138" s="55"/>
      <c r="T138" s="55"/>
      <c r="U138" s="55"/>
      <c r="V138" s="55"/>
      <c r="W138" s="55"/>
    </row>
    <row r="139">
      <c r="A139" s="61"/>
      <c r="B139" s="202"/>
      <c r="C139" s="61"/>
      <c r="D139" s="202"/>
      <c r="E139" s="61"/>
      <c r="F139" s="202"/>
      <c r="G139" s="61"/>
      <c r="H139" s="202"/>
      <c r="I139" s="18"/>
      <c r="J139" s="202"/>
      <c r="K139" s="55"/>
      <c r="L139" s="55"/>
      <c r="M139" s="55"/>
      <c r="N139" s="55"/>
      <c r="O139" s="55"/>
      <c r="P139" s="55"/>
      <c r="Q139" s="55"/>
      <c r="R139" s="55"/>
      <c r="S139" s="55"/>
      <c r="T139" s="55"/>
      <c r="U139" s="55"/>
      <c r="V139" s="55"/>
      <c r="W139" s="55"/>
    </row>
    <row r="140">
      <c r="A140" s="61"/>
      <c r="B140" s="202"/>
      <c r="C140" s="61"/>
      <c r="D140" s="202"/>
      <c r="E140" s="61"/>
      <c r="F140" s="202"/>
      <c r="G140" s="61"/>
      <c r="H140" s="202"/>
      <c r="I140" s="18"/>
      <c r="J140" s="202"/>
      <c r="K140" s="55"/>
      <c r="L140" s="55"/>
      <c r="M140" s="55"/>
      <c r="N140" s="55"/>
      <c r="O140" s="55"/>
      <c r="P140" s="55"/>
      <c r="Q140" s="55"/>
      <c r="R140" s="55"/>
      <c r="S140" s="55"/>
      <c r="T140" s="55"/>
      <c r="U140" s="55"/>
      <c r="V140" s="55"/>
      <c r="W140" s="55"/>
    </row>
    <row r="141">
      <c r="A141" s="61"/>
      <c r="B141" s="202"/>
      <c r="C141" s="61"/>
      <c r="D141" s="202"/>
      <c r="E141" s="61"/>
      <c r="F141" s="202"/>
      <c r="G141" s="61"/>
      <c r="H141" s="202"/>
      <c r="I141" s="18"/>
      <c r="J141" s="202"/>
      <c r="K141" s="55"/>
      <c r="L141" s="55"/>
      <c r="M141" s="55"/>
      <c r="N141" s="55"/>
      <c r="O141" s="55"/>
      <c r="P141" s="55"/>
      <c r="Q141" s="55"/>
      <c r="R141" s="55"/>
      <c r="S141" s="55"/>
      <c r="T141" s="55"/>
      <c r="U141" s="55"/>
      <c r="V141" s="55"/>
      <c r="W141" s="55"/>
    </row>
    <row r="142">
      <c r="A142" s="61"/>
      <c r="B142" s="202"/>
      <c r="C142" s="61"/>
      <c r="D142" s="202"/>
      <c r="E142" s="61"/>
      <c r="F142" s="202"/>
      <c r="G142" s="61"/>
      <c r="H142" s="202"/>
      <c r="I142" s="18"/>
      <c r="J142" s="202"/>
      <c r="K142" s="55"/>
      <c r="L142" s="55"/>
      <c r="M142" s="55"/>
      <c r="N142" s="55"/>
      <c r="O142" s="55"/>
      <c r="P142" s="55"/>
      <c r="Q142" s="55"/>
      <c r="R142" s="55"/>
      <c r="S142" s="55"/>
      <c r="T142" s="55"/>
      <c r="U142" s="55"/>
      <c r="V142" s="55"/>
      <c r="W142" s="55"/>
    </row>
    <row r="143">
      <c r="A143" s="61"/>
      <c r="B143" s="202"/>
      <c r="C143" s="61"/>
      <c r="D143" s="202"/>
      <c r="E143" s="61"/>
      <c r="F143" s="202"/>
      <c r="G143" s="61"/>
      <c r="H143" s="202"/>
      <c r="I143" s="18"/>
      <c r="J143" s="202"/>
      <c r="K143" s="55"/>
      <c r="L143" s="55"/>
      <c r="M143" s="55"/>
      <c r="N143" s="55"/>
      <c r="O143" s="55"/>
      <c r="P143" s="55"/>
      <c r="Q143" s="55"/>
      <c r="R143" s="55"/>
      <c r="S143" s="55"/>
      <c r="T143" s="55"/>
      <c r="U143" s="55"/>
      <c r="V143" s="55"/>
      <c r="W143" s="55"/>
    </row>
    <row r="144">
      <c r="A144" s="61"/>
      <c r="B144" s="202"/>
      <c r="C144" s="61"/>
      <c r="D144" s="202"/>
      <c r="E144" s="61"/>
      <c r="F144" s="202"/>
      <c r="G144" s="61"/>
      <c r="H144" s="202"/>
      <c r="I144" s="18"/>
      <c r="J144" s="202"/>
      <c r="K144" s="55"/>
      <c r="L144" s="55"/>
      <c r="M144" s="55"/>
      <c r="N144" s="55"/>
      <c r="O144" s="55"/>
      <c r="P144" s="55"/>
      <c r="Q144" s="55"/>
      <c r="R144" s="55"/>
      <c r="S144" s="55"/>
      <c r="T144" s="55"/>
      <c r="U144" s="55"/>
      <c r="V144" s="55"/>
      <c r="W144" s="55"/>
    </row>
    <row r="145">
      <c r="A145" s="61"/>
      <c r="B145" s="202"/>
      <c r="C145" s="61"/>
      <c r="D145" s="202"/>
      <c r="E145" s="61"/>
      <c r="F145" s="202"/>
      <c r="G145" s="61"/>
      <c r="H145" s="202"/>
      <c r="I145" s="18"/>
      <c r="J145" s="202"/>
      <c r="K145" s="55"/>
      <c r="L145" s="55"/>
      <c r="M145" s="55"/>
      <c r="N145" s="55"/>
      <c r="O145" s="55"/>
      <c r="P145" s="55"/>
      <c r="Q145" s="55"/>
      <c r="R145" s="55"/>
      <c r="S145" s="55"/>
      <c r="T145" s="55"/>
      <c r="U145" s="55"/>
      <c r="V145" s="55"/>
      <c r="W145" s="55"/>
    </row>
    <row r="146">
      <c r="A146" s="61"/>
      <c r="B146" s="202"/>
      <c r="C146" s="61"/>
      <c r="D146" s="202"/>
      <c r="E146" s="61"/>
      <c r="F146" s="202"/>
      <c r="G146" s="61"/>
      <c r="H146" s="202"/>
      <c r="I146" s="18"/>
      <c r="J146" s="202"/>
      <c r="K146" s="55"/>
      <c r="L146" s="55"/>
      <c r="M146" s="55"/>
      <c r="N146" s="55"/>
      <c r="O146" s="55"/>
      <c r="P146" s="55"/>
      <c r="Q146" s="55"/>
      <c r="R146" s="55"/>
      <c r="S146" s="55"/>
      <c r="T146" s="55"/>
      <c r="U146" s="55"/>
      <c r="V146" s="55"/>
      <c r="W146" s="55"/>
    </row>
    <row r="147">
      <c r="A147" s="61"/>
      <c r="B147" s="202"/>
      <c r="C147" s="61"/>
      <c r="D147" s="202"/>
      <c r="E147" s="61"/>
      <c r="F147" s="202"/>
      <c r="G147" s="61"/>
      <c r="H147" s="202"/>
      <c r="I147" s="18"/>
      <c r="J147" s="202"/>
      <c r="K147" s="55"/>
      <c r="L147" s="55"/>
      <c r="M147" s="55"/>
      <c r="N147" s="55"/>
      <c r="O147" s="55"/>
      <c r="P147" s="55"/>
      <c r="Q147" s="55"/>
      <c r="R147" s="55"/>
      <c r="S147" s="55"/>
      <c r="T147" s="55"/>
      <c r="U147" s="55"/>
      <c r="V147" s="55"/>
      <c r="W147" s="55"/>
    </row>
    <row r="148">
      <c r="A148" s="61"/>
      <c r="B148" s="202"/>
      <c r="C148" s="61"/>
      <c r="D148" s="202"/>
      <c r="E148" s="61"/>
      <c r="F148" s="202"/>
      <c r="G148" s="61"/>
      <c r="H148" s="202"/>
      <c r="I148" s="18"/>
      <c r="J148" s="202"/>
      <c r="K148" s="55"/>
      <c r="L148" s="55"/>
      <c r="M148" s="55"/>
      <c r="N148" s="55"/>
      <c r="O148" s="55"/>
      <c r="P148" s="55"/>
      <c r="Q148" s="55"/>
      <c r="R148" s="55"/>
      <c r="S148" s="55"/>
      <c r="T148" s="55"/>
      <c r="U148" s="55"/>
      <c r="V148" s="55"/>
      <c r="W148" s="55"/>
    </row>
    <row r="149">
      <c r="A149" s="61"/>
      <c r="B149" s="202"/>
      <c r="C149" s="61"/>
      <c r="D149" s="202"/>
      <c r="E149" s="61"/>
      <c r="F149" s="202"/>
      <c r="G149" s="61"/>
      <c r="H149" s="202"/>
      <c r="I149" s="18"/>
      <c r="J149" s="202"/>
      <c r="K149" s="55"/>
      <c r="L149" s="55"/>
      <c r="M149" s="55"/>
      <c r="N149" s="55"/>
      <c r="O149" s="55"/>
      <c r="P149" s="55"/>
      <c r="Q149" s="55"/>
      <c r="R149" s="55"/>
      <c r="S149" s="55"/>
      <c r="T149" s="55"/>
      <c r="U149" s="55"/>
      <c r="V149" s="55"/>
      <c r="W149" s="55"/>
    </row>
    <row r="150">
      <c r="A150" s="61"/>
      <c r="B150" s="202"/>
      <c r="C150" s="61"/>
      <c r="D150" s="202"/>
      <c r="E150" s="61"/>
      <c r="F150" s="202"/>
      <c r="G150" s="61"/>
      <c r="H150" s="202"/>
      <c r="I150" s="18"/>
      <c r="J150" s="202"/>
      <c r="K150" s="55"/>
      <c r="L150" s="55"/>
      <c r="M150" s="55"/>
      <c r="N150" s="55"/>
      <c r="O150" s="55"/>
      <c r="P150" s="55"/>
      <c r="Q150" s="55"/>
      <c r="R150" s="55"/>
      <c r="S150" s="55"/>
      <c r="T150" s="55"/>
      <c r="U150" s="55"/>
      <c r="V150" s="55"/>
      <c r="W150" s="55"/>
    </row>
    <row r="151">
      <c r="A151" s="61"/>
      <c r="B151" s="202"/>
      <c r="C151" s="61"/>
      <c r="D151" s="202"/>
      <c r="E151" s="61"/>
      <c r="F151" s="202"/>
      <c r="G151" s="61"/>
      <c r="H151" s="202"/>
      <c r="I151" s="18"/>
      <c r="J151" s="202"/>
      <c r="K151" s="55"/>
      <c r="L151" s="55"/>
      <c r="M151" s="55"/>
      <c r="N151" s="55"/>
      <c r="O151" s="55"/>
      <c r="P151" s="55"/>
      <c r="Q151" s="55"/>
      <c r="R151" s="55"/>
      <c r="S151" s="55"/>
      <c r="T151" s="55"/>
      <c r="U151" s="55"/>
      <c r="V151" s="55"/>
      <c r="W151" s="55"/>
    </row>
    <row r="152">
      <c r="A152" s="61"/>
      <c r="B152" s="202"/>
      <c r="C152" s="61"/>
      <c r="D152" s="202"/>
      <c r="E152" s="61"/>
      <c r="F152" s="202"/>
      <c r="G152" s="61"/>
      <c r="H152" s="202"/>
      <c r="I152" s="18"/>
      <c r="J152" s="202"/>
      <c r="K152" s="55"/>
      <c r="L152" s="55"/>
      <c r="M152" s="55"/>
      <c r="N152" s="55"/>
      <c r="O152" s="55"/>
      <c r="P152" s="55"/>
      <c r="Q152" s="55"/>
      <c r="R152" s="55"/>
      <c r="S152" s="55"/>
      <c r="T152" s="55"/>
      <c r="U152" s="55"/>
      <c r="V152" s="55"/>
      <c r="W152" s="55"/>
    </row>
    <row r="153">
      <c r="A153" s="61"/>
      <c r="B153" s="202"/>
      <c r="C153" s="61"/>
      <c r="D153" s="202"/>
      <c r="E153" s="61"/>
      <c r="F153" s="202"/>
      <c r="G153" s="61"/>
      <c r="H153" s="202"/>
      <c r="I153" s="18"/>
      <c r="J153" s="202"/>
      <c r="K153" s="55"/>
      <c r="L153" s="55"/>
      <c r="M153" s="55"/>
      <c r="N153" s="55"/>
      <c r="O153" s="55"/>
      <c r="P153" s="55"/>
      <c r="Q153" s="55"/>
      <c r="R153" s="55"/>
      <c r="S153" s="55"/>
      <c r="T153" s="55"/>
      <c r="U153" s="55"/>
      <c r="V153" s="55"/>
      <c r="W153" s="55"/>
    </row>
    <row r="154">
      <c r="A154" s="61"/>
      <c r="B154" s="202"/>
      <c r="C154" s="61"/>
      <c r="D154" s="202"/>
      <c r="E154" s="61"/>
      <c r="F154" s="202"/>
      <c r="G154" s="61"/>
      <c r="H154" s="202"/>
      <c r="I154" s="18"/>
      <c r="J154" s="202"/>
      <c r="K154" s="55"/>
      <c r="L154" s="55"/>
      <c r="M154" s="55"/>
      <c r="N154" s="55"/>
      <c r="O154" s="55"/>
      <c r="P154" s="55"/>
      <c r="Q154" s="55"/>
      <c r="R154" s="55"/>
      <c r="S154" s="55"/>
      <c r="T154" s="55"/>
      <c r="U154" s="55"/>
      <c r="V154" s="55"/>
      <c r="W154" s="55"/>
    </row>
    <row r="155">
      <c r="A155" s="61"/>
      <c r="B155" s="202"/>
      <c r="C155" s="61"/>
      <c r="D155" s="202"/>
      <c r="E155" s="61"/>
      <c r="F155" s="202"/>
      <c r="G155" s="61"/>
      <c r="H155" s="202"/>
      <c r="I155" s="18"/>
      <c r="J155" s="202"/>
      <c r="K155" s="55"/>
      <c r="L155" s="55"/>
      <c r="M155" s="55"/>
      <c r="N155" s="55"/>
      <c r="O155" s="55"/>
      <c r="P155" s="55"/>
      <c r="Q155" s="55"/>
      <c r="R155" s="55"/>
      <c r="S155" s="55"/>
      <c r="T155" s="55"/>
      <c r="U155" s="55"/>
      <c r="V155" s="55"/>
      <c r="W155" s="55"/>
    </row>
    <row r="156">
      <c r="A156" s="61"/>
      <c r="B156" s="202"/>
      <c r="C156" s="61"/>
      <c r="D156" s="202"/>
      <c r="E156" s="61"/>
      <c r="F156" s="202"/>
      <c r="G156" s="61"/>
      <c r="H156" s="202"/>
      <c r="I156" s="18"/>
      <c r="J156" s="202"/>
      <c r="K156" s="55"/>
      <c r="L156" s="55"/>
      <c r="M156" s="55"/>
      <c r="N156" s="55"/>
      <c r="O156" s="55"/>
      <c r="P156" s="55"/>
      <c r="Q156" s="55"/>
      <c r="R156" s="55"/>
      <c r="S156" s="55"/>
      <c r="T156" s="55"/>
      <c r="U156" s="55"/>
      <c r="V156" s="55"/>
      <c r="W156" s="55"/>
    </row>
    <row r="157">
      <c r="A157" s="61"/>
      <c r="B157" s="202"/>
      <c r="C157" s="61"/>
      <c r="D157" s="202"/>
      <c r="E157" s="61"/>
      <c r="F157" s="202"/>
      <c r="G157" s="61"/>
      <c r="H157" s="202"/>
      <c r="I157" s="18"/>
      <c r="J157" s="202"/>
      <c r="K157" s="55"/>
      <c r="L157" s="55"/>
      <c r="M157" s="55"/>
      <c r="N157" s="55"/>
      <c r="O157" s="55"/>
      <c r="P157" s="55"/>
      <c r="Q157" s="55"/>
      <c r="R157" s="55"/>
      <c r="S157" s="55"/>
      <c r="T157" s="55"/>
      <c r="U157" s="55"/>
      <c r="V157" s="55"/>
      <c r="W157" s="55"/>
    </row>
    <row r="158">
      <c r="A158" s="61"/>
      <c r="B158" s="202"/>
      <c r="C158" s="61"/>
      <c r="D158" s="202"/>
      <c r="E158" s="61"/>
      <c r="F158" s="202"/>
      <c r="G158" s="61"/>
      <c r="H158" s="202"/>
      <c r="I158" s="18"/>
      <c r="J158" s="202"/>
      <c r="K158" s="55"/>
      <c r="L158" s="55"/>
      <c r="M158" s="55"/>
      <c r="N158" s="55"/>
      <c r="O158" s="55"/>
      <c r="P158" s="55"/>
      <c r="Q158" s="55"/>
      <c r="R158" s="55"/>
      <c r="S158" s="55"/>
      <c r="T158" s="55"/>
      <c r="U158" s="55"/>
      <c r="V158" s="55"/>
      <c r="W158" s="55"/>
    </row>
    <row r="159">
      <c r="A159" s="61"/>
      <c r="B159" s="202"/>
      <c r="C159" s="61"/>
      <c r="D159" s="202"/>
      <c r="E159" s="61"/>
      <c r="F159" s="202"/>
      <c r="G159" s="61"/>
      <c r="H159" s="202"/>
      <c r="I159" s="18"/>
      <c r="J159" s="202"/>
      <c r="K159" s="55"/>
      <c r="L159" s="55"/>
      <c r="M159" s="55"/>
      <c r="N159" s="55"/>
      <c r="O159" s="55"/>
      <c r="P159" s="55"/>
      <c r="Q159" s="55"/>
      <c r="R159" s="55"/>
      <c r="S159" s="55"/>
      <c r="T159" s="55"/>
      <c r="U159" s="55"/>
      <c r="V159" s="55"/>
      <c r="W159" s="55"/>
    </row>
    <row r="160">
      <c r="A160" s="61"/>
      <c r="B160" s="202"/>
      <c r="C160" s="61"/>
      <c r="D160" s="202"/>
      <c r="E160" s="61"/>
      <c r="F160" s="202"/>
      <c r="G160" s="61"/>
      <c r="H160" s="202"/>
      <c r="I160" s="18"/>
      <c r="J160" s="202"/>
      <c r="K160" s="55"/>
      <c r="L160" s="55"/>
      <c r="M160" s="55"/>
      <c r="N160" s="55"/>
      <c r="O160" s="55"/>
      <c r="P160" s="55"/>
      <c r="Q160" s="55"/>
      <c r="R160" s="55"/>
      <c r="S160" s="55"/>
      <c r="T160" s="55"/>
      <c r="U160" s="55"/>
      <c r="V160" s="55"/>
      <c r="W160" s="55"/>
    </row>
    <row r="161">
      <c r="A161" s="61"/>
      <c r="B161" s="202"/>
      <c r="C161" s="61"/>
      <c r="D161" s="202"/>
      <c r="E161" s="61"/>
      <c r="F161" s="202"/>
      <c r="G161" s="61"/>
      <c r="H161" s="202"/>
      <c r="I161" s="18"/>
      <c r="J161" s="202"/>
      <c r="K161" s="55"/>
      <c r="L161" s="55"/>
      <c r="M161" s="55"/>
      <c r="N161" s="55"/>
      <c r="O161" s="55"/>
      <c r="P161" s="55"/>
      <c r="Q161" s="55"/>
      <c r="R161" s="55"/>
      <c r="S161" s="55"/>
      <c r="T161" s="55"/>
      <c r="U161" s="55"/>
      <c r="V161" s="55"/>
      <c r="W161" s="55"/>
    </row>
    <row r="162">
      <c r="A162" s="61"/>
      <c r="B162" s="202"/>
      <c r="C162" s="61"/>
      <c r="D162" s="202"/>
      <c r="E162" s="61"/>
      <c r="F162" s="202"/>
      <c r="G162" s="61"/>
      <c r="H162" s="202"/>
      <c r="I162" s="18"/>
      <c r="J162" s="202"/>
      <c r="K162" s="55"/>
      <c r="L162" s="55"/>
      <c r="M162" s="55"/>
      <c r="N162" s="55"/>
      <c r="O162" s="55"/>
      <c r="P162" s="55"/>
      <c r="Q162" s="55"/>
      <c r="R162" s="55"/>
      <c r="S162" s="55"/>
      <c r="T162" s="55"/>
      <c r="U162" s="55"/>
      <c r="V162" s="55"/>
      <c r="W162" s="55"/>
    </row>
    <row r="163">
      <c r="A163" s="61"/>
      <c r="B163" s="202"/>
      <c r="C163" s="61"/>
      <c r="D163" s="202"/>
      <c r="E163" s="61"/>
      <c r="F163" s="202"/>
      <c r="G163" s="61"/>
      <c r="H163" s="202"/>
      <c r="I163" s="18"/>
      <c r="J163" s="202"/>
      <c r="K163" s="55"/>
      <c r="L163" s="55"/>
      <c r="M163" s="55"/>
      <c r="N163" s="55"/>
      <c r="O163" s="55"/>
      <c r="P163" s="55"/>
      <c r="Q163" s="55"/>
      <c r="R163" s="55"/>
      <c r="S163" s="55"/>
      <c r="T163" s="55"/>
      <c r="U163" s="55"/>
      <c r="V163" s="55"/>
      <c r="W163" s="55"/>
    </row>
    <row r="164">
      <c r="A164" s="61"/>
      <c r="B164" s="202"/>
      <c r="C164" s="61"/>
      <c r="D164" s="202"/>
      <c r="E164" s="61"/>
      <c r="F164" s="202"/>
      <c r="G164" s="61"/>
      <c r="H164" s="202"/>
      <c r="I164" s="18"/>
      <c r="J164" s="202"/>
      <c r="K164" s="55"/>
      <c r="L164" s="55"/>
      <c r="M164" s="55"/>
      <c r="N164" s="55"/>
      <c r="O164" s="55"/>
      <c r="P164" s="55"/>
      <c r="Q164" s="55"/>
      <c r="R164" s="55"/>
      <c r="S164" s="55"/>
      <c r="T164" s="55"/>
      <c r="U164" s="55"/>
      <c r="V164" s="55"/>
      <c r="W164" s="55"/>
    </row>
    <row r="165">
      <c r="A165" s="61"/>
      <c r="B165" s="202"/>
      <c r="C165" s="61"/>
      <c r="D165" s="202"/>
      <c r="E165" s="61"/>
      <c r="F165" s="202"/>
      <c r="G165" s="61"/>
      <c r="H165" s="202"/>
      <c r="I165" s="18"/>
      <c r="J165" s="202"/>
      <c r="K165" s="55"/>
      <c r="L165" s="55"/>
      <c r="M165" s="55"/>
      <c r="N165" s="55"/>
      <c r="O165" s="55"/>
      <c r="P165" s="55"/>
      <c r="Q165" s="55"/>
      <c r="R165" s="55"/>
      <c r="S165" s="55"/>
      <c r="T165" s="55"/>
      <c r="U165" s="55"/>
      <c r="V165" s="55"/>
      <c r="W165" s="55"/>
    </row>
    <row r="166">
      <c r="A166" s="61"/>
      <c r="B166" s="202"/>
      <c r="C166" s="61"/>
      <c r="D166" s="202"/>
      <c r="E166" s="61"/>
      <c r="F166" s="202"/>
      <c r="G166" s="61"/>
      <c r="H166" s="202"/>
      <c r="I166" s="18"/>
      <c r="J166" s="202"/>
      <c r="K166" s="55"/>
      <c r="L166" s="55"/>
      <c r="M166" s="55"/>
      <c r="N166" s="55"/>
      <c r="O166" s="55"/>
      <c r="P166" s="55"/>
      <c r="Q166" s="55"/>
      <c r="R166" s="55"/>
      <c r="S166" s="55"/>
      <c r="T166" s="55"/>
      <c r="U166" s="55"/>
      <c r="V166" s="55"/>
      <c r="W166" s="55"/>
    </row>
    <row r="167">
      <c r="A167" s="61"/>
      <c r="B167" s="202"/>
      <c r="C167" s="61"/>
      <c r="D167" s="202"/>
      <c r="E167" s="61"/>
      <c r="F167" s="202"/>
      <c r="G167" s="61"/>
      <c r="H167" s="202"/>
      <c r="I167" s="18"/>
      <c r="J167" s="202"/>
      <c r="K167" s="55"/>
      <c r="L167" s="55"/>
      <c r="M167" s="55"/>
      <c r="N167" s="55"/>
      <c r="O167" s="55"/>
      <c r="P167" s="55"/>
      <c r="Q167" s="55"/>
      <c r="R167" s="55"/>
      <c r="S167" s="55"/>
      <c r="T167" s="55"/>
      <c r="U167" s="55"/>
      <c r="V167" s="55"/>
      <c r="W167" s="55"/>
    </row>
    <row r="168">
      <c r="A168" s="61"/>
      <c r="B168" s="202"/>
      <c r="C168" s="61"/>
      <c r="D168" s="202"/>
      <c r="E168" s="61"/>
      <c r="F168" s="202"/>
      <c r="G168" s="61"/>
      <c r="H168" s="202"/>
      <c r="I168" s="18"/>
      <c r="J168" s="202"/>
      <c r="K168" s="55"/>
      <c r="L168" s="55"/>
      <c r="M168" s="55"/>
      <c r="N168" s="55"/>
      <c r="O168" s="55"/>
      <c r="P168" s="55"/>
      <c r="Q168" s="55"/>
      <c r="R168" s="55"/>
      <c r="S168" s="55"/>
      <c r="T168" s="55"/>
      <c r="U168" s="55"/>
      <c r="V168" s="55"/>
      <c r="W168" s="55"/>
    </row>
    <row r="169">
      <c r="A169" s="61"/>
      <c r="B169" s="202"/>
      <c r="C169" s="61"/>
      <c r="D169" s="202"/>
      <c r="E169" s="61"/>
      <c r="F169" s="202"/>
      <c r="G169" s="61"/>
      <c r="H169" s="202"/>
      <c r="I169" s="18"/>
      <c r="J169" s="202"/>
      <c r="K169" s="55"/>
      <c r="L169" s="55"/>
      <c r="M169" s="55"/>
      <c r="N169" s="55"/>
      <c r="O169" s="55"/>
      <c r="P169" s="55"/>
      <c r="Q169" s="55"/>
      <c r="R169" s="55"/>
      <c r="S169" s="55"/>
      <c r="T169" s="55"/>
      <c r="U169" s="55"/>
      <c r="V169" s="55"/>
      <c r="W169" s="55"/>
    </row>
    <row r="170">
      <c r="A170" s="61"/>
      <c r="B170" s="202"/>
      <c r="C170" s="61"/>
      <c r="D170" s="202"/>
      <c r="E170" s="61"/>
      <c r="F170" s="202"/>
      <c r="G170" s="61"/>
      <c r="H170" s="202"/>
      <c r="I170" s="18"/>
      <c r="J170" s="202"/>
      <c r="K170" s="55"/>
      <c r="L170" s="55"/>
      <c r="M170" s="55"/>
      <c r="N170" s="55"/>
      <c r="O170" s="55"/>
      <c r="P170" s="55"/>
      <c r="Q170" s="55"/>
      <c r="R170" s="55"/>
      <c r="S170" s="55"/>
      <c r="T170" s="55"/>
      <c r="U170" s="55"/>
      <c r="V170" s="55"/>
      <c r="W170" s="55"/>
    </row>
    <row r="171">
      <c r="A171" s="61"/>
      <c r="B171" s="202"/>
      <c r="C171" s="61"/>
      <c r="D171" s="202"/>
      <c r="E171" s="61"/>
      <c r="F171" s="202"/>
      <c r="G171" s="61"/>
      <c r="H171" s="202"/>
      <c r="I171" s="18"/>
      <c r="J171" s="202"/>
      <c r="K171" s="55"/>
      <c r="L171" s="55"/>
      <c r="M171" s="55"/>
      <c r="N171" s="55"/>
      <c r="O171" s="55"/>
      <c r="P171" s="55"/>
      <c r="Q171" s="55"/>
      <c r="R171" s="55"/>
      <c r="S171" s="55"/>
      <c r="T171" s="55"/>
      <c r="U171" s="55"/>
      <c r="V171" s="55"/>
      <c r="W171" s="55"/>
    </row>
    <row r="172">
      <c r="A172" s="61"/>
      <c r="B172" s="202"/>
      <c r="C172" s="61"/>
      <c r="D172" s="202"/>
      <c r="E172" s="61"/>
      <c r="F172" s="202"/>
      <c r="G172" s="61"/>
      <c r="H172" s="202"/>
      <c r="I172" s="18"/>
      <c r="J172" s="202"/>
      <c r="K172" s="55"/>
      <c r="L172" s="55"/>
      <c r="M172" s="55"/>
      <c r="N172" s="55"/>
      <c r="O172" s="55"/>
      <c r="P172" s="55"/>
      <c r="Q172" s="55"/>
      <c r="R172" s="55"/>
      <c r="S172" s="55"/>
      <c r="T172" s="55"/>
      <c r="U172" s="55"/>
      <c r="V172" s="55"/>
      <c r="W172" s="55"/>
    </row>
    <row r="173">
      <c r="A173" s="61"/>
      <c r="B173" s="202"/>
      <c r="C173" s="61"/>
      <c r="D173" s="202"/>
      <c r="E173" s="61"/>
      <c r="F173" s="202"/>
      <c r="G173" s="61"/>
      <c r="H173" s="202"/>
      <c r="I173" s="18"/>
      <c r="J173" s="202"/>
      <c r="K173" s="55"/>
      <c r="L173" s="55"/>
      <c r="M173" s="55"/>
      <c r="N173" s="55"/>
      <c r="O173" s="55"/>
      <c r="P173" s="55"/>
      <c r="Q173" s="55"/>
      <c r="R173" s="55"/>
      <c r="S173" s="55"/>
      <c r="T173" s="55"/>
      <c r="U173" s="55"/>
      <c r="V173" s="55"/>
      <c r="W173" s="55"/>
    </row>
    <row r="174">
      <c r="A174" s="61"/>
      <c r="B174" s="202"/>
      <c r="C174" s="61"/>
      <c r="D174" s="202"/>
      <c r="E174" s="61"/>
      <c r="F174" s="202"/>
      <c r="G174" s="61"/>
      <c r="H174" s="202"/>
      <c r="I174" s="18"/>
      <c r="J174" s="202"/>
      <c r="K174" s="55"/>
      <c r="L174" s="55"/>
      <c r="M174" s="55"/>
      <c r="N174" s="55"/>
      <c r="O174" s="55"/>
      <c r="P174" s="55"/>
      <c r="Q174" s="55"/>
      <c r="R174" s="55"/>
      <c r="S174" s="55"/>
      <c r="T174" s="55"/>
      <c r="U174" s="55"/>
      <c r="V174" s="55"/>
      <c r="W174" s="55"/>
    </row>
    <row r="175">
      <c r="A175" s="61"/>
      <c r="B175" s="202"/>
      <c r="C175" s="61"/>
      <c r="D175" s="202"/>
      <c r="E175" s="61"/>
      <c r="F175" s="202"/>
      <c r="G175" s="61"/>
      <c r="H175" s="202"/>
      <c r="I175" s="18"/>
      <c r="J175" s="202"/>
      <c r="K175" s="55"/>
      <c r="L175" s="55"/>
      <c r="M175" s="55"/>
      <c r="N175" s="55"/>
      <c r="O175" s="55"/>
      <c r="P175" s="55"/>
      <c r="Q175" s="55"/>
      <c r="R175" s="55"/>
      <c r="S175" s="55"/>
      <c r="T175" s="55"/>
      <c r="U175" s="55"/>
      <c r="V175" s="55"/>
      <c r="W175" s="55"/>
    </row>
    <row r="176">
      <c r="A176" s="61"/>
      <c r="B176" s="202"/>
      <c r="C176" s="61"/>
      <c r="D176" s="202"/>
      <c r="E176" s="61"/>
      <c r="F176" s="202"/>
      <c r="G176" s="61"/>
      <c r="H176" s="202"/>
      <c r="I176" s="18"/>
      <c r="J176" s="202"/>
      <c r="K176" s="55"/>
      <c r="L176" s="55"/>
      <c r="M176" s="55"/>
      <c r="N176" s="55"/>
      <c r="O176" s="55"/>
      <c r="P176" s="55"/>
      <c r="Q176" s="55"/>
      <c r="R176" s="55"/>
      <c r="S176" s="55"/>
      <c r="T176" s="55"/>
      <c r="U176" s="55"/>
      <c r="V176" s="55"/>
      <c r="W176" s="55"/>
    </row>
    <row r="177">
      <c r="A177" s="61"/>
      <c r="B177" s="202"/>
      <c r="C177" s="61"/>
      <c r="D177" s="202"/>
      <c r="E177" s="61"/>
      <c r="F177" s="202"/>
      <c r="G177" s="61"/>
      <c r="H177" s="202"/>
      <c r="I177" s="18"/>
      <c r="J177" s="202"/>
      <c r="K177" s="55"/>
      <c r="L177" s="55"/>
      <c r="M177" s="55"/>
      <c r="N177" s="55"/>
      <c r="O177" s="55"/>
      <c r="P177" s="55"/>
      <c r="Q177" s="55"/>
      <c r="R177" s="55"/>
      <c r="S177" s="55"/>
      <c r="T177" s="55"/>
      <c r="U177" s="55"/>
      <c r="V177" s="55"/>
      <c r="W177" s="55"/>
    </row>
    <row r="178">
      <c r="A178" s="61"/>
      <c r="B178" s="202"/>
      <c r="C178" s="61"/>
      <c r="D178" s="202"/>
      <c r="E178" s="61"/>
      <c r="F178" s="202"/>
      <c r="G178" s="61"/>
      <c r="H178" s="202"/>
      <c r="I178" s="18"/>
      <c r="J178" s="202"/>
      <c r="K178" s="55"/>
      <c r="L178" s="55"/>
      <c r="M178" s="55"/>
      <c r="N178" s="55"/>
      <c r="O178" s="55"/>
      <c r="P178" s="55"/>
      <c r="Q178" s="55"/>
      <c r="R178" s="55"/>
      <c r="S178" s="55"/>
      <c r="T178" s="55"/>
      <c r="U178" s="55"/>
      <c r="V178" s="55"/>
      <c r="W178" s="55"/>
    </row>
    <row r="179">
      <c r="A179" s="61"/>
      <c r="B179" s="202"/>
      <c r="C179" s="61"/>
      <c r="D179" s="202"/>
      <c r="E179" s="61"/>
      <c r="F179" s="202"/>
      <c r="G179" s="61"/>
      <c r="H179" s="202"/>
      <c r="I179" s="18"/>
      <c r="J179" s="202"/>
      <c r="K179" s="55"/>
      <c r="L179" s="55"/>
      <c r="M179" s="55"/>
      <c r="N179" s="55"/>
      <c r="O179" s="55"/>
      <c r="P179" s="55"/>
      <c r="Q179" s="55"/>
      <c r="R179" s="55"/>
      <c r="S179" s="55"/>
      <c r="T179" s="55"/>
      <c r="U179" s="55"/>
      <c r="V179" s="55"/>
      <c r="W179" s="55"/>
    </row>
    <row r="180">
      <c r="A180" s="61"/>
      <c r="B180" s="202"/>
      <c r="C180" s="61"/>
      <c r="D180" s="202"/>
      <c r="E180" s="61"/>
      <c r="F180" s="202"/>
      <c r="G180" s="61"/>
      <c r="H180" s="202"/>
      <c r="I180" s="18"/>
      <c r="J180" s="202"/>
      <c r="K180" s="55"/>
      <c r="L180" s="55"/>
      <c r="M180" s="55"/>
      <c r="N180" s="55"/>
      <c r="O180" s="55"/>
      <c r="P180" s="55"/>
      <c r="Q180" s="55"/>
      <c r="R180" s="55"/>
      <c r="S180" s="55"/>
      <c r="T180" s="55"/>
      <c r="U180" s="55"/>
      <c r="V180" s="55"/>
      <c r="W180" s="55"/>
    </row>
    <row r="181">
      <c r="A181" s="61"/>
      <c r="B181" s="202"/>
      <c r="C181" s="61"/>
      <c r="D181" s="202"/>
      <c r="E181" s="61"/>
      <c r="F181" s="202"/>
      <c r="G181" s="61"/>
      <c r="H181" s="202"/>
      <c r="I181" s="18"/>
      <c r="J181" s="202"/>
      <c r="K181" s="55"/>
      <c r="L181" s="55"/>
      <c r="M181" s="55"/>
      <c r="N181" s="55"/>
      <c r="O181" s="55"/>
      <c r="P181" s="55"/>
      <c r="Q181" s="55"/>
      <c r="R181" s="55"/>
      <c r="S181" s="55"/>
      <c r="T181" s="55"/>
      <c r="U181" s="55"/>
      <c r="V181" s="55"/>
      <c r="W181" s="55"/>
    </row>
    <row r="182">
      <c r="A182" s="61"/>
      <c r="B182" s="202"/>
      <c r="C182" s="61"/>
      <c r="D182" s="202"/>
      <c r="E182" s="61"/>
      <c r="F182" s="202"/>
      <c r="G182" s="61"/>
      <c r="H182" s="202"/>
      <c r="I182" s="18"/>
      <c r="J182" s="202"/>
      <c r="K182" s="55"/>
      <c r="L182" s="55"/>
      <c r="M182" s="55"/>
      <c r="N182" s="55"/>
      <c r="O182" s="55"/>
      <c r="P182" s="55"/>
      <c r="Q182" s="55"/>
      <c r="R182" s="55"/>
      <c r="S182" s="55"/>
      <c r="T182" s="55"/>
      <c r="U182" s="55"/>
      <c r="V182" s="55"/>
      <c r="W182" s="55"/>
    </row>
    <row r="183">
      <c r="A183" s="61"/>
      <c r="B183" s="202"/>
      <c r="C183" s="61"/>
      <c r="D183" s="202"/>
      <c r="E183" s="61"/>
      <c r="F183" s="202"/>
      <c r="G183" s="61"/>
      <c r="H183" s="202"/>
      <c r="I183" s="18"/>
      <c r="J183" s="202"/>
      <c r="K183" s="55"/>
      <c r="L183" s="55"/>
      <c r="M183" s="55"/>
      <c r="N183" s="55"/>
      <c r="O183" s="55"/>
      <c r="P183" s="55"/>
      <c r="Q183" s="55"/>
      <c r="R183" s="55"/>
      <c r="S183" s="55"/>
      <c r="T183" s="55"/>
      <c r="U183" s="55"/>
      <c r="V183" s="55"/>
      <c r="W183" s="55"/>
    </row>
    <row r="184">
      <c r="A184" s="61"/>
      <c r="B184" s="202"/>
      <c r="C184" s="61"/>
      <c r="D184" s="202"/>
      <c r="E184" s="61"/>
      <c r="F184" s="202"/>
      <c r="G184" s="61"/>
      <c r="H184" s="202"/>
      <c r="I184" s="18"/>
      <c r="J184" s="202"/>
      <c r="K184" s="55"/>
      <c r="L184" s="55"/>
      <c r="M184" s="55"/>
      <c r="N184" s="55"/>
      <c r="O184" s="55"/>
      <c r="P184" s="55"/>
      <c r="Q184" s="55"/>
      <c r="R184" s="55"/>
      <c r="S184" s="55"/>
      <c r="T184" s="55"/>
      <c r="U184" s="55"/>
      <c r="V184" s="55"/>
      <c r="W184" s="55"/>
    </row>
    <row r="185">
      <c r="A185" s="61"/>
      <c r="B185" s="202"/>
      <c r="C185" s="61"/>
      <c r="D185" s="202"/>
      <c r="E185" s="61"/>
      <c r="F185" s="202"/>
      <c r="G185" s="61"/>
      <c r="H185" s="202"/>
      <c r="I185" s="18"/>
      <c r="J185" s="202"/>
      <c r="K185" s="55"/>
      <c r="L185" s="55"/>
      <c r="M185" s="55"/>
      <c r="N185" s="55"/>
      <c r="O185" s="55"/>
      <c r="P185" s="55"/>
      <c r="Q185" s="55"/>
      <c r="R185" s="55"/>
      <c r="S185" s="55"/>
      <c r="T185" s="55"/>
      <c r="U185" s="55"/>
      <c r="V185" s="55"/>
      <c r="W185" s="55"/>
    </row>
    <row r="186">
      <c r="A186" s="61"/>
      <c r="B186" s="202"/>
      <c r="C186" s="61"/>
      <c r="D186" s="202"/>
      <c r="E186" s="61"/>
      <c r="F186" s="202"/>
      <c r="G186" s="61"/>
      <c r="H186" s="202"/>
      <c r="I186" s="18"/>
      <c r="J186" s="202"/>
      <c r="K186" s="55"/>
      <c r="L186" s="55"/>
      <c r="M186" s="55"/>
      <c r="N186" s="55"/>
      <c r="O186" s="55"/>
      <c r="P186" s="55"/>
      <c r="Q186" s="55"/>
      <c r="R186" s="55"/>
      <c r="S186" s="55"/>
      <c r="T186" s="55"/>
      <c r="U186" s="55"/>
      <c r="V186" s="55"/>
      <c r="W186" s="55"/>
    </row>
    <row r="187">
      <c r="A187" s="61"/>
      <c r="B187" s="202"/>
      <c r="C187" s="61"/>
      <c r="D187" s="202"/>
      <c r="E187" s="61"/>
      <c r="F187" s="202"/>
      <c r="G187" s="61"/>
      <c r="H187" s="202"/>
      <c r="I187" s="18"/>
      <c r="J187" s="202"/>
      <c r="K187" s="55"/>
      <c r="L187" s="55"/>
      <c r="M187" s="55"/>
      <c r="N187" s="55"/>
      <c r="O187" s="55"/>
      <c r="P187" s="55"/>
      <c r="Q187" s="55"/>
      <c r="R187" s="55"/>
      <c r="S187" s="55"/>
      <c r="T187" s="55"/>
      <c r="U187" s="55"/>
      <c r="V187" s="55"/>
      <c r="W187" s="55"/>
    </row>
    <row r="188">
      <c r="A188" s="61"/>
      <c r="B188" s="202"/>
      <c r="C188" s="61"/>
      <c r="D188" s="202"/>
      <c r="E188" s="61"/>
      <c r="F188" s="202"/>
      <c r="G188" s="61"/>
      <c r="H188" s="202"/>
      <c r="I188" s="18"/>
      <c r="J188" s="202"/>
      <c r="K188" s="55"/>
      <c r="L188" s="55"/>
      <c r="M188" s="55"/>
      <c r="N188" s="55"/>
      <c r="O188" s="55"/>
      <c r="P188" s="55"/>
      <c r="Q188" s="55"/>
      <c r="R188" s="55"/>
      <c r="S188" s="55"/>
      <c r="T188" s="55"/>
      <c r="U188" s="55"/>
      <c r="V188" s="55"/>
      <c r="W188" s="55"/>
    </row>
    <row r="189">
      <c r="A189" s="61"/>
      <c r="B189" s="202"/>
      <c r="C189" s="61"/>
      <c r="D189" s="202"/>
      <c r="E189" s="61"/>
      <c r="F189" s="202"/>
      <c r="G189" s="61"/>
      <c r="H189" s="202"/>
      <c r="I189" s="18"/>
      <c r="J189" s="202"/>
      <c r="K189" s="55"/>
      <c r="L189" s="55"/>
      <c r="M189" s="55"/>
      <c r="N189" s="55"/>
      <c r="O189" s="55"/>
      <c r="P189" s="55"/>
      <c r="Q189" s="55"/>
      <c r="R189" s="55"/>
      <c r="S189" s="55"/>
      <c r="T189" s="55"/>
      <c r="U189" s="55"/>
      <c r="V189" s="55"/>
      <c r="W189" s="55"/>
    </row>
    <row r="190">
      <c r="A190" s="61"/>
      <c r="B190" s="202"/>
      <c r="C190" s="61"/>
      <c r="D190" s="202"/>
      <c r="E190" s="61"/>
      <c r="F190" s="202"/>
      <c r="G190" s="61"/>
      <c r="H190" s="202"/>
      <c r="I190" s="18"/>
      <c r="J190" s="202"/>
      <c r="K190" s="55"/>
      <c r="L190" s="55"/>
      <c r="M190" s="55"/>
      <c r="N190" s="55"/>
      <c r="O190" s="55"/>
      <c r="P190" s="55"/>
      <c r="Q190" s="55"/>
      <c r="R190" s="55"/>
      <c r="S190" s="55"/>
      <c r="T190" s="55"/>
      <c r="U190" s="55"/>
      <c r="V190" s="55"/>
      <c r="W190" s="55"/>
    </row>
    <row r="191">
      <c r="A191" s="61"/>
      <c r="B191" s="202"/>
      <c r="C191" s="61"/>
      <c r="D191" s="202"/>
      <c r="E191" s="61"/>
      <c r="F191" s="202"/>
      <c r="G191" s="61"/>
      <c r="H191" s="202"/>
      <c r="I191" s="18"/>
      <c r="J191" s="202"/>
      <c r="K191" s="55"/>
      <c r="L191" s="55"/>
      <c r="M191" s="55"/>
      <c r="N191" s="55"/>
      <c r="O191" s="55"/>
      <c r="P191" s="55"/>
      <c r="Q191" s="55"/>
      <c r="R191" s="55"/>
      <c r="S191" s="55"/>
      <c r="T191" s="55"/>
      <c r="U191" s="55"/>
      <c r="V191" s="55"/>
      <c r="W191" s="55"/>
    </row>
    <row r="192">
      <c r="A192" s="61"/>
      <c r="B192" s="202"/>
      <c r="C192" s="61"/>
      <c r="D192" s="202"/>
      <c r="E192" s="61"/>
      <c r="F192" s="202"/>
      <c r="G192" s="61"/>
      <c r="H192" s="202"/>
      <c r="I192" s="18"/>
      <c r="J192" s="202"/>
      <c r="K192" s="55"/>
      <c r="L192" s="55"/>
      <c r="M192" s="55"/>
      <c r="N192" s="55"/>
      <c r="O192" s="55"/>
      <c r="P192" s="55"/>
      <c r="Q192" s="55"/>
      <c r="R192" s="55"/>
      <c r="S192" s="55"/>
      <c r="T192" s="55"/>
      <c r="U192" s="55"/>
      <c r="V192" s="55"/>
      <c r="W192" s="55"/>
    </row>
    <row r="193">
      <c r="A193" s="61"/>
      <c r="B193" s="202"/>
      <c r="C193" s="61"/>
      <c r="D193" s="202"/>
      <c r="E193" s="61"/>
      <c r="F193" s="202"/>
      <c r="G193" s="61"/>
      <c r="H193" s="202"/>
      <c r="I193" s="18"/>
      <c r="J193" s="202"/>
      <c r="K193" s="55"/>
      <c r="L193" s="55"/>
      <c r="M193" s="55"/>
      <c r="N193" s="55"/>
      <c r="O193" s="55"/>
      <c r="P193" s="55"/>
      <c r="Q193" s="55"/>
      <c r="R193" s="55"/>
      <c r="S193" s="55"/>
      <c r="T193" s="55"/>
      <c r="U193" s="55"/>
      <c r="V193" s="55"/>
      <c r="W193" s="55"/>
    </row>
    <row r="194">
      <c r="A194" s="61"/>
      <c r="B194" s="202"/>
      <c r="C194" s="61"/>
      <c r="D194" s="202"/>
      <c r="E194" s="61"/>
      <c r="F194" s="202"/>
      <c r="G194" s="61"/>
      <c r="H194" s="202"/>
      <c r="I194" s="18"/>
      <c r="J194" s="202"/>
      <c r="K194" s="55"/>
      <c r="L194" s="55"/>
      <c r="M194" s="55"/>
      <c r="N194" s="55"/>
      <c r="O194" s="55"/>
      <c r="P194" s="55"/>
      <c r="Q194" s="55"/>
      <c r="R194" s="55"/>
      <c r="S194" s="55"/>
      <c r="T194" s="55"/>
      <c r="U194" s="55"/>
      <c r="V194" s="55"/>
      <c r="W194" s="55"/>
    </row>
    <row r="195">
      <c r="A195" s="61"/>
      <c r="B195" s="202"/>
      <c r="C195" s="61"/>
      <c r="D195" s="202"/>
      <c r="E195" s="61"/>
      <c r="F195" s="202"/>
      <c r="G195" s="61"/>
      <c r="H195" s="202"/>
      <c r="I195" s="18"/>
      <c r="J195" s="202"/>
      <c r="K195" s="55"/>
      <c r="L195" s="55"/>
      <c r="M195" s="55"/>
      <c r="N195" s="55"/>
      <c r="O195" s="55"/>
      <c r="P195" s="55"/>
      <c r="Q195" s="55"/>
      <c r="R195" s="55"/>
      <c r="S195" s="55"/>
      <c r="T195" s="55"/>
      <c r="U195" s="55"/>
      <c r="V195" s="55"/>
      <c r="W195" s="55"/>
    </row>
    <row r="196">
      <c r="A196" s="61"/>
      <c r="B196" s="202"/>
      <c r="C196" s="61"/>
      <c r="D196" s="202"/>
      <c r="E196" s="61"/>
      <c r="F196" s="202"/>
      <c r="G196" s="61"/>
      <c r="H196" s="202"/>
      <c r="I196" s="18"/>
      <c r="J196" s="202"/>
      <c r="K196" s="55"/>
      <c r="L196" s="55"/>
      <c r="M196" s="55"/>
      <c r="N196" s="55"/>
      <c r="O196" s="55"/>
      <c r="P196" s="55"/>
      <c r="Q196" s="55"/>
      <c r="R196" s="55"/>
      <c r="S196" s="55"/>
      <c r="T196" s="55"/>
      <c r="U196" s="55"/>
      <c r="V196" s="55"/>
      <c r="W196" s="55"/>
    </row>
    <row r="197">
      <c r="A197" s="61"/>
      <c r="B197" s="202"/>
      <c r="C197" s="61"/>
      <c r="D197" s="202"/>
      <c r="E197" s="61"/>
      <c r="F197" s="202"/>
      <c r="G197" s="61"/>
      <c r="H197" s="202"/>
      <c r="I197" s="18"/>
      <c r="J197" s="202"/>
      <c r="K197" s="55"/>
      <c r="L197" s="55"/>
      <c r="M197" s="55"/>
      <c r="N197" s="55"/>
      <c r="O197" s="55"/>
      <c r="P197" s="55"/>
      <c r="Q197" s="55"/>
      <c r="R197" s="55"/>
      <c r="S197" s="55"/>
      <c r="T197" s="55"/>
      <c r="U197" s="55"/>
      <c r="V197" s="55"/>
      <c r="W197" s="55"/>
    </row>
    <row r="198">
      <c r="A198" s="61"/>
      <c r="B198" s="202"/>
      <c r="C198" s="61"/>
      <c r="D198" s="202"/>
      <c r="E198" s="61"/>
      <c r="F198" s="202"/>
      <c r="G198" s="61"/>
      <c r="H198" s="202"/>
      <c r="I198" s="18"/>
      <c r="J198" s="202"/>
      <c r="K198" s="55"/>
      <c r="L198" s="55"/>
      <c r="M198" s="55"/>
      <c r="N198" s="55"/>
      <c r="O198" s="55"/>
      <c r="P198" s="55"/>
      <c r="Q198" s="55"/>
      <c r="R198" s="55"/>
      <c r="S198" s="55"/>
      <c r="T198" s="55"/>
      <c r="U198" s="55"/>
      <c r="V198" s="55"/>
      <c r="W198" s="55"/>
    </row>
    <row r="199">
      <c r="A199" s="61"/>
      <c r="B199" s="202"/>
      <c r="C199" s="61"/>
      <c r="D199" s="202"/>
      <c r="E199" s="61"/>
      <c r="F199" s="202"/>
      <c r="G199" s="61"/>
      <c r="H199" s="202"/>
      <c r="I199" s="18"/>
      <c r="J199" s="202"/>
      <c r="K199" s="55"/>
      <c r="L199" s="55"/>
      <c r="M199" s="55"/>
      <c r="N199" s="55"/>
      <c r="O199" s="55"/>
      <c r="P199" s="55"/>
      <c r="Q199" s="55"/>
      <c r="R199" s="55"/>
      <c r="S199" s="55"/>
      <c r="T199" s="55"/>
      <c r="U199" s="55"/>
      <c r="V199" s="55"/>
      <c r="W199" s="55"/>
    </row>
    <row r="200">
      <c r="A200" s="61"/>
      <c r="B200" s="202"/>
      <c r="C200" s="61"/>
      <c r="D200" s="202"/>
      <c r="E200" s="61"/>
      <c r="F200" s="202"/>
      <c r="G200" s="61"/>
      <c r="H200" s="202"/>
      <c r="I200" s="18"/>
      <c r="J200" s="202"/>
      <c r="K200" s="55"/>
      <c r="L200" s="55"/>
      <c r="M200" s="55"/>
      <c r="N200" s="55"/>
      <c r="O200" s="55"/>
      <c r="P200" s="55"/>
      <c r="Q200" s="55"/>
      <c r="R200" s="55"/>
      <c r="S200" s="55"/>
      <c r="T200" s="55"/>
      <c r="U200" s="55"/>
      <c r="V200" s="55"/>
      <c r="W200" s="55"/>
    </row>
    <row r="201">
      <c r="A201" s="61"/>
      <c r="B201" s="202"/>
      <c r="C201" s="61"/>
      <c r="D201" s="202"/>
      <c r="E201" s="61"/>
      <c r="F201" s="202"/>
      <c r="G201" s="61"/>
      <c r="H201" s="202"/>
      <c r="I201" s="18"/>
      <c r="J201" s="202"/>
      <c r="K201" s="55"/>
      <c r="L201" s="55"/>
      <c r="M201" s="55"/>
      <c r="N201" s="55"/>
      <c r="O201" s="55"/>
      <c r="P201" s="55"/>
      <c r="Q201" s="55"/>
      <c r="R201" s="55"/>
      <c r="S201" s="55"/>
      <c r="T201" s="55"/>
      <c r="U201" s="55"/>
      <c r="V201" s="55"/>
      <c r="W201" s="55"/>
    </row>
    <row r="202">
      <c r="A202" s="61"/>
      <c r="B202" s="202"/>
      <c r="C202" s="61"/>
      <c r="D202" s="202"/>
      <c r="E202" s="61"/>
      <c r="F202" s="202"/>
      <c r="G202" s="61"/>
      <c r="H202" s="202"/>
      <c r="I202" s="18"/>
      <c r="J202" s="202"/>
      <c r="K202" s="55"/>
      <c r="L202" s="55"/>
      <c r="M202" s="55"/>
      <c r="N202" s="55"/>
      <c r="O202" s="55"/>
      <c r="P202" s="55"/>
      <c r="Q202" s="55"/>
      <c r="R202" s="55"/>
      <c r="S202" s="55"/>
      <c r="T202" s="55"/>
      <c r="U202" s="55"/>
      <c r="V202" s="55"/>
      <c r="W202" s="55"/>
    </row>
    <row r="203">
      <c r="A203" s="61"/>
      <c r="B203" s="202"/>
      <c r="C203" s="61"/>
      <c r="D203" s="202"/>
      <c r="E203" s="61"/>
      <c r="F203" s="202"/>
      <c r="G203" s="61"/>
      <c r="H203" s="202"/>
      <c r="I203" s="18"/>
      <c r="J203" s="202"/>
      <c r="K203" s="55"/>
      <c r="L203" s="55"/>
      <c r="M203" s="55"/>
      <c r="N203" s="55"/>
      <c r="O203" s="55"/>
      <c r="P203" s="55"/>
      <c r="Q203" s="55"/>
      <c r="R203" s="55"/>
      <c r="S203" s="55"/>
      <c r="T203" s="55"/>
      <c r="U203" s="55"/>
      <c r="V203" s="55"/>
      <c r="W203" s="55"/>
    </row>
    <row r="204">
      <c r="A204" s="61"/>
      <c r="B204" s="202"/>
      <c r="C204" s="61"/>
      <c r="D204" s="202"/>
      <c r="E204" s="61"/>
      <c r="F204" s="202"/>
      <c r="G204" s="61"/>
      <c r="H204" s="202"/>
      <c r="I204" s="18"/>
      <c r="J204" s="202"/>
      <c r="K204" s="55"/>
      <c r="L204" s="55"/>
      <c r="M204" s="55"/>
      <c r="N204" s="55"/>
      <c r="O204" s="55"/>
      <c r="P204" s="55"/>
      <c r="Q204" s="55"/>
      <c r="R204" s="55"/>
      <c r="S204" s="55"/>
      <c r="T204" s="55"/>
      <c r="U204" s="55"/>
      <c r="V204" s="55"/>
      <c r="W204" s="55"/>
    </row>
    <row r="205">
      <c r="A205" s="61"/>
      <c r="B205" s="202"/>
      <c r="C205" s="61"/>
      <c r="D205" s="202"/>
      <c r="E205" s="61"/>
      <c r="F205" s="202"/>
      <c r="G205" s="61"/>
      <c r="H205" s="202"/>
      <c r="I205" s="18"/>
      <c r="J205" s="202"/>
      <c r="K205" s="55"/>
      <c r="L205" s="55"/>
      <c r="M205" s="55"/>
      <c r="N205" s="55"/>
      <c r="O205" s="55"/>
      <c r="P205" s="55"/>
      <c r="Q205" s="55"/>
      <c r="R205" s="55"/>
      <c r="S205" s="55"/>
      <c r="T205" s="55"/>
      <c r="U205" s="55"/>
      <c r="V205" s="55"/>
      <c r="W205" s="55"/>
    </row>
    <row r="206">
      <c r="A206" s="61"/>
      <c r="B206" s="202"/>
      <c r="C206" s="61"/>
      <c r="D206" s="202"/>
      <c r="E206" s="61"/>
      <c r="F206" s="202"/>
      <c r="G206" s="61"/>
      <c r="H206" s="202"/>
      <c r="I206" s="18"/>
      <c r="J206" s="202"/>
      <c r="K206" s="55"/>
      <c r="L206" s="55"/>
      <c r="M206" s="55"/>
      <c r="N206" s="55"/>
      <c r="O206" s="55"/>
      <c r="P206" s="55"/>
      <c r="Q206" s="55"/>
      <c r="R206" s="55"/>
      <c r="S206" s="55"/>
      <c r="T206" s="55"/>
      <c r="U206" s="55"/>
      <c r="V206" s="55"/>
      <c r="W206" s="55"/>
    </row>
    <row r="207">
      <c r="A207" s="61"/>
      <c r="B207" s="202"/>
      <c r="C207" s="61"/>
      <c r="D207" s="202"/>
      <c r="E207" s="61"/>
      <c r="F207" s="202"/>
      <c r="G207" s="61"/>
      <c r="H207" s="202"/>
      <c r="I207" s="18"/>
      <c r="J207" s="202"/>
      <c r="K207" s="55"/>
      <c r="L207" s="55"/>
      <c r="M207" s="55"/>
      <c r="N207" s="55"/>
      <c r="O207" s="55"/>
      <c r="P207" s="55"/>
      <c r="Q207" s="55"/>
      <c r="R207" s="55"/>
      <c r="S207" s="55"/>
      <c r="T207" s="55"/>
      <c r="U207" s="55"/>
      <c r="V207" s="55"/>
      <c r="W207" s="55"/>
    </row>
    <row r="208">
      <c r="A208" s="61"/>
      <c r="B208" s="202"/>
      <c r="C208" s="61"/>
      <c r="D208" s="202"/>
      <c r="E208" s="61"/>
      <c r="F208" s="202"/>
      <c r="G208" s="61"/>
      <c r="H208" s="202"/>
      <c r="I208" s="18"/>
      <c r="J208" s="202"/>
      <c r="K208" s="55"/>
      <c r="L208" s="55"/>
      <c r="M208" s="55"/>
      <c r="N208" s="55"/>
      <c r="O208" s="55"/>
      <c r="P208" s="55"/>
      <c r="Q208" s="55"/>
      <c r="R208" s="55"/>
      <c r="S208" s="55"/>
      <c r="T208" s="55"/>
      <c r="U208" s="55"/>
      <c r="V208" s="55"/>
      <c r="W208" s="55"/>
    </row>
    <row r="209">
      <c r="A209" s="61"/>
      <c r="B209" s="202"/>
      <c r="C209" s="61"/>
      <c r="D209" s="202"/>
      <c r="E209" s="61"/>
      <c r="F209" s="202"/>
      <c r="G209" s="61"/>
      <c r="H209" s="202"/>
      <c r="I209" s="18"/>
      <c r="J209" s="202"/>
      <c r="K209" s="55"/>
      <c r="L209" s="55"/>
      <c r="M209" s="55"/>
      <c r="N209" s="55"/>
      <c r="O209" s="55"/>
      <c r="P209" s="55"/>
      <c r="Q209" s="55"/>
      <c r="R209" s="55"/>
      <c r="S209" s="55"/>
      <c r="T209" s="55"/>
      <c r="U209" s="55"/>
      <c r="V209" s="55"/>
      <c r="W209" s="55"/>
    </row>
    <row r="210">
      <c r="A210" s="61"/>
      <c r="B210" s="202"/>
      <c r="C210" s="61"/>
      <c r="D210" s="202"/>
      <c r="E210" s="61"/>
      <c r="F210" s="202"/>
      <c r="G210" s="61"/>
      <c r="H210" s="202"/>
      <c r="I210" s="18"/>
      <c r="J210" s="202"/>
      <c r="K210" s="55"/>
      <c r="L210" s="55"/>
      <c r="M210" s="55"/>
      <c r="N210" s="55"/>
      <c r="O210" s="55"/>
      <c r="P210" s="55"/>
      <c r="Q210" s="55"/>
      <c r="R210" s="55"/>
      <c r="S210" s="55"/>
      <c r="T210" s="55"/>
      <c r="U210" s="55"/>
      <c r="V210" s="55"/>
      <c r="W210" s="55"/>
    </row>
    <row r="211">
      <c r="A211" s="61"/>
      <c r="B211" s="202"/>
      <c r="C211" s="61"/>
      <c r="D211" s="202"/>
      <c r="E211" s="61"/>
      <c r="F211" s="202"/>
      <c r="G211" s="61"/>
      <c r="H211" s="202"/>
      <c r="I211" s="18"/>
      <c r="J211" s="202"/>
      <c r="K211" s="55"/>
      <c r="L211" s="55"/>
      <c r="M211" s="55"/>
      <c r="N211" s="55"/>
      <c r="O211" s="55"/>
      <c r="P211" s="55"/>
      <c r="Q211" s="55"/>
      <c r="R211" s="55"/>
      <c r="S211" s="55"/>
      <c r="T211" s="55"/>
      <c r="U211" s="55"/>
      <c r="V211" s="55"/>
      <c r="W211" s="55"/>
    </row>
    <row r="212">
      <c r="A212" s="61"/>
      <c r="B212" s="202"/>
      <c r="C212" s="61"/>
      <c r="D212" s="202"/>
      <c r="E212" s="61"/>
      <c r="F212" s="202"/>
      <c r="G212" s="61"/>
      <c r="H212" s="202"/>
      <c r="I212" s="18"/>
      <c r="J212" s="202"/>
      <c r="K212" s="55"/>
      <c r="L212" s="55"/>
      <c r="M212" s="55"/>
      <c r="N212" s="55"/>
      <c r="O212" s="55"/>
      <c r="P212" s="55"/>
      <c r="Q212" s="55"/>
      <c r="R212" s="55"/>
      <c r="S212" s="55"/>
      <c r="T212" s="55"/>
      <c r="U212" s="55"/>
      <c r="V212" s="55"/>
      <c r="W212" s="55"/>
    </row>
    <row r="213">
      <c r="A213" s="61"/>
      <c r="B213" s="202"/>
      <c r="C213" s="61"/>
      <c r="D213" s="202"/>
      <c r="E213" s="61"/>
      <c r="F213" s="202"/>
      <c r="G213" s="61"/>
      <c r="H213" s="202"/>
      <c r="I213" s="18"/>
      <c r="J213" s="202"/>
      <c r="K213" s="55"/>
      <c r="L213" s="55"/>
      <c r="M213" s="55"/>
      <c r="N213" s="55"/>
      <c r="O213" s="55"/>
      <c r="P213" s="55"/>
      <c r="Q213" s="55"/>
      <c r="R213" s="55"/>
      <c r="S213" s="55"/>
      <c r="T213" s="55"/>
      <c r="U213" s="55"/>
      <c r="V213" s="55"/>
      <c r="W213" s="55"/>
    </row>
    <row r="214">
      <c r="A214" s="61"/>
      <c r="B214" s="202"/>
      <c r="C214" s="61"/>
      <c r="D214" s="202"/>
      <c r="E214" s="61"/>
      <c r="F214" s="202"/>
      <c r="G214" s="61"/>
      <c r="H214" s="202"/>
      <c r="I214" s="18"/>
      <c r="J214" s="202"/>
      <c r="K214" s="55"/>
      <c r="L214" s="55"/>
      <c r="M214" s="55"/>
      <c r="N214" s="55"/>
      <c r="O214" s="55"/>
      <c r="P214" s="55"/>
      <c r="Q214" s="55"/>
      <c r="R214" s="55"/>
      <c r="S214" s="55"/>
      <c r="T214" s="55"/>
      <c r="U214" s="55"/>
      <c r="V214" s="55"/>
      <c r="W214" s="55"/>
    </row>
    <row r="215">
      <c r="A215" s="61"/>
      <c r="B215" s="202"/>
      <c r="C215" s="61"/>
      <c r="D215" s="202"/>
      <c r="E215" s="61"/>
      <c r="F215" s="202"/>
      <c r="G215" s="61"/>
      <c r="H215" s="202"/>
      <c r="I215" s="18"/>
      <c r="J215" s="202"/>
      <c r="K215" s="55"/>
      <c r="L215" s="55"/>
      <c r="M215" s="55"/>
      <c r="N215" s="55"/>
      <c r="O215" s="55"/>
      <c r="P215" s="55"/>
      <c r="Q215" s="55"/>
      <c r="R215" s="55"/>
      <c r="S215" s="55"/>
      <c r="T215" s="55"/>
      <c r="U215" s="55"/>
      <c r="V215" s="55"/>
      <c r="W215" s="55"/>
    </row>
    <row r="216">
      <c r="A216" s="61"/>
      <c r="B216" s="202"/>
      <c r="C216" s="61"/>
      <c r="D216" s="202"/>
      <c r="E216" s="61"/>
      <c r="F216" s="202"/>
      <c r="G216" s="61"/>
      <c r="H216" s="202"/>
      <c r="I216" s="18"/>
      <c r="J216" s="202"/>
      <c r="K216" s="55"/>
      <c r="L216" s="55"/>
      <c r="M216" s="55"/>
      <c r="N216" s="55"/>
      <c r="O216" s="55"/>
      <c r="P216" s="55"/>
      <c r="Q216" s="55"/>
      <c r="R216" s="55"/>
      <c r="S216" s="55"/>
      <c r="T216" s="55"/>
      <c r="U216" s="55"/>
      <c r="V216" s="55"/>
      <c r="W216" s="55"/>
    </row>
    <row r="217">
      <c r="A217" s="61"/>
      <c r="B217" s="202"/>
      <c r="C217" s="61"/>
      <c r="D217" s="202"/>
      <c r="E217" s="61"/>
      <c r="F217" s="202"/>
      <c r="G217" s="61"/>
      <c r="H217" s="202"/>
      <c r="I217" s="18"/>
      <c r="J217" s="202"/>
      <c r="K217" s="55"/>
      <c r="L217" s="55"/>
      <c r="M217" s="55"/>
      <c r="N217" s="55"/>
      <c r="O217" s="55"/>
      <c r="P217" s="55"/>
      <c r="Q217" s="55"/>
      <c r="R217" s="55"/>
      <c r="S217" s="55"/>
      <c r="T217" s="55"/>
      <c r="U217" s="55"/>
      <c r="V217" s="55"/>
      <c r="W217" s="55"/>
    </row>
    <row r="218">
      <c r="A218" s="61"/>
      <c r="B218" s="202"/>
      <c r="C218" s="61"/>
      <c r="D218" s="202"/>
      <c r="E218" s="61"/>
      <c r="F218" s="202"/>
      <c r="G218" s="61"/>
      <c r="H218" s="202"/>
      <c r="I218" s="18"/>
      <c r="J218" s="202"/>
      <c r="K218" s="55"/>
      <c r="L218" s="55"/>
      <c r="M218" s="55"/>
      <c r="N218" s="55"/>
      <c r="O218" s="55"/>
      <c r="P218" s="55"/>
      <c r="Q218" s="55"/>
      <c r="R218" s="55"/>
      <c r="S218" s="55"/>
      <c r="T218" s="55"/>
      <c r="U218" s="55"/>
      <c r="V218" s="55"/>
      <c r="W218" s="55"/>
    </row>
    <row r="219">
      <c r="A219" s="61"/>
      <c r="B219" s="202"/>
      <c r="C219" s="61"/>
      <c r="D219" s="202"/>
      <c r="E219" s="61"/>
      <c r="F219" s="202"/>
      <c r="G219" s="61"/>
      <c r="H219" s="202"/>
      <c r="I219" s="18"/>
      <c r="J219" s="202"/>
      <c r="K219" s="55"/>
      <c r="L219" s="55"/>
      <c r="M219" s="55"/>
      <c r="N219" s="55"/>
      <c r="O219" s="55"/>
      <c r="P219" s="55"/>
      <c r="Q219" s="55"/>
      <c r="R219" s="55"/>
      <c r="S219" s="55"/>
      <c r="T219" s="55"/>
      <c r="U219" s="55"/>
      <c r="V219" s="55"/>
      <c r="W219" s="55"/>
    </row>
    <row r="220">
      <c r="A220" s="61"/>
      <c r="B220" s="202"/>
      <c r="C220" s="61"/>
      <c r="D220" s="202"/>
      <c r="E220" s="61"/>
      <c r="F220" s="202"/>
      <c r="G220" s="61"/>
      <c r="H220" s="202"/>
      <c r="I220" s="18"/>
      <c r="J220" s="202"/>
      <c r="K220" s="55"/>
      <c r="L220" s="55"/>
      <c r="M220" s="55"/>
      <c r="N220" s="55"/>
      <c r="O220" s="55"/>
      <c r="P220" s="55"/>
      <c r="Q220" s="55"/>
      <c r="R220" s="55"/>
      <c r="S220" s="55"/>
      <c r="T220" s="55"/>
      <c r="U220" s="55"/>
      <c r="V220" s="55"/>
      <c r="W220" s="55"/>
    </row>
    <row r="221">
      <c r="A221" s="61"/>
      <c r="B221" s="202"/>
      <c r="C221" s="61"/>
      <c r="D221" s="202"/>
      <c r="E221" s="61"/>
      <c r="F221" s="202"/>
      <c r="G221" s="61"/>
      <c r="H221" s="202"/>
      <c r="I221" s="18"/>
      <c r="J221" s="202"/>
      <c r="K221" s="55"/>
      <c r="L221" s="55"/>
      <c r="M221" s="55"/>
      <c r="N221" s="55"/>
      <c r="O221" s="55"/>
      <c r="P221" s="55"/>
      <c r="Q221" s="55"/>
      <c r="R221" s="55"/>
      <c r="S221" s="55"/>
      <c r="T221" s="55"/>
      <c r="U221" s="55"/>
      <c r="V221" s="55"/>
      <c r="W221" s="55"/>
    </row>
    <row r="222">
      <c r="A222" s="61"/>
      <c r="B222" s="202"/>
      <c r="C222" s="61"/>
      <c r="D222" s="202"/>
      <c r="E222" s="61"/>
      <c r="F222" s="202"/>
      <c r="G222" s="61"/>
      <c r="H222" s="202"/>
      <c r="I222" s="18"/>
      <c r="J222" s="202"/>
      <c r="K222" s="55"/>
      <c r="L222" s="55"/>
      <c r="M222" s="55"/>
      <c r="N222" s="55"/>
      <c r="O222" s="55"/>
      <c r="P222" s="55"/>
      <c r="Q222" s="55"/>
      <c r="R222" s="55"/>
      <c r="S222" s="55"/>
      <c r="T222" s="55"/>
      <c r="U222" s="55"/>
      <c r="V222" s="55"/>
      <c r="W222" s="55"/>
    </row>
    <row r="223">
      <c r="A223" s="61"/>
      <c r="B223" s="202"/>
      <c r="C223" s="61"/>
      <c r="D223" s="202"/>
      <c r="E223" s="61"/>
      <c r="F223" s="202"/>
      <c r="G223" s="61"/>
      <c r="H223" s="202"/>
      <c r="I223" s="18"/>
      <c r="J223" s="202"/>
      <c r="K223" s="55"/>
      <c r="L223" s="55"/>
      <c r="M223" s="55"/>
      <c r="N223" s="55"/>
      <c r="O223" s="55"/>
      <c r="P223" s="55"/>
      <c r="Q223" s="55"/>
      <c r="R223" s="55"/>
      <c r="S223" s="55"/>
      <c r="T223" s="55"/>
      <c r="U223" s="55"/>
      <c r="V223" s="55"/>
      <c r="W223" s="55"/>
    </row>
    <row r="224">
      <c r="A224" s="61"/>
      <c r="B224" s="202"/>
      <c r="C224" s="61"/>
      <c r="D224" s="202"/>
      <c r="E224" s="61"/>
      <c r="F224" s="202"/>
      <c r="G224" s="61"/>
      <c r="H224" s="202"/>
      <c r="I224" s="18"/>
      <c r="J224" s="202"/>
      <c r="K224" s="55"/>
      <c r="L224" s="55"/>
      <c r="M224" s="55"/>
      <c r="N224" s="55"/>
      <c r="O224" s="55"/>
      <c r="P224" s="55"/>
      <c r="Q224" s="55"/>
      <c r="R224" s="55"/>
      <c r="S224" s="55"/>
      <c r="T224" s="55"/>
      <c r="U224" s="55"/>
      <c r="V224" s="55"/>
      <c r="W224" s="55"/>
    </row>
    <row r="225">
      <c r="A225" s="61"/>
      <c r="B225" s="202"/>
      <c r="C225" s="61"/>
      <c r="D225" s="202"/>
      <c r="E225" s="61"/>
      <c r="F225" s="202"/>
      <c r="G225" s="61"/>
      <c r="H225" s="202"/>
      <c r="I225" s="18"/>
      <c r="J225" s="202"/>
      <c r="K225" s="55"/>
      <c r="L225" s="55"/>
      <c r="M225" s="55"/>
      <c r="N225" s="55"/>
      <c r="O225" s="55"/>
      <c r="P225" s="55"/>
      <c r="Q225" s="55"/>
      <c r="R225" s="55"/>
      <c r="S225" s="55"/>
      <c r="T225" s="55"/>
      <c r="U225" s="55"/>
      <c r="V225" s="55"/>
      <c r="W225" s="55"/>
    </row>
    <row r="226">
      <c r="A226" s="61"/>
      <c r="B226" s="202"/>
      <c r="C226" s="61"/>
      <c r="D226" s="202"/>
      <c r="E226" s="61"/>
      <c r="F226" s="202"/>
      <c r="G226" s="61"/>
      <c r="H226" s="202"/>
      <c r="I226" s="18"/>
      <c r="J226" s="202"/>
      <c r="K226" s="55"/>
      <c r="L226" s="55"/>
      <c r="M226" s="55"/>
      <c r="N226" s="55"/>
      <c r="O226" s="55"/>
      <c r="P226" s="55"/>
      <c r="Q226" s="55"/>
      <c r="R226" s="55"/>
      <c r="S226" s="55"/>
      <c r="T226" s="55"/>
      <c r="U226" s="55"/>
      <c r="V226" s="55"/>
      <c r="W226" s="55"/>
    </row>
    <row r="227">
      <c r="A227" s="61"/>
      <c r="B227" s="202"/>
      <c r="C227" s="61"/>
      <c r="D227" s="202"/>
      <c r="E227" s="61"/>
      <c r="F227" s="202"/>
      <c r="G227" s="61"/>
      <c r="H227" s="202"/>
      <c r="I227" s="18"/>
      <c r="J227" s="202"/>
      <c r="K227" s="55"/>
      <c r="L227" s="55"/>
      <c r="M227" s="55"/>
      <c r="N227" s="55"/>
      <c r="O227" s="55"/>
      <c r="P227" s="55"/>
      <c r="Q227" s="55"/>
      <c r="R227" s="55"/>
      <c r="S227" s="55"/>
      <c r="T227" s="55"/>
      <c r="U227" s="55"/>
      <c r="V227" s="55"/>
      <c r="W227" s="55"/>
    </row>
    <row r="228">
      <c r="A228" s="61"/>
      <c r="B228" s="202"/>
      <c r="C228" s="61"/>
      <c r="D228" s="202"/>
      <c r="E228" s="61"/>
      <c r="F228" s="202"/>
      <c r="G228" s="61"/>
      <c r="H228" s="202"/>
      <c r="I228" s="18"/>
      <c r="J228" s="202"/>
      <c r="K228" s="55"/>
      <c r="L228" s="55"/>
      <c r="M228" s="55"/>
      <c r="N228" s="55"/>
      <c r="O228" s="55"/>
      <c r="P228" s="55"/>
      <c r="Q228" s="55"/>
      <c r="R228" s="55"/>
      <c r="S228" s="55"/>
      <c r="T228" s="55"/>
      <c r="U228" s="55"/>
      <c r="V228" s="55"/>
      <c r="W228" s="55"/>
    </row>
    <row r="229">
      <c r="A229" s="61"/>
      <c r="B229" s="202"/>
      <c r="C229" s="61"/>
      <c r="D229" s="202"/>
      <c r="E229" s="61"/>
      <c r="F229" s="202"/>
      <c r="G229" s="61"/>
      <c r="H229" s="202"/>
      <c r="I229" s="18"/>
      <c r="J229" s="202"/>
      <c r="K229" s="55"/>
      <c r="L229" s="55"/>
      <c r="M229" s="55"/>
      <c r="N229" s="55"/>
      <c r="O229" s="55"/>
      <c r="P229" s="55"/>
      <c r="Q229" s="55"/>
      <c r="R229" s="55"/>
      <c r="S229" s="55"/>
      <c r="T229" s="55"/>
      <c r="U229" s="55"/>
      <c r="V229" s="55"/>
      <c r="W229" s="55"/>
    </row>
    <row r="230">
      <c r="A230" s="61"/>
      <c r="B230" s="202"/>
      <c r="C230" s="61"/>
      <c r="D230" s="202"/>
      <c r="E230" s="61"/>
      <c r="F230" s="202"/>
      <c r="G230" s="61"/>
      <c r="H230" s="202"/>
      <c r="I230" s="18"/>
      <c r="J230" s="202"/>
      <c r="K230" s="55"/>
      <c r="L230" s="55"/>
      <c r="M230" s="55"/>
      <c r="N230" s="55"/>
      <c r="O230" s="55"/>
      <c r="P230" s="55"/>
      <c r="Q230" s="55"/>
      <c r="R230" s="55"/>
      <c r="S230" s="55"/>
      <c r="T230" s="55"/>
      <c r="U230" s="55"/>
      <c r="V230" s="55"/>
      <c r="W230" s="55"/>
    </row>
    <row r="231">
      <c r="A231" s="61"/>
      <c r="B231" s="202"/>
      <c r="C231" s="61"/>
      <c r="D231" s="202"/>
      <c r="E231" s="61"/>
      <c r="F231" s="202"/>
      <c r="G231" s="61"/>
      <c r="H231" s="202"/>
      <c r="I231" s="18"/>
      <c r="J231" s="202"/>
      <c r="K231" s="55"/>
      <c r="L231" s="55"/>
      <c r="M231" s="55"/>
      <c r="N231" s="55"/>
      <c r="O231" s="55"/>
      <c r="P231" s="55"/>
      <c r="Q231" s="55"/>
      <c r="R231" s="55"/>
      <c r="S231" s="55"/>
      <c r="T231" s="55"/>
      <c r="U231" s="55"/>
      <c r="V231" s="55"/>
      <c r="W231" s="55"/>
    </row>
    <row r="232">
      <c r="A232" s="61"/>
      <c r="B232" s="202"/>
      <c r="C232" s="61"/>
      <c r="D232" s="202"/>
      <c r="E232" s="61"/>
      <c r="F232" s="202"/>
      <c r="G232" s="61"/>
      <c r="H232" s="202"/>
      <c r="I232" s="18"/>
      <c r="J232" s="202"/>
      <c r="K232" s="55"/>
      <c r="L232" s="55"/>
      <c r="M232" s="55"/>
      <c r="N232" s="55"/>
      <c r="O232" s="55"/>
      <c r="P232" s="55"/>
      <c r="Q232" s="55"/>
      <c r="R232" s="55"/>
      <c r="S232" s="55"/>
      <c r="T232" s="55"/>
      <c r="U232" s="55"/>
      <c r="V232" s="55"/>
      <c r="W232" s="55"/>
    </row>
    <row r="233">
      <c r="A233" s="61"/>
      <c r="B233" s="202"/>
      <c r="C233" s="61"/>
      <c r="D233" s="202"/>
      <c r="E233" s="61"/>
      <c r="F233" s="202"/>
      <c r="G233" s="61"/>
      <c r="H233" s="202"/>
      <c r="I233" s="18"/>
      <c r="J233" s="202"/>
      <c r="K233" s="55"/>
      <c r="L233" s="55"/>
      <c r="M233" s="55"/>
      <c r="N233" s="55"/>
      <c r="O233" s="55"/>
      <c r="P233" s="55"/>
      <c r="Q233" s="55"/>
      <c r="R233" s="55"/>
      <c r="S233" s="55"/>
      <c r="T233" s="55"/>
      <c r="U233" s="55"/>
      <c r="V233" s="55"/>
      <c r="W233" s="55"/>
    </row>
    <row r="234">
      <c r="A234" s="61"/>
      <c r="B234" s="202"/>
      <c r="C234" s="61"/>
      <c r="D234" s="202"/>
      <c r="E234" s="61"/>
      <c r="F234" s="202"/>
      <c r="G234" s="61"/>
      <c r="H234" s="202"/>
      <c r="I234" s="18"/>
      <c r="J234" s="202"/>
      <c r="K234" s="55"/>
      <c r="L234" s="55"/>
      <c r="M234" s="55"/>
      <c r="N234" s="55"/>
      <c r="O234" s="55"/>
      <c r="P234" s="55"/>
      <c r="Q234" s="55"/>
      <c r="R234" s="55"/>
      <c r="S234" s="55"/>
      <c r="T234" s="55"/>
      <c r="U234" s="55"/>
      <c r="V234" s="55"/>
      <c r="W234" s="55"/>
    </row>
    <row r="235">
      <c r="A235" s="61"/>
      <c r="B235" s="202"/>
      <c r="C235" s="61"/>
      <c r="D235" s="202"/>
      <c r="E235" s="61"/>
      <c r="F235" s="202"/>
      <c r="G235" s="61"/>
      <c r="H235" s="202"/>
      <c r="I235" s="18"/>
      <c r="J235" s="202"/>
      <c r="K235" s="55"/>
      <c r="L235" s="55"/>
      <c r="M235" s="55"/>
      <c r="N235" s="55"/>
      <c r="O235" s="55"/>
      <c r="P235" s="55"/>
      <c r="Q235" s="55"/>
      <c r="R235" s="55"/>
      <c r="S235" s="55"/>
      <c r="T235" s="55"/>
      <c r="U235" s="55"/>
      <c r="V235" s="55"/>
      <c r="W235" s="55"/>
    </row>
    <row r="236">
      <c r="A236" s="61"/>
      <c r="B236" s="202"/>
      <c r="C236" s="61"/>
      <c r="D236" s="202"/>
      <c r="E236" s="61"/>
      <c r="F236" s="202"/>
      <c r="G236" s="61"/>
      <c r="H236" s="202"/>
      <c r="I236" s="18"/>
      <c r="J236" s="202"/>
      <c r="K236" s="55"/>
      <c r="L236" s="55"/>
      <c r="M236" s="55"/>
      <c r="N236" s="55"/>
      <c r="O236" s="55"/>
      <c r="P236" s="55"/>
      <c r="Q236" s="55"/>
      <c r="R236" s="55"/>
      <c r="S236" s="55"/>
      <c r="T236" s="55"/>
      <c r="U236" s="55"/>
      <c r="V236" s="55"/>
      <c r="W236" s="55"/>
    </row>
    <row r="237">
      <c r="A237" s="61"/>
      <c r="B237" s="202"/>
      <c r="C237" s="61"/>
      <c r="D237" s="202"/>
      <c r="E237" s="61"/>
      <c r="F237" s="202"/>
      <c r="G237" s="61"/>
      <c r="H237" s="202"/>
      <c r="I237" s="18"/>
      <c r="J237" s="202"/>
      <c r="K237" s="55"/>
      <c r="L237" s="55"/>
      <c r="M237" s="55"/>
      <c r="N237" s="55"/>
      <c r="O237" s="55"/>
      <c r="P237" s="55"/>
      <c r="Q237" s="55"/>
      <c r="R237" s="55"/>
      <c r="S237" s="55"/>
      <c r="T237" s="55"/>
      <c r="U237" s="55"/>
      <c r="V237" s="55"/>
      <c r="W237" s="55"/>
    </row>
    <row r="238">
      <c r="A238" s="61"/>
      <c r="B238" s="202"/>
      <c r="C238" s="61"/>
      <c r="D238" s="202"/>
      <c r="E238" s="61"/>
      <c r="F238" s="202"/>
      <c r="G238" s="61"/>
      <c r="H238" s="202"/>
      <c r="I238" s="18"/>
      <c r="J238" s="202"/>
      <c r="K238" s="55"/>
      <c r="L238" s="55"/>
      <c r="M238" s="55"/>
      <c r="N238" s="55"/>
      <c r="O238" s="55"/>
      <c r="P238" s="55"/>
      <c r="Q238" s="55"/>
      <c r="R238" s="55"/>
      <c r="S238" s="55"/>
      <c r="T238" s="55"/>
      <c r="U238" s="55"/>
      <c r="V238" s="55"/>
      <c r="W238" s="55"/>
    </row>
    <row r="239">
      <c r="A239" s="61"/>
      <c r="B239" s="202"/>
      <c r="C239" s="61"/>
      <c r="D239" s="202"/>
      <c r="E239" s="61"/>
      <c r="F239" s="202"/>
      <c r="G239" s="61"/>
      <c r="H239" s="202"/>
      <c r="I239" s="18"/>
      <c r="J239" s="202"/>
      <c r="K239" s="55"/>
      <c r="L239" s="55"/>
      <c r="M239" s="55"/>
      <c r="N239" s="55"/>
      <c r="O239" s="55"/>
      <c r="P239" s="55"/>
      <c r="Q239" s="55"/>
      <c r="R239" s="55"/>
      <c r="S239" s="55"/>
      <c r="T239" s="55"/>
      <c r="U239" s="55"/>
      <c r="V239" s="55"/>
      <c r="W239" s="55"/>
    </row>
    <row r="240">
      <c r="A240" s="61"/>
      <c r="B240" s="202"/>
      <c r="C240" s="61"/>
      <c r="D240" s="202"/>
      <c r="E240" s="61"/>
      <c r="F240" s="202"/>
      <c r="G240" s="61"/>
      <c r="H240" s="202"/>
      <c r="I240" s="18"/>
      <c r="J240" s="202"/>
      <c r="K240" s="55"/>
      <c r="L240" s="55"/>
      <c r="M240" s="55"/>
      <c r="N240" s="55"/>
      <c r="O240" s="55"/>
      <c r="P240" s="55"/>
      <c r="Q240" s="55"/>
      <c r="R240" s="55"/>
      <c r="S240" s="55"/>
      <c r="T240" s="55"/>
      <c r="U240" s="55"/>
      <c r="V240" s="55"/>
      <c r="W240" s="55"/>
    </row>
    <row r="241">
      <c r="A241" s="61"/>
      <c r="B241" s="202"/>
      <c r="C241" s="61"/>
      <c r="D241" s="202"/>
      <c r="E241" s="61"/>
      <c r="F241" s="202"/>
      <c r="G241" s="61"/>
      <c r="H241" s="202"/>
      <c r="I241" s="18"/>
      <c r="J241" s="202"/>
      <c r="K241" s="55"/>
      <c r="L241" s="55"/>
      <c r="M241" s="55"/>
      <c r="N241" s="55"/>
      <c r="O241" s="55"/>
      <c r="P241" s="55"/>
      <c r="Q241" s="55"/>
      <c r="R241" s="55"/>
      <c r="S241" s="55"/>
      <c r="T241" s="55"/>
      <c r="U241" s="55"/>
      <c r="V241" s="55"/>
      <c r="W241" s="55"/>
    </row>
    <row r="242">
      <c r="A242" s="61"/>
      <c r="B242" s="202"/>
      <c r="C242" s="61"/>
      <c r="D242" s="202"/>
      <c r="E242" s="61"/>
      <c r="F242" s="202"/>
      <c r="G242" s="61"/>
      <c r="H242" s="202"/>
      <c r="I242" s="18"/>
      <c r="J242" s="202"/>
      <c r="K242" s="55"/>
      <c r="L242" s="55"/>
      <c r="M242" s="55"/>
      <c r="N242" s="55"/>
      <c r="O242" s="55"/>
      <c r="P242" s="55"/>
      <c r="Q242" s="55"/>
      <c r="R242" s="55"/>
      <c r="S242" s="55"/>
      <c r="T242" s="55"/>
      <c r="U242" s="55"/>
      <c r="V242" s="55"/>
      <c r="W242" s="55"/>
    </row>
    <row r="243">
      <c r="A243" s="61"/>
      <c r="B243" s="202"/>
      <c r="C243" s="61"/>
      <c r="D243" s="202"/>
      <c r="E243" s="61"/>
      <c r="F243" s="202"/>
      <c r="G243" s="61"/>
      <c r="H243" s="202"/>
      <c r="I243" s="18"/>
      <c r="J243" s="202"/>
      <c r="K243" s="55"/>
      <c r="L243" s="55"/>
      <c r="M243" s="55"/>
      <c r="N243" s="55"/>
      <c r="O243" s="55"/>
      <c r="P243" s="55"/>
      <c r="Q243" s="55"/>
      <c r="R243" s="55"/>
      <c r="S243" s="55"/>
      <c r="T243" s="55"/>
      <c r="U243" s="55"/>
      <c r="V243" s="55"/>
      <c r="W243" s="55"/>
    </row>
    <row r="244">
      <c r="A244" s="61"/>
      <c r="B244" s="202"/>
      <c r="C244" s="61"/>
      <c r="D244" s="202"/>
      <c r="E244" s="61"/>
      <c r="F244" s="202"/>
      <c r="G244" s="61"/>
      <c r="H244" s="202"/>
      <c r="I244" s="18"/>
      <c r="J244" s="202"/>
      <c r="K244" s="55"/>
      <c r="L244" s="55"/>
      <c r="M244" s="55"/>
      <c r="N244" s="55"/>
      <c r="O244" s="55"/>
      <c r="P244" s="55"/>
      <c r="Q244" s="55"/>
      <c r="R244" s="55"/>
      <c r="S244" s="55"/>
      <c r="T244" s="55"/>
      <c r="U244" s="55"/>
      <c r="V244" s="55"/>
      <c r="W244" s="55"/>
    </row>
    <row r="245">
      <c r="A245" s="61"/>
      <c r="B245" s="202"/>
      <c r="C245" s="61"/>
      <c r="D245" s="202"/>
      <c r="E245" s="61"/>
      <c r="F245" s="202"/>
      <c r="G245" s="61"/>
      <c r="H245" s="202"/>
      <c r="I245" s="18"/>
      <c r="J245" s="202"/>
      <c r="K245" s="55"/>
      <c r="L245" s="55"/>
      <c r="M245" s="55"/>
      <c r="N245" s="55"/>
      <c r="O245" s="55"/>
      <c r="P245" s="55"/>
      <c r="Q245" s="55"/>
      <c r="R245" s="55"/>
      <c r="S245" s="55"/>
      <c r="T245" s="55"/>
      <c r="U245" s="55"/>
      <c r="V245" s="55"/>
      <c r="W245" s="55"/>
    </row>
    <row r="246">
      <c r="A246" s="61"/>
      <c r="B246" s="202"/>
      <c r="C246" s="61"/>
      <c r="D246" s="202"/>
      <c r="E246" s="61"/>
      <c r="F246" s="202"/>
      <c r="G246" s="61"/>
      <c r="H246" s="202"/>
      <c r="I246" s="18"/>
      <c r="J246" s="202"/>
      <c r="K246" s="55"/>
      <c r="L246" s="55"/>
      <c r="M246" s="55"/>
      <c r="N246" s="55"/>
      <c r="O246" s="55"/>
      <c r="P246" s="55"/>
      <c r="Q246" s="55"/>
      <c r="R246" s="55"/>
      <c r="S246" s="55"/>
      <c r="T246" s="55"/>
      <c r="U246" s="55"/>
      <c r="V246" s="55"/>
      <c r="W246" s="55"/>
    </row>
    <row r="247">
      <c r="A247" s="61"/>
      <c r="B247" s="202"/>
      <c r="C247" s="61"/>
      <c r="D247" s="202"/>
      <c r="E247" s="61"/>
      <c r="F247" s="202"/>
      <c r="G247" s="61"/>
      <c r="H247" s="202"/>
      <c r="I247" s="18"/>
      <c r="J247" s="202"/>
      <c r="K247" s="55"/>
      <c r="L247" s="55"/>
      <c r="M247" s="55"/>
      <c r="N247" s="55"/>
      <c r="O247" s="55"/>
      <c r="P247" s="55"/>
      <c r="Q247" s="55"/>
      <c r="R247" s="55"/>
      <c r="S247" s="55"/>
      <c r="T247" s="55"/>
      <c r="U247" s="55"/>
      <c r="V247" s="55"/>
      <c r="W247" s="55"/>
    </row>
    <row r="248">
      <c r="A248" s="61"/>
      <c r="B248" s="202"/>
      <c r="C248" s="61"/>
      <c r="D248" s="202"/>
      <c r="E248" s="61"/>
      <c r="F248" s="202"/>
      <c r="G248" s="61"/>
      <c r="H248" s="202"/>
      <c r="I248" s="18"/>
      <c r="J248" s="202"/>
      <c r="K248" s="55"/>
      <c r="L248" s="55"/>
      <c r="M248" s="55"/>
      <c r="N248" s="55"/>
      <c r="O248" s="55"/>
      <c r="P248" s="55"/>
      <c r="Q248" s="55"/>
      <c r="R248" s="55"/>
      <c r="S248" s="55"/>
      <c r="T248" s="55"/>
      <c r="U248" s="55"/>
      <c r="V248" s="55"/>
      <c r="W248" s="55"/>
    </row>
    <row r="249">
      <c r="A249" s="61"/>
      <c r="B249" s="202"/>
      <c r="C249" s="61"/>
      <c r="D249" s="202"/>
      <c r="E249" s="61"/>
      <c r="F249" s="202"/>
      <c r="G249" s="61"/>
      <c r="H249" s="202"/>
      <c r="I249" s="18"/>
      <c r="J249" s="202"/>
      <c r="K249" s="55"/>
      <c r="L249" s="55"/>
      <c r="M249" s="55"/>
      <c r="N249" s="55"/>
      <c r="O249" s="55"/>
      <c r="P249" s="55"/>
      <c r="Q249" s="55"/>
      <c r="R249" s="55"/>
      <c r="S249" s="55"/>
      <c r="T249" s="55"/>
      <c r="U249" s="55"/>
      <c r="V249" s="55"/>
      <c r="W249" s="55"/>
    </row>
    <row r="250">
      <c r="A250" s="61"/>
      <c r="B250" s="202"/>
      <c r="C250" s="61"/>
      <c r="D250" s="202"/>
      <c r="E250" s="61"/>
      <c r="F250" s="202"/>
      <c r="G250" s="61"/>
      <c r="H250" s="202"/>
      <c r="I250" s="18"/>
      <c r="J250" s="202"/>
      <c r="K250" s="55"/>
      <c r="L250" s="55"/>
      <c r="M250" s="55"/>
      <c r="N250" s="55"/>
      <c r="O250" s="55"/>
      <c r="P250" s="55"/>
      <c r="Q250" s="55"/>
      <c r="R250" s="55"/>
      <c r="S250" s="55"/>
      <c r="T250" s="55"/>
      <c r="U250" s="55"/>
      <c r="V250" s="55"/>
      <c r="W250" s="55"/>
    </row>
    <row r="251">
      <c r="A251" s="61"/>
      <c r="B251" s="202"/>
      <c r="C251" s="61"/>
      <c r="D251" s="202"/>
      <c r="E251" s="61"/>
      <c r="F251" s="202"/>
      <c r="G251" s="61"/>
      <c r="H251" s="202"/>
      <c r="I251" s="18"/>
      <c r="J251" s="202"/>
      <c r="K251" s="55"/>
      <c r="L251" s="55"/>
      <c r="M251" s="55"/>
      <c r="N251" s="55"/>
      <c r="O251" s="55"/>
      <c r="P251" s="55"/>
      <c r="Q251" s="55"/>
      <c r="R251" s="55"/>
      <c r="S251" s="55"/>
      <c r="T251" s="55"/>
      <c r="U251" s="55"/>
      <c r="V251" s="55"/>
      <c r="W251" s="55"/>
    </row>
    <row r="252">
      <c r="A252" s="61"/>
      <c r="B252" s="202"/>
      <c r="C252" s="61"/>
      <c r="D252" s="202"/>
      <c r="E252" s="61"/>
      <c r="F252" s="202"/>
      <c r="G252" s="61"/>
      <c r="H252" s="202"/>
      <c r="I252" s="18"/>
      <c r="J252" s="202"/>
      <c r="K252" s="55"/>
      <c r="L252" s="55"/>
      <c r="M252" s="55"/>
      <c r="N252" s="55"/>
      <c r="O252" s="55"/>
      <c r="P252" s="55"/>
      <c r="Q252" s="55"/>
      <c r="R252" s="55"/>
      <c r="S252" s="55"/>
      <c r="T252" s="55"/>
      <c r="U252" s="55"/>
      <c r="V252" s="55"/>
      <c r="W252" s="55"/>
    </row>
    <row r="253">
      <c r="A253" s="61"/>
      <c r="B253" s="202"/>
      <c r="C253" s="61"/>
      <c r="D253" s="202"/>
      <c r="E253" s="61"/>
      <c r="F253" s="202"/>
      <c r="G253" s="61"/>
      <c r="H253" s="202"/>
      <c r="I253" s="18"/>
      <c r="J253" s="202"/>
      <c r="K253" s="55"/>
      <c r="L253" s="55"/>
      <c r="M253" s="55"/>
      <c r="N253" s="55"/>
      <c r="O253" s="55"/>
      <c r="P253" s="55"/>
      <c r="Q253" s="55"/>
      <c r="R253" s="55"/>
      <c r="S253" s="55"/>
      <c r="T253" s="55"/>
      <c r="U253" s="55"/>
      <c r="V253" s="55"/>
      <c r="W253" s="55"/>
    </row>
    <row r="254">
      <c r="A254" s="61"/>
      <c r="B254" s="202"/>
      <c r="C254" s="61"/>
      <c r="D254" s="202"/>
      <c r="E254" s="61"/>
      <c r="F254" s="202"/>
      <c r="G254" s="61"/>
      <c r="H254" s="202"/>
      <c r="I254" s="18"/>
      <c r="J254" s="202"/>
      <c r="K254" s="55"/>
      <c r="L254" s="55"/>
      <c r="M254" s="55"/>
      <c r="N254" s="55"/>
      <c r="O254" s="55"/>
      <c r="P254" s="55"/>
      <c r="Q254" s="55"/>
      <c r="R254" s="55"/>
      <c r="S254" s="55"/>
      <c r="T254" s="55"/>
      <c r="U254" s="55"/>
      <c r="V254" s="55"/>
      <c r="W254" s="55"/>
    </row>
    <row r="255">
      <c r="A255" s="61"/>
      <c r="B255" s="202"/>
      <c r="C255" s="61"/>
      <c r="D255" s="202"/>
      <c r="E255" s="61"/>
      <c r="F255" s="202"/>
      <c r="G255" s="61"/>
      <c r="H255" s="202"/>
      <c r="I255" s="18"/>
      <c r="J255" s="202"/>
      <c r="K255" s="55"/>
      <c r="L255" s="55"/>
      <c r="M255" s="55"/>
      <c r="N255" s="55"/>
      <c r="O255" s="55"/>
      <c r="P255" s="55"/>
      <c r="Q255" s="55"/>
      <c r="R255" s="55"/>
      <c r="S255" s="55"/>
      <c r="T255" s="55"/>
      <c r="U255" s="55"/>
      <c r="V255" s="55"/>
      <c r="W255" s="55"/>
    </row>
    <row r="256">
      <c r="A256" s="61"/>
      <c r="B256" s="202"/>
      <c r="C256" s="61"/>
      <c r="D256" s="202"/>
      <c r="E256" s="61"/>
      <c r="F256" s="202"/>
      <c r="G256" s="61"/>
      <c r="H256" s="202"/>
      <c r="I256" s="18"/>
      <c r="J256" s="202"/>
      <c r="K256" s="55"/>
      <c r="L256" s="55"/>
      <c r="M256" s="55"/>
      <c r="N256" s="55"/>
      <c r="O256" s="55"/>
      <c r="P256" s="55"/>
      <c r="Q256" s="55"/>
      <c r="R256" s="55"/>
      <c r="S256" s="55"/>
      <c r="T256" s="55"/>
      <c r="U256" s="55"/>
      <c r="V256" s="55"/>
      <c r="W256" s="55"/>
    </row>
    <row r="257">
      <c r="A257" s="61"/>
      <c r="B257" s="202"/>
      <c r="C257" s="61"/>
      <c r="D257" s="202"/>
      <c r="E257" s="61"/>
      <c r="F257" s="202"/>
      <c r="G257" s="61"/>
      <c r="H257" s="202"/>
      <c r="I257" s="18"/>
      <c r="J257" s="202"/>
      <c r="K257" s="55"/>
      <c r="L257" s="55"/>
      <c r="M257" s="55"/>
      <c r="N257" s="55"/>
      <c r="O257" s="55"/>
      <c r="P257" s="55"/>
      <c r="Q257" s="55"/>
      <c r="R257" s="55"/>
      <c r="S257" s="55"/>
      <c r="T257" s="55"/>
      <c r="U257" s="55"/>
      <c r="V257" s="55"/>
      <c r="W257" s="55"/>
    </row>
    <row r="258">
      <c r="A258" s="61"/>
      <c r="B258" s="202"/>
      <c r="C258" s="61"/>
      <c r="D258" s="202"/>
      <c r="E258" s="61"/>
      <c r="F258" s="202"/>
      <c r="G258" s="61"/>
      <c r="H258" s="202"/>
      <c r="I258" s="18"/>
      <c r="J258" s="202"/>
      <c r="K258" s="55"/>
      <c r="L258" s="55"/>
      <c r="M258" s="55"/>
      <c r="N258" s="55"/>
      <c r="O258" s="55"/>
      <c r="P258" s="55"/>
      <c r="Q258" s="55"/>
      <c r="R258" s="55"/>
      <c r="S258" s="55"/>
      <c r="T258" s="55"/>
      <c r="U258" s="55"/>
      <c r="V258" s="55"/>
      <c r="W258" s="55"/>
    </row>
    <row r="259">
      <c r="A259" s="61"/>
      <c r="B259" s="202"/>
      <c r="C259" s="61"/>
      <c r="D259" s="202"/>
      <c r="E259" s="61"/>
      <c r="F259" s="202"/>
      <c r="G259" s="61"/>
      <c r="H259" s="202"/>
      <c r="I259" s="18"/>
      <c r="J259" s="202"/>
      <c r="K259" s="55"/>
      <c r="L259" s="55"/>
      <c r="M259" s="55"/>
      <c r="N259" s="55"/>
      <c r="O259" s="55"/>
      <c r="P259" s="55"/>
      <c r="Q259" s="55"/>
      <c r="R259" s="55"/>
      <c r="S259" s="55"/>
      <c r="T259" s="55"/>
      <c r="U259" s="55"/>
      <c r="V259" s="55"/>
      <c r="W259" s="55"/>
    </row>
    <row r="260">
      <c r="A260" s="61"/>
      <c r="B260" s="202"/>
      <c r="C260" s="61"/>
      <c r="D260" s="202"/>
      <c r="E260" s="61"/>
      <c r="F260" s="202"/>
      <c r="G260" s="61"/>
      <c r="H260" s="202"/>
      <c r="I260" s="18"/>
      <c r="J260" s="202"/>
      <c r="K260" s="55"/>
      <c r="L260" s="55"/>
      <c r="M260" s="55"/>
      <c r="N260" s="55"/>
      <c r="O260" s="55"/>
      <c r="P260" s="55"/>
      <c r="Q260" s="55"/>
      <c r="R260" s="55"/>
      <c r="S260" s="55"/>
      <c r="T260" s="55"/>
      <c r="U260" s="55"/>
      <c r="V260" s="55"/>
      <c r="W260" s="55"/>
    </row>
    <row r="261">
      <c r="A261" s="61"/>
      <c r="B261" s="202"/>
      <c r="C261" s="61"/>
      <c r="D261" s="202"/>
      <c r="E261" s="61"/>
      <c r="F261" s="202"/>
      <c r="G261" s="61"/>
      <c r="H261" s="202"/>
      <c r="I261" s="18"/>
      <c r="J261" s="202"/>
      <c r="K261" s="55"/>
      <c r="L261" s="55"/>
      <c r="M261" s="55"/>
      <c r="N261" s="55"/>
      <c r="O261" s="55"/>
      <c r="P261" s="55"/>
      <c r="Q261" s="55"/>
      <c r="R261" s="55"/>
      <c r="S261" s="55"/>
      <c r="T261" s="55"/>
      <c r="U261" s="55"/>
      <c r="V261" s="55"/>
      <c r="W261" s="55"/>
    </row>
    <row r="262">
      <c r="A262" s="61"/>
      <c r="B262" s="202"/>
      <c r="C262" s="61"/>
      <c r="D262" s="202"/>
      <c r="E262" s="61"/>
      <c r="F262" s="202"/>
      <c r="G262" s="61"/>
      <c r="H262" s="202"/>
      <c r="I262" s="18"/>
      <c r="J262" s="202"/>
      <c r="K262" s="55"/>
      <c r="L262" s="55"/>
      <c r="M262" s="55"/>
      <c r="N262" s="55"/>
      <c r="O262" s="55"/>
      <c r="P262" s="55"/>
      <c r="Q262" s="55"/>
      <c r="R262" s="55"/>
      <c r="S262" s="55"/>
      <c r="T262" s="55"/>
      <c r="U262" s="55"/>
      <c r="V262" s="55"/>
      <c r="W262" s="55"/>
    </row>
    <row r="263">
      <c r="A263" s="61"/>
      <c r="B263" s="202"/>
      <c r="C263" s="61"/>
      <c r="D263" s="202"/>
      <c r="E263" s="61"/>
      <c r="F263" s="202"/>
      <c r="G263" s="61"/>
      <c r="H263" s="202"/>
      <c r="I263" s="18"/>
      <c r="J263" s="202"/>
      <c r="K263" s="55"/>
      <c r="L263" s="55"/>
      <c r="M263" s="55"/>
      <c r="N263" s="55"/>
      <c r="O263" s="55"/>
      <c r="P263" s="55"/>
      <c r="Q263" s="55"/>
      <c r="R263" s="55"/>
      <c r="S263" s="55"/>
      <c r="T263" s="55"/>
      <c r="U263" s="55"/>
      <c r="V263" s="55"/>
      <c r="W263" s="55"/>
    </row>
    <row r="264">
      <c r="A264" s="61"/>
      <c r="B264" s="202"/>
      <c r="C264" s="61"/>
      <c r="D264" s="202"/>
      <c r="E264" s="61"/>
      <c r="F264" s="202"/>
      <c r="G264" s="61"/>
      <c r="H264" s="202"/>
      <c r="I264" s="18"/>
      <c r="J264" s="202"/>
      <c r="K264" s="55"/>
      <c r="L264" s="55"/>
      <c r="M264" s="55"/>
      <c r="N264" s="55"/>
      <c r="O264" s="55"/>
      <c r="P264" s="55"/>
      <c r="Q264" s="55"/>
      <c r="R264" s="55"/>
      <c r="S264" s="55"/>
      <c r="T264" s="55"/>
      <c r="U264" s="55"/>
      <c r="V264" s="55"/>
      <c r="W264" s="55"/>
    </row>
    <row r="265">
      <c r="A265" s="61"/>
      <c r="B265" s="202"/>
      <c r="C265" s="61"/>
      <c r="D265" s="202"/>
      <c r="E265" s="61"/>
      <c r="F265" s="202"/>
      <c r="G265" s="61"/>
      <c r="H265" s="202"/>
      <c r="I265" s="18"/>
      <c r="J265" s="202"/>
      <c r="K265" s="55"/>
      <c r="L265" s="55"/>
      <c r="M265" s="55"/>
      <c r="N265" s="55"/>
      <c r="O265" s="55"/>
      <c r="P265" s="55"/>
      <c r="Q265" s="55"/>
      <c r="R265" s="55"/>
      <c r="S265" s="55"/>
      <c r="T265" s="55"/>
      <c r="U265" s="55"/>
      <c r="V265" s="55"/>
      <c r="W265" s="55"/>
    </row>
    <row r="266">
      <c r="A266" s="61"/>
      <c r="B266" s="202"/>
      <c r="C266" s="61"/>
      <c r="D266" s="202"/>
      <c r="E266" s="61"/>
      <c r="F266" s="202"/>
      <c r="G266" s="61"/>
      <c r="H266" s="202"/>
      <c r="I266" s="18"/>
      <c r="J266" s="202"/>
      <c r="K266" s="55"/>
      <c r="L266" s="55"/>
      <c r="M266" s="55"/>
      <c r="N266" s="55"/>
      <c r="O266" s="55"/>
      <c r="P266" s="55"/>
      <c r="Q266" s="55"/>
      <c r="R266" s="55"/>
      <c r="S266" s="55"/>
      <c r="T266" s="55"/>
      <c r="U266" s="55"/>
      <c r="V266" s="55"/>
      <c r="W266" s="55"/>
    </row>
    <row r="267">
      <c r="A267" s="61"/>
      <c r="B267" s="202"/>
      <c r="C267" s="61"/>
      <c r="D267" s="202"/>
      <c r="E267" s="61"/>
      <c r="F267" s="202"/>
      <c r="G267" s="61"/>
      <c r="H267" s="202"/>
      <c r="I267" s="18"/>
      <c r="J267" s="202"/>
      <c r="K267" s="55"/>
      <c r="L267" s="55"/>
      <c r="M267" s="55"/>
      <c r="N267" s="55"/>
      <c r="O267" s="55"/>
      <c r="P267" s="55"/>
      <c r="Q267" s="55"/>
      <c r="R267" s="55"/>
      <c r="S267" s="55"/>
      <c r="T267" s="55"/>
      <c r="U267" s="55"/>
      <c r="V267" s="55"/>
      <c r="W267" s="55"/>
    </row>
    <row r="268">
      <c r="A268" s="61"/>
      <c r="B268" s="202"/>
      <c r="C268" s="61"/>
      <c r="D268" s="202"/>
      <c r="E268" s="61"/>
      <c r="F268" s="202"/>
      <c r="G268" s="61"/>
      <c r="H268" s="202"/>
      <c r="I268" s="18"/>
      <c r="J268" s="202"/>
      <c r="K268" s="55"/>
      <c r="L268" s="55"/>
      <c r="M268" s="55"/>
      <c r="N268" s="55"/>
      <c r="O268" s="55"/>
      <c r="P268" s="55"/>
      <c r="Q268" s="55"/>
      <c r="R268" s="55"/>
      <c r="S268" s="55"/>
      <c r="T268" s="55"/>
      <c r="U268" s="55"/>
      <c r="V268" s="55"/>
      <c r="W268" s="55"/>
    </row>
    <row r="269">
      <c r="A269" s="61"/>
      <c r="B269" s="202"/>
      <c r="C269" s="61"/>
      <c r="D269" s="202"/>
      <c r="E269" s="61"/>
      <c r="F269" s="202"/>
      <c r="G269" s="61"/>
      <c r="H269" s="202"/>
      <c r="I269" s="18"/>
      <c r="J269" s="202"/>
      <c r="K269" s="55"/>
      <c r="L269" s="55"/>
      <c r="M269" s="55"/>
      <c r="N269" s="55"/>
      <c r="O269" s="55"/>
      <c r="P269" s="55"/>
      <c r="Q269" s="55"/>
      <c r="R269" s="55"/>
      <c r="S269" s="55"/>
      <c r="T269" s="55"/>
      <c r="U269" s="55"/>
      <c r="V269" s="55"/>
      <c r="W269" s="55"/>
    </row>
    <row r="270">
      <c r="A270" s="61"/>
      <c r="B270" s="202"/>
      <c r="C270" s="61"/>
      <c r="D270" s="202"/>
      <c r="E270" s="61"/>
      <c r="F270" s="202"/>
      <c r="G270" s="61"/>
      <c r="H270" s="202"/>
      <c r="I270" s="18"/>
      <c r="J270" s="202"/>
      <c r="K270" s="55"/>
      <c r="L270" s="55"/>
      <c r="M270" s="55"/>
      <c r="N270" s="55"/>
      <c r="O270" s="55"/>
      <c r="P270" s="55"/>
      <c r="Q270" s="55"/>
      <c r="R270" s="55"/>
      <c r="S270" s="55"/>
      <c r="T270" s="55"/>
      <c r="U270" s="55"/>
      <c r="V270" s="55"/>
      <c r="W270" s="55"/>
    </row>
    <row r="271">
      <c r="A271" s="61"/>
      <c r="B271" s="202"/>
      <c r="C271" s="61"/>
      <c r="D271" s="202"/>
      <c r="E271" s="61"/>
      <c r="F271" s="202"/>
      <c r="G271" s="61"/>
      <c r="H271" s="202"/>
      <c r="I271" s="18"/>
      <c r="J271" s="202"/>
      <c r="K271" s="55"/>
      <c r="L271" s="55"/>
      <c r="M271" s="55"/>
      <c r="N271" s="55"/>
      <c r="O271" s="55"/>
      <c r="P271" s="55"/>
      <c r="Q271" s="55"/>
      <c r="R271" s="55"/>
      <c r="S271" s="55"/>
      <c r="T271" s="55"/>
      <c r="U271" s="55"/>
      <c r="V271" s="55"/>
      <c r="W271" s="55"/>
    </row>
    <row r="272">
      <c r="A272" s="61"/>
      <c r="B272" s="202"/>
      <c r="C272" s="61"/>
      <c r="D272" s="202"/>
      <c r="E272" s="61"/>
      <c r="F272" s="202"/>
      <c r="G272" s="61"/>
      <c r="H272" s="202"/>
      <c r="I272" s="18"/>
      <c r="J272" s="202"/>
      <c r="K272" s="55"/>
      <c r="L272" s="55"/>
      <c r="M272" s="55"/>
      <c r="N272" s="55"/>
      <c r="O272" s="55"/>
      <c r="P272" s="55"/>
      <c r="Q272" s="55"/>
      <c r="R272" s="55"/>
      <c r="S272" s="55"/>
      <c r="T272" s="55"/>
      <c r="U272" s="55"/>
      <c r="V272" s="55"/>
      <c r="W272" s="55"/>
    </row>
    <row r="273">
      <c r="A273" s="61"/>
      <c r="B273" s="202"/>
      <c r="C273" s="61"/>
      <c r="D273" s="202"/>
      <c r="E273" s="61"/>
      <c r="F273" s="202"/>
      <c r="G273" s="61"/>
      <c r="H273" s="202"/>
      <c r="I273" s="18"/>
      <c r="J273" s="202"/>
      <c r="K273" s="55"/>
      <c r="L273" s="55"/>
      <c r="M273" s="55"/>
      <c r="N273" s="55"/>
      <c r="O273" s="55"/>
      <c r="P273" s="55"/>
      <c r="Q273" s="55"/>
      <c r="R273" s="55"/>
      <c r="S273" s="55"/>
      <c r="T273" s="55"/>
      <c r="U273" s="55"/>
      <c r="V273" s="55"/>
      <c r="W273" s="55"/>
    </row>
    <row r="274">
      <c r="A274" s="61"/>
      <c r="B274" s="202"/>
      <c r="C274" s="61"/>
      <c r="D274" s="202"/>
      <c r="E274" s="61"/>
      <c r="F274" s="202"/>
      <c r="G274" s="61"/>
      <c r="H274" s="202"/>
      <c r="I274" s="18"/>
      <c r="J274" s="202"/>
      <c r="K274" s="55"/>
      <c r="L274" s="55"/>
      <c r="M274" s="55"/>
      <c r="N274" s="55"/>
      <c r="O274" s="55"/>
      <c r="P274" s="55"/>
      <c r="Q274" s="55"/>
      <c r="R274" s="55"/>
      <c r="S274" s="55"/>
      <c r="T274" s="55"/>
      <c r="U274" s="55"/>
      <c r="V274" s="55"/>
      <c r="W274" s="55"/>
    </row>
    <row r="275">
      <c r="A275" s="61"/>
      <c r="B275" s="202"/>
      <c r="C275" s="61"/>
      <c r="D275" s="202"/>
      <c r="E275" s="61"/>
      <c r="F275" s="202"/>
      <c r="G275" s="61"/>
      <c r="H275" s="202"/>
      <c r="I275" s="18"/>
      <c r="J275" s="202"/>
      <c r="K275" s="55"/>
      <c r="L275" s="55"/>
      <c r="M275" s="55"/>
      <c r="N275" s="55"/>
      <c r="O275" s="55"/>
      <c r="P275" s="55"/>
      <c r="Q275" s="55"/>
      <c r="R275" s="55"/>
      <c r="S275" s="55"/>
      <c r="T275" s="55"/>
      <c r="U275" s="55"/>
      <c r="V275" s="55"/>
      <c r="W275" s="55"/>
    </row>
    <row r="276">
      <c r="A276" s="61"/>
      <c r="B276" s="202"/>
      <c r="C276" s="61"/>
      <c r="D276" s="202"/>
      <c r="E276" s="61"/>
      <c r="F276" s="202"/>
      <c r="G276" s="61"/>
      <c r="H276" s="202"/>
      <c r="I276" s="18"/>
      <c r="J276" s="202"/>
      <c r="K276" s="55"/>
      <c r="L276" s="55"/>
      <c r="M276" s="55"/>
      <c r="N276" s="55"/>
      <c r="O276" s="55"/>
      <c r="P276" s="55"/>
      <c r="Q276" s="55"/>
      <c r="R276" s="55"/>
      <c r="S276" s="55"/>
      <c r="T276" s="55"/>
      <c r="U276" s="55"/>
      <c r="V276" s="55"/>
      <c r="W276" s="55"/>
    </row>
    <row r="277">
      <c r="A277" s="61"/>
      <c r="B277" s="202"/>
      <c r="C277" s="61"/>
      <c r="D277" s="202"/>
      <c r="E277" s="61"/>
      <c r="F277" s="202"/>
      <c r="G277" s="61"/>
      <c r="H277" s="202"/>
      <c r="I277" s="18"/>
      <c r="J277" s="202"/>
      <c r="K277" s="55"/>
      <c r="L277" s="55"/>
      <c r="M277" s="55"/>
      <c r="N277" s="55"/>
      <c r="O277" s="55"/>
      <c r="P277" s="55"/>
      <c r="Q277" s="55"/>
      <c r="R277" s="55"/>
      <c r="S277" s="55"/>
      <c r="T277" s="55"/>
      <c r="U277" s="55"/>
      <c r="V277" s="55"/>
      <c r="W277" s="55"/>
    </row>
    <row r="278">
      <c r="A278" s="61"/>
      <c r="B278" s="202"/>
      <c r="C278" s="61"/>
      <c r="D278" s="202"/>
      <c r="E278" s="61"/>
      <c r="F278" s="202"/>
      <c r="G278" s="61"/>
      <c r="H278" s="202"/>
      <c r="I278" s="18"/>
      <c r="J278" s="202"/>
      <c r="K278" s="55"/>
      <c r="L278" s="55"/>
      <c r="M278" s="55"/>
      <c r="N278" s="55"/>
      <c r="O278" s="55"/>
      <c r="P278" s="55"/>
      <c r="Q278" s="55"/>
      <c r="R278" s="55"/>
      <c r="S278" s="55"/>
      <c r="T278" s="55"/>
      <c r="U278" s="55"/>
      <c r="V278" s="55"/>
      <c r="W278" s="55"/>
    </row>
    <row r="279">
      <c r="A279" s="61"/>
      <c r="B279" s="202"/>
      <c r="C279" s="61"/>
      <c r="D279" s="202"/>
      <c r="E279" s="61"/>
      <c r="F279" s="202"/>
      <c r="G279" s="61"/>
      <c r="H279" s="202"/>
      <c r="I279" s="18"/>
      <c r="J279" s="202"/>
      <c r="K279" s="55"/>
      <c r="L279" s="55"/>
      <c r="M279" s="55"/>
      <c r="N279" s="55"/>
      <c r="O279" s="55"/>
      <c r="P279" s="55"/>
      <c r="Q279" s="55"/>
      <c r="R279" s="55"/>
      <c r="S279" s="55"/>
      <c r="T279" s="55"/>
      <c r="U279" s="55"/>
      <c r="V279" s="55"/>
      <c r="W279" s="55"/>
    </row>
    <row r="280">
      <c r="A280" s="61"/>
      <c r="B280" s="202"/>
      <c r="C280" s="61"/>
      <c r="D280" s="202"/>
      <c r="E280" s="61"/>
      <c r="F280" s="202"/>
      <c r="G280" s="61"/>
      <c r="H280" s="202"/>
      <c r="I280" s="18"/>
      <c r="J280" s="202"/>
      <c r="K280" s="55"/>
      <c r="L280" s="55"/>
      <c r="M280" s="55"/>
      <c r="N280" s="55"/>
      <c r="O280" s="55"/>
      <c r="P280" s="55"/>
      <c r="Q280" s="55"/>
      <c r="R280" s="55"/>
      <c r="S280" s="55"/>
      <c r="T280" s="55"/>
      <c r="U280" s="55"/>
      <c r="V280" s="55"/>
      <c r="W280" s="55"/>
    </row>
    <row r="281">
      <c r="A281" s="61"/>
      <c r="B281" s="202"/>
      <c r="C281" s="61"/>
      <c r="D281" s="202"/>
      <c r="E281" s="61"/>
      <c r="F281" s="202"/>
      <c r="G281" s="61"/>
      <c r="H281" s="202"/>
      <c r="I281" s="18"/>
      <c r="J281" s="202"/>
      <c r="K281" s="55"/>
      <c r="L281" s="55"/>
      <c r="M281" s="55"/>
      <c r="N281" s="55"/>
      <c r="O281" s="55"/>
      <c r="P281" s="55"/>
      <c r="Q281" s="55"/>
      <c r="R281" s="55"/>
      <c r="S281" s="55"/>
      <c r="T281" s="55"/>
      <c r="U281" s="55"/>
      <c r="V281" s="55"/>
      <c r="W281" s="55"/>
    </row>
    <row r="282">
      <c r="A282" s="61"/>
      <c r="B282" s="202"/>
      <c r="C282" s="61"/>
      <c r="D282" s="202"/>
      <c r="E282" s="61"/>
      <c r="F282" s="202"/>
      <c r="G282" s="61"/>
      <c r="H282" s="202"/>
      <c r="I282" s="18"/>
      <c r="J282" s="202"/>
      <c r="K282" s="55"/>
      <c r="L282" s="55"/>
      <c r="M282" s="55"/>
      <c r="N282" s="55"/>
      <c r="O282" s="55"/>
      <c r="P282" s="55"/>
      <c r="Q282" s="55"/>
      <c r="R282" s="55"/>
      <c r="S282" s="55"/>
      <c r="T282" s="55"/>
      <c r="U282" s="55"/>
      <c r="V282" s="55"/>
      <c r="W282" s="55"/>
    </row>
    <row r="283">
      <c r="A283" s="61"/>
      <c r="B283" s="202"/>
      <c r="C283" s="61"/>
      <c r="D283" s="202"/>
      <c r="E283" s="61"/>
      <c r="F283" s="202"/>
      <c r="G283" s="61"/>
      <c r="H283" s="202"/>
      <c r="I283" s="18"/>
      <c r="J283" s="202"/>
      <c r="K283" s="55"/>
      <c r="L283" s="55"/>
      <c r="M283" s="55"/>
      <c r="N283" s="55"/>
      <c r="O283" s="55"/>
      <c r="P283" s="55"/>
      <c r="Q283" s="55"/>
      <c r="R283" s="55"/>
      <c r="S283" s="55"/>
      <c r="T283" s="55"/>
      <c r="U283" s="55"/>
      <c r="V283" s="55"/>
      <c r="W283" s="55"/>
    </row>
    <row r="284">
      <c r="A284" s="61"/>
      <c r="B284" s="202"/>
      <c r="C284" s="61"/>
      <c r="D284" s="202"/>
      <c r="E284" s="61"/>
      <c r="F284" s="202"/>
      <c r="G284" s="61"/>
      <c r="H284" s="202"/>
      <c r="I284" s="18"/>
      <c r="J284" s="202"/>
      <c r="K284" s="55"/>
      <c r="L284" s="55"/>
      <c r="M284" s="55"/>
      <c r="N284" s="55"/>
      <c r="O284" s="55"/>
      <c r="P284" s="55"/>
      <c r="Q284" s="55"/>
      <c r="R284" s="55"/>
      <c r="S284" s="55"/>
      <c r="T284" s="55"/>
      <c r="U284" s="55"/>
      <c r="V284" s="55"/>
      <c r="W284" s="55"/>
    </row>
    <row r="285">
      <c r="A285" s="61"/>
      <c r="B285" s="202"/>
      <c r="C285" s="61"/>
      <c r="D285" s="202"/>
      <c r="E285" s="61"/>
      <c r="F285" s="202"/>
      <c r="G285" s="61"/>
      <c r="H285" s="202"/>
      <c r="I285" s="18"/>
      <c r="J285" s="202"/>
      <c r="K285" s="55"/>
      <c r="L285" s="55"/>
      <c r="M285" s="55"/>
      <c r="N285" s="55"/>
      <c r="O285" s="55"/>
      <c r="P285" s="55"/>
      <c r="Q285" s="55"/>
      <c r="R285" s="55"/>
      <c r="S285" s="55"/>
      <c r="T285" s="55"/>
      <c r="U285" s="55"/>
      <c r="V285" s="55"/>
      <c r="W285" s="55"/>
    </row>
    <row r="286">
      <c r="A286" s="61"/>
      <c r="B286" s="202"/>
      <c r="C286" s="61"/>
      <c r="D286" s="202"/>
      <c r="E286" s="61"/>
      <c r="F286" s="202"/>
      <c r="G286" s="61"/>
      <c r="H286" s="202"/>
      <c r="I286" s="18"/>
      <c r="J286" s="202"/>
      <c r="K286" s="55"/>
      <c r="L286" s="55"/>
      <c r="M286" s="55"/>
      <c r="N286" s="55"/>
      <c r="O286" s="55"/>
      <c r="P286" s="55"/>
      <c r="Q286" s="55"/>
      <c r="R286" s="55"/>
      <c r="S286" s="55"/>
      <c r="T286" s="55"/>
      <c r="U286" s="55"/>
      <c r="V286" s="55"/>
      <c r="W286" s="55"/>
    </row>
    <row r="287">
      <c r="A287" s="61"/>
      <c r="B287" s="202"/>
      <c r="C287" s="61"/>
      <c r="D287" s="202"/>
      <c r="E287" s="61"/>
      <c r="F287" s="202"/>
      <c r="G287" s="61"/>
      <c r="H287" s="202"/>
      <c r="I287" s="18"/>
      <c r="J287" s="202"/>
      <c r="K287" s="55"/>
      <c r="L287" s="55"/>
      <c r="M287" s="55"/>
      <c r="N287" s="55"/>
      <c r="O287" s="55"/>
      <c r="P287" s="55"/>
      <c r="Q287" s="55"/>
      <c r="R287" s="55"/>
      <c r="S287" s="55"/>
      <c r="T287" s="55"/>
      <c r="U287" s="55"/>
      <c r="V287" s="55"/>
      <c r="W287" s="55"/>
    </row>
    <row r="288">
      <c r="A288" s="61"/>
      <c r="B288" s="202"/>
      <c r="C288" s="61"/>
      <c r="D288" s="202"/>
      <c r="E288" s="61"/>
      <c r="F288" s="202"/>
      <c r="G288" s="61"/>
      <c r="H288" s="202"/>
      <c r="I288" s="18"/>
      <c r="J288" s="202"/>
      <c r="K288" s="55"/>
      <c r="L288" s="55"/>
      <c r="M288" s="55"/>
      <c r="N288" s="55"/>
      <c r="O288" s="55"/>
      <c r="P288" s="55"/>
      <c r="Q288" s="55"/>
      <c r="R288" s="55"/>
      <c r="S288" s="55"/>
      <c r="T288" s="55"/>
      <c r="U288" s="55"/>
      <c r="V288" s="55"/>
      <c r="W288" s="55"/>
    </row>
    <row r="289">
      <c r="A289" s="61"/>
      <c r="B289" s="202"/>
      <c r="C289" s="61"/>
      <c r="D289" s="202"/>
      <c r="E289" s="61"/>
      <c r="F289" s="202"/>
      <c r="G289" s="61"/>
      <c r="H289" s="202"/>
      <c r="I289" s="18"/>
      <c r="J289" s="202"/>
      <c r="K289" s="55"/>
      <c r="L289" s="55"/>
      <c r="M289" s="55"/>
      <c r="N289" s="55"/>
      <c r="O289" s="55"/>
      <c r="P289" s="55"/>
      <c r="Q289" s="55"/>
      <c r="R289" s="55"/>
      <c r="S289" s="55"/>
      <c r="T289" s="55"/>
      <c r="U289" s="55"/>
      <c r="V289" s="55"/>
      <c r="W289" s="55"/>
    </row>
    <row r="290">
      <c r="A290" s="61"/>
      <c r="B290" s="202"/>
      <c r="C290" s="61"/>
      <c r="D290" s="202"/>
      <c r="E290" s="61"/>
      <c r="F290" s="202"/>
      <c r="G290" s="61"/>
      <c r="H290" s="202"/>
      <c r="I290" s="18"/>
      <c r="J290" s="202"/>
      <c r="K290" s="55"/>
      <c r="L290" s="55"/>
      <c r="M290" s="55"/>
      <c r="N290" s="55"/>
      <c r="O290" s="55"/>
      <c r="P290" s="55"/>
      <c r="Q290" s="55"/>
      <c r="R290" s="55"/>
      <c r="S290" s="55"/>
      <c r="T290" s="55"/>
      <c r="U290" s="55"/>
      <c r="V290" s="55"/>
      <c r="W290" s="55"/>
    </row>
    <row r="291">
      <c r="A291" s="61"/>
      <c r="B291" s="202"/>
      <c r="C291" s="61"/>
      <c r="D291" s="202"/>
      <c r="E291" s="61"/>
      <c r="F291" s="202"/>
      <c r="G291" s="61"/>
      <c r="H291" s="202"/>
      <c r="I291" s="18"/>
      <c r="J291" s="202"/>
      <c r="K291" s="55"/>
      <c r="L291" s="55"/>
      <c r="M291" s="55"/>
      <c r="N291" s="55"/>
      <c r="O291" s="55"/>
      <c r="P291" s="55"/>
      <c r="Q291" s="55"/>
      <c r="R291" s="55"/>
      <c r="S291" s="55"/>
      <c r="T291" s="55"/>
      <c r="U291" s="55"/>
      <c r="V291" s="55"/>
      <c r="W291" s="55"/>
    </row>
    <row r="292">
      <c r="A292" s="61"/>
      <c r="B292" s="202"/>
      <c r="C292" s="61"/>
      <c r="D292" s="202"/>
      <c r="E292" s="61"/>
      <c r="F292" s="202"/>
      <c r="G292" s="61"/>
      <c r="H292" s="202"/>
      <c r="I292" s="18"/>
      <c r="J292" s="202"/>
      <c r="K292" s="55"/>
      <c r="L292" s="55"/>
      <c r="M292" s="55"/>
      <c r="N292" s="55"/>
      <c r="O292" s="55"/>
      <c r="P292" s="55"/>
      <c r="Q292" s="55"/>
      <c r="R292" s="55"/>
      <c r="S292" s="55"/>
      <c r="T292" s="55"/>
      <c r="U292" s="55"/>
      <c r="V292" s="55"/>
      <c r="W292" s="55"/>
    </row>
    <row r="293">
      <c r="A293" s="61"/>
      <c r="B293" s="202"/>
      <c r="C293" s="61"/>
      <c r="D293" s="202"/>
      <c r="E293" s="61"/>
      <c r="F293" s="202"/>
      <c r="G293" s="61"/>
      <c r="H293" s="202"/>
      <c r="I293" s="18"/>
      <c r="J293" s="202"/>
      <c r="K293" s="55"/>
      <c r="L293" s="55"/>
      <c r="M293" s="55"/>
      <c r="N293" s="55"/>
      <c r="O293" s="55"/>
      <c r="P293" s="55"/>
      <c r="Q293" s="55"/>
      <c r="R293" s="55"/>
      <c r="S293" s="55"/>
      <c r="T293" s="55"/>
      <c r="U293" s="55"/>
      <c r="V293" s="55"/>
      <c r="W293" s="55"/>
    </row>
    <row r="294">
      <c r="A294" s="61"/>
      <c r="B294" s="202"/>
      <c r="C294" s="61"/>
      <c r="D294" s="202"/>
      <c r="E294" s="61"/>
      <c r="F294" s="202"/>
      <c r="G294" s="61"/>
      <c r="H294" s="202"/>
      <c r="I294" s="18"/>
      <c r="J294" s="202"/>
      <c r="K294" s="55"/>
      <c r="L294" s="55"/>
      <c r="M294" s="55"/>
      <c r="N294" s="55"/>
      <c r="O294" s="55"/>
      <c r="P294" s="55"/>
      <c r="Q294" s="55"/>
      <c r="R294" s="55"/>
      <c r="S294" s="55"/>
      <c r="T294" s="55"/>
      <c r="U294" s="55"/>
      <c r="V294" s="55"/>
      <c r="W294" s="55"/>
    </row>
    <row r="295">
      <c r="A295" s="61"/>
      <c r="B295" s="202"/>
      <c r="C295" s="61"/>
      <c r="D295" s="202"/>
      <c r="E295" s="61"/>
      <c r="F295" s="202"/>
      <c r="G295" s="61"/>
      <c r="H295" s="202"/>
      <c r="I295" s="18"/>
      <c r="J295" s="202"/>
      <c r="K295" s="55"/>
      <c r="L295" s="55"/>
      <c r="M295" s="55"/>
      <c r="N295" s="55"/>
      <c r="O295" s="55"/>
      <c r="P295" s="55"/>
      <c r="Q295" s="55"/>
      <c r="R295" s="55"/>
      <c r="S295" s="55"/>
      <c r="T295" s="55"/>
      <c r="U295" s="55"/>
      <c r="V295" s="55"/>
      <c r="W295" s="55"/>
    </row>
    <row r="296">
      <c r="A296" s="61"/>
      <c r="B296" s="202"/>
      <c r="C296" s="61"/>
      <c r="D296" s="202"/>
      <c r="E296" s="61"/>
      <c r="F296" s="202"/>
      <c r="G296" s="61"/>
      <c r="H296" s="202"/>
      <c r="I296" s="18"/>
      <c r="J296" s="202"/>
      <c r="K296" s="55"/>
      <c r="L296" s="55"/>
      <c r="M296" s="55"/>
      <c r="N296" s="55"/>
      <c r="O296" s="55"/>
      <c r="P296" s="55"/>
      <c r="Q296" s="55"/>
      <c r="R296" s="55"/>
      <c r="S296" s="55"/>
      <c r="T296" s="55"/>
      <c r="U296" s="55"/>
      <c r="V296" s="55"/>
      <c r="W296" s="55"/>
    </row>
    <row r="297">
      <c r="A297" s="61"/>
      <c r="B297" s="202"/>
      <c r="C297" s="61"/>
      <c r="D297" s="202"/>
      <c r="E297" s="61"/>
      <c r="F297" s="202"/>
      <c r="G297" s="61"/>
      <c r="H297" s="202"/>
      <c r="I297" s="18"/>
      <c r="J297" s="202"/>
      <c r="K297" s="55"/>
      <c r="L297" s="55"/>
      <c r="M297" s="55"/>
      <c r="N297" s="55"/>
      <c r="O297" s="55"/>
      <c r="P297" s="55"/>
      <c r="Q297" s="55"/>
      <c r="R297" s="55"/>
      <c r="S297" s="55"/>
      <c r="T297" s="55"/>
      <c r="U297" s="55"/>
      <c r="V297" s="55"/>
      <c r="W297" s="55"/>
    </row>
    <row r="298">
      <c r="A298" s="61"/>
      <c r="B298" s="202"/>
      <c r="C298" s="61"/>
      <c r="D298" s="202"/>
      <c r="E298" s="61"/>
      <c r="F298" s="202"/>
      <c r="G298" s="61"/>
      <c r="H298" s="202"/>
      <c r="I298" s="18"/>
      <c r="J298" s="202"/>
      <c r="K298" s="55"/>
      <c r="L298" s="55"/>
      <c r="M298" s="55"/>
      <c r="N298" s="55"/>
      <c r="O298" s="55"/>
      <c r="P298" s="55"/>
      <c r="Q298" s="55"/>
      <c r="R298" s="55"/>
      <c r="S298" s="55"/>
      <c r="T298" s="55"/>
      <c r="U298" s="55"/>
      <c r="V298" s="55"/>
      <c r="W298" s="55"/>
    </row>
    <row r="299">
      <c r="A299" s="61"/>
      <c r="B299" s="202"/>
      <c r="C299" s="61"/>
      <c r="D299" s="202"/>
      <c r="E299" s="61"/>
      <c r="F299" s="202"/>
      <c r="G299" s="61"/>
      <c r="H299" s="202"/>
      <c r="I299" s="18"/>
      <c r="J299" s="202"/>
      <c r="K299" s="55"/>
      <c r="L299" s="55"/>
      <c r="M299" s="55"/>
      <c r="N299" s="55"/>
      <c r="O299" s="55"/>
      <c r="P299" s="55"/>
      <c r="Q299" s="55"/>
      <c r="R299" s="55"/>
      <c r="S299" s="55"/>
      <c r="T299" s="55"/>
      <c r="U299" s="55"/>
      <c r="V299" s="55"/>
      <c r="W299" s="55"/>
    </row>
    <row r="300">
      <c r="A300" s="61"/>
      <c r="B300" s="202"/>
      <c r="C300" s="61"/>
      <c r="D300" s="202"/>
      <c r="E300" s="61"/>
      <c r="F300" s="202"/>
      <c r="G300" s="61"/>
      <c r="H300" s="202"/>
      <c r="I300" s="18"/>
      <c r="J300" s="202"/>
      <c r="K300" s="55"/>
      <c r="L300" s="55"/>
      <c r="M300" s="55"/>
      <c r="N300" s="55"/>
      <c r="O300" s="55"/>
      <c r="P300" s="55"/>
      <c r="Q300" s="55"/>
      <c r="R300" s="55"/>
      <c r="S300" s="55"/>
      <c r="T300" s="55"/>
      <c r="U300" s="55"/>
      <c r="V300" s="55"/>
      <c r="W300" s="55"/>
    </row>
    <row r="301">
      <c r="A301" s="61"/>
      <c r="B301" s="202"/>
      <c r="C301" s="61"/>
      <c r="D301" s="202"/>
      <c r="E301" s="61"/>
      <c r="F301" s="202"/>
      <c r="G301" s="61"/>
      <c r="H301" s="202"/>
      <c r="I301" s="18"/>
      <c r="J301" s="202"/>
      <c r="K301" s="55"/>
      <c r="L301" s="55"/>
      <c r="M301" s="55"/>
      <c r="N301" s="55"/>
      <c r="O301" s="55"/>
      <c r="P301" s="55"/>
      <c r="Q301" s="55"/>
      <c r="R301" s="55"/>
      <c r="S301" s="55"/>
      <c r="T301" s="55"/>
      <c r="U301" s="55"/>
      <c r="V301" s="55"/>
      <c r="W301" s="55"/>
    </row>
    <row r="302">
      <c r="A302" s="61"/>
      <c r="B302" s="202"/>
      <c r="C302" s="61"/>
      <c r="D302" s="202"/>
      <c r="E302" s="61"/>
      <c r="F302" s="202"/>
      <c r="G302" s="61"/>
      <c r="H302" s="202"/>
      <c r="I302" s="18"/>
      <c r="J302" s="202"/>
      <c r="K302" s="55"/>
      <c r="L302" s="55"/>
      <c r="M302" s="55"/>
      <c r="N302" s="55"/>
      <c r="O302" s="55"/>
      <c r="P302" s="55"/>
      <c r="Q302" s="55"/>
      <c r="R302" s="55"/>
      <c r="S302" s="55"/>
      <c r="T302" s="55"/>
      <c r="U302" s="55"/>
      <c r="V302" s="55"/>
      <c r="W302" s="55"/>
    </row>
    <row r="303">
      <c r="A303" s="61"/>
      <c r="B303" s="202"/>
      <c r="C303" s="61"/>
      <c r="D303" s="202"/>
      <c r="E303" s="61"/>
      <c r="F303" s="202"/>
      <c r="G303" s="61"/>
      <c r="H303" s="202"/>
      <c r="I303" s="18"/>
      <c r="J303" s="202"/>
      <c r="K303" s="55"/>
      <c r="L303" s="55"/>
      <c r="M303" s="55"/>
      <c r="N303" s="55"/>
      <c r="O303" s="55"/>
      <c r="P303" s="55"/>
      <c r="Q303" s="55"/>
      <c r="R303" s="55"/>
      <c r="S303" s="55"/>
      <c r="T303" s="55"/>
      <c r="U303" s="55"/>
      <c r="V303" s="55"/>
      <c r="W303" s="55"/>
    </row>
    <row r="304">
      <c r="A304" s="61"/>
      <c r="B304" s="202"/>
      <c r="C304" s="61"/>
      <c r="D304" s="202"/>
      <c r="E304" s="61"/>
      <c r="F304" s="202"/>
      <c r="G304" s="61"/>
      <c r="H304" s="202"/>
      <c r="I304" s="18"/>
      <c r="J304" s="202"/>
      <c r="K304" s="55"/>
      <c r="L304" s="55"/>
      <c r="M304" s="55"/>
      <c r="N304" s="55"/>
      <c r="O304" s="55"/>
      <c r="P304" s="55"/>
      <c r="Q304" s="55"/>
      <c r="R304" s="55"/>
      <c r="S304" s="55"/>
      <c r="T304" s="55"/>
      <c r="U304" s="55"/>
      <c r="V304" s="55"/>
      <c r="W304" s="55"/>
    </row>
    <row r="305">
      <c r="A305" s="61"/>
      <c r="B305" s="202"/>
      <c r="C305" s="61"/>
      <c r="D305" s="202"/>
      <c r="E305" s="61"/>
      <c r="F305" s="202"/>
      <c r="G305" s="61"/>
      <c r="H305" s="202"/>
      <c r="I305" s="18"/>
      <c r="J305" s="202"/>
      <c r="K305" s="55"/>
      <c r="L305" s="55"/>
      <c r="M305" s="55"/>
      <c r="N305" s="55"/>
      <c r="O305" s="55"/>
      <c r="P305" s="55"/>
      <c r="Q305" s="55"/>
      <c r="R305" s="55"/>
      <c r="S305" s="55"/>
      <c r="T305" s="55"/>
      <c r="U305" s="55"/>
      <c r="V305" s="55"/>
      <c r="W305" s="55"/>
    </row>
    <row r="306">
      <c r="A306" s="61"/>
      <c r="B306" s="202"/>
      <c r="C306" s="61"/>
      <c r="D306" s="202"/>
      <c r="E306" s="61"/>
      <c r="F306" s="202"/>
      <c r="G306" s="61"/>
      <c r="H306" s="202"/>
      <c r="I306" s="18"/>
      <c r="J306" s="202"/>
      <c r="K306" s="55"/>
      <c r="L306" s="55"/>
      <c r="M306" s="55"/>
      <c r="N306" s="55"/>
      <c r="O306" s="55"/>
      <c r="P306" s="55"/>
      <c r="Q306" s="55"/>
      <c r="R306" s="55"/>
      <c r="S306" s="55"/>
      <c r="T306" s="55"/>
      <c r="U306" s="55"/>
      <c r="V306" s="55"/>
      <c r="W306" s="55"/>
    </row>
    <row r="307">
      <c r="A307" s="61"/>
      <c r="B307" s="202"/>
      <c r="C307" s="61"/>
      <c r="D307" s="202"/>
      <c r="E307" s="61"/>
      <c r="F307" s="202"/>
      <c r="G307" s="61"/>
      <c r="H307" s="202"/>
      <c r="I307" s="18"/>
      <c r="J307" s="202"/>
      <c r="K307" s="55"/>
      <c r="L307" s="55"/>
      <c r="M307" s="55"/>
      <c r="N307" s="55"/>
      <c r="O307" s="55"/>
      <c r="P307" s="55"/>
      <c r="Q307" s="55"/>
      <c r="R307" s="55"/>
      <c r="S307" s="55"/>
      <c r="T307" s="55"/>
      <c r="U307" s="55"/>
      <c r="V307" s="55"/>
      <c r="W307" s="55"/>
    </row>
    <row r="308">
      <c r="A308" s="61"/>
      <c r="B308" s="202"/>
      <c r="C308" s="61"/>
      <c r="D308" s="202"/>
      <c r="E308" s="61"/>
      <c r="F308" s="202"/>
      <c r="G308" s="61"/>
      <c r="H308" s="202"/>
      <c r="I308" s="18"/>
      <c r="J308" s="202"/>
      <c r="K308" s="55"/>
      <c r="L308" s="55"/>
      <c r="M308" s="55"/>
      <c r="N308" s="55"/>
      <c r="O308" s="55"/>
      <c r="P308" s="55"/>
      <c r="Q308" s="55"/>
      <c r="R308" s="55"/>
      <c r="S308" s="55"/>
      <c r="T308" s="55"/>
      <c r="U308" s="55"/>
      <c r="V308" s="55"/>
      <c r="W308" s="55"/>
    </row>
    <row r="309">
      <c r="A309" s="61"/>
      <c r="B309" s="202"/>
      <c r="C309" s="61"/>
      <c r="D309" s="202"/>
      <c r="E309" s="61"/>
      <c r="F309" s="202"/>
      <c r="G309" s="61"/>
      <c r="H309" s="202"/>
      <c r="I309" s="18"/>
      <c r="J309" s="202"/>
      <c r="K309" s="55"/>
      <c r="L309" s="55"/>
      <c r="M309" s="55"/>
      <c r="N309" s="55"/>
      <c r="O309" s="55"/>
      <c r="P309" s="55"/>
      <c r="Q309" s="55"/>
      <c r="R309" s="55"/>
      <c r="S309" s="55"/>
      <c r="T309" s="55"/>
      <c r="U309" s="55"/>
      <c r="V309" s="55"/>
      <c r="W309" s="55"/>
    </row>
    <row r="310">
      <c r="A310" s="61"/>
      <c r="B310" s="202"/>
      <c r="C310" s="61"/>
      <c r="D310" s="202"/>
      <c r="E310" s="61"/>
      <c r="F310" s="202"/>
      <c r="G310" s="61"/>
      <c r="H310" s="202"/>
      <c r="I310" s="18"/>
      <c r="J310" s="202"/>
      <c r="K310" s="55"/>
      <c r="L310" s="55"/>
      <c r="M310" s="55"/>
      <c r="N310" s="55"/>
      <c r="O310" s="55"/>
      <c r="P310" s="55"/>
      <c r="Q310" s="55"/>
      <c r="R310" s="55"/>
      <c r="S310" s="55"/>
      <c r="T310" s="55"/>
      <c r="U310" s="55"/>
      <c r="V310" s="55"/>
      <c r="W310" s="55"/>
    </row>
    <row r="311">
      <c r="A311" s="61"/>
      <c r="B311" s="202"/>
      <c r="C311" s="61"/>
      <c r="D311" s="202"/>
      <c r="E311" s="61"/>
      <c r="F311" s="202"/>
      <c r="G311" s="61"/>
      <c r="H311" s="202"/>
      <c r="I311" s="18"/>
      <c r="J311" s="202"/>
      <c r="K311" s="55"/>
      <c r="L311" s="55"/>
      <c r="M311" s="55"/>
      <c r="N311" s="55"/>
      <c r="O311" s="55"/>
      <c r="P311" s="55"/>
      <c r="Q311" s="55"/>
      <c r="R311" s="55"/>
      <c r="S311" s="55"/>
      <c r="T311" s="55"/>
      <c r="U311" s="55"/>
      <c r="V311" s="55"/>
      <c r="W311" s="55"/>
    </row>
    <row r="312">
      <c r="A312" s="61"/>
      <c r="B312" s="202"/>
      <c r="C312" s="61"/>
      <c r="D312" s="202"/>
      <c r="E312" s="61"/>
      <c r="F312" s="202"/>
      <c r="G312" s="61"/>
      <c r="H312" s="202"/>
      <c r="I312" s="18"/>
      <c r="J312" s="202"/>
      <c r="K312" s="55"/>
      <c r="L312" s="55"/>
      <c r="M312" s="55"/>
      <c r="N312" s="55"/>
      <c r="O312" s="55"/>
      <c r="P312" s="55"/>
      <c r="Q312" s="55"/>
      <c r="R312" s="55"/>
      <c r="S312" s="55"/>
      <c r="T312" s="55"/>
      <c r="U312" s="55"/>
      <c r="V312" s="55"/>
      <c r="W312" s="55"/>
    </row>
    <row r="313">
      <c r="A313" s="61"/>
      <c r="B313" s="202"/>
      <c r="C313" s="61"/>
      <c r="D313" s="202"/>
      <c r="E313" s="61"/>
      <c r="F313" s="202"/>
      <c r="G313" s="61"/>
      <c r="H313" s="202"/>
      <c r="I313" s="18"/>
      <c r="J313" s="202"/>
      <c r="K313" s="55"/>
      <c r="L313" s="55"/>
      <c r="M313" s="55"/>
      <c r="N313" s="55"/>
      <c r="O313" s="55"/>
      <c r="P313" s="55"/>
      <c r="Q313" s="55"/>
      <c r="R313" s="55"/>
      <c r="S313" s="55"/>
      <c r="T313" s="55"/>
      <c r="U313" s="55"/>
      <c r="V313" s="55"/>
      <c r="W313" s="55"/>
    </row>
    <row r="314">
      <c r="A314" s="61"/>
      <c r="B314" s="202"/>
      <c r="C314" s="61"/>
      <c r="D314" s="202"/>
      <c r="E314" s="61"/>
      <c r="F314" s="202"/>
      <c r="G314" s="61"/>
      <c r="H314" s="202"/>
      <c r="I314" s="18"/>
      <c r="J314" s="202"/>
      <c r="K314" s="55"/>
      <c r="L314" s="55"/>
      <c r="M314" s="55"/>
      <c r="N314" s="55"/>
      <c r="O314" s="55"/>
      <c r="P314" s="55"/>
      <c r="Q314" s="55"/>
      <c r="R314" s="55"/>
      <c r="S314" s="55"/>
      <c r="T314" s="55"/>
      <c r="U314" s="55"/>
      <c r="V314" s="55"/>
      <c r="W314" s="55"/>
    </row>
    <row r="315">
      <c r="A315" s="61"/>
      <c r="B315" s="202"/>
      <c r="C315" s="61"/>
      <c r="D315" s="202"/>
      <c r="E315" s="61"/>
      <c r="F315" s="202"/>
      <c r="G315" s="61"/>
      <c r="H315" s="202"/>
      <c r="I315" s="18"/>
      <c r="J315" s="202"/>
      <c r="K315" s="55"/>
      <c r="L315" s="55"/>
      <c r="M315" s="55"/>
      <c r="N315" s="55"/>
      <c r="O315" s="55"/>
      <c r="P315" s="55"/>
      <c r="Q315" s="55"/>
      <c r="R315" s="55"/>
      <c r="S315" s="55"/>
      <c r="T315" s="55"/>
      <c r="U315" s="55"/>
      <c r="V315" s="55"/>
      <c r="W315" s="55"/>
    </row>
    <row r="316">
      <c r="A316" s="61"/>
      <c r="B316" s="202"/>
      <c r="C316" s="61"/>
      <c r="D316" s="202"/>
      <c r="E316" s="61"/>
      <c r="F316" s="202"/>
      <c r="G316" s="61"/>
      <c r="H316" s="202"/>
      <c r="I316" s="18"/>
      <c r="J316" s="202"/>
      <c r="K316" s="55"/>
      <c r="L316" s="55"/>
      <c r="M316" s="55"/>
      <c r="N316" s="55"/>
      <c r="O316" s="55"/>
      <c r="P316" s="55"/>
      <c r="Q316" s="55"/>
      <c r="R316" s="55"/>
      <c r="S316" s="55"/>
      <c r="T316" s="55"/>
      <c r="U316" s="55"/>
      <c r="V316" s="55"/>
      <c r="W316" s="55"/>
    </row>
    <row r="317">
      <c r="A317" s="61"/>
      <c r="B317" s="202"/>
      <c r="C317" s="61"/>
      <c r="D317" s="202"/>
      <c r="E317" s="61"/>
      <c r="F317" s="202"/>
      <c r="G317" s="61"/>
      <c r="H317" s="202"/>
      <c r="I317" s="18"/>
      <c r="J317" s="202"/>
      <c r="K317" s="55"/>
      <c r="L317" s="55"/>
      <c r="M317" s="55"/>
      <c r="N317" s="55"/>
      <c r="O317" s="55"/>
      <c r="P317" s="55"/>
      <c r="Q317" s="55"/>
      <c r="R317" s="55"/>
      <c r="S317" s="55"/>
      <c r="T317" s="55"/>
      <c r="U317" s="55"/>
      <c r="V317" s="55"/>
      <c r="W317" s="55"/>
    </row>
    <row r="318">
      <c r="A318" s="61"/>
      <c r="B318" s="202"/>
      <c r="C318" s="61"/>
      <c r="D318" s="202"/>
      <c r="E318" s="61"/>
      <c r="F318" s="202"/>
      <c r="G318" s="61"/>
      <c r="H318" s="202"/>
      <c r="I318" s="18"/>
      <c r="J318" s="202"/>
      <c r="K318" s="55"/>
      <c r="L318" s="55"/>
      <c r="M318" s="55"/>
      <c r="N318" s="55"/>
      <c r="O318" s="55"/>
      <c r="P318" s="55"/>
      <c r="Q318" s="55"/>
      <c r="R318" s="55"/>
      <c r="S318" s="55"/>
      <c r="T318" s="55"/>
      <c r="U318" s="55"/>
      <c r="V318" s="55"/>
      <c r="W318" s="55"/>
    </row>
    <row r="319">
      <c r="A319" s="61"/>
      <c r="B319" s="202"/>
      <c r="C319" s="61"/>
      <c r="D319" s="202"/>
      <c r="E319" s="61"/>
      <c r="F319" s="202"/>
      <c r="G319" s="61"/>
      <c r="H319" s="202"/>
      <c r="I319" s="18"/>
      <c r="J319" s="202"/>
      <c r="K319" s="55"/>
      <c r="L319" s="55"/>
      <c r="M319" s="55"/>
      <c r="N319" s="55"/>
      <c r="O319" s="55"/>
      <c r="P319" s="55"/>
      <c r="Q319" s="55"/>
      <c r="R319" s="55"/>
      <c r="S319" s="55"/>
      <c r="T319" s="55"/>
      <c r="U319" s="55"/>
      <c r="V319" s="55"/>
      <c r="W319" s="55"/>
    </row>
    <row r="320">
      <c r="A320" s="61"/>
      <c r="B320" s="202"/>
      <c r="C320" s="61"/>
      <c r="D320" s="202"/>
      <c r="E320" s="61"/>
      <c r="F320" s="202"/>
      <c r="G320" s="61"/>
      <c r="H320" s="202"/>
      <c r="I320" s="18"/>
      <c r="J320" s="202"/>
      <c r="K320" s="55"/>
      <c r="L320" s="55"/>
      <c r="M320" s="55"/>
      <c r="N320" s="55"/>
      <c r="O320" s="55"/>
      <c r="P320" s="55"/>
      <c r="Q320" s="55"/>
      <c r="R320" s="55"/>
      <c r="S320" s="55"/>
      <c r="T320" s="55"/>
      <c r="U320" s="55"/>
      <c r="V320" s="55"/>
      <c r="W320" s="55"/>
    </row>
    <row r="321">
      <c r="A321" s="61"/>
      <c r="B321" s="202"/>
      <c r="C321" s="61"/>
      <c r="D321" s="202"/>
      <c r="E321" s="61"/>
      <c r="F321" s="202"/>
      <c r="G321" s="61"/>
      <c r="H321" s="202"/>
      <c r="I321" s="18"/>
      <c r="J321" s="202"/>
      <c r="K321" s="55"/>
      <c r="L321" s="55"/>
      <c r="M321" s="55"/>
      <c r="N321" s="55"/>
      <c r="O321" s="55"/>
      <c r="P321" s="55"/>
      <c r="Q321" s="55"/>
      <c r="R321" s="55"/>
      <c r="S321" s="55"/>
      <c r="T321" s="55"/>
      <c r="U321" s="55"/>
      <c r="V321" s="55"/>
      <c r="W321" s="55"/>
    </row>
    <row r="322">
      <c r="A322" s="61"/>
      <c r="B322" s="202"/>
      <c r="C322" s="61"/>
      <c r="D322" s="202"/>
      <c r="E322" s="61"/>
      <c r="F322" s="202"/>
      <c r="G322" s="61"/>
      <c r="H322" s="202"/>
      <c r="I322" s="18"/>
      <c r="J322" s="202"/>
      <c r="K322" s="55"/>
      <c r="L322" s="55"/>
      <c r="M322" s="55"/>
      <c r="N322" s="55"/>
      <c r="O322" s="55"/>
      <c r="P322" s="55"/>
      <c r="Q322" s="55"/>
      <c r="R322" s="55"/>
      <c r="S322" s="55"/>
      <c r="T322" s="55"/>
      <c r="U322" s="55"/>
      <c r="V322" s="55"/>
      <c r="W322" s="55"/>
    </row>
    <row r="323">
      <c r="A323" s="61"/>
      <c r="B323" s="202"/>
      <c r="C323" s="61"/>
      <c r="D323" s="202"/>
      <c r="E323" s="61"/>
      <c r="F323" s="202"/>
      <c r="G323" s="61"/>
      <c r="H323" s="202"/>
      <c r="I323" s="18"/>
      <c r="J323" s="202"/>
      <c r="K323" s="55"/>
      <c r="L323" s="55"/>
      <c r="M323" s="55"/>
      <c r="N323" s="55"/>
      <c r="O323" s="55"/>
      <c r="P323" s="55"/>
      <c r="Q323" s="55"/>
      <c r="R323" s="55"/>
      <c r="S323" s="55"/>
      <c r="T323" s="55"/>
      <c r="U323" s="55"/>
      <c r="V323" s="55"/>
      <c r="W323" s="55"/>
    </row>
    <row r="324">
      <c r="A324" s="61"/>
      <c r="B324" s="202"/>
      <c r="C324" s="61"/>
      <c r="D324" s="202"/>
      <c r="E324" s="61"/>
      <c r="F324" s="202"/>
      <c r="G324" s="61"/>
      <c r="H324" s="202"/>
      <c r="I324" s="18"/>
      <c r="J324" s="202"/>
      <c r="K324" s="55"/>
      <c r="L324" s="55"/>
      <c r="M324" s="55"/>
      <c r="N324" s="55"/>
      <c r="O324" s="55"/>
      <c r="P324" s="55"/>
      <c r="Q324" s="55"/>
      <c r="R324" s="55"/>
      <c r="S324" s="55"/>
      <c r="T324" s="55"/>
      <c r="U324" s="55"/>
      <c r="V324" s="55"/>
      <c r="W324" s="55"/>
    </row>
    <row r="325">
      <c r="A325" s="61"/>
      <c r="B325" s="202"/>
      <c r="C325" s="61"/>
      <c r="D325" s="202"/>
      <c r="E325" s="61"/>
      <c r="F325" s="202"/>
      <c r="G325" s="61"/>
      <c r="H325" s="202"/>
      <c r="I325" s="18"/>
      <c r="J325" s="202"/>
      <c r="K325" s="55"/>
      <c r="L325" s="55"/>
      <c r="M325" s="55"/>
      <c r="N325" s="55"/>
      <c r="O325" s="55"/>
      <c r="P325" s="55"/>
      <c r="Q325" s="55"/>
      <c r="R325" s="55"/>
      <c r="S325" s="55"/>
      <c r="T325" s="55"/>
      <c r="U325" s="55"/>
      <c r="V325" s="55"/>
      <c r="W325" s="55"/>
    </row>
    <row r="326">
      <c r="A326" s="61"/>
      <c r="B326" s="202"/>
      <c r="C326" s="61"/>
      <c r="D326" s="202"/>
      <c r="E326" s="61"/>
      <c r="F326" s="202"/>
      <c r="G326" s="61"/>
      <c r="H326" s="202"/>
      <c r="I326" s="18"/>
      <c r="J326" s="202"/>
      <c r="K326" s="55"/>
      <c r="L326" s="55"/>
      <c r="M326" s="55"/>
      <c r="N326" s="55"/>
      <c r="O326" s="55"/>
      <c r="P326" s="55"/>
      <c r="Q326" s="55"/>
      <c r="R326" s="55"/>
      <c r="S326" s="55"/>
      <c r="T326" s="55"/>
      <c r="U326" s="55"/>
      <c r="V326" s="55"/>
      <c r="W326" s="55"/>
    </row>
    <row r="327">
      <c r="A327" s="61"/>
      <c r="B327" s="202"/>
      <c r="C327" s="61"/>
      <c r="D327" s="202"/>
      <c r="E327" s="61"/>
      <c r="F327" s="202"/>
      <c r="G327" s="61"/>
      <c r="H327" s="202"/>
      <c r="I327" s="18"/>
      <c r="J327" s="202"/>
      <c r="K327" s="55"/>
      <c r="L327" s="55"/>
      <c r="M327" s="55"/>
      <c r="N327" s="55"/>
      <c r="O327" s="55"/>
      <c r="P327" s="55"/>
      <c r="Q327" s="55"/>
      <c r="R327" s="55"/>
      <c r="S327" s="55"/>
      <c r="T327" s="55"/>
      <c r="U327" s="55"/>
      <c r="V327" s="55"/>
      <c r="W327" s="55"/>
    </row>
    <row r="328">
      <c r="A328" s="61"/>
      <c r="B328" s="202"/>
      <c r="C328" s="61"/>
      <c r="D328" s="202"/>
      <c r="E328" s="61"/>
      <c r="F328" s="202"/>
      <c r="G328" s="61"/>
      <c r="H328" s="202"/>
      <c r="I328" s="18"/>
      <c r="J328" s="202"/>
      <c r="K328" s="55"/>
      <c r="L328" s="55"/>
      <c r="M328" s="55"/>
      <c r="N328" s="55"/>
      <c r="O328" s="55"/>
      <c r="P328" s="55"/>
      <c r="Q328" s="55"/>
      <c r="R328" s="55"/>
      <c r="S328" s="55"/>
      <c r="T328" s="55"/>
      <c r="U328" s="55"/>
      <c r="V328" s="55"/>
      <c r="W328" s="55"/>
    </row>
    <row r="329">
      <c r="A329" s="61"/>
      <c r="B329" s="202"/>
      <c r="C329" s="61"/>
      <c r="D329" s="202"/>
      <c r="E329" s="61"/>
      <c r="F329" s="202"/>
      <c r="G329" s="61"/>
      <c r="H329" s="202"/>
      <c r="I329" s="18"/>
      <c r="J329" s="202"/>
      <c r="K329" s="55"/>
      <c r="L329" s="55"/>
      <c r="M329" s="55"/>
      <c r="N329" s="55"/>
      <c r="O329" s="55"/>
      <c r="P329" s="55"/>
      <c r="Q329" s="55"/>
      <c r="R329" s="55"/>
      <c r="S329" s="55"/>
      <c r="T329" s="55"/>
      <c r="U329" s="55"/>
      <c r="V329" s="55"/>
      <c r="W329" s="55"/>
    </row>
    <row r="330">
      <c r="A330" s="61"/>
      <c r="B330" s="202"/>
      <c r="C330" s="61"/>
      <c r="D330" s="202"/>
      <c r="E330" s="61"/>
      <c r="F330" s="202"/>
      <c r="G330" s="61"/>
      <c r="H330" s="202"/>
      <c r="I330" s="18"/>
      <c r="J330" s="202"/>
      <c r="K330" s="55"/>
      <c r="L330" s="55"/>
      <c r="M330" s="55"/>
      <c r="N330" s="55"/>
      <c r="O330" s="55"/>
      <c r="P330" s="55"/>
      <c r="Q330" s="55"/>
      <c r="R330" s="55"/>
      <c r="S330" s="55"/>
      <c r="T330" s="55"/>
      <c r="U330" s="55"/>
      <c r="V330" s="55"/>
      <c r="W330" s="55"/>
    </row>
    <row r="331">
      <c r="A331" s="61"/>
      <c r="B331" s="202"/>
      <c r="C331" s="61"/>
      <c r="D331" s="202"/>
      <c r="E331" s="61"/>
      <c r="F331" s="202"/>
      <c r="G331" s="61"/>
      <c r="H331" s="202"/>
      <c r="I331" s="18"/>
      <c r="J331" s="202"/>
      <c r="K331" s="55"/>
      <c r="L331" s="55"/>
      <c r="M331" s="55"/>
      <c r="N331" s="55"/>
      <c r="O331" s="55"/>
      <c r="P331" s="55"/>
      <c r="Q331" s="55"/>
      <c r="R331" s="55"/>
      <c r="S331" s="55"/>
      <c r="T331" s="55"/>
      <c r="U331" s="55"/>
      <c r="V331" s="55"/>
      <c r="W331" s="55"/>
    </row>
    <row r="332">
      <c r="A332" s="61"/>
      <c r="B332" s="202"/>
      <c r="C332" s="61"/>
      <c r="D332" s="202"/>
      <c r="E332" s="61"/>
      <c r="F332" s="202"/>
      <c r="G332" s="61"/>
      <c r="H332" s="202"/>
      <c r="I332" s="18"/>
      <c r="J332" s="202"/>
      <c r="K332" s="55"/>
      <c r="L332" s="55"/>
      <c r="M332" s="55"/>
      <c r="N332" s="55"/>
      <c r="O332" s="55"/>
      <c r="P332" s="55"/>
      <c r="Q332" s="55"/>
      <c r="R332" s="55"/>
      <c r="S332" s="55"/>
      <c r="T332" s="55"/>
      <c r="U332" s="55"/>
      <c r="V332" s="55"/>
      <c r="W332" s="55"/>
    </row>
    <row r="333">
      <c r="A333" s="61"/>
      <c r="B333" s="202"/>
      <c r="C333" s="61"/>
      <c r="D333" s="202"/>
      <c r="E333" s="61"/>
      <c r="F333" s="202"/>
      <c r="G333" s="61"/>
      <c r="H333" s="202"/>
      <c r="I333" s="18"/>
      <c r="J333" s="202"/>
      <c r="K333" s="55"/>
      <c r="L333" s="55"/>
      <c r="M333" s="55"/>
      <c r="N333" s="55"/>
      <c r="O333" s="55"/>
      <c r="P333" s="55"/>
      <c r="Q333" s="55"/>
      <c r="R333" s="55"/>
      <c r="S333" s="55"/>
      <c r="T333" s="55"/>
      <c r="U333" s="55"/>
      <c r="V333" s="55"/>
      <c r="W333" s="55"/>
    </row>
    <row r="334">
      <c r="A334" s="61"/>
      <c r="B334" s="202"/>
      <c r="C334" s="61"/>
      <c r="D334" s="202"/>
      <c r="E334" s="61"/>
      <c r="F334" s="202"/>
      <c r="G334" s="61"/>
      <c r="H334" s="202"/>
      <c r="I334" s="18"/>
      <c r="J334" s="202"/>
      <c r="K334" s="55"/>
      <c r="L334" s="55"/>
      <c r="M334" s="55"/>
      <c r="N334" s="55"/>
      <c r="O334" s="55"/>
      <c r="P334" s="55"/>
      <c r="Q334" s="55"/>
      <c r="R334" s="55"/>
      <c r="S334" s="55"/>
      <c r="T334" s="55"/>
      <c r="U334" s="55"/>
      <c r="V334" s="55"/>
      <c r="W334" s="55"/>
    </row>
    <row r="335">
      <c r="A335" s="61"/>
      <c r="B335" s="202"/>
      <c r="C335" s="61"/>
      <c r="D335" s="202"/>
      <c r="E335" s="61"/>
      <c r="F335" s="202"/>
      <c r="G335" s="61"/>
      <c r="H335" s="202"/>
      <c r="I335" s="18"/>
      <c r="J335" s="202"/>
      <c r="K335" s="55"/>
      <c r="L335" s="55"/>
      <c r="M335" s="55"/>
      <c r="N335" s="55"/>
      <c r="O335" s="55"/>
      <c r="P335" s="55"/>
      <c r="Q335" s="55"/>
      <c r="R335" s="55"/>
      <c r="S335" s="55"/>
      <c r="T335" s="55"/>
      <c r="U335" s="55"/>
      <c r="V335" s="55"/>
      <c r="W335" s="55"/>
    </row>
    <row r="336">
      <c r="A336" s="61"/>
      <c r="B336" s="202"/>
      <c r="C336" s="61"/>
      <c r="D336" s="202"/>
      <c r="E336" s="61"/>
      <c r="F336" s="202"/>
      <c r="G336" s="61"/>
      <c r="H336" s="202"/>
      <c r="I336" s="18"/>
      <c r="J336" s="202"/>
      <c r="K336" s="55"/>
      <c r="L336" s="55"/>
      <c r="M336" s="55"/>
      <c r="N336" s="55"/>
      <c r="O336" s="55"/>
      <c r="P336" s="55"/>
      <c r="Q336" s="55"/>
      <c r="R336" s="55"/>
      <c r="S336" s="55"/>
      <c r="T336" s="55"/>
      <c r="U336" s="55"/>
      <c r="V336" s="55"/>
      <c r="W336" s="55"/>
    </row>
    <row r="337">
      <c r="A337" s="61"/>
      <c r="B337" s="202"/>
      <c r="C337" s="61"/>
      <c r="D337" s="202"/>
      <c r="E337" s="61"/>
      <c r="F337" s="202"/>
      <c r="G337" s="61"/>
      <c r="H337" s="202"/>
      <c r="I337" s="18"/>
      <c r="J337" s="202"/>
      <c r="K337" s="55"/>
      <c r="L337" s="55"/>
      <c r="M337" s="55"/>
      <c r="N337" s="55"/>
      <c r="O337" s="55"/>
      <c r="P337" s="55"/>
      <c r="Q337" s="55"/>
      <c r="R337" s="55"/>
      <c r="S337" s="55"/>
      <c r="T337" s="55"/>
      <c r="U337" s="55"/>
      <c r="V337" s="55"/>
      <c r="W337" s="55"/>
    </row>
    <row r="338">
      <c r="A338" s="61"/>
      <c r="B338" s="202"/>
      <c r="C338" s="61"/>
      <c r="D338" s="202"/>
      <c r="E338" s="61"/>
      <c r="F338" s="202"/>
      <c r="G338" s="61"/>
      <c r="H338" s="202"/>
      <c r="I338" s="18"/>
      <c r="J338" s="202"/>
      <c r="K338" s="55"/>
      <c r="L338" s="55"/>
      <c r="M338" s="55"/>
      <c r="N338" s="55"/>
      <c r="O338" s="55"/>
      <c r="P338" s="55"/>
      <c r="Q338" s="55"/>
      <c r="R338" s="55"/>
      <c r="S338" s="55"/>
      <c r="T338" s="55"/>
      <c r="U338" s="55"/>
      <c r="V338" s="55"/>
      <c r="W338" s="55"/>
    </row>
    <row r="339">
      <c r="A339" s="61"/>
      <c r="B339" s="202"/>
      <c r="C339" s="61"/>
      <c r="D339" s="202"/>
      <c r="E339" s="61"/>
      <c r="F339" s="202"/>
      <c r="G339" s="61"/>
      <c r="H339" s="202"/>
      <c r="I339" s="18"/>
      <c r="J339" s="202"/>
      <c r="K339" s="55"/>
      <c r="L339" s="55"/>
      <c r="M339" s="55"/>
      <c r="N339" s="55"/>
      <c r="O339" s="55"/>
      <c r="P339" s="55"/>
      <c r="Q339" s="55"/>
      <c r="R339" s="55"/>
      <c r="S339" s="55"/>
      <c r="T339" s="55"/>
      <c r="U339" s="55"/>
      <c r="V339" s="55"/>
      <c r="W339" s="55"/>
    </row>
    <row r="340">
      <c r="A340" s="61"/>
      <c r="B340" s="202"/>
      <c r="C340" s="61"/>
      <c r="D340" s="202"/>
      <c r="E340" s="61"/>
      <c r="F340" s="202"/>
      <c r="G340" s="61"/>
      <c r="H340" s="202"/>
      <c r="I340" s="18"/>
      <c r="J340" s="202"/>
      <c r="K340" s="55"/>
      <c r="L340" s="55"/>
      <c r="M340" s="55"/>
      <c r="N340" s="55"/>
      <c r="O340" s="55"/>
      <c r="P340" s="55"/>
      <c r="Q340" s="55"/>
      <c r="R340" s="55"/>
      <c r="S340" s="55"/>
      <c r="T340" s="55"/>
      <c r="U340" s="55"/>
      <c r="V340" s="55"/>
      <c r="W340" s="55"/>
    </row>
    <row r="341">
      <c r="A341" s="61"/>
      <c r="B341" s="202"/>
      <c r="C341" s="61"/>
      <c r="D341" s="202"/>
      <c r="E341" s="61"/>
      <c r="F341" s="202"/>
      <c r="G341" s="61"/>
      <c r="H341" s="202"/>
      <c r="I341" s="18"/>
      <c r="J341" s="202"/>
      <c r="K341" s="55"/>
      <c r="L341" s="55"/>
      <c r="M341" s="55"/>
      <c r="N341" s="55"/>
      <c r="O341" s="55"/>
      <c r="P341" s="55"/>
      <c r="Q341" s="55"/>
      <c r="R341" s="55"/>
      <c r="S341" s="55"/>
      <c r="T341" s="55"/>
      <c r="U341" s="55"/>
      <c r="V341" s="55"/>
      <c r="W341" s="55"/>
    </row>
    <row r="342">
      <c r="A342" s="61"/>
      <c r="B342" s="202"/>
      <c r="C342" s="61"/>
      <c r="D342" s="202"/>
      <c r="E342" s="61"/>
      <c r="F342" s="202"/>
      <c r="G342" s="61"/>
      <c r="H342" s="202"/>
      <c r="I342" s="18"/>
      <c r="J342" s="202"/>
      <c r="K342" s="55"/>
      <c r="L342" s="55"/>
      <c r="M342" s="55"/>
      <c r="N342" s="55"/>
      <c r="O342" s="55"/>
      <c r="P342" s="55"/>
      <c r="Q342" s="55"/>
      <c r="R342" s="55"/>
      <c r="S342" s="55"/>
      <c r="T342" s="55"/>
      <c r="U342" s="55"/>
      <c r="V342" s="55"/>
      <c r="W342" s="55"/>
    </row>
    <row r="343">
      <c r="A343" s="61"/>
      <c r="B343" s="202"/>
      <c r="C343" s="61"/>
      <c r="D343" s="202"/>
      <c r="E343" s="61"/>
      <c r="F343" s="202"/>
      <c r="G343" s="61"/>
      <c r="H343" s="202"/>
      <c r="I343" s="18"/>
      <c r="J343" s="202"/>
      <c r="K343" s="55"/>
      <c r="L343" s="55"/>
      <c r="M343" s="55"/>
      <c r="N343" s="55"/>
      <c r="O343" s="55"/>
      <c r="P343" s="55"/>
      <c r="Q343" s="55"/>
      <c r="R343" s="55"/>
      <c r="S343" s="55"/>
      <c r="T343" s="55"/>
      <c r="U343" s="55"/>
      <c r="V343" s="55"/>
      <c r="W343" s="55"/>
    </row>
    <row r="344">
      <c r="A344" s="61"/>
      <c r="B344" s="202"/>
      <c r="C344" s="61"/>
      <c r="D344" s="202"/>
      <c r="E344" s="61"/>
      <c r="F344" s="202"/>
      <c r="G344" s="61"/>
      <c r="H344" s="202"/>
      <c r="I344" s="18"/>
      <c r="J344" s="202"/>
      <c r="K344" s="55"/>
      <c r="L344" s="55"/>
      <c r="M344" s="55"/>
      <c r="N344" s="55"/>
      <c r="O344" s="55"/>
      <c r="P344" s="55"/>
      <c r="Q344" s="55"/>
      <c r="R344" s="55"/>
      <c r="S344" s="55"/>
      <c r="T344" s="55"/>
      <c r="U344" s="55"/>
      <c r="V344" s="55"/>
      <c r="W344" s="55"/>
    </row>
    <row r="345">
      <c r="A345" s="61"/>
      <c r="B345" s="202"/>
      <c r="C345" s="61"/>
      <c r="D345" s="202"/>
      <c r="E345" s="61"/>
      <c r="F345" s="202"/>
      <c r="G345" s="61"/>
      <c r="H345" s="202"/>
      <c r="I345" s="18"/>
      <c r="J345" s="202"/>
      <c r="K345" s="55"/>
      <c r="L345" s="55"/>
      <c r="M345" s="55"/>
      <c r="N345" s="55"/>
      <c r="O345" s="55"/>
      <c r="P345" s="55"/>
      <c r="Q345" s="55"/>
      <c r="R345" s="55"/>
      <c r="S345" s="55"/>
      <c r="T345" s="55"/>
      <c r="U345" s="55"/>
      <c r="V345" s="55"/>
      <c r="W345" s="55"/>
    </row>
    <row r="346">
      <c r="A346" s="61"/>
      <c r="B346" s="202"/>
      <c r="C346" s="61"/>
      <c r="D346" s="202"/>
      <c r="E346" s="61"/>
      <c r="F346" s="202"/>
      <c r="G346" s="61"/>
      <c r="H346" s="202"/>
      <c r="I346" s="18"/>
      <c r="J346" s="202"/>
      <c r="K346" s="55"/>
      <c r="L346" s="55"/>
      <c r="M346" s="55"/>
      <c r="N346" s="55"/>
      <c r="O346" s="55"/>
      <c r="P346" s="55"/>
      <c r="Q346" s="55"/>
      <c r="R346" s="55"/>
      <c r="S346" s="55"/>
      <c r="T346" s="55"/>
      <c r="U346" s="55"/>
      <c r="V346" s="55"/>
      <c r="W346" s="55"/>
    </row>
    <row r="347">
      <c r="A347" s="61"/>
      <c r="B347" s="202"/>
      <c r="C347" s="61"/>
      <c r="D347" s="202"/>
      <c r="E347" s="61"/>
      <c r="F347" s="202"/>
      <c r="G347" s="61"/>
      <c r="H347" s="202"/>
      <c r="I347" s="18"/>
      <c r="J347" s="202"/>
      <c r="K347" s="55"/>
      <c r="L347" s="55"/>
      <c r="M347" s="55"/>
      <c r="N347" s="55"/>
      <c r="O347" s="55"/>
      <c r="P347" s="55"/>
      <c r="Q347" s="55"/>
      <c r="R347" s="55"/>
      <c r="S347" s="55"/>
      <c r="T347" s="55"/>
      <c r="U347" s="55"/>
      <c r="V347" s="55"/>
      <c r="W347" s="55"/>
    </row>
    <row r="348">
      <c r="A348" s="61"/>
      <c r="B348" s="202"/>
      <c r="C348" s="61"/>
      <c r="D348" s="202"/>
      <c r="E348" s="61"/>
      <c r="F348" s="202"/>
      <c r="G348" s="61"/>
      <c r="H348" s="202"/>
      <c r="I348" s="18"/>
      <c r="J348" s="202"/>
      <c r="K348" s="55"/>
      <c r="L348" s="55"/>
      <c r="M348" s="55"/>
      <c r="N348" s="55"/>
      <c r="O348" s="55"/>
      <c r="P348" s="55"/>
      <c r="Q348" s="55"/>
      <c r="R348" s="55"/>
      <c r="S348" s="55"/>
      <c r="T348" s="55"/>
      <c r="U348" s="55"/>
      <c r="V348" s="55"/>
      <c r="W348" s="55"/>
    </row>
    <row r="349">
      <c r="A349" s="61"/>
      <c r="B349" s="202"/>
      <c r="C349" s="61"/>
      <c r="D349" s="202"/>
      <c r="E349" s="61"/>
      <c r="F349" s="202"/>
      <c r="G349" s="61"/>
      <c r="H349" s="202"/>
      <c r="I349" s="18"/>
      <c r="J349" s="202"/>
      <c r="K349" s="55"/>
      <c r="L349" s="55"/>
      <c r="M349" s="55"/>
      <c r="N349" s="55"/>
      <c r="O349" s="55"/>
      <c r="P349" s="55"/>
      <c r="Q349" s="55"/>
      <c r="R349" s="55"/>
      <c r="S349" s="55"/>
      <c r="T349" s="55"/>
      <c r="U349" s="55"/>
      <c r="V349" s="55"/>
      <c r="W349" s="55"/>
    </row>
    <row r="350">
      <c r="A350" s="61"/>
      <c r="B350" s="202"/>
      <c r="C350" s="61"/>
      <c r="D350" s="202"/>
      <c r="E350" s="61"/>
      <c r="F350" s="202"/>
      <c r="G350" s="61"/>
      <c r="H350" s="202"/>
      <c r="I350" s="18"/>
      <c r="J350" s="202"/>
      <c r="K350" s="55"/>
      <c r="L350" s="55"/>
      <c r="M350" s="55"/>
      <c r="N350" s="55"/>
      <c r="O350" s="55"/>
      <c r="P350" s="55"/>
      <c r="Q350" s="55"/>
      <c r="R350" s="55"/>
      <c r="S350" s="55"/>
      <c r="T350" s="55"/>
      <c r="U350" s="55"/>
      <c r="V350" s="55"/>
      <c r="W350" s="55"/>
    </row>
    <row r="351">
      <c r="A351" s="61"/>
      <c r="B351" s="202"/>
      <c r="C351" s="61"/>
      <c r="D351" s="202"/>
      <c r="E351" s="61"/>
      <c r="F351" s="202"/>
      <c r="G351" s="61"/>
      <c r="H351" s="202"/>
      <c r="I351" s="18"/>
      <c r="J351" s="202"/>
      <c r="K351" s="55"/>
      <c r="L351" s="55"/>
      <c r="M351" s="55"/>
      <c r="N351" s="55"/>
      <c r="O351" s="55"/>
      <c r="P351" s="55"/>
      <c r="Q351" s="55"/>
      <c r="R351" s="55"/>
      <c r="S351" s="55"/>
      <c r="T351" s="55"/>
      <c r="U351" s="55"/>
      <c r="V351" s="55"/>
      <c r="W351" s="55"/>
    </row>
    <row r="352">
      <c r="A352" s="61"/>
      <c r="B352" s="202"/>
      <c r="C352" s="61"/>
      <c r="D352" s="202"/>
      <c r="E352" s="61"/>
      <c r="F352" s="202"/>
      <c r="G352" s="61"/>
      <c r="H352" s="202"/>
      <c r="I352" s="18"/>
      <c r="J352" s="202"/>
      <c r="K352" s="55"/>
      <c r="L352" s="55"/>
      <c r="M352" s="55"/>
      <c r="N352" s="55"/>
      <c r="O352" s="55"/>
      <c r="P352" s="55"/>
      <c r="Q352" s="55"/>
      <c r="R352" s="55"/>
      <c r="S352" s="55"/>
      <c r="T352" s="55"/>
      <c r="U352" s="55"/>
      <c r="V352" s="55"/>
      <c r="W352" s="55"/>
    </row>
    <row r="353">
      <c r="A353" s="61"/>
      <c r="B353" s="202"/>
      <c r="C353" s="61"/>
      <c r="D353" s="202"/>
      <c r="E353" s="61"/>
      <c r="F353" s="202"/>
      <c r="G353" s="61"/>
      <c r="H353" s="202"/>
      <c r="I353" s="18"/>
      <c r="J353" s="202"/>
      <c r="K353" s="55"/>
      <c r="L353" s="55"/>
      <c r="M353" s="55"/>
      <c r="N353" s="55"/>
      <c r="O353" s="55"/>
      <c r="P353" s="55"/>
      <c r="Q353" s="55"/>
      <c r="R353" s="55"/>
      <c r="S353" s="55"/>
      <c r="T353" s="55"/>
      <c r="U353" s="55"/>
      <c r="V353" s="55"/>
      <c r="W353" s="55"/>
    </row>
    <row r="354">
      <c r="A354" s="61"/>
      <c r="B354" s="202"/>
      <c r="C354" s="61"/>
      <c r="D354" s="202"/>
      <c r="E354" s="61"/>
      <c r="F354" s="202"/>
      <c r="G354" s="61"/>
      <c r="H354" s="202"/>
      <c r="I354" s="18"/>
      <c r="J354" s="202"/>
      <c r="K354" s="55"/>
      <c r="L354" s="55"/>
      <c r="M354" s="55"/>
      <c r="N354" s="55"/>
      <c r="O354" s="55"/>
      <c r="P354" s="55"/>
      <c r="Q354" s="55"/>
      <c r="R354" s="55"/>
      <c r="S354" s="55"/>
      <c r="T354" s="55"/>
      <c r="U354" s="55"/>
      <c r="V354" s="55"/>
      <c r="W354" s="55"/>
    </row>
    <row r="355">
      <c r="A355" s="61"/>
      <c r="B355" s="202"/>
      <c r="C355" s="61"/>
      <c r="D355" s="202"/>
      <c r="E355" s="61"/>
      <c r="F355" s="202"/>
      <c r="G355" s="61"/>
      <c r="H355" s="202"/>
      <c r="I355" s="18"/>
      <c r="J355" s="202"/>
      <c r="K355" s="55"/>
      <c r="L355" s="55"/>
      <c r="M355" s="55"/>
      <c r="N355" s="55"/>
      <c r="O355" s="55"/>
      <c r="P355" s="55"/>
      <c r="Q355" s="55"/>
      <c r="R355" s="55"/>
      <c r="S355" s="55"/>
      <c r="T355" s="55"/>
      <c r="U355" s="55"/>
      <c r="V355" s="55"/>
      <c r="W355" s="55"/>
    </row>
    <row r="356">
      <c r="A356" s="61"/>
      <c r="B356" s="202"/>
      <c r="C356" s="61"/>
      <c r="D356" s="202"/>
      <c r="E356" s="61"/>
      <c r="F356" s="202"/>
      <c r="G356" s="61"/>
      <c r="H356" s="202"/>
      <c r="I356" s="18"/>
      <c r="J356" s="202"/>
      <c r="K356" s="55"/>
      <c r="L356" s="55"/>
      <c r="M356" s="55"/>
      <c r="N356" s="55"/>
      <c r="O356" s="55"/>
      <c r="P356" s="55"/>
      <c r="Q356" s="55"/>
      <c r="R356" s="55"/>
      <c r="S356" s="55"/>
      <c r="T356" s="55"/>
      <c r="U356" s="55"/>
      <c r="V356" s="55"/>
      <c r="W356" s="55"/>
    </row>
    <row r="357">
      <c r="A357" s="61"/>
      <c r="B357" s="202"/>
      <c r="C357" s="61"/>
      <c r="D357" s="202"/>
      <c r="E357" s="61"/>
      <c r="F357" s="202"/>
      <c r="G357" s="61"/>
      <c r="H357" s="202"/>
      <c r="I357" s="18"/>
      <c r="J357" s="202"/>
      <c r="K357" s="55"/>
      <c r="L357" s="55"/>
      <c r="M357" s="55"/>
      <c r="N357" s="55"/>
      <c r="O357" s="55"/>
      <c r="P357" s="55"/>
      <c r="Q357" s="55"/>
      <c r="R357" s="55"/>
      <c r="S357" s="55"/>
      <c r="T357" s="55"/>
      <c r="U357" s="55"/>
      <c r="V357" s="55"/>
      <c r="W357" s="55"/>
    </row>
    <row r="358">
      <c r="A358" s="61"/>
      <c r="B358" s="202"/>
      <c r="C358" s="61"/>
      <c r="D358" s="202"/>
      <c r="E358" s="61"/>
      <c r="F358" s="202"/>
      <c r="G358" s="61"/>
      <c r="H358" s="202"/>
      <c r="I358" s="18"/>
      <c r="J358" s="202"/>
      <c r="K358" s="55"/>
      <c r="L358" s="55"/>
      <c r="M358" s="55"/>
      <c r="N358" s="55"/>
      <c r="O358" s="55"/>
      <c r="P358" s="55"/>
      <c r="Q358" s="55"/>
      <c r="R358" s="55"/>
      <c r="S358" s="55"/>
      <c r="T358" s="55"/>
      <c r="U358" s="55"/>
      <c r="V358" s="55"/>
      <c r="W358" s="55"/>
    </row>
    <row r="359">
      <c r="A359" s="61"/>
      <c r="B359" s="202"/>
      <c r="C359" s="61"/>
      <c r="D359" s="202"/>
      <c r="E359" s="61"/>
      <c r="F359" s="202"/>
      <c r="G359" s="61"/>
      <c r="H359" s="202"/>
      <c r="I359" s="18"/>
      <c r="J359" s="202"/>
      <c r="K359" s="55"/>
      <c r="L359" s="55"/>
      <c r="M359" s="55"/>
      <c r="N359" s="55"/>
      <c r="O359" s="55"/>
      <c r="P359" s="55"/>
      <c r="Q359" s="55"/>
      <c r="R359" s="55"/>
      <c r="S359" s="55"/>
      <c r="T359" s="55"/>
      <c r="U359" s="55"/>
      <c r="V359" s="55"/>
      <c r="W359" s="55"/>
    </row>
    <row r="360">
      <c r="A360" s="61"/>
      <c r="B360" s="202"/>
      <c r="C360" s="61"/>
      <c r="D360" s="202"/>
      <c r="E360" s="61"/>
      <c r="F360" s="202"/>
      <c r="G360" s="61"/>
      <c r="H360" s="202"/>
      <c r="I360" s="18"/>
      <c r="J360" s="202"/>
      <c r="K360" s="55"/>
      <c r="L360" s="55"/>
      <c r="M360" s="55"/>
      <c r="N360" s="55"/>
      <c r="O360" s="55"/>
      <c r="P360" s="55"/>
      <c r="Q360" s="55"/>
      <c r="R360" s="55"/>
      <c r="S360" s="55"/>
      <c r="T360" s="55"/>
      <c r="U360" s="55"/>
      <c r="V360" s="55"/>
      <c r="W360" s="55"/>
    </row>
    <row r="361">
      <c r="A361" s="61"/>
      <c r="B361" s="202"/>
      <c r="C361" s="61"/>
      <c r="D361" s="202"/>
      <c r="E361" s="61"/>
      <c r="F361" s="202"/>
      <c r="G361" s="61"/>
      <c r="H361" s="202"/>
      <c r="I361" s="18"/>
      <c r="J361" s="202"/>
      <c r="K361" s="55"/>
      <c r="L361" s="55"/>
      <c r="M361" s="55"/>
      <c r="N361" s="55"/>
      <c r="O361" s="55"/>
      <c r="P361" s="55"/>
      <c r="Q361" s="55"/>
      <c r="R361" s="55"/>
      <c r="S361" s="55"/>
      <c r="T361" s="55"/>
      <c r="U361" s="55"/>
      <c r="V361" s="55"/>
      <c r="W361" s="55"/>
    </row>
    <row r="362">
      <c r="A362" s="61"/>
      <c r="B362" s="202"/>
      <c r="C362" s="61"/>
      <c r="D362" s="202"/>
      <c r="E362" s="61"/>
      <c r="F362" s="202"/>
      <c r="G362" s="61"/>
      <c r="H362" s="202"/>
      <c r="I362" s="18"/>
      <c r="J362" s="202"/>
      <c r="K362" s="55"/>
      <c r="L362" s="55"/>
      <c r="M362" s="55"/>
      <c r="N362" s="55"/>
      <c r="O362" s="55"/>
      <c r="P362" s="55"/>
      <c r="Q362" s="55"/>
      <c r="R362" s="55"/>
      <c r="S362" s="55"/>
      <c r="T362" s="55"/>
      <c r="U362" s="55"/>
      <c r="V362" s="55"/>
      <c r="W362" s="55"/>
    </row>
    <row r="363">
      <c r="A363" s="61"/>
      <c r="B363" s="202"/>
      <c r="C363" s="61"/>
      <c r="D363" s="202"/>
      <c r="E363" s="61"/>
      <c r="F363" s="202"/>
      <c r="G363" s="61"/>
      <c r="H363" s="202"/>
      <c r="I363" s="18"/>
      <c r="J363" s="202"/>
      <c r="K363" s="55"/>
      <c r="L363" s="55"/>
      <c r="M363" s="55"/>
      <c r="N363" s="55"/>
      <c r="O363" s="55"/>
      <c r="P363" s="55"/>
      <c r="Q363" s="55"/>
      <c r="R363" s="55"/>
      <c r="S363" s="55"/>
      <c r="T363" s="55"/>
      <c r="U363" s="55"/>
      <c r="V363" s="55"/>
      <c r="W363" s="55"/>
    </row>
    <row r="364">
      <c r="A364" s="61"/>
      <c r="B364" s="202"/>
      <c r="C364" s="61"/>
      <c r="D364" s="202"/>
      <c r="E364" s="61"/>
      <c r="F364" s="202"/>
      <c r="G364" s="61"/>
      <c r="H364" s="202"/>
      <c r="I364" s="18"/>
      <c r="J364" s="202"/>
      <c r="K364" s="55"/>
      <c r="L364" s="55"/>
      <c r="M364" s="55"/>
      <c r="N364" s="55"/>
      <c r="O364" s="55"/>
      <c r="P364" s="55"/>
      <c r="Q364" s="55"/>
      <c r="R364" s="55"/>
      <c r="S364" s="55"/>
      <c r="T364" s="55"/>
      <c r="U364" s="55"/>
      <c r="V364" s="55"/>
      <c r="W364" s="55"/>
    </row>
    <row r="365">
      <c r="A365" s="61"/>
      <c r="B365" s="202"/>
      <c r="C365" s="61"/>
      <c r="D365" s="202"/>
      <c r="E365" s="61"/>
      <c r="F365" s="202"/>
      <c r="G365" s="61"/>
      <c r="H365" s="202"/>
      <c r="I365" s="18"/>
      <c r="J365" s="202"/>
      <c r="K365" s="55"/>
      <c r="L365" s="55"/>
      <c r="M365" s="55"/>
      <c r="N365" s="55"/>
      <c r="O365" s="55"/>
      <c r="P365" s="55"/>
      <c r="Q365" s="55"/>
      <c r="R365" s="55"/>
      <c r="S365" s="55"/>
      <c r="T365" s="55"/>
      <c r="U365" s="55"/>
      <c r="V365" s="55"/>
      <c r="W365" s="55"/>
    </row>
    <row r="366">
      <c r="A366" s="61"/>
      <c r="B366" s="202"/>
      <c r="C366" s="61"/>
      <c r="D366" s="202"/>
      <c r="E366" s="61"/>
      <c r="F366" s="202"/>
      <c r="G366" s="61"/>
      <c r="H366" s="202"/>
      <c r="I366" s="18"/>
      <c r="J366" s="202"/>
      <c r="K366" s="55"/>
      <c r="L366" s="55"/>
      <c r="M366" s="55"/>
      <c r="N366" s="55"/>
      <c r="O366" s="55"/>
      <c r="P366" s="55"/>
      <c r="Q366" s="55"/>
      <c r="R366" s="55"/>
      <c r="S366" s="55"/>
      <c r="T366" s="55"/>
      <c r="U366" s="55"/>
      <c r="V366" s="55"/>
      <c r="W366" s="55"/>
    </row>
    <row r="367">
      <c r="A367" s="61"/>
      <c r="B367" s="202"/>
      <c r="C367" s="61"/>
      <c r="D367" s="202"/>
      <c r="E367" s="61"/>
      <c r="F367" s="202"/>
      <c r="G367" s="61"/>
      <c r="H367" s="202"/>
      <c r="I367" s="18"/>
      <c r="J367" s="202"/>
      <c r="K367" s="55"/>
      <c r="L367" s="55"/>
      <c r="M367" s="55"/>
      <c r="N367" s="55"/>
      <c r="O367" s="55"/>
      <c r="P367" s="55"/>
      <c r="Q367" s="55"/>
      <c r="R367" s="55"/>
      <c r="S367" s="55"/>
      <c r="T367" s="55"/>
      <c r="U367" s="55"/>
      <c r="V367" s="55"/>
      <c r="W367" s="55"/>
    </row>
    <row r="368">
      <c r="A368" s="61"/>
      <c r="B368" s="202"/>
      <c r="C368" s="61"/>
      <c r="D368" s="202"/>
      <c r="E368" s="61"/>
      <c r="F368" s="202"/>
      <c r="G368" s="61"/>
      <c r="H368" s="202"/>
      <c r="I368" s="18"/>
      <c r="J368" s="202"/>
      <c r="K368" s="55"/>
      <c r="L368" s="55"/>
      <c r="M368" s="55"/>
      <c r="N368" s="55"/>
      <c r="O368" s="55"/>
      <c r="P368" s="55"/>
      <c r="Q368" s="55"/>
      <c r="R368" s="55"/>
      <c r="S368" s="55"/>
      <c r="T368" s="55"/>
      <c r="U368" s="55"/>
      <c r="V368" s="55"/>
      <c r="W368" s="55"/>
    </row>
    <row r="369">
      <c r="A369" s="61"/>
      <c r="B369" s="202"/>
      <c r="C369" s="61"/>
      <c r="D369" s="202"/>
      <c r="E369" s="61"/>
      <c r="F369" s="202"/>
      <c r="G369" s="61"/>
      <c r="H369" s="202"/>
      <c r="I369" s="18"/>
      <c r="J369" s="202"/>
      <c r="K369" s="55"/>
      <c r="L369" s="55"/>
      <c r="M369" s="55"/>
      <c r="N369" s="55"/>
      <c r="O369" s="55"/>
      <c r="P369" s="55"/>
      <c r="Q369" s="55"/>
      <c r="R369" s="55"/>
      <c r="S369" s="55"/>
      <c r="T369" s="55"/>
      <c r="U369" s="55"/>
      <c r="V369" s="55"/>
      <c r="W369" s="55"/>
    </row>
    <row r="370">
      <c r="A370" s="61"/>
      <c r="B370" s="202"/>
      <c r="C370" s="61"/>
      <c r="D370" s="202"/>
      <c r="E370" s="61"/>
      <c r="F370" s="202"/>
      <c r="G370" s="61"/>
      <c r="H370" s="202"/>
      <c r="I370" s="18"/>
      <c r="J370" s="202"/>
      <c r="K370" s="55"/>
      <c r="L370" s="55"/>
      <c r="M370" s="55"/>
      <c r="N370" s="55"/>
      <c r="O370" s="55"/>
      <c r="P370" s="55"/>
      <c r="Q370" s="55"/>
      <c r="R370" s="55"/>
      <c r="S370" s="55"/>
      <c r="T370" s="55"/>
      <c r="U370" s="55"/>
      <c r="V370" s="55"/>
      <c r="W370" s="55"/>
    </row>
    <row r="371">
      <c r="A371" s="61"/>
      <c r="B371" s="202"/>
      <c r="C371" s="61"/>
      <c r="D371" s="202"/>
      <c r="E371" s="61"/>
      <c r="F371" s="202"/>
      <c r="G371" s="61"/>
      <c r="H371" s="202"/>
      <c r="I371" s="18"/>
      <c r="J371" s="202"/>
      <c r="K371" s="55"/>
      <c r="L371" s="55"/>
      <c r="M371" s="55"/>
      <c r="N371" s="55"/>
      <c r="O371" s="55"/>
      <c r="P371" s="55"/>
      <c r="Q371" s="55"/>
      <c r="R371" s="55"/>
      <c r="S371" s="55"/>
      <c r="T371" s="55"/>
      <c r="U371" s="55"/>
      <c r="V371" s="55"/>
      <c r="W371" s="55"/>
    </row>
    <row r="372">
      <c r="A372" s="61"/>
      <c r="B372" s="202"/>
      <c r="C372" s="61"/>
      <c r="D372" s="202"/>
      <c r="E372" s="61"/>
      <c r="F372" s="202"/>
      <c r="G372" s="61"/>
      <c r="H372" s="202"/>
      <c r="I372" s="18"/>
      <c r="J372" s="202"/>
      <c r="K372" s="55"/>
      <c r="L372" s="55"/>
      <c r="M372" s="55"/>
      <c r="N372" s="55"/>
      <c r="O372" s="55"/>
      <c r="P372" s="55"/>
      <c r="Q372" s="55"/>
      <c r="R372" s="55"/>
      <c r="S372" s="55"/>
      <c r="T372" s="55"/>
      <c r="U372" s="55"/>
      <c r="V372" s="55"/>
      <c r="W372" s="55"/>
    </row>
    <row r="373">
      <c r="A373" s="61"/>
      <c r="B373" s="202"/>
      <c r="C373" s="61"/>
      <c r="D373" s="202"/>
      <c r="E373" s="61"/>
      <c r="F373" s="202"/>
      <c r="G373" s="61"/>
      <c r="H373" s="202"/>
      <c r="I373" s="18"/>
      <c r="J373" s="202"/>
      <c r="K373" s="55"/>
      <c r="L373" s="55"/>
      <c r="M373" s="55"/>
      <c r="N373" s="55"/>
      <c r="O373" s="55"/>
      <c r="P373" s="55"/>
      <c r="Q373" s="55"/>
      <c r="R373" s="55"/>
      <c r="S373" s="55"/>
      <c r="T373" s="55"/>
      <c r="U373" s="55"/>
      <c r="V373" s="55"/>
      <c r="W373" s="55"/>
    </row>
    <row r="374">
      <c r="A374" s="61"/>
      <c r="B374" s="202"/>
      <c r="C374" s="61"/>
      <c r="D374" s="202"/>
      <c r="E374" s="61"/>
      <c r="F374" s="202"/>
      <c r="G374" s="61"/>
      <c r="H374" s="202"/>
      <c r="I374" s="18"/>
      <c r="J374" s="202"/>
      <c r="K374" s="55"/>
      <c r="L374" s="55"/>
      <c r="M374" s="55"/>
      <c r="N374" s="55"/>
      <c r="O374" s="55"/>
      <c r="P374" s="55"/>
      <c r="Q374" s="55"/>
      <c r="R374" s="55"/>
      <c r="S374" s="55"/>
      <c r="T374" s="55"/>
      <c r="U374" s="55"/>
      <c r="V374" s="55"/>
      <c r="W374" s="55"/>
    </row>
    <row r="375">
      <c r="A375" s="61"/>
      <c r="B375" s="202"/>
      <c r="C375" s="61"/>
      <c r="D375" s="202"/>
      <c r="E375" s="61"/>
      <c r="F375" s="202"/>
      <c r="G375" s="61"/>
      <c r="H375" s="202"/>
      <c r="I375" s="18"/>
      <c r="J375" s="202"/>
      <c r="K375" s="55"/>
      <c r="L375" s="55"/>
      <c r="M375" s="55"/>
      <c r="N375" s="55"/>
      <c r="O375" s="55"/>
      <c r="P375" s="55"/>
      <c r="Q375" s="55"/>
      <c r="R375" s="55"/>
      <c r="S375" s="55"/>
      <c r="T375" s="55"/>
      <c r="U375" s="55"/>
      <c r="V375" s="55"/>
      <c r="W375" s="55"/>
    </row>
    <row r="376">
      <c r="A376" s="61"/>
      <c r="B376" s="202"/>
      <c r="C376" s="61"/>
      <c r="D376" s="202"/>
      <c r="E376" s="61"/>
      <c r="F376" s="202"/>
      <c r="G376" s="61"/>
      <c r="H376" s="202"/>
      <c r="I376" s="18"/>
      <c r="J376" s="202"/>
      <c r="K376" s="55"/>
      <c r="L376" s="55"/>
      <c r="M376" s="55"/>
      <c r="N376" s="55"/>
      <c r="O376" s="55"/>
      <c r="P376" s="55"/>
      <c r="Q376" s="55"/>
      <c r="R376" s="55"/>
      <c r="S376" s="55"/>
      <c r="T376" s="55"/>
      <c r="U376" s="55"/>
      <c r="V376" s="55"/>
      <c r="W376" s="55"/>
    </row>
    <row r="377">
      <c r="A377" s="61"/>
      <c r="B377" s="202"/>
      <c r="C377" s="61"/>
      <c r="D377" s="202"/>
      <c r="E377" s="61"/>
      <c r="F377" s="202"/>
      <c r="G377" s="61"/>
      <c r="H377" s="202"/>
      <c r="I377" s="18"/>
      <c r="J377" s="202"/>
      <c r="K377" s="55"/>
      <c r="L377" s="55"/>
      <c r="M377" s="55"/>
      <c r="N377" s="55"/>
      <c r="O377" s="55"/>
      <c r="P377" s="55"/>
      <c r="Q377" s="55"/>
      <c r="R377" s="55"/>
      <c r="S377" s="55"/>
      <c r="T377" s="55"/>
      <c r="U377" s="55"/>
      <c r="V377" s="55"/>
      <c r="W377" s="55"/>
    </row>
    <row r="378">
      <c r="A378" s="61"/>
      <c r="B378" s="202"/>
      <c r="C378" s="61"/>
      <c r="D378" s="202"/>
      <c r="E378" s="61"/>
      <c r="F378" s="202"/>
      <c r="G378" s="61"/>
      <c r="H378" s="202"/>
      <c r="I378" s="18"/>
      <c r="J378" s="202"/>
      <c r="K378" s="55"/>
      <c r="L378" s="55"/>
      <c r="M378" s="55"/>
      <c r="N378" s="55"/>
      <c r="O378" s="55"/>
      <c r="P378" s="55"/>
      <c r="Q378" s="55"/>
      <c r="R378" s="55"/>
      <c r="S378" s="55"/>
      <c r="T378" s="55"/>
      <c r="U378" s="55"/>
      <c r="V378" s="55"/>
      <c r="W378" s="55"/>
    </row>
    <row r="379">
      <c r="A379" s="61"/>
      <c r="B379" s="202"/>
      <c r="C379" s="61"/>
      <c r="D379" s="202"/>
      <c r="E379" s="61"/>
      <c r="F379" s="202"/>
      <c r="G379" s="61"/>
      <c r="H379" s="202"/>
      <c r="I379" s="18"/>
      <c r="J379" s="202"/>
      <c r="K379" s="55"/>
      <c r="L379" s="55"/>
      <c r="M379" s="55"/>
      <c r="N379" s="55"/>
      <c r="O379" s="55"/>
      <c r="P379" s="55"/>
      <c r="Q379" s="55"/>
      <c r="R379" s="55"/>
      <c r="S379" s="55"/>
      <c r="T379" s="55"/>
      <c r="U379" s="55"/>
      <c r="V379" s="55"/>
      <c r="W379" s="55"/>
    </row>
    <row r="380">
      <c r="A380" s="61"/>
      <c r="B380" s="202"/>
      <c r="C380" s="61"/>
      <c r="D380" s="202"/>
      <c r="E380" s="61"/>
      <c r="F380" s="202"/>
      <c r="G380" s="61"/>
      <c r="H380" s="202"/>
      <c r="I380" s="18"/>
      <c r="J380" s="202"/>
      <c r="K380" s="55"/>
      <c r="L380" s="55"/>
      <c r="M380" s="55"/>
      <c r="N380" s="55"/>
      <c r="O380" s="55"/>
      <c r="P380" s="55"/>
      <c r="Q380" s="55"/>
      <c r="R380" s="55"/>
      <c r="S380" s="55"/>
      <c r="T380" s="55"/>
      <c r="U380" s="55"/>
      <c r="V380" s="55"/>
      <c r="W380" s="55"/>
    </row>
    <row r="381">
      <c r="A381" s="61"/>
      <c r="B381" s="202"/>
      <c r="C381" s="61"/>
      <c r="D381" s="202"/>
      <c r="E381" s="61"/>
      <c r="F381" s="202"/>
      <c r="G381" s="61"/>
      <c r="H381" s="202"/>
      <c r="I381" s="18"/>
      <c r="J381" s="202"/>
      <c r="K381" s="55"/>
      <c r="L381" s="55"/>
      <c r="M381" s="55"/>
      <c r="N381" s="55"/>
      <c r="O381" s="55"/>
      <c r="P381" s="55"/>
      <c r="Q381" s="55"/>
      <c r="R381" s="55"/>
      <c r="S381" s="55"/>
      <c r="T381" s="55"/>
      <c r="U381" s="55"/>
      <c r="V381" s="55"/>
      <c r="W381" s="55"/>
    </row>
    <row r="382">
      <c r="A382" s="61"/>
      <c r="B382" s="202"/>
      <c r="C382" s="61"/>
      <c r="D382" s="202"/>
      <c r="E382" s="61"/>
      <c r="F382" s="202"/>
      <c r="G382" s="61"/>
      <c r="H382" s="202"/>
      <c r="I382" s="18"/>
      <c r="J382" s="202"/>
      <c r="K382" s="55"/>
      <c r="L382" s="55"/>
      <c r="M382" s="55"/>
      <c r="N382" s="55"/>
      <c r="O382" s="55"/>
      <c r="P382" s="55"/>
      <c r="Q382" s="55"/>
      <c r="R382" s="55"/>
      <c r="S382" s="55"/>
      <c r="T382" s="55"/>
      <c r="U382" s="55"/>
      <c r="V382" s="55"/>
      <c r="W382" s="55"/>
    </row>
    <row r="383">
      <c r="A383" s="61"/>
      <c r="B383" s="202"/>
      <c r="C383" s="61"/>
      <c r="D383" s="202"/>
      <c r="E383" s="61"/>
      <c r="F383" s="202"/>
      <c r="G383" s="61"/>
      <c r="H383" s="202"/>
      <c r="I383" s="18"/>
      <c r="J383" s="202"/>
      <c r="K383" s="55"/>
      <c r="L383" s="55"/>
      <c r="M383" s="55"/>
      <c r="N383" s="55"/>
      <c r="O383" s="55"/>
      <c r="P383" s="55"/>
      <c r="Q383" s="55"/>
      <c r="R383" s="55"/>
      <c r="S383" s="55"/>
      <c r="T383" s="55"/>
      <c r="U383" s="55"/>
      <c r="V383" s="55"/>
      <c r="W383" s="55"/>
    </row>
    <row r="384">
      <c r="A384" s="61"/>
      <c r="B384" s="202"/>
      <c r="C384" s="61"/>
      <c r="D384" s="202"/>
      <c r="E384" s="61"/>
      <c r="F384" s="202"/>
      <c r="G384" s="61"/>
      <c r="H384" s="202"/>
      <c r="I384" s="18"/>
      <c r="J384" s="202"/>
      <c r="K384" s="55"/>
      <c r="L384" s="55"/>
      <c r="M384" s="55"/>
      <c r="N384" s="55"/>
      <c r="O384" s="55"/>
      <c r="P384" s="55"/>
      <c r="Q384" s="55"/>
      <c r="R384" s="55"/>
      <c r="S384" s="55"/>
      <c r="T384" s="55"/>
      <c r="U384" s="55"/>
      <c r="V384" s="55"/>
      <c r="W384" s="55"/>
    </row>
    <row r="385">
      <c r="A385" s="61"/>
      <c r="B385" s="202"/>
      <c r="C385" s="61"/>
      <c r="D385" s="202"/>
      <c r="E385" s="61"/>
      <c r="F385" s="202"/>
      <c r="G385" s="61"/>
      <c r="H385" s="202"/>
      <c r="I385" s="18"/>
      <c r="J385" s="202"/>
      <c r="K385" s="55"/>
      <c r="L385" s="55"/>
      <c r="M385" s="55"/>
      <c r="N385" s="55"/>
      <c r="O385" s="55"/>
      <c r="P385" s="55"/>
      <c r="Q385" s="55"/>
      <c r="R385" s="55"/>
      <c r="S385" s="55"/>
      <c r="T385" s="55"/>
      <c r="U385" s="55"/>
      <c r="V385" s="55"/>
      <c r="W385" s="55"/>
    </row>
    <row r="386">
      <c r="A386" s="61"/>
      <c r="B386" s="202"/>
      <c r="C386" s="61"/>
      <c r="D386" s="202"/>
      <c r="E386" s="61"/>
      <c r="F386" s="202"/>
      <c r="G386" s="61"/>
      <c r="H386" s="202"/>
      <c r="I386" s="18"/>
      <c r="J386" s="202"/>
      <c r="K386" s="55"/>
      <c r="L386" s="55"/>
      <c r="M386" s="55"/>
      <c r="N386" s="55"/>
      <c r="O386" s="55"/>
      <c r="P386" s="55"/>
      <c r="Q386" s="55"/>
      <c r="R386" s="55"/>
      <c r="S386" s="55"/>
      <c r="T386" s="55"/>
      <c r="U386" s="55"/>
      <c r="V386" s="55"/>
      <c r="W386" s="55"/>
    </row>
    <row r="387">
      <c r="A387" s="61"/>
      <c r="B387" s="202"/>
      <c r="C387" s="61"/>
      <c r="D387" s="202"/>
      <c r="E387" s="61"/>
      <c r="F387" s="202"/>
      <c r="G387" s="61"/>
      <c r="H387" s="202"/>
      <c r="I387" s="18"/>
      <c r="J387" s="202"/>
      <c r="K387" s="55"/>
      <c r="L387" s="55"/>
      <c r="M387" s="55"/>
      <c r="N387" s="55"/>
      <c r="O387" s="55"/>
      <c r="P387" s="55"/>
      <c r="Q387" s="55"/>
      <c r="R387" s="55"/>
      <c r="S387" s="55"/>
      <c r="T387" s="55"/>
      <c r="U387" s="55"/>
      <c r="V387" s="55"/>
      <c r="W387" s="55"/>
    </row>
    <row r="388">
      <c r="A388" s="61"/>
      <c r="B388" s="202"/>
      <c r="C388" s="61"/>
      <c r="D388" s="202"/>
      <c r="E388" s="61"/>
      <c r="F388" s="202"/>
      <c r="G388" s="61"/>
      <c r="H388" s="202"/>
      <c r="I388" s="18"/>
      <c r="J388" s="202"/>
      <c r="K388" s="55"/>
      <c r="L388" s="55"/>
      <c r="M388" s="55"/>
      <c r="N388" s="55"/>
      <c r="O388" s="55"/>
      <c r="P388" s="55"/>
      <c r="Q388" s="55"/>
      <c r="R388" s="55"/>
      <c r="S388" s="55"/>
      <c r="T388" s="55"/>
      <c r="U388" s="55"/>
      <c r="V388" s="55"/>
      <c r="W388" s="55"/>
    </row>
    <row r="389">
      <c r="A389" s="61"/>
      <c r="B389" s="202"/>
      <c r="C389" s="61"/>
      <c r="D389" s="202"/>
      <c r="E389" s="61"/>
      <c r="F389" s="202"/>
      <c r="G389" s="61"/>
      <c r="H389" s="202"/>
      <c r="I389" s="18"/>
      <c r="J389" s="202"/>
      <c r="K389" s="55"/>
      <c r="L389" s="55"/>
      <c r="M389" s="55"/>
      <c r="N389" s="55"/>
      <c r="O389" s="55"/>
      <c r="P389" s="55"/>
      <c r="Q389" s="55"/>
      <c r="R389" s="55"/>
      <c r="S389" s="55"/>
      <c r="T389" s="55"/>
      <c r="U389" s="55"/>
      <c r="V389" s="55"/>
      <c r="W389" s="55"/>
    </row>
    <row r="390">
      <c r="A390" s="61"/>
      <c r="B390" s="202"/>
      <c r="C390" s="61"/>
      <c r="D390" s="202"/>
      <c r="E390" s="61"/>
      <c r="F390" s="202"/>
      <c r="G390" s="61"/>
      <c r="H390" s="202"/>
      <c r="I390" s="18"/>
      <c r="J390" s="202"/>
      <c r="K390" s="55"/>
      <c r="L390" s="55"/>
      <c r="M390" s="55"/>
      <c r="N390" s="55"/>
      <c r="O390" s="55"/>
      <c r="P390" s="55"/>
      <c r="Q390" s="55"/>
      <c r="R390" s="55"/>
      <c r="S390" s="55"/>
      <c r="T390" s="55"/>
      <c r="U390" s="55"/>
      <c r="V390" s="55"/>
      <c r="W390" s="55"/>
    </row>
    <row r="391">
      <c r="A391" s="61"/>
      <c r="B391" s="202"/>
      <c r="C391" s="61"/>
      <c r="D391" s="202"/>
      <c r="E391" s="61"/>
      <c r="F391" s="202"/>
      <c r="G391" s="61"/>
      <c r="H391" s="202"/>
      <c r="I391" s="18"/>
      <c r="J391" s="202"/>
      <c r="K391" s="55"/>
      <c r="L391" s="55"/>
      <c r="M391" s="55"/>
      <c r="N391" s="55"/>
      <c r="O391" s="55"/>
      <c r="P391" s="55"/>
      <c r="Q391" s="55"/>
      <c r="R391" s="55"/>
      <c r="S391" s="55"/>
      <c r="T391" s="55"/>
      <c r="U391" s="55"/>
      <c r="V391" s="55"/>
      <c r="W391" s="55"/>
    </row>
    <row r="392">
      <c r="A392" s="61"/>
      <c r="B392" s="202"/>
      <c r="C392" s="61"/>
      <c r="D392" s="202"/>
      <c r="E392" s="61"/>
      <c r="F392" s="202"/>
      <c r="G392" s="61"/>
      <c r="H392" s="202"/>
      <c r="I392" s="18"/>
      <c r="J392" s="202"/>
      <c r="K392" s="55"/>
      <c r="L392" s="55"/>
      <c r="M392" s="55"/>
      <c r="N392" s="55"/>
      <c r="O392" s="55"/>
      <c r="P392" s="55"/>
      <c r="Q392" s="55"/>
      <c r="R392" s="55"/>
      <c r="S392" s="55"/>
      <c r="T392" s="55"/>
      <c r="U392" s="55"/>
      <c r="V392" s="55"/>
      <c r="W392" s="55"/>
    </row>
    <row r="393">
      <c r="A393" s="61"/>
      <c r="B393" s="202"/>
      <c r="C393" s="61"/>
      <c r="D393" s="202"/>
      <c r="E393" s="61"/>
      <c r="F393" s="202"/>
      <c r="G393" s="61"/>
      <c r="H393" s="202"/>
      <c r="I393" s="18"/>
      <c r="J393" s="202"/>
      <c r="K393" s="55"/>
      <c r="L393" s="55"/>
      <c r="M393" s="55"/>
      <c r="N393" s="55"/>
      <c r="O393" s="55"/>
      <c r="P393" s="55"/>
      <c r="Q393" s="55"/>
      <c r="R393" s="55"/>
      <c r="S393" s="55"/>
      <c r="T393" s="55"/>
      <c r="U393" s="55"/>
      <c r="V393" s="55"/>
      <c r="W393" s="55"/>
    </row>
    <row r="394">
      <c r="A394" s="61"/>
      <c r="B394" s="202"/>
      <c r="C394" s="61"/>
      <c r="D394" s="202"/>
      <c r="E394" s="61"/>
      <c r="F394" s="202"/>
      <c r="G394" s="61"/>
      <c r="H394" s="202"/>
      <c r="I394" s="18"/>
      <c r="J394" s="202"/>
      <c r="K394" s="55"/>
      <c r="L394" s="55"/>
      <c r="M394" s="55"/>
      <c r="N394" s="55"/>
      <c r="O394" s="55"/>
      <c r="P394" s="55"/>
      <c r="Q394" s="55"/>
      <c r="R394" s="55"/>
      <c r="S394" s="55"/>
      <c r="T394" s="55"/>
      <c r="U394" s="55"/>
      <c r="V394" s="55"/>
      <c r="W394" s="55"/>
    </row>
    <row r="395">
      <c r="A395" s="61"/>
      <c r="B395" s="202"/>
      <c r="C395" s="61"/>
      <c r="D395" s="202"/>
      <c r="E395" s="61"/>
      <c r="F395" s="202"/>
      <c r="G395" s="61"/>
      <c r="H395" s="202"/>
      <c r="I395" s="18"/>
      <c r="J395" s="202"/>
      <c r="K395" s="55"/>
      <c r="L395" s="55"/>
      <c r="M395" s="55"/>
      <c r="N395" s="55"/>
      <c r="O395" s="55"/>
      <c r="P395" s="55"/>
      <c r="Q395" s="55"/>
      <c r="R395" s="55"/>
      <c r="S395" s="55"/>
      <c r="T395" s="55"/>
      <c r="U395" s="55"/>
      <c r="V395" s="55"/>
      <c r="W395" s="55"/>
    </row>
    <row r="396">
      <c r="A396" s="61"/>
      <c r="B396" s="202"/>
      <c r="C396" s="61"/>
      <c r="D396" s="202"/>
      <c r="E396" s="61"/>
      <c r="F396" s="202"/>
      <c r="G396" s="61"/>
      <c r="H396" s="202"/>
      <c r="I396" s="18"/>
      <c r="J396" s="202"/>
      <c r="K396" s="55"/>
      <c r="L396" s="55"/>
      <c r="M396" s="55"/>
      <c r="N396" s="55"/>
      <c r="O396" s="55"/>
      <c r="P396" s="55"/>
      <c r="Q396" s="55"/>
      <c r="R396" s="55"/>
      <c r="S396" s="55"/>
      <c r="T396" s="55"/>
      <c r="U396" s="55"/>
      <c r="V396" s="55"/>
      <c r="W396" s="55"/>
    </row>
    <row r="397">
      <c r="A397" s="61"/>
      <c r="B397" s="202"/>
      <c r="C397" s="61"/>
      <c r="D397" s="202"/>
      <c r="E397" s="61"/>
      <c r="F397" s="202"/>
      <c r="G397" s="61"/>
      <c r="H397" s="202"/>
      <c r="I397" s="18"/>
      <c r="J397" s="202"/>
      <c r="K397" s="55"/>
      <c r="L397" s="55"/>
      <c r="M397" s="55"/>
      <c r="N397" s="55"/>
      <c r="O397" s="55"/>
      <c r="P397" s="55"/>
      <c r="Q397" s="55"/>
      <c r="R397" s="55"/>
      <c r="S397" s="55"/>
      <c r="T397" s="55"/>
      <c r="U397" s="55"/>
      <c r="V397" s="55"/>
      <c r="W397" s="55"/>
    </row>
    <row r="398">
      <c r="A398" s="61"/>
      <c r="B398" s="202"/>
      <c r="C398" s="61"/>
      <c r="D398" s="202"/>
      <c r="E398" s="61"/>
      <c r="F398" s="202"/>
      <c r="G398" s="61"/>
      <c r="H398" s="202"/>
      <c r="I398" s="18"/>
      <c r="J398" s="202"/>
      <c r="K398" s="55"/>
      <c r="L398" s="55"/>
      <c r="M398" s="55"/>
      <c r="N398" s="55"/>
      <c r="O398" s="55"/>
      <c r="P398" s="55"/>
      <c r="Q398" s="55"/>
      <c r="R398" s="55"/>
      <c r="S398" s="55"/>
      <c r="T398" s="55"/>
      <c r="U398" s="55"/>
      <c r="V398" s="55"/>
      <c r="W398" s="55"/>
    </row>
    <row r="399">
      <c r="A399" s="61"/>
      <c r="B399" s="202"/>
      <c r="C399" s="61"/>
      <c r="D399" s="202"/>
      <c r="E399" s="61"/>
      <c r="F399" s="202"/>
      <c r="G399" s="61"/>
      <c r="H399" s="202"/>
      <c r="I399" s="18"/>
      <c r="J399" s="202"/>
      <c r="K399" s="55"/>
      <c r="L399" s="55"/>
      <c r="M399" s="55"/>
      <c r="N399" s="55"/>
      <c r="O399" s="55"/>
      <c r="P399" s="55"/>
      <c r="Q399" s="55"/>
      <c r="R399" s="55"/>
      <c r="S399" s="55"/>
      <c r="T399" s="55"/>
      <c r="U399" s="55"/>
      <c r="V399" s="55"/>
      <c r="W399" s="55"/>
    </row>
    <row r="400">
      <c r="A400" s="61"/>
      <c r="B400" s="202"/>
      <c r="C400" s="61"/>
      <c r="D400" s="202"/>
      <c r="E400" s="61"/>
      <c r="F400" s="202"/>
      <c r="G400" s="61"/>
      <c r="H400" s="202"/>
      <c r="I400" s="18"/>
      <c r="J400" s="202"/>
      <c r="K400" s="55"/>
      <c r="L400" s="55"/>
      <c r="M400" s="55"/>
      <c r="N400" s="55"/>
      <c r="O400" s="55"/>
      <c r="P400" s="55"/>
      <c r="Q400" s="55"/>
      <c r="R400" s="55"/>
      <c r="S400" s="55"/>
      <c r="T400" s="55"/>
      <c r="U400" s="55"/>
      <c r="V400" s="55"/>
      <c r="W400" s="55"/>
    </row>
    <row r="401">
      <c r="A401" s="61"/>
      <c r="B401" s="202"/>
      <c r="C401" s="61"/>
      <c r="D401" s="202"/>
      <c r="E401" s="61"/>
      <c r="F401" s="202"/>
      <c r="G401" s="61"/>
      <c r="H401" s="202"/>
      <c r="I401" s="18"/>
      <c r="J401" s="202"/>
      <c r="K401" s="55"/>
      <c r="L401" s="55"/>
      <c r="M401" s="55"/>
      <c r="N401" s="55"/>
      <c r="O401" s="55"/>
      <c r="P401" s="55"/>
      <c r="Q401" s="55"/>
      <c r="R401" s="55"/>
      <c r="S401" s="55"/>
      <c r="T401" s="55"/>
      <c r="U401" s="55"/>
      <c r="V401" s="55"/>
      <c r="W401" s="55"/>
    </row>
    <row r="402">
      <c r="A402" s="61"/>
      <c r="B402" s="202"/>
      <c r="C402" s="61"/>
      <c r="D402" s="202"/>
      <c r="E402" s="61"/>
      <c r="F402" s="202"/>
      <c r="G402" s="61"/>
      <c r="H402" s="202"/>
      <c r="I402" s="18"/>
      <c r="J402" s="202"/>
      <c r="K402" s="55"/>
      <c r="L402" s="55"/>
      <c r="M402" s="55"/>
      <c r="N402" s="55"/>
      <c r="O402" s="55"/>
      <c r="P402" s="55"/>
      <c r="Q402" s="55"/>
      <c r="R402" s="55"/>
      <c r="S402" s="55"/>
      <c r="T402" s="55"/>
      <c r="U402" s="55"/>
      <c r="V402" s="55"/>
      <c r="W402" s="55"/>
    </row>
    <row r="403">
      <c r="A403" s="61"/>
      <c r="B403" s="202"/>
      <c r="C403" s="61"/>
      <c r="D403" s="202"/>
      <c r="E403" s="61"/>
      <c r="F403" s="202"/>
      <c r="G403" s="61"/>
      <c r="H403" s="202"/>
      <c r="I403" s="18"/>
      <c r="J403" s="202"/>
      <c r="K403" s="55"/>
      <c r="L403" s="55"/>
      <c r="M403" s="55"/>
      <c r="N403" s="55"/>
      <c r="O403" s="55"/>
      <c r="P403" s="55"/>
      <c r="Q403" s="55"/>
      <c r="R403" s="55"/>
      <c r="S403" s="55"/>
      <c r="T403" s="55"/>
      <c r="U403" s="55"/>
      <c r="V403" s="55"/>
      <c r="W403" s="55"/>
    </row>
    <row r="404">
      <c r="A404" s="61"/>
      <c r="B404" s="202"/>
      <c r="C404" s="61"/>
      <c r="D404" s="202"/>
      <c r="E404" s="61"/>
      <c r="F404" s="202"/>
      <c r="G404" s="61"/>
      <c r="H404" s="202"/>
      <c r="I404" s="18"/>
      <c r="J404" s="202"/>
      <c r="K404" s="55"/>
      <c r="L404" s="55"/>
      <c r="M404" s="55"/>
      <c r="N404" s="55"/>
      <c r="O404" s="55"/>
      <c r="P404" s="55"/>
      <c r="Q404" s="55"/>
      <c r="R404" s="55"/>
      <c r="S404" s="55"/>
      <c r="T404" s="55"/>
      <c r="U404" s="55"/>
      <c r="V404" s="55"/>
      <c r="W404" s="55"/>
    </row>
    <row r="405">
      <c r="A405" s="61"/>
      <c r="B405" s="202"/>
      <c r="C405" s="61"/>
      <c r="D405" s="202"/>
      <c r="E405" s="61"/>
      <c r="F405" s="202"/>
      <c r="G405" s="61"/>
      <c r="H405" s="202"/>
      <c r="I405" s="18"/>
      <c r="J405" s="202"/>
      <c r="K405" s="55"/>
      <c r="L405" s="55"/>
      <c r="M405" s="55"/>
      <c r="N405" s="55"/>
      <c r="O405" s="55"/>
      <c r="P405" s="55"/>
      <c r="Q405" s="55"/>
      <c r="R405" s="55"/>
      <c r="S405" s="55"/>
      <c r="T405" s="55"/>
      <c r="U405" s="55"/>
      <c r="V405" s="55"/>
      <c r="W405" s="55"/>
    </row>
    <row r="406">
      <c r="A406" s="61"/>
      <c r="B406" s="202"/>
      <c r="C406" s="61"/>
      <c r="D406" s="202"/>
      <c r="E406" s="61"/>
      <c r="F406" s="202"/>
      <c r="G406" s="61"/>
      <c r="H406" s="202"/>
      <c r="I406" s="18"/>
      <c r="J406" s="202"/>
      <c r="K406" s="55"/>
      <c r="L406" s="55"/>
      <c r="M406" s="55"/>
      <c r="N406" s="55"/>
      <c r="O406" s="55"/>
      <c r="P406" s="55"/>
      <c r="Q406" s="55"/>
      <c r="R406" s="55"/>
      <c r="S406" s="55"/>
      <c r="T406" s="55"/>
      <c r="U406" s="55"/>
      <c r="V406" s="55"/>
      <c r="W406" s="55"/>
    </row>
    <row r="407">
      <c r="A407" s="61"/>
      <c r="B407" s="202"/>
      <c r="C407" s="61"/>
      <c r="D407" s="202"/>
      <c r="E407" s="61"/>
      <c r="F407" s="202"/>
      <c r="G407" s="61"/>
      <c r="H407" s="202"/>
      <c r="I407" s="18"/>
      <c r="J407" s="202"/>
      <c r="K407" s="55"/>
      <c r="L407" s="55"/>
      <c r="M407" s="55"/>
      <c r="N407" s="55"/>
      <c r="O407" s="55"/>
      <c r="P407" s="55"/>
      <c r="Q407" s="55"/>
      <c r="R407" s="55"/>
      <c r="S407" s="55"/>
      <c r="T407" s="55"/>
      <c r="U407" s="55"/>
      <c r="V407" s="55"/>
      <c r="W407" s="55"/>
    </row>
    <row r="408">
      <c r="A408" s="61"/>
      <c r="B408" s="202"/>
      <c r="C408" s="61"/>
      <c r="D408" s="202"/>
      <c r="E408" s="61"/>
      <c r="F408" s="202"/>
      <c r="G408" s="61"/>
      <c r="H408" s="202"/>
      <c r="I408" s="18"/>
      <c r="J408" s="202"/>
      <c r="K408" s="55"/>
      <c r="L408" s="55"/>
      <c r="M408" s="55"/>
      <c r="N408" s="55"/>
      <c r="O408" s="55"/>
      <c r="P408" s="55"/>
      <c r="Q408" s="55"/>
      <c r="R408" s="55"/>
      <c r="S408" s="55"/>
      <c r="T408" s="55"/>
      <c r="U408" s="55"/>
      <c r="V408" s="55"/>
      <c r="W408" s="55"/>
    </row>
    <row r="409">
      <c r="A409" s="61"/>
      <c r="B409" s="202"/>
      <c r="C409" s="61"/>
      <c r="D409" s="202"/>
      <c r="E409" s="61"/>
      <c r="F409" s="202"/>
      <c r="G409" s="61"/>
      <c r="H409" s="202"/>
      <c r="I409" s="18"/>
      <c r="J409" s="202"/>
      <c r="K409" s="55"/>
      <c r="L409" s="55"/>
      <c r="M409" s="55"/>
      <c r="N409" s="55"/>
      <c r="O409" s="55"/>
      <c r="P409" s="55"/>
      <c r="Q409" s="55"/>
      <c r="R409" s="55"/>
      <c r="S409" s="55"/>
      <c r="T409" s="55"/>
      <c r="U409" s="55"/>
      <c r="V409" s="55"/>
      <c r="W409" s="55"/>
    </row>
    <row r="410">
      <c r="A410" s="61"/>
      <c r="B410" s="202"/>
      <c r="C410" s="61"/>
      <c r="D410" s="202"/>
      <c r="E410" s="61"/>
      <c r="F410" s="202"/>
      <c r="G410" s="61"/>
      <c r="H410" s="202"/>
      <c r="I410" s="18"/>
      <c r="J410" s="202"/>
      <c r="K410" s="55"/>
      <c r="L410" s="55"/>
      <c r="M410" s="55"/>
      <c r="N410" s="55"/>
      <c r="O410" s="55"/>
      <c r="P410" s="55"/>
      <c r="Q410" s="55"/>
      <c r="R410" s="55"/>
      <c r="S410" s="55"/>
      <c r="T410" s="55"/>
      <c r="U410" s="55"/>
      <c r="V410" s="55"/>
      <c r="W410" s="55"/>
    </row>
    <row r="411">
      <c r="A411" s="61"/>
      <c r="B411" s="202"/>
      <c r="C411" s="61"/>
      <c r="D411" s="202"/>
      <c r="E411" s="61"/>
      <c r="F411" s="202"/>
      <c r="G411" s="61"/>
      <c r="H411" s="202"/>
      <c r="I411" s="18"/>
      <c r="J411" s="202"/>
      <c r="K411" s="55"/>
      <c r="L411" s="55"/>
      <c r="M411" s="55"/>
      <c r="N411" s="55"/>
      <c r="O411" s="55"/>
      <c r="P411" s="55"/>
      <c r="Q411" s="55"/>
      <c r="R411" s="55"/>
      <c r="S411" s="55"/>
      <c r="T411" s="55"/>
      <c r="U411" s="55"/>
      <c r="V411" s="55"/>
      <c r="W411" s="55"/>
    </row>
    <row r="412">
      <c r="A412" s="61"/>
      <c r="B412" s="202"/>
      <c r="C412" s="61"/>
      <c r="D412" s="202"/>
      <c r="E412" s="61"/>
      <c r="F412" s="202"/>
      <c r="G412" s="61"/>
      <c r="H412" s="202"/>
      <c r="I412" s="18"/>
      <c r="J412" s="202"/>
      <c r="K412" s="55"/>
      <c r="L412" s="55"/>
      <c r="M412" s="55"/>
      <c r="N412" s="55"/>
      <c r="O412" s="55"/>
      <c r="P412" s="55"/>
      <c r="Q412" s="55"/>
      <c r="R412" s="55"/>
      <c r="S412" s="55"/>
      <c r="T412" s="55"/>
      <c r="U412" s="55"/>
      <c r="V412" s="55"/>
      <c r="W412" s="55"/>
    </row>
    <row r="413">
      <c r="A413" s="61"/>
      <c r="B413" s="202"/>
      <c r="C413" s="61"/>
      <c r="D413" s="202"/>
      <c r="E413" s="61"/>
      <c r="F413" s="202"/>
      <c r="G413" s="61"/>
      <c r="H413" s="202"/>
      <c r="I413" s="18"/>
      <c r="J413" s="202"/>
      <c r="K413" s="55"/>
      <c r="L413" s="55"/>
      <c r="M413" s="55"/>
      <c r="N413" s="55"/>
      <c r="O413" s="55"/>
      <c r="P413" s="55"/>
      <c r="Q413" s="55"/>
      <c r="R413" s="55"/>
      <c r="S413" s="55"/>
      <c r="T413" s="55"/>
      <c r="U413" s="55"/>
      <c r="V413" s="55"/>
      <c r="W413" s="55"/>
    </row>
    <row r="414">
      <c r="A414" s="61"/>
      <c r="B414" s="202"/>
      <c r="C414" s="61"/>
      <c r="D414" s="202"/>
      <c r="E414" s="61"/>
      <c r="F414" s="202"/>
      <c r="G414" s="61"/>
      <c r="H414" s="202"/>
      <c r="I414" s="18"/>
      <c r="J414" s="202"/>
      <c r="K414" s="55"/>
      <c r="L414" s="55"/>
      <c r="M414" s="55"/>
      <c r="N414" s="55"/>
      <c r="O414" s="55"/>
      <c r="P414" s="55"/>
      <c r="Q414" s="55"/>
      <c r="R414" s="55"/>
      <c r="S414" s="55"/>
      <c r="T414" s="55"/>
      <c r="U414" s="55"/>
      <c r="V414" s="55"/>
      <c r="W414" s="55"/>
    </row>
    <row r="415">
      <c r="A415" s="61"/>
      <c r="B415" s="202"/>
      <c r="C415" s="61"/>
      <c r="D415" s="202"/>
      <c r="E415" s="61"/>
      <c r="F415" s="202"/>
      <c r="G415" s="61"/>
      <c r="H415" s="202"/>
      <c r="I415" s="18"/>
      <c r="J415" s="202"/>
      <c r="K415" s="55"/>
      <c r="L415" s="55"/>
      <c r="M415" s="55"/>
      <c r="N415" s="55"/>
      <c r="O415" s="55"/>
      <c r="P415" s="55"/>
      <c r="Q415" s="55"/>
      <c r="R415" s="55"/>
      <c r="S415" s="55"/>
      <c r="T415" s="55"/>
      <c r="U415" s="55"/>
      <c r="V415" s="55"/>
      <c r="W415" s="55"/>
    </row>
    <row r="416">
      <c r="A416" s="61"/>
      <c r="B416" s="202"/>
      <c r="C416" s="61"/>
      <c r="D416" s="202"/>
      <c r="E416" s="61"/>
      <c r="F416" s="202"/>
      <c r="G416" s="61"/>
      <c r="H416" s="202"/>
      <c r="I416" s="18"/>
      <c r="J416" s="202"/>
      <c r="K416" s="55"/>
      <c r="L416" s="55"/>
      <c r="M416" s="55"/>
      <c r="N416" s="55"/>
      <c r="O416" s="55"/>
      <c r="P416" s="55"/>
      <c r="Q416" s="55"/>
      <c r="R416" s="55"/>
      <c r="S416" s="55"/>
      <c r="T416" s="55"/>
      <c r="U416" s="55"/>
      <c r="V416" s="55"/>
      <c r="W416" s="55"/>
    </row>
    <row r="417">
      <c r="A417" s="61"/>
      <c r="B417" s="202"/>
      <c r="C417" s="61"/>
      <c r="D417" s="202"/>
      <c r="E417" s="61"/>
      <c r="F417" s="202"/>
      <c r="G417" s="61"/>
      <c r="H417" s="202"/>
      <c r="I417" s="18"/>
      <c r="J417" s="202"/>
      <c r="K417" s="55"/>
      <c r="L417" s="55"/>
      <c r="M417" s="55"/>
      <c r="N417" s="55"/>
      <c r="O417" s="55"/>
      <c r="P417" s="55"/>
      <c r="Q417" s="55"/>
      <c r="R417" s="55"/>
      <c r="S417" s="55"/>
      <c r="T417" s="55"/>
      <c r="U417" s="55"/>
      <c r="V417" s="55"/>
      <c r="W417" s="55"/>
    </row>
    <row r="418">
      <c r="A418" s="61"/>
      <c r="B418" s="202"/>
      <c r="C418" s="61"/>
      <c r="D418" s="202"/>
      <c r="E418" s="61"/>
      <c r="F418" s="202"/>
      <c r="G418" s="61"/>
      <c r="H418" s="202"/>
      <c r="I418" s="18"/>
      <c r="J418" s="202"/>
      <c r="K418" s="55"/>
      <c r="L418" s="55"/>
      <c r="M418" s="55"/>
      <c r="N418" s="55"/>
      <c r="O418" s="55"/>
      <c r="P418" s="55"/>
      <c r="Q418" s="55"/>
      <c r="R418" s="55"/>
      <c r="S418" s="55"/>
      <c r="T418" s="55"/>
      <c r="U418" s="55"/>
      <c r="V418" s="55"/>
      <c r="W418" s="55"/>
    </row>
    <row r="419">
      <c r="A419" s="61"/>
      <c r="B419" s="202"/>
      <c r="C419" s="61"/>
      <c r="D419" s="202"/>
      <c r="E419" s="61"/>
      <c r="F419" s="202"/>
      <c r="G419" s="61"/>
      <c r="H419" s="202"/>
      <c r="I419" s="18"/>
      <c r="J419" s="202"/>
      <c r="K419" s="55"/>
      <c r="L419" s="55"/>
      <c r="M419" s="55"/>
      <c r="N419" s="55"/>
      <c r="O419" s="55"/>
      <c r="P419" s="55"/>
      <c r="Q419" s="55"/>
      <c r="R419" s="55"/>
      <c r="S419" s="55"/>
      <c r="T419" s="55"/>
      <c r="U419" s="55"/>
      <c r="V419" s="55"/>
      <c r="W419" s="55"/>
    </row>
    <row r="420">
      <c r="A420" s="61"/>
      <c r="B420" s="202"/>
      <c r="C420" s="61"/>
      <c r="D420" s="202"/>
      <c r="E420" s="61"/>
      <c r="F420" s="202"/>
      <c r="G420" s="61"/>
      <c r="H420" s="202"/>
      <c r="I420" s="18"/>
      <c r="J420" s="202"/>
      <c r="K420" s="55"/>
      <c r="L420" s="55"/>
      <c r="M420" s="55"/>
      <c r="N420" s="55"/>
      <c r="O420" s="55"/>
      <c r="P420" s="55"/>
      <c r="Q420" s="55"/>
      <c r="R420" s="55"/>
      <c r="S420" s="55"/>
      <c r="T420" s="55"/>
      <c r="U420" s="55"/>
      <c r="V420" s="55"/>
      <c r="W420" s="55"/>
    </row>
    <row r="421">
      <c r="A421" s="61"/>
      <c r="B421" s="202"/>
      <c r="C421" s="61"/>
      <c r="D421" s="202"/>
      <c r="E421" s="61"/>
      <c r="F421" s="202"/>
      <c r="G421" s="61"/>
      <c r="H421" s="202"/>
      <c r="I421" s="18"/>
      <c r="J421" s="202"/>
      <c r="K421" s="55"/>
      <c r="L421" s="55"/>
      <c r="M421" s="55"/>
      <c r="N421" s="55"/>
      <c r="O421" s="55"/>
      <c r="P421" s="55"/>
      <c r="Q421" s="55"/>
      <c r="R421" s="55"/>
      <c r="S421" s="55"/>
      <c r="T421" s="55"/>
      <c r="U421" s="55"/>
      <c r="V421" s="55"/>
      <c r="W421" s="55"/>
    </row>
    <row r="422">
      <c r="A422" s="61"/>
      <c r="B422" s="202"/>
      <c r="C422" s="61"/>
      <c r="D422" s="202"/>
      <c r="E422" s="61"/>
      <c r="F422" s="202"/>
      <c r="G422" s="61"/>
      <c r="H422" s="202"/>
      <c r="I422" s="18"/>
      <c r="J422" s="202"/>
      <c r="K422" s="55"/>
      <c r="L422" s="55"/>
      <c r="M422" s="55"/>
      <c r="N422" s="55"/>
      <c r="O422" s="55"/>
      <c r="P422" s="55"/>
      <c r="Q422" s="55"/>
      <c r="R422" s="55"/>
      <c r="S422" s="55"/>
      <c r="T422" s="55"/>
      <c r="U422" s="55"/>
      <c r="V422" s="55"/>
      <c r="W422" s="55"/>
    </row>
    <row r="423">
      <c r="A423" s="61"/>
      <c r="B423" s="202"/>
      <c r="C423" s="61"/>
      <c r="D423" s="202"/>
      <c r="E423" s="61"/>
      <c r="F423" s="202"/>
      <c r="G423" s="61"/>
      <c r="H423" s="202"/>
      <c r="I423" s="18"/>
      <c r="J423" s="202"/>
      <c r="K423" s="55"/>
      <c r="L423" s="55"/>
      <c r="M423" s="55"/>
      <c r="N423" s="55"/>
      <c r="O423" s="55"/>
      <c r="P423" s="55"/>
      <c r="Q423" s="55"/>
      <c r="R423" s="55"/>
      <c r="S423" s="55"/>
      <c r="T423" s="55"/>
      <c r="U423" s="55"/>
      <c r="V423" s="55"/>
      <c r="W423" s="55"/>
    </row>
    <row r="424">
      <c r="A424" s="61"/>
      <c r="B424" s="202"/>
      <c r="C424" s="61"/>
      <c r="D424" s="202"/>
      <c r="E424" s="61"/>
      <c r="F424" s="202"/>
      <c r="G424" s="61"/>
      <c r="H424" s="202"/>
      <c r="I424" s="18"/>
      <c r="J424" s="202"/>
      <c r="K424" s="55"/>
      <c r="L424" s="55"/>
      <c r="M424" s="55"/>
      <c r="N424" s="55"/>
      <c r="O424" s="55"/>
      <c r="P424" s="55"/>
      <c r="Q424" s="55"/>
      <c r="R424" s="55"/>
      <c r="S424" s="55"/>
      <c r="T424" s="55"/>
      <c r="U424" s="55"/>
      <c r="V424" s="55"/>
      <c r="W424" s="55"/>
    </row>
    <row r="425">
      <c r="A425" s="61"/>
      <c r="B425" s="202"/>
      <c r="C425" s="61"/>
      <c r="D425" s="202"/>
      <c r="E425" s="61"/>
      <c r="F425" s="202"/>
      <c r="G425" s="61"/>
      <c r="H425" s="202"/>
      <c r="I425" s="18"/>
      <c r="J425" s="202"/>
      <c r="K425" s="55"/>
      <c r="L425" s="55"/>
      <c r="M425" s="55"/>
      <c r="N425" s="55"/>
      <c r="O425" s="55"/>
      <c r="P425" s="55"/>
      <c r="Q425" s="55"/>
      <c r="R425" s="55"/>
      <c r="S425" s="55"/>
      <c r="T425" s="55"/>
      <c r="U425" s="55"/>
      <c r="V425" s="55"/>
      <c r="W425" s="55"/>
    </row>
    <row r="426">
      <c r="A426" s="61"/>
      <c r="B426" s="202"/>
      <c r="C426" s="61"/>
      <c r="D426" s="202"/>
      <c r="E426" s="61"/>
      <c r="F426" s="202"/>
      <c r="G426" s="61"/>
      <c r="H426" s="202"/>
      <c r="I426" s="18"/>
      <c r="J426" s="202"/>
      <c r="K426" s="55"/>
      <c r="L426" s="55"/>
      <c r="M426" s="55"/>
      <c r="N426" s="55"/>
      <c r="O426" s="55"/>
      <c r="P426" s="55"/>
      <c r="Q426" s="55"/>
      <c r="R426" s="55"/>
      <c r="S426" s="55"/>
      <c r="T426" s="55"/>
      <c r="U426" s="55"/>
      <c r="V426" s="55"/>
      <c r="W426" s="55"/>
    </row>
    <row r="427">
      <c r="A427" s="61"/>
      <c r="B427" s="202"/>
      <c r="C427" s="61"/>
      <c r="D427" s="202"/>
      <c r="E427" s="61"/>
      <c r="F427" s="202"/>
      <c r="G427" s="61"/>
      <c r="H427" s="202"/>
      <c r="I427" s="18"/>
      <c r="J427" s="202"/>
      <c r="K427" s="55"/>
      <c r="L427" s="55"/>
      <c r="M427" s="55"/>
      <c r="N427" s="55"/>
      <c r="O427" s="55"/>
      <c r="P427" s="55"/>
      <c r="Q427" s="55"/>
      <c r="R427" s="55"/>
      <c r="S427" s="55"/>
      <c r="T427" s="55"/>
      <c r="U427" s="55"/>
      <c r="V427" s="55"/>
      <c r="W427" s="55"/>
    </row>
    <row r="428">
      <c r="A428" s="61"/>
      <c r="B428" s="202"/>
      <c r="C428" s="61"/>
      <c r="D428" s="202"/>
      <c r="E428" s="61"/>
      <c r="F428" s="202"/>
      <c r="G428" s="61"/>
      <c r="H428" s="202"/>
      <c r="I428" s="18"/>
      <c r="J428" s="202"/>
      <c r="K428" s="55"/>
      <c r="L428" s="55"/>
      <c r="M428" s="55"/>
      <c r="N428" s="55"/>
      <c r="O428" s="55"/>
      <c r="P428" s="55"/>
      <c r="Q428" s="55"/>
      <c r="R428" s="55"/>
      <c r="S428" s="55"/>
      <c r="T428" s="55"/>
      <c r="U428" s="55"/>
      <c r="V428" s="55"/>
      <c r="W428" s="55"/>
    </row>
    <row r="429">
      <c r="A429" s="61"/>
      <c r="B429" s="202"/>
      <c r="C429" s="61"/>
      <c r="D429" s="202"/>
      <c r="E429" s="61"/>
      <c r="F429" s="202"/>
      <c r="G429" s="61"/>
      <c r="H429" s="202"/>
      <c r="I429" s="18"/>
      <c r="J429" s="202"/>
      <c r="K429" s="55"/>
      <c r="L429" s="55"/>
      <c r="M429" s="55"/>
      <c r="N429" s="55"/>
      <c r="O429" s="55"/>
      <c r="P429" s="55"/>
      <c r="Q429" s="55"/>
      <c r="R429" s="55"/>
      <c r="S429" s="55"/>
      <c r="T429" s="55"/>
      <c r="U429" s="55"/>
      <c r="V429" s="55"/>
      <c r="W429" s="55"/>
    </row>
    <row r="430">
      <c r="A430" s="61"/>
      <c r="B430" s="202"/>
      <c r="C430" s="61"/>
      <c r="D430" s="202"/>
      <c r="E430" s="61"/>
      <c r="F430" s="202"/>
      <c r="G430" s="61"/>
      <c r="H430" s="202"/>
      <c r="I430" s="18"/>
      <c r="J430" s="202"/>
      <c r="K430" s="55"/>
      <c r="L430" s="55"/>
      <c r="M430" s="55"/>
      <c r="N430" s="55"/>
      <c r="O430" s="55"/>
      <c r="P430" s="55"/>
      <c r="Q430" s="55"/>
      <c r="R430" s="55"/>
      <c r="S430" s="55"/>
      <c r="T430" s="55"/>
      <c r="U430" s="55"/>
      <c r="V430" s="55"/>
      <c r="W430" s="55"/>
    </row>
    <row r="431">
      <c r="A431" s="61"/>
      <c r="B431" s="202"/>
      <c r="C431" s="61"/>
      <c r="D431" s="202"/>
      <c r="E431" s="61"/>
      <c r="F431" s="202"/>
      <c r="G431" s="61"/>
      <c r="H431" s="202"/>
      <c r="I431" s="18"/>
      <c r="J431" s="202"/>
      <c r="K431" s="55"/>
      <c r="L431" s="55"/>
      <c r="M431" s="55"/>
      <c r="N431" s="55"/>
      <c r="O431" s="55"/>
      <c r="P431" s="55"/>
      <c r="Q431" s="55"/>
      <c r="R431" s="55"/>
      <c r="S431" s="55"/>
      <c r="T431" s="55"/>
      <c r="U431" s="55"/>
      <c r="V431" s="55"/>
      <c r="W431" s="55"/>
    </row>
    <row r="432">
      <c r="A432" s="61"/>
      <c r="B432" s="202"/>
      <c r="C432" s="61"/>
      <c r="D432" s="202"/>
      <c r="E432" s="61"/>
      <c r="F432" s="202"/>
      <c r="G432" s="61"/>
      <c r="H432" s="202"/>
      <c r="I432" s="18"/>
      <c r="J432" s="202"/>
      <c r="K432" s="55"/>
      <c r="L432" s="55"/>
      <c r="M432" s="55"/>
      <c r="N432" s="55"/>
      <c r="O432" s="55"/>
      <c r="P432" s="55"/>
      <c r="Q432" s="55"/>
      <c r="R432" s="55"/>
      <c r="S432" s="55"/>
      <c r="T432" s="55"/>
      <c r="U432" s="55"/>
      <c r="V432" s="55"/>
      <c r="W432" s="55"/>
    </row>
    <row r="433">
      <c r="A433" s="61"/>
      <c r="B433" s="202"/>
      <c r="C433" s="61"/>
      <c r="D433" s="202"/>
      <c r="E433" s="61"/>
      <c r="F433" s="202"/>
      <c r="G433" s="61"/>
      <c r="H433" s="202"/>
      <c r="I433" s="18"/>
      <c r="J433" s="202"/>
      <c r="K433" s="55"/>
      <c r="L433" s="55"/>
      <c r="M433" s="55"/>
      <c r="N433" s="55"/>
      <c r="O433" s="55"/>
      <c r="P433" s="55"/>
      <c r="Q433" s="55"/>
      <c r="R433" s="55"/>
      <c r="S433" s="55"/>
      <c r="T433" s="55"/>
      <c r="U433" s="55"/>
      <c r="V433" s="55"/>
      <c r="W433" s="55"/>
    </row>
    <row r="434">
      <c r="A434" s="61"/>
      <c r="B434" s="202"/>
      <c r="C434" s="61"/>
      <c r="D434" s="202"/>
      <c r="E434" s="61"/>
      <c r="F434" s="202"/>
      <c r="G434" s="61"/>
      <c r="H434" s="202"/>
      <c r="I434" s="18"/>
      <c r="J434" s="202"/>
      <c r="K434" s="55"/>
      <c r="L434" s="55"/>
      <c r="M434" s="55"/>
      <c r="N434" s="55"/>
      <c r="O434" s="55"/>
      <c r="P434" s="55"/>
      <c r="Q434" s="55"/>
      <c r="R434" s="55"/>
      <c r="S434" s="55"/>
      <c r="T434" s="55"/>
      <c r="U434" s="55"/>
      <c r="V434" s="55"/>
      <c r="W434" s="55"/>
    </row>
    <row r="435">
      <c r="A435" s="61"/>
      <c r="B435" s="202"/>
      <c r="C435" s="61"/>
      <c r="D435" s="202"/>
      <c r="E435" s="61"/>
      <c r="F435" s="202"/>
      <c r="G435" s="61"/>
      <c r="H435" s="202"/>
      <c r="I435" s="18"/>
      <c r="J435" s="202"/>
      <c r="K435" s="55"/>
      <c r="L435" s="55"/>
      <c r="M435" s="55"/>
      <c r="N435" s="55"/>
      <c r="O435" s="55"/>
      <c r="P435" s="55"/>
      <c r="Q435" s="55"/>
      <c r="R435" s="55"/>
      <c r="S435" s="55"/>
      <c r="T435" s="55"/>
      <c r="U435" s="55"/>
      <c r="V435" s="55"/>
      <c r="W435" s="55"/>
    </row>
    <row r="436">
      <c r="A436" s="61"/>
      <c r="B436" s="202"/>
      <c r="C436" s="61"/>
      <c r="D436" s="202"/>
      <c r="E436" s="61"/>
      <c r="F436" s="202"/>
      <c r="G436" s="61"/>
      <c r="H436" s="202"/>
      <c r="I436" s="18"/>
      <c r="J436" s="202"/>
      <c r="K436" s="55"/>
      <c r="L436" s="55"/>
      <c r="M436" s="55"/>
      <c r="N436" s="55"/>
      <c r="O436" s="55"/>
      <c r="P436" s="55"/>
      <c r="Q436" s="55"/>
      <c r="R436" s="55"/>
      <c r="S436" s="55"/>
      <c r="T436" s="55"/>
      <c r="U436" s="55"/>
      <c r="V436" s="55"/>
      <c r="W436" s="55"/>
    </row>
    <row r="437">
      <c r="A437" s="61"/>
      <c r="B437" s="202"/>
      <c r="C437" s="61"/>
      <c r="D437" s="202"/>
      <c r="E437" s="61"/>
      <c r="F437" s="202"/>
      <c r="G437" s="61"/>
      <c r="H437" s="202"/>
      <c r="I437" s="18"/>
      <c r="J437" s="202"/>
      <c r="K437" s="55"/>
      <c r="L437" s="55"/>
      <c r="M437" s="55"/>
      <c r="N437" s="55"/>
      <c r="O437" s="55"/>
      <c r="P437" s="55"/>
      <c r="Q437" s="55"/>
      <c r="R437" s="55"/>
      <c r="S437" s="55"/>
      <c r="T437" s="55"/>
      <c r="U437" s="55"/>
      <c r="V437" s="55"/>
      <c r="W437" s="55"/>
    </row>
    <row r="438">
      <c r="A438" s="61"/>
      <c r="B438" s="202"/>
      <c r="C438" s="61"/>
      <c r="D438" s="202"/>
      <c r="E438" s="61"/>
      <c r="F438" s="202"/>
      <c r="G438" s="61"/>
      <c r="H438" s="202"/>
      <c r="I438" s="18"/>
      <c r="J438" s="202"/>
      <c r="K438" s="55"/>
      <c r="L438" s="55"/>
      <c r="M438" s="55"/>
      <c r="N438" s="55"/>
      <c r="O438" s="55"/>
      <c r="P438" s="55"/>
      <c r="Q438" s="55"/>
      <c r="R438" s="55"/>
      <c r="S438" s="55"/>
      <c r="T438" s="55"/>
      <c r="U438" s="55"/>
      <c r="V438" s="55"/>
      <c r="W438" s="55"/>
    </row>
    <row r="439">
      <c r="A439" s="61"/>
      <c r="B439" s="202"/>
      <c r="C439" s="61"/>
      <c r="D439" s="202"/>
      <c r="E439" s="61"/>
      <c r="F439" s="202"/>
      <c r="G439" s="61"/>
      <c r="H439" s="202"/>
      <c r="I439" s="18"/>
      <c r="J439" s="202"/>
      <c r="K439" s="55"/>
      <c r="L439" s="55"/>
      <c r="M439" s="55"/>
      <c r="N439" s="55"/>
      <c r="O439" s="55"/>
      <c r="P439" s="55"/>
      <c r="Q439" s="55"/>
      <c r="R439" s="55"/>
      <c r="S439" s="55"/>
      <c r="T439" s="55"/>
      <c r="U439" s="55"/>
      <c r="V439" s="55"/>
      <c r="W439" s="55"/>
    </row>
    <row r="440">
      <c r="A440" s="61"/>
      <c r="B440" s="202"/>
      <c r="C440" s="61"/>
      <c r="D440" s="202"/>
      <c r="E440" s="61"/>
      <c r="F440" s="202"/>
      <c r="G440" s="61"/>
      <c r="H440" s="202"/>
      <c r="I440" s="18"/>
      <c r="J440" s="202"/>
      <c r="K440" s="55"/>
      <c r="L440" s="55"/>
      <c r="M440" s="55"/>
      <c r="N440" s="55"/>
      <c r="O440" s="55"/>
      <c r="P440" s="55"/>
      <c r="Q440" s="55"/>
      <c r="R440" s="55"/>
      <c r="S440" s="55"/>
      <c r="T440" s="55"/>
      <c r="U440" s="55"/>
      <c r="V440" s="55"/>
      <c r="W440" s="55"/>
    </row>
    <row r="441">
      <c r="A441" s="61"/>
      <c r="B441" s="202"/>
      <c r="C441" s="61"/>
      <c r="D441" s="202"/>
      <c r="E441" s="61"/>
      <c r="F441" s="202"/>
      <c r="G441" s="61"/>
      <c r="H441" s="202"/>
      <c r="I441" s="18"/>
      <c r="J441" s="202"/>
      <c r="K441" s="55"/>
      <c r="L441" s="55"/>
      <c r="M441" s="55"/>
      <c r="N441" s="55"/>
      <c r="O441" s="55"/>
      <c r="P441" s="55"/>
      <c r="Q441" s="55"/>
      <c r="R441" s="55"/>
      <c r="S441" s="55"/>
      <c r="T441" s="55"/>
      <c r="U441" s="55"/>
      <c r="V441" s="55"/>
      <c r="W441" s="55"/>
    </row>
    <row r="442">
      <c r="A442" s="61"/>
      <c r="B442" s="202"/>
      <c r="C442" s="61"/>
      <c r="D442" s="202"/>
      <c r="E442" s="61"/>
      <c r="F442" s="202"/>
      <c r="G442" s="61"/>
      <c r="H442" s="202"/>
      <c r="I442" s="18"/>
      <c r="J442" s="202"/>
      <c r="K442" s="55"/>
      <c r="L442" s="55"/>
      <c r="M442" s="55"/>
      <c r="N442" s="55"/>
      <c r="O442" s="55"/>
      <c r="P442" s="55"/>
      <c r="Q442" s="55"/>
      <c r="R442" s="55"/>
      <c r="S442" s="55"/>
      <c r="T442" s="55"/>
      <c r="U442" s="55"/>
      <c r="V442" s="55"/>
      <c r="W442" s="55"/>
    </row>
    <row r="443">
      <c r="A443" s="61"/>
      <c r="B443" s="202"/>
      <c r="C443" s="61"/>
      <c r="D443" s="202"/>
      <c r="E443" s="61"/>
      <c r="F443" s="202"/>
      <c r="G443" s="61"/>
      <c r="H443" s="202"/>
      <c r="I443" s="18"/>
      <c r="J443" s="202"/>
      <c r="K443" s="55"/>
      <c r="L443" s="55"/>
      <c r="M443" s="55"/>
      <c r="N443" s="55"/>
      <c r="O443" s="55"/>
      <c r="P443" s="55"/>
      <c r="Q443" s="55"/>
      <c r="R443" s="55"/>
      <c r="S443" s="55"/>
      <c r="T443" s="55"/>
      <c r="U443" s="55"/>
      <c r="V443" s="55"/>
      <c r="W443" s="55"/>
    </row>
    <row r="444">
      <c r="A444" s="61"/>
      <c r="B444" s="202"/>
      <c r="C444" s="61"/>
      <c r="D444" s="202"/>
      <c r="E444" s="61"/>
      <c r="F444" s="202"/>
      <c r="G444" s="61"/>
      <c r="H444" s="202"/>
      <c r="I444" s="18"/>
      <c r="J444" s="202"/>
      <c r="K444" s="55"/>
      <c r="L444" s="55"/>
      <c r="M444" s="55"/>
      <c r="N444" s="55"/>
      <c r="O444" s="55"/>
      <c r="P444" s="55"/>
      <c r="Q444" s="55"/>
      <c r="R444" s="55"/>
      <c r="S444" s="55"/>
      <c r="T444" s="55"/>
      <c r="U444" s="55"/>
      <c r="V444" s="55"/>
      <c r="W444" s="55"/>
    </row>
    <row r="445">
      <c r="A445" s="61"/>
      <c r="B445" s="202"/>
      <c r="C445" s="61"/>
      <c r="D445" s="202"/>
      <c r="E445" s="61"/>
      <c r="F445" s="202"/>
      <c r="G445" s="61"/>
      <c r="H445" s="202"/>
      <c r="I445" s="18"/>
      <c r="J445" s="202"/>
      <c r="K445" s="55"/>
      <c r="L445" s="55"/>
      <c r="M445" s="55"/>
      <c r="N445" s="55"/>
      <c r="O445" s="55"/>
      <c r="P445" s="55"/>
      <c r="Q445" s="55"/>
      <c r="R445" s="55"/>
      <c r="S445" s="55"/>
      <c r="T445" s="55"/>
      <c r="U445" s="55"/>
      <c r="V445" s="55"/>
      <c r="W445" s="55"/>
    </row>
    <row r="446">
      <c r="A446" s="61"/>
      <c r="B446" s="202"/>
      <c r="C446" s="61"/>
      <c r="D446" s="202"/>
      <c r="E446" s="61"/>
      <c r="F446" s="202"/>
      <c r="G446" s="61"/>
      <c r="H446" s="202"/>
      <c r="I446" s="18"/>
      <c r="J446" s="202"/>
      <c r="K446" s="55"/>
      <c r="L446" s="55"/>
      <c r="M446" s="55"/>
      <c r="N446" s="55"/>
      <c r="O446" s="55"/>
      <c r="P446" s="55"/>
      <c r="Q446" s="55"/>
      <c r="R446" s="55"/>
      <c r="S446" s="55"/>
      <c r="T446" s="55"/>
      <c r="U446" s="55"/>
      <c r="V446" s="55"/>
      <c r="W446" s="55"/>
    </row>
    <row r="447">
      <c r="A447" s="61"/>
      <c r="B447" s="202"/>
      <c r="C447" s="61"/>
      <c r="D447" s="202"/>
      <c r="E447" s="61"/>
      <c r="F447" s="202"/>
      <c r="G447" s="61"/>
      <c r="H447" s="202"/>
      <c r="I447" s="18"/>
      <c r="J447" s="202"/>
      <c r="K447" s="55"/>
      <c r="L447" s="55"/>
      <c r="M447" s="55"/>
      <c r="N447" s="55"/>
      <c r="O447" s="55"/>
      <c r="P447" s="55"/>
      <c r="Q447" s="55"/>
      <c r="R447" s="55"/>
      <c r="S447" s="55"/>
      <c r="T447" s="55"/>
      <c r="U447" s="55"/>
      <c r="V447" s="55"/>
      <c r="W447" s="55"/>
    </row>
    <row r="448">
      <c r="A448" s="61"/>
      <c r="B448" s="202"/>
      <c r="C448" s="61"/>
      <c r="D448" s="202"/>
      <c r="E448" s="61"/>
      <c r="F448" s="202"/>
      <c r="G448" s="61"/>
      <c r="H448" s="202"/>
      <c r="I448" s="18"/>
      <c r="J448" s="202"/>
      <c r="K448" s="55"/>
      <c r="L448" s="55"/>
      <c r="M448" s="55"/>
      <c r="N448" s="55"/>
      <c r="O448" s="55"/>
      <c r="P448" s="55"/>
      <c r="Q448" s="55"/>
      <c r="R448" s="55"/>
      <c r="S448" s="55"/>
      <c r="T448" s="55"/>
      <c r="U448" s="55"/>
      <c r="V448" s="55"/>
      <c r="W448" s="55"/>
    </row>
    <row r="449">
      <c r="A449" s="61"/>
      <c r="B449" s="202"/>
      <c r="C449" s="61"/>
      <c r="D449" s="202"/>
      <c r="E449" s="61"/>
      <c r="F449" s="202"/>
      <c r="G449" s="61"/>
      <c r="H449" s="202"/>
      <c r="I449" s="18"/>
      <c r="J449" s="202"/>
      <c r="K449" s="55"/>
      <c r="L449" s="55"/>
      <c r="M449" s="55"/>
      <c r="N449" s="55"/>
      <c r="O449" s="55"/>
      <c r="P449" s="55"/>
      <c r="Q449" s="55"/>
      <c r="R449" s="55"/>
      <c r="S449" s="55"/>
      <c r="T449" s="55"/>
      <c r="U449" s="55"/>
      <c r="V449" s="55"/>
      <c r="W449" s="55"/>
    </row>
    <row r="450">
      <c r="A450" s="61"/>
      <c r="B450" s="202"/>
      <c r="C450" s="61"/>
      <c r="D450" s="202"/>
      <c r="E450" s="61"/>
      <c r="F450" s="202"/>
      <c r="G450" s="61"/>
      <c r="H450" s="202"/>
      <c r="I450" s="18"/>
      <c r="J450" s="202"/>
      <c r="K450" s="55"/>
      <c r="L450" s="55"/>
      <c r="M450" s="55"/>
      <c r="N450" s="55"/>
      <c r="O450" s="55"/>
      <c r="P450" s="55"/>
      <c r="Q450" s="55"/>
      <c r="R450" s="55"/>
      <c r="S450" s="55"/>
      <c r="T450" s="55"/>
      <c r="U450" s="55"/>
      <c r="V450" s="55"/>
      <c r="W450" s="55"/>
    </row>
    <row r="451">
      <c r="A451" s="61"/>
      <c r="B451" s="202"/>
      <c r="C451" s="61"/>
      <c r="D451" s="202"/>
      <c r="E451" s="61"/>
      <c r="F451" s="202"/>
      <c r="G451" s="61"/>
      <c r="H451" s="202"/>
      <c r="I451" s="18"/>
      <c r="J451" s="202"/>
      <c r="K451" s="55"/>
      <c r="L451" s="55"/>
      <c r="M451" s="55"/>
      <c r="N451" s="55"/>
      <c r="O451" s="55"/>
      <c r="P451" s="55"/>
      <c r="Q451" s="55"/>
      <c r="R451" s="55"/>
      <c r="S451" s="55"/>
      <c r="T451" s="55"/>
      <c r="U451" s="55"/>
      <c r="V451" s="55"/>
      <c r="W451" s="55"/>
    </row>
    <row r="452">
      <c r="A452" s="61"/>
      <c r="B452" s="202"/>
      <c r="C452" s="61"/>
      <c r="D452" s="202"/>
      <c r="E452" s="61"/>
      <c r="F452" s="202"/>
      <c r="G452" s="61"/>
      <c r="H452" s="202"/>
      <c r="I452" s="18"/>
      <c r="J452" s="202"/>
      <c r="K452" s="55"/>
      <c r="L452" s="55"/>
      <c r="M452" s="55"/>
      <c r="N452" s="55"/>
      <c r="O452" s="55"/>
      <c r="P452" s="55"/>
      <c r="Q452" s="55"/>
      <c r="R452" s="55"/>
      <c r="S452" s="55"/>
      <c r="T452" s="55"/>
      <c r="U452" s="55"/>
      <c r="V452" s="55"/>
      <c r="W452" s="55"/>
    </row>
    <row r="453">
      <c r="A453" s="61"/>
      <c r="B453" s="202"/>
      <c r="C453" s="61"/>
      <c r="D453" s="202"/>
      <c r="E453" s="61"/>
      <c r="F453" s="202"/>
      <c r="G453" s="61"/>
      <c r="H453" s="202"/>
      <c r="I453" s="18"/>
      <c r="J453" s="202"/>
      <c r="K453" s="55"/>
      <c r="L453" s="55"/>
      <c r="M453" s="55"/>
      <c r="N453" s="55"/>
      <c r="O453" s="55"/>
      <c r="P453" s="55"/>
      <c r="Q453" s="55"/>
      <c r="R453" s="55"/>
      <c r="S453" s="55"/>
      <c r="T453" s="55"/>
      <c r="U453" s="55"/>
      <c r="V453" s="55"/>
      <c r="W453" s="55"/>
    </row>
    <row r="454">
      <c r="A454" s="61"/>
      <c r="B454" s="202"/>
      <c r="C454" s="61"/>
      <c r="D454" s="202"/>
      <c r="E454" s="61"/>
      <c r="F454" s="202"/>
      <c r="G454" s="61"/>
      <c r="H454" s="202"/>
      <c r="I454" s="18"/>
      <c r="J454" s="202"/>
      <c r="K454" s="55"/>
      <c r="L454" s="55"/>
      <c r="M454" s="55"/>
      <c r="N454" s="55"/>
      <c r="O454" s="55"/>
      <c r="P454" s="55"/>
      <c r="Q454" s="55"/>
      <c r="R454" s="55"/>
      <c r="S454" s="55"/>
      <c r="T454" s="55"/>
      <c r="U454" s="55"/>
      <c r="V454" s="55"/>
      <c r="W454" s="55"/>
    </row>
    <row r="455">
      <c r="A455" s="61"/>
      <c r="B455" s="202"/>
      <c r="C455" s="61"/>
      <c r="D455" s="202"/>
      <c r="E455" s="61"/>
      <c r="F455" s="202"/>
      <c r="G455" s="61"/>
      <c r="H455" s="202"/>
      <c r="I455" s="18"/>
      <c r="J455" s="202"/>
      <c r="K455" s="55"/>
      <c r="L455" s="55"/>
      <c r="M455" s="55"/>
      <c r="N455" s="55"/>
      <c r="O455" s="55"/>
      <c r="P455" s="55"/>
      <c r="Q455" s="55"/>
      <c r="R455" s="55"/>
      <c r="S455" s="55"/>
      <c r="T455" s="55"/>
      <c r="U455" s="55"/>
      <c r="V455" s="55"/>
      <c r="W455" s="55"/>
    </row>
    <row r="456">
      <c r="A456" s="61"/>
      <c r="B456" s="202"/>
      <c r="C456" s="61"/>
      <c r="D456" s="202"/>
      <c r="E456" s="61"/>
      <c r="F456" s="202"/>
      <c r="G456" s="61"/>
      <c r="H456" s="202"/>
      <c r="I456" s="18"/>
      <c r="J456" s="202"/>
      <c r="K456" s="55"/>
      <c r="L456" s="55"/>
      <c r="M456" s="55"/>
      <c r="N456" s="55"/>
      <c r="O456" s="55"/>
      <c r="P456" s="55"/>
      <c r="Q456" s="55"/>
      <c r="R456" s="55"/>
      <c r="S456" s="55"/>
      <c r="T456" s="55"/>
      <c r="U456" s="55"/>
      <c r="V456" s="55"/>
      <c r="W456" s="55"/>
    </row>
    <row r="457">
      <c r="A457" s="61"/>
      <c r="B457" s="202"/>
      <c r="C457" s="61"/>
      <c r="D457" s="202"/>
      <c r="E457" s="61"/>
      <c r="F457" s="202"/>
      <c r="G457" s="61"/>
      <c r="H457" s="202"/>
      <c r="I457" s="18"/>
      <c r="J457" s="202"/>
      <c r="K457" s="55"/>
      <c r="L457" s="55"/>
      <c r="M457" s="55"/>
      <c r="N457" s="55"/>
      <c r="O457" s="55"/>
      <c r="P457" s="55"/>
      <c r="Q457" s="55"/>
      <c r="R457" s="55"/>
      <c r="S457" s="55"/>
      <c r="T457" s="55"/>
      <c r="U457" s="55"/>
      <c r="V457" s="55"/>
      <c r="W457" s="55"/>
    </row>
    <row r="458">
      <c r="A458" s="61"/>
      <c r="B458" s="202"/>
      <c r="C458" s="61"/>
      <c r="D458" s="202"/>
      <c r="E458" s="61"/>
      <c r="F458" s="202"/>
      <c r="G458" s="61"/>
      <c r="H458" s="202"/>
      <c r="I458" s="18"/>
      <c r="J458" s="202"/>
      <c r="K458" s="55"/>
      <c r="L458" s="55"/>
      <c r="M458" s="55"/>
      <c r="N458" s="55"/>
      <c r="O458" s="55"/>
      <c r="P458" s="55"/>
      <c r="Q458" s="55"/>
      <c r="R458" s="55"/>
      <c r="S458" s="55"/>
      <c r="T458" s="55"/>
      <c r="U458" s="55"/>
      <c r="V458" s="55"/>
      <c r="W458" s="55"/>
    </row>
    <row r="459">
      <c r="A459" s="61"/>
      <c r="B459" s="202"/>
      <c r="C459" s="61"/>
      <c r="D459" s="202"/>
      <c r="E459" s="61"/>
      <c r="F459" s="202"/>
      <c r="G459" s="61"/>
      <c r="H459" s="202"/>
      <c r="I459" s="18"/>
      <c r="J459" s="202"/>
      <c r="K459" s="55"/>
      <c r="L459" s="55"/>
      <c r="M459" s="55"/>
      <c r="N459" s="55"/>
      <c r="O459" s="55"/>
      <c r="P459" s="55"/>
      <c r="Q459" s="55"/>
      <c r="R459" s="55"/>
      <c r="S459" s="55"/>
      <c r="T459" s="55"/>
      <c r="U459" s="55"/>
      <c r="V459" s="55"/>
      <c r="W459" s="55"/>
    </row>
    <row r="460">
      <c r="A460" s="61"/>
      <c r="B460" s="202"/>
      <c r="C460" s="61"/>
      <c r="D460" s="202"/>
      <c r="E460" s="61"/>
      <c r="F460" s="202"/>
      <c r="G460" s="61"/>
      <c r="H460" s="202"/>
      <c r="I460" s="18"/>
      <c r="J460" s="202"/>
      <c r="K460" s="55"/>
      <c r="L460" s="55"/>
      <c r="M460" s="55"/>
      <c r="N460" s="55"/>
      <c r="O460" s="55"/>
      <c r="P460" s="55"/>
      <c r="Q460" s="55"/>
      <c r="R460" s="55"/>
      <c r="S460" s="55"/>
      <c r="T460" s="55"/>
      <c r="U460" s="55"/>
      <c r="V460" s="55"/>
      <c r="W460" s="55"/>
    </row>
    <row r="461">
      <c r="A461" s="61"/>
      <c r="B461" s="202"/>
      <c r="C461" s="61"/>
      <c r="D461" s="202"/>
      <c r="E461" s="61"/>
      <c r="F461" s="202"/>
      <c r="G461" s="61"/>
      <c r="H461" s="202"/>
      <c r="I461" s="18"/>
      <c r="J461" s="202"/>
      <c r="K461" s="55"/>
      <c r="L461" s="55"/>
      <c r="M461" s="55"/>
      <c r="N461" s="55"/>
      <c r="O461" s="55"/>
      <c r="P461" s="55"/>
      <c r="Q461" s="55"/>
      <c r="R461" s="55"/>
      <c r="S461" s="55"/>
      <c r="T461" s="55"/>
      <c r="U461" s="55"/>
      <c r="V461" s="55"/>
      <c r="W461" s="55"/>
    </row>
    <row r="462">
      <c r="A462" s="61"/>
      <c r="B462" s="202"/>
      <c r="C462" s="61"/>
      <c r="D462" s="202"/>
      <c r="E462" s="61"/>
      <c r="F462" s="202"/>
      <c r="G462" s="61"/>
      <c r="H462" s="202"/>
      <c r="I462" s="18"/>
      <c r="J462" s="202"/>
      <c r="K462" s="55"/>
      <c r="L462" s="55"/>
      <c r="M462" s="55"/>
      <c r="N462" s="55"/>
      <c r="O462" s="55"/>
      <c r="P462" s="55"/>
      <c r="Q462" s="55"/>
      <c r="R462" s="55"/>
      <c r="S462" s="55"/>
      <c r="T462" s="55"/>
      <c r="U462" s="55"/>
      <c r="V462" s="55"/>
      <c r="W462" s="55"/>
    </row>
    <row r="463">
      <c r="A463" s="61"/>
      <c r="B463" s="202"/>
      <c r="C463" s="61"/>
      <c r="D463" s="202"/>
      <c r="E463" s="61"/>
      <c r="F463" s="202"/>
      <c r="G463" s="61"/>
      <c r="H463" s="202"/>
      <c r="I463" s="18"/>
      <c r="J463" s="202"/>
      <c r="K463" s="55"/>
      <c r="L463" s="55"/>
      <c r="M463" s="55"/>
      <c r="N463" s="55"/>
      <c r="O463" s="55"/>
      <c r="P463" s="55"/>
      <c r="Q463" s="55"/>
      <c r="R463" s="55"/>
      <c r="S463" s="55"/>
      <c r="T463" s="55"/>
      <c r="U463" s="55"/>
      <c r="V463" s="55"/>
      <c r="W463" s="55"/>
    </row>
    <row r="464">
      <c r="A464" s="61"/>
      <c r="B464" s="202"/>
      <c r="C464" s="61"/>
      <c r="D464" s="202"/>
      <c r="E464" s="61"/>
      <c r="F464" s="202"/>
      <c r="G464" s="61"/>
      <c r="H464" s="202"/>
      <c r="I464" s="18"/>
      <c r="J464" s="202"/>
      <c r="K464" s="55"/>
      <c r="L464" s="55"/>
      <c r="M464" s="55"/>
      <c r="N464" s="55"/>
      <c r="O464" s="55"/>
      <c r="P464" s="55"/>
      <c r="Q464" s="55"/>
      <c r="R464" s="55"/>
      <c r="S464" s="55"/>
      <c r="T464" s="55"/>
      <c r="U464" s="55"/>
      <c r="V464" s="55"/>
      <c r="W464" s="55"/>
    </row>
    <row r="465">
      <c r="A465" s="61"/>
      <c r="B465" s="202"/>
      <c r="C465" s="61"/>
      <c r="D465" s="202"/>
      <c r="E465" s="61"/>
      <c r="F465" s="202"/>
      <c r="G465" s="61"/>
      <c r="H465" s="202"/>
      <c r="I465" s="18"/>
      <c r="J465" s="202"/>
      <c r="K465" s="55"/>
      <c r="L465" s="55"/>
      <c r="M465" s="55"/>
      <c r="N465" s="55"/>
      <c r="O465" s="55"/>
      <c r="P465" s="55"/>
      <c r="Q465" s="55"/>
      <c r="R465" s="55"/>
      <c r="S465" s="55"/>
      <c r="T465" s="55"/>
      <c r="U465" s="55"/>
      <c r="V465" s="55"/>
      <c r="W465" s="55"/>
    </row>
    <row r="466">
      <c r="A466" s="61"/>
      <c r="B466" s="202"/>
      <c r="C466" s="61"/>
      <c r="D466" s="202"/>
      <c r="E466" s="61"/>
      <c r="F466" s="202"/>
      <c r="G466" s="61"/>
      <c r="H466" s="202"/>
      <c r="I466" s="18"/>
      <c r="J466" s="202"/>
      <c r="K466" s="55"/>
      <c r="L466" s="55"/>
      <c r="M466" s="55"/>
      <c r="N466" s="55"/>
      <c r="O466" s="55"/>
      <c r="P466" s="55"/>
      <c r="Q466" s="55"/>
      <c r="R466" s="55"/>
      <c r="S466" s="55"/>
      <c r="T466" s="55"/>
      <c r="U466" s="55"/>
      <c r="V466" s="55"/>
      <c r="W466" s="55"/>
    </row>
    <row r="467">
      <c r="A467" s="61"/>
      <c r="B467" s="202"/>
      <c r="C467" s="61"/>
      <c r="D467" s="202"/>
      <c r="E467" s="61"/>
      <c r="F467" s="202"/>
      <c r="G467" s="61"/>
      <c r="H467" s="202"/>
      <c r="I467" s="18"/>
      <c r="J467" s="202"/>
      <c r="K467" s="55"/>
      <c r="L467" s="55"/>
      <c r="M467" s="55"/>
      <c r="N467" s="55"/>
      <c r="O467" s="55"/>
      <c r="P467" s="55"/>
      <c r="Q467" s="55"/>
      <c r="R467" s="55"/>
      <c r="S467" s="55"/>
      <c r="T467" s="55"/>
      <c r="U467" s="55"/>
      <c r="V467" s="55"/>
      <c r="W467" s="55"/>
    </row>
    <row r="468">
      <c r="A468" s="61"/>
      <c r="B468" s="202"/>
      <c r="C468" s="61"/>
      <c r="D468" s="202"/>
      <c r="E468" s="61"/>
      <c r="F468" s="202"/>
      <c r="G468" s="61"/>
      <c r="H468" s="202"/>
      <c r="I468" s="18"/>
      <c r="J468" s="202"/>
      <c r="K468" s="55"/>
      <c r="L468" s="55"/>
      <c r="M468" s="55"/>
      <c r="N468" s="55"/>
      <c r="O468" s="55"/>
      <c r="P468" s="55"/>
      <c r="Q468" s="55"/>
      <c r="R468" s="55"/>
      <c r="S468" s="55"/>
      <c r="T468" s="55"/>
      <c r="U468" s="55"/>
      <c r="V468" s="55"/>
      <c r="W468" s="55"/>
    </row>
    <row r="469">
      <c r="A469" s="61"/>
      <c r="B469" s="202"/>
      <c r="C469" s="61"/>
      <c r="D469" s="202"/>
      <c r="E469" s="61"/>
      <c r="F469" s="202"/>
      <c r="G469" s="61"/>
      <c r="H469" s="202"/>
      <c r="I469" s="18"/>
      <c r="J469" s="202"/>
      <c r="K469" s="55"/>
      <c r="L469" s="55"/>
      <c r="M469" s="55"/>
      <c r="N469" s="55"/>
      <c r="O469" s="55"/>
      <c r="P469" s="55"/>
      <c r="Q469" s="55"/>
      <c r="R469" s="55"/>
      <c r="S469" s="55"/>
      <c r="T469" s="55"/>
      <c r="U469" s="55"/>
      <c r="V469" s="55"/>
      <c r="W469" s="55"/>
    </row>
    <row r="470">
      <c r="A470" s="61"/>
      <c r="B470" s="202"/>
      <c r="C470" s="61"/>
      <c r="D470" s="202"/>
      <c r="E470" s="61"/>
      <c r="F470" s="202"/>
      <c r="G470" s="61"/>
      <c r="H470" s="202"/>
      <c r="I470" s="18"/>
      <c r="J470" s="202"/>
      <c r="K470" s="55"/>
      <c r="L470" s="55"/>
      <c r="M470" s="55"/>
      <c r="N470" s="55"/>
      <c r="O470" s="55"/>
      <c r="P470" s="55"/>
      <c r="Q470" s="55"/>
      <c r="R470" s="55"/>
      <c r="S470" s="55"/>
      <c r="T470" s="55"/>
      <c r="U470" s="55"/>
      <c r="V470" s="55"/>
      <c r="W470" s="55"/>
    </row>
    <row r="471">
      <c r="A471" s="61"/>
      <c r="B471" s="202"/>
      <c r="C471" s="61"/>
      <c r="D471" s="202"/>
      <c r="E471" s="61"/>
      <c r="F471" s="202"/>
      <c r="G471" s="61"/>
      <c r="H471" s="202"/>
      <c r="I471" s="18"/>
      <c r="J471" s="202"/>
      <c r="K471" s="55"/>
      <c r="L471" s="55"/>
      <c r="M471" s="55"/>
      <c r="N471" s="55"/>
      <c r="O471" s="55"/>
      <c r="P471" s="55"/>
      <c r="Q471" s="55"/>
      <c r="R471" s="55"/>
      <c r="S471" s="55"/>
      <c r="T471" s="55"/>
      <c r="U471" s="55"/>
      <c r="V471" s="55"/>
      <c r="W471" s="55"/>
    </row>
    <row r="472">
      <c r="A472" s="61"/>
      <c r="B472" s="202"/>
      <c r="C472" s="61"/>
      <c r="D472" s="202"/>
      <c r="E472" s="61"/>
      <c r="F472" s="202"/>
      <c r="G472" s="61"/>
      <c r="H472" s="202"/>
      <c r="I472" s="18"/>
      <c r="J472" s="202"/>
      <c r="K472" s="55"/>
      <c r="L472" s="55"/>
      <c r="M472" s="55"/>
      <c r="N472" s="55"/>
      <c r="O472" s="55"/>
      <c r="P472" s="55"/>
      <c r="Q472" s="55"/>
      <c r="R472" s="55"/>
      <c r="S472" s="55"/>
      <c r="T472" s="55"/>
      <c r="U472" s="55"/>
      <c r="V472" s="55"/>
      <c r="W472" s="55"/>
    </row>
    <row r="473">
      <c r="A473" s="61"/>
      <c r="B473" s="202"/>
      <c r="C473" s="61"/>
      <c r="D473" s="202"/>
      <c r="E473" s="61"/>
      <c r="F473" s="202"/>
      <c r="G473" s="61"/>
      <c r="H473" s="202"/>
      <c r="I473" s="18"/>
      <c r="J473" s="202"/>
      <c r="K473" s="55"/>
      <c r="L473" s="55"/>
      <c r="M473" s="55"/>
      <c r="N473" s="55"/>
      <c r="O473" s="55"/>
      <c r="P473" s="55"/>
      <c r="Q473" s="55"/>
      <c r="R473" s="55"/>
      <c r="S473" s="55"/>
      <c r="T473" s="55"/>
      <c r="U473" s="55"/>
      <c r="V473" s="55"/>
      <c r="W473" s="55"/>
    </row>
    <row r="474">
      <c r="A474" s="61"/>
      <c r="B474" s="202"/>
      <c r="C474" s="61"/>
      <c r="D474" s="202"/>
      <c r="E474" s="61"/>
      <c r="F474" s="202"/>
      <c r="G474" s="61"/>
      <c r="H474" s="202"/>
      <c r="I474" s="18"/>
      <c r="J474" s="202"/>
      <c r="K474" s="55"/>
      <c r="L474" s="55"/>
      <c r="M474" s="55"/>
      <c r="N474" s="55"/>
      <c r="O474" s="55"/>
      <c r="P474" s="55"/>
      <c r="Q474" s="55"/>
      <c r="R474" s="55"/>
      <c r="S474" s="55"/>
      <c r="T474" s="55"/>
      <c r="U474" s="55"/>
      <c r="V474" s="55"/>
      <c r="W474" s="55"/>
    </row>
    <row r="475">
      <c r="A475" s="61"/>
      <c r="B475" s="202"/>
      <c r="C475" s="61"/>
      <c r="D475" s="202"/>
      <c r="E475" s="61"/>
      <c r="F475" s="202"/>
      <c r="G475" s="61"/>
      <c r="H475" s="202"/>
      <c r="I475" s="18"/>
      <c r="J475" s="202"/>
      <c r="K475" s="55"/>
      <c r="L475" s="55"/>
      <c r="M475" s="55"/>
      <c r="N475" s="55"/>
      <c r="O475" s="55"/>
      <c r="P475" s="55"/>
      <c r="Q475" s="55"/>
      <c r="R475" s="55"/>
      <c r="S475" s="55"/>
      <c r="T475" s="55"/>
      <c r="U475" s="55"/>
      <c r="V475" s="55"/>
      <c r="W475" s="55"/>
    </row>
    <row r="476">
      <c r="A476" s="61"/>
      <c r="B476" s="202"/>
      <c r="C476" s="61"/>
      <c r="D476" s="202"/>
      <c r="E476" s="61"/>
      <c r="F476" s="202"/>
      <c r="G476" s="61"/>
      <c r="H476" s="202"/>
      <c r="I476" s="18"/>
      <c r="J476" s="202"/>
      <c r="K476" s="55"/>
      <c r="L476" s="55"/>
      <c r="M476" s="55"/>
      <c r="N476" s="55"/>
      <c r="O476" s="55"/>
      <c r="P476" s="55"/>
      <c r="Q476" s="55"/>
      <c r="R476" s="55"/>
      <c r="S476" s="55"/>
      <c r="T476" s="55"/>
      <c r="U476" s="55"/>
      <c r="V476" s="55"/>
      <c r="W476" s="55"/>
    </row>
    <row r="477">
      <c r="A477" s="61"/>
      <c r="B477" s="202"/>
      <c r="C477" s="61"/>
      <c r="D477" s="202"/>
      <c r="E477" s="61"/>
      <c r="F477" s="202"/>
      <c r="G477" s="61"/>
      <c r="H477" s="202"/>
      <c r="I477" s="18"/>
      <c r="J477" s="202"/>
      <c r="K477" s="55"/>
      <c r="L477" s="55"/>
      <c r="M477" s="55"/>
      <c r="N477" s="55"/>
      <c r="O477" s="55"/>
      <c r="P477" s="55"/>
      <c r="Q477" s="55"/>
      <c r="R477" s="55"/>
      <c r="S477" s="55"/>
      <c r="T477" s="55"/>
      <c r="U477" s="55"/>
      <c r="V477" s="55"/>
      <c r="W477" s="55"/>
    </row>
    <row r="478">
      <c r="A478" s="61"/>
      <c r="B478" s="202"/>
      <c r="C478" s="61"/>
      <c r="D478" s="202"/>
      <c r="E478" s="61"/>
      <c r="F478" s="202"/>
      <c r="G478" s="61"/>
      <c r="H478" s="202"/>
      <c r="I478" s="18"/>
      <c r="J478" s="202"/>
      <c r="K478" s="55"/>
      <c r="L478" s="55"/>
      <c r="M478" s="55"/>
      <c r="N478" s="55"/>
      <c r="O478" s="55"/>
      <c r="P478" s="55"/>
      <c r="Q478" s="55"/>
      <c r="R478" s="55"/>
      <c r="S478" s="55"/>
      <c r="T478" s="55"/>
      <c r="U478" s="55"/>
      <c r="V478" s="55"/>
      <c r="W478" s="55"/>
    </row>
    <row r="479">
      <c r="A479" s="61"/>
      <c r="B479" s="202"/>
      <c r="C479" s="61"/>
      <c r="D479" s="202"/>
      <c r="E479" s="61"/>
      <c r="F479" s="202"/>
      <c r="G479" s="61"/>
      <c r="H479" s="202"/>
      <c r="I479" s="18"/>
      <c r="J479" s="202"/>
      <c r="K479" s="55"/>
      <c r="L479" s="55"/>
      <c r="M479" s="55"/>
      <c r="N479" s="55"/>
      <c r="O479" s="55"/>
      <c r="P479" s="55"/>
      <c r="Q479" s="55"/>
      <c r="R479" s="55"/>
      <c r="S479" s="55"/>
      <c r="T479" s="55"/>
      <c r="U479" s="55"/>
      <c r="V479" s="55"/>
      <c r="W479" s="55"/>
    </row>
    <row r="480">
      <c r="A480" s="61"/>
      <c r="B480" s="202"/>
      <c r="C480" s="61"/>
      <c r="D480" s="202"/>
      <c r="E480" s="61"/>
      <c r="F480" s="202"/>
      <c r="G480" s="61"/>
      <c r="H480" s="202"/>
      <c r="I480" s="18"/>
      <c r="J480" s="202"/>
      <c r="K480" s="55"/>
      <c r="L480" s="55"/>
      <c r="M480" s="55"/>
      <c r="N480" s="55"/>
      <c r="O480" s="55"/>
      <c r="P480" s="55"/>
      <c r="Q480" s="55"/>
      <c r="R480" s="55"/>
      <c r="S480" s="55"/>
      <c r="T480" s="55"/>
      <c r="U480" s="55"/>
      <c r="V480" s="55"/>
      <c r="W480" s="55"/>
    </row>
    <row r="481">
      <c r="A481" s="61"/>
      <c r="B481" s="202"/>
      <c r="C481" s="61"/>
      <c r="D481" s="202"/>
      <c r="E481" s="61"/>
      <c r="F481" s="202"/>
      <c r="G481" s="61"/>
      <c r="H481" s="202"/>
      <c r="I481" s="18"/>
      <c r="J481" s="202"/>
      <c r="K481" s="55"/>
      <c r="L481" s="55"/>
      <c r="M481" s="55"/>
      <c r="N481" s="55"/>
      <c r="O481" s="55"/>
      <c r="P481" s="55"/>
      <c r="Q481" s="55"/>
      <c r="R481" s="55"/>
      <c r="S481" s="55"/>
      <c r="T481" s="55"/>
      <c r="U481" s="55"/>
      <c r="V481" s="55"/>
      <c r="W481" s="55"/>
    </row>
    <row r="482">
      <c r="A482" s="61"/>
      <c r="B482" s="202"/>
      <c r="C482" s="61"/>
      <c r="D482" s="202"/>
      <c r="E482" s="61"/>
      <c r="F482" s="202"/>
      <c r="G482" s="61"/>
      <c r="H482" s="202"/>
      <c r="I482" s="18"/>
      <c r="J482" s="202"/>
      <c r="K482" s="55"/>
      <c r="L482" s="55"/>
      <c r="M482" s="55"/>
      <c r="N482" s="55"/>
      <c r="O482" s="55"/>
      <c r="P482" s="55"/>
      <c r="Q482" s="55"/>
      <c r="R482" s="55"/>
      <c r="S482" s="55"/>
      <c r="T482" s="55"/>
      <c r="U482" s="55"/>
      <c r="V482" s="55"/>
      <c r="W482" s="55"/>
    </row>
    <row r="483">
      <c r="A483" s="61"/>
      <c r="B483" s="202"/>
      <c r="C483" s="61"/>
      <c r="D483" s="202"/>
      <c r="E483" s="61"/>
      <c r="F483" s="202"/>
      <c r="G483" s="61"/>
      <c r="H483" s="202"/>
      <c r="I483" s="18"/>
      <c r="J483" s="202"/>
      <c r="K483" s="55"/>
      <c r="L483" s="55"/>
      <c r="M483" s="55"/>
      <c r="N483" s="55"/>
      <c r="O483" s="55"/>
      <c r="P483" s="55"/>
      <c r="Q483" s="55"/>
      <c r="R483" s="55"/>
      <c r="S483" s="55"/>
      <c r="T483" s="55"/>
      <c r="U483" s="55"/>
      <c r="V483" s="55"/>
      <c r="W483" s="55"/>
    </row>
    <row r="484">
      <c r="A484" s="61"/>
      <c r="B484" s="202"/>
      <c r="C484" s="61"/>
      <c r="D484" s="202"/>
      <c r="E484" s="61"/>
      <c r="F484" s="202"/>
      <c r="G484" s="61"/>
      <c r="H484" s="202"/>
      <c r="I484" s="18"/>
      <c r="J484" s="202"/>
      <c r="K484" s="55"/>
      <c r="L484" s="55"/>
      <c r="M484" s="55"/>
      <c r="N484" s="55"/>
      <c r="O484" s="55"/>
      <c r="P484" s="55"/>
      <c r="Q484" s="55"/>
      <c r="R484" s="55"/>
      <c r="S484" s="55"/>
      <c r="T484" s="55"/>
      <c r="U484" s="55"/>
      <c r="V484" s="55"/>
      <c r="W484" s="55"/>
    </row>
    <row r="485">
      <c r="A485" s="61"/>
      <c r="B485" s="202"/>
      <c r="C485" s="61"/>
      <c r="D485" s="202"/>
      <c r="E485" s="61"/>
      <c r="F485" s="202"/>
      <c r="G485" s="61"/>
      <c r="H485" s="202"/>
      <c r="I485" s="18"/>
      <c r="J485" s="202"/>
      <c r="K485" s="55"/>
      <c r="L485" s="55"/>
      <c r="M485" s="55"/>
      <c r="N485" s="55"/>
      <c r="O485" s="55"/>
      <c r="P485" s="55"/>
      <c r="Q485" s="55"/>
      <c r="R485" s="55"/>
      <c r="S485" s="55"/>
      <c r="T485" s="55"/>
      <c r="U485" s="55"/>
      <c r="V485" s="55"/>
      <c r="W485" s="55"/>
    </row>
    <row r="486">
      <c r="A486" s="61"/>
      <c r="B486" s="202"/>
      <c r="C486" s="61"/>
      <c r="D486" s="202"/>
      <c r="E486" s="61"/>
      <c r="F486" s="202"/>
      <c r="G486" s="61"/>
      <c r="H486" s="202"/>
      <c r="I486" s="18"/>
      <c r="J486" s="202"/>
      <c r="K486" s="55"/>
      <c r="L486" s="55"/>
      <c r="M486" s="55"/>
      <c r="N486" s="55"/>
      <c r="O486" s="55"/>
      <c r="P486" s="55"/>
      <c r="Q486" s="55"/>
      <c r="R486" s="55"/>
      <c r="S486" s="55"/>
      <c r="T486" s="55"/>
      <c r="U486" s="55"/>
      <c r="V486" s="55"/>
      <c r="W486" s="55"/>
    </row>
    <row r="487">
      <c r="A487" s="61"/>
      <c r="B487" s="202"/>
      <c r="C487" s="61"/>
      <c r="D487" s="202"/>
      <c r="E487" s="61"/>
      <c r="F487" s="202"/>
      <c r="G487" s="61"/>
      <c r="H487" s="202"/>
      <c r="I487" s="18"/>
      <c r="J487" s="202"/>
      <c r="K487" s="55"/>
      <c r="L487" s="55"/>
      <c r="M487" s="55"/>
      <c r="N487" s="55"/>
      <c r="O487" s="55"/>
      <c r="P487" s="55"/>
      <c r="Q487" s="55"/>
      <c r="R487" s="55"/>
      <c r="S487" s="55"/>
      <c r="T487" s="55"/>
      <c r="U487" s="55"/>
      <c r="V487" s="55"/>
      <c r="W487" s="55"/>
    </row>
    <row r="488">
      <c r="A488" s="61"/>
      <c r="B488" s="202"/>
      <c r="C488" s="61"/>
      <c r="D488" s="202"/>
      <c r="E488" s="61"/>
      <c r="F488" s="202"/>
      <c r="G488" s="61"/>
      <c r="H488" s="202"/>
      <c r="I488" s="18"/>
      <c r="J488" s="202"/>
      <c r="K488" s="55"/>
      <c r="L488" s="55"/>
      <c r="M488" s="55"/>
      <c r="N488" s="55"/>
      <c r="O488" s="55"/>
      <c r="P488" s="55"/>
      <c r="Q488" s="55"/>
      <c r="R488" s="55"/>
      <c r="S488" s="55"/>
      <c r="T488" s="55"/>
      <c r="U488" s="55"/>
      <c r="V488" s="55"/>
      <c r="W488" s="55"/>
    </row>
    <row r="489">
      <c r="A489" s="61"/>
      <c r="B489" s="202"/>
      <c r="C489" s="61"/>
      <c r="D489" s="202"/>
      <c r="E489" s="61"/>
      <c r="F489" s="202"/>
      <c r="G489" s="61"/>
      <c r="H489" s="202"/>
      <c r="I489" s="18"/>
      <c r="J489" s="202"/>
      <c r="K489" s="55"/>
      <c r="L489" s="55"/>
      <c r="M489" s="55"/>
      <c r="N489" s="55"/>
      <c r="O489" s="55"/>
      <c r="P489" s="55"/>
      <c r="Q489" s="55"/>
      <c r="R489" s="55"/>
      <c r="S489" s="55"/>
      <c r="T489" s="55"/>
      <c r="U489" s="55"/>
      <c r="V489" s="55"/>
      <c r="W489" s="55"/>
    </row>
    <row r="490">
      <c r="A490" s="61"/>
      <c r="B490" s="202"/>
      <c r="C490" s="61"/>
      <c r="D490" s="202"/>
      <c r="E490" s="61"/>
      <c r="F490" s="202"/>
      <c r="G490" s="61"/>
      <c r="H490" s="202"/>
      <c r="I490" s="18"/>
      <c r="J490" s="202"/>
      <c r="K490" s="55"/>
      <c r="L490" s="55"/>
      <c r="M490" s="55"/>
      <c r="N490" s="55"/>
      <c r="O490" s="55"/>
      <c r="P490" s="55"/>
      <c r="Q490" s="55"/>
      <c r="R490" s="55"/>
      <c r="S490" s="55"/>
      <c r="T490" s="55"/>
      <c r="U490" s="55"/>
      <c r="V490" s="55"/>
      <c r="W490" s="55"/>
    </row>
    <row r="491">
      <c r="A491" s="61"/>
      <c r="B491" s="202"/>
      <c r="C491" s="61"/>
      <c r="D491" s="202"/>
      <c r="E491" s="61"/>
      <c r="F491" s="202"/>
      <c r="G491" s="61"/>
      <c r="H491" s="202"/>
      <c r="I491" s="18"/>
      <c r="J491" s="202"/>
      <c r="K491" s="55"/>
      <c r="L491" s="55"/>
      <c r="M491" s="55"/>
      <c r="N491" s="55"/>
      <c r="O491" s="55"/>
      <c r="P491" s="55"/>
      <c r="Q491" s="55"/>
      <c r="R491" s="55"/>
      <c r="S491" s="55"/>
      <c r="T491" s="55"/>
      <c r="U491" s="55"/>
      <c r="V491" s="55"/>
      <c r="W491" s="55"/>
    </row>
    <row r="492">
      <c r="A492" s="61"/>
      <c r="B492" s="202"/>
      <c r="C492" s="61"/>
      <c r="D492" s="202"/>
      <c r="E492" s="61"/>
      <c r="F492" s="202"/>
      <c r="G492" s="61"/>
      <c r="H492" s="202"/>
      <c r="I492" s="18"/>
      <c r="J492" s="202"/>
      <c r="K492" s="55"/>
      <c r="L492" s="55"/>
      <c r="M492" s="55"/>
      <c r="N492" s="55"/>
      <c r="O492" s="55"/>
      <c r="P492" s="55"/>
      <c r="Q492" s="55"/>
      <c r="R492" s="55"/>
      <c r="S492" s="55"/>
      <c r="T492" s="55"/>
      <c r="U492" s="55"/>
      <c r="V492" s="55"/>
      <c r="W492" s="55"/>
    </row>
    <row r="493">
      <c r="A493" s="61"/>
      <c r="B493" s="202"/>
      <c r="C493" s="61"/>
      <c r="D493" s="202"/>
      <c r="E493" s="61"/>
      <c r="F493" s="202"/>
      <c r="G493" s="61"/>
      <c r="H493" s="202"/>
      <c r="I493" s="18"/>
      <c r="J493" s="202"/>
      <c r="K493" s="55"/>
      <c r="L493" s="55"/>
      <c r="M493" s="55"/>
      <c r="N493" s="55"/>
      <c r="O493" s="55"/>
      <c r="P493" s="55"/>
      <c r="Q493" s="55"/>
      <c r="R493" s="55"/>
      <c r="S493" s="55"/>
      <c r="T493" s="55"/>
      <c r="U493" s="55"/>
      <c r="V493" s="55"/>
      <c r="W493" s="55"/>
    </row>
    <row r="494">
      <c r="A494" s="61"/>
      <c r="B494" s="202"/>
      <c r="C494" s="61"/>
      <c r="D494" s="202"/>
      <c r="E494" s="61"/>
      <c r="F494" s="202"/>
      <c r="G494" s="61"/>
      <c r="H494" s="202"/>
      <c r="I494" s="18"/>
      <c r="J494" s="202"/>
      <c r="K494" s="55"/>
      <c r="L494" s="55"/>
      <c r="M494" s="55"/>
      <c r="N494" s="55"/>
      <c r="O494" s="55"/>
      <c r="P494" s="55"/>
      <c r="Q494" s="55"/>
      <c r="R494" s="55"/>
      <c r="S494" s="55"/>
      <c r="T494" s="55"/>
      <c r="U494" s="55"/>
      <c r="V494" s="55"/>
      <c r="W494" s="55"/>
    </row>
    <row r="495">
      <c r="A495" s="61"/>
      <c r="B495" s="202"/>
      <c r="C495" s="61"/>
      <c r="D495" s="202"/>
      <c r="E495" s="61"/>
      <c r="F495" s="202"/>
      <c r="G495" s="61"/>
      <c r="H495" s="202"/>
      <c r="I495" s="18"/>
      <c r="J495" s="202"/>
      <c r="K495" s="55"/>
      <c r="L495" s="55"/>
      <c r="M495" s="55"/>
      <c r="N495" s="55"/>
      <c r="O495" s="55"/>
      <c r="P495" s="55"/>
      <c r="Q495" s="55"/>
      <c r="R495" s="55"/>
      <c r="S495" s="55"/>
      <c r="T495" s="55"/>
      <c r="U495" s="55"/>
      <c r="V495" s="55"/>
      <c r="W495" s="55"/>
    </row>
    <row r="496">
      <c r="A496" s="61"/>
      <c r="B496" s="202"/>
      <c r="C496" s="61"/>
      <c r="D496" s="202"/>
      <c r="E496" s="61"/>
      <c r="F496" s="202"/>
      <c r="G496" s="61"/>
      <c r="H496" s="202"/>
      <c r="I496" s="18"/>
      <c r="J496" s="202"/>
      <c r="K496" s="55"/>
      <c r="L496" s="55"/>
      <c r="M496" s="55"/>
      <c r="N496" s="55"/>
      <c r="O496" s="55"/>
      <c r="P496" s="55"/>
      <c r="Q496" s="55"/>
      <c r="R496" s="55"/>
      <c r="S496" s="55"/>
      <c r="T496" s="55"/>
      <c r="U496" s="55"/>
      <c r="V496" s="55"/>
      <c r="W496" s="55"/>
    </row>
    <row r="497">
      <c r="A497" s="61"/>
      <c r="B497" s="202"/>
      <c r="C497" s="61"/>
      <c r="D497" s="202"/>
      <c r="E497" s="61"/>
      <c r="F497" s="202"/>
      <c r="G497" s="61"/>
      <c r="H497" s="202"/>
      <c r="I497" s="18"/>
      <c r="J497" s="202"/>
      <c r="K497" s="55"/>
      <c r="L497" s="55"/>
      <c r="M497" s="55"/>
      <c r="N497" s="55"/>
      <c r="O497" s="55"/>
      <c r="P497" s="55"/>
      <c r="Q497" s="55"/>
      <c r="R497" s="55"/>
      <c r="S497" s="55"/>
      <c r="T497" s="55"/>
      <c r="U497" s="55"/>
      <c r="V497" s="55"/>
      <c r="W497" s="55"/>
    </row>
    <row r="498">
      <c r="A498" s="61"/>
      <c r="B498" s="202"/>
      <c r="C498" s="61"/>
      <c r="D498" s="202"/>
      <c r="E498" s="61"/>
      <c r="F498" s="202"/>
      <c r="G498" s="61"/>
      <c r="H498" s="202"/>
      <c r="I498" s="18"/>
      <c r="J498" s="202"/>
      <c r="K498" s="55"/>
      <c r="L498" s="55"/>
      <c r="M498" s="55"/>
      <c r="N498" s="55"/>
      <c r="O498" s="55"/>
      <c r="P498" s="55"/>
      <c r="Q498" s="55"/>
      <c r="R498" s="55"/>
      <c r="S498" s="55"/>
      <c r="T498" s="55"/>
      <c r="U498" s="55"/>
      <c r="V498" s="55"/>
      <c r="W498" s="55"/>
    </row>
    <row r="499">
      <c r="A499" s="61"/>
      <c r="B499" s="202"/>
      <c r="C499" s="61"/>
      <c r="D499" s="202"/>
      <c r="E499" s="61"/>
      <c r="F499" s="202"/>
      <c r="G499" s="61"/>
      <c r="H499" s="202"/>
      <c r="I499" s="18"/>
      <c r="J499" s="202"/>
      <c r="K499" s="55"/>
      <c r="L499" s="55"/>
      <c r="M499" s="55"/>
      <c r="N499" s="55"/>
      <c r="O499" s="55"/>
      <c r="P499" s="55"/>
      <c r="Q499" s="55"/>
      <c r="R499" s="55"/>
      <c r="S499" s="55"/>
      <c r="T499" s="55"/>
      <c r="U499" s="55"/>
      <c r="V499" s="55"/>
      <c r="W499" s="55"/>
    </row>
    <row r="500">
      <c r="A500" s="61"/>
      <c r="B500" s="202"/>
      <c r="C500" s="61"/>
      <c r="D500" s="202"/>
      <c r="E500" s="61"/>
      <c r="F500" s="202"/>
      <c r="G500" s="61"/>
      <c r="H500" s="202"/>
      <c r="I500" s="18"/>
      <c r="J500" s="202"/>
      <c r="K500" s="55"/>
      <c r="L500" s="55"/>
      <c r="M500" s="55"/>
      <c r="N500" s="55"/>
      <c r="O500" s="55"/>
      <c r="P500" s="55"/>
      <c r="Q500" s="55"/>
      <c r="R500" s="55"/>
      <c r="S500" s="55"/>
      <c r="T500" s="55"/>
      <c r="U500" s="55"/>
      <c r="V500" s="55"/>
      <c r="W500" s="55"/>
    </row>
    <row r="501">
      <c r="A501" s="61"/>
      <c r="B501" s="202"/>
      <c r="C501" s="61"/>
      <c r="D501" s="202"/>
      <c r="E501" s="61"/>
      <c r="F501" s="202"/>
      <c r="G501" s="61"/>
      <c r="H501" s="202"/>
      <c r="I501" s="18"/>
      <c r="J501" s="202"/>
      <c r="K501" s="55"/>
      <c r="L501" s="55"/>
      <c r="M501" s="55"/>
      <c r="N501" s="55"/>
      <c r="O501" s="55"/>
      <c r="P501" s="55"/>
      <c r="Q501" s="55"/>
      <c r="R501" s="55"/>
      <c r="S501" s="55"/>
      <c r="T501" s="55"/>
      <c r="U501" s="55"/>
      <c r="V501" s="55"/>
      <c r="W501" s="55"/>
    </row>
    <row r="502">
      <c r="A502" s="61"/>
      <c r="B502" s="202"/>
      <c r="C502" s="61"/>
      <c r="D502" s="202"/>
      <c r="E502" s="61"/>
      <c r="F502" s="202"/>
      <c r="G502" s="61"/>
      <c r="H502" s="202"/>
      <c r="I502" s="18"/>
      <c r="J502" s="202"/>
      <c r="K502" s="55"/>
      <c r="L502" s="55"/>
      <c r="M502" s="55"/>
      <c r="N502" s="55"/>
      <c r="O502" s="55"/>
      <c r="P502" s="55"/>
      <c r="Q502" s="55"/>
      <c r="R502" s="55"/>
      <c r="S502" s="55"/>
      <c r="T502" s="55"/>
      <c r="U502" s="55"/>
      <c r="V502" s="55"/>
      <c r="W502" s="55"/>
    </row>
    <row r="503">
      <c r="A503" s="61"/>
      <c r="B503" s="202"/>
      <c r="C503" s="61"/>
      <c r="D503" s="202"/>
      <c r="E503" s="61"/>
      <c r="F503" s="202"/>
      <c r="G503" s="61"/>
      <c r="H503" s="202"/>
      <c r="I503" s="18"/>
      <c r="J503" s="202"/>
      <c r="K503" s="55"/>
      <c r="L503" s="55"/>
      <c r="M503" s="55"/>
      <c r="N503" s="55"/>
      <c r="O503" s="55"/>
      <c r="P503" s="55"/>
      <c r="Q503" s="55"/>
      <c r="R503" s="55"/>
      <c r="S503" s="55"/>
      <c r="T503" s="55"/>
      <c r="U503" s="55"/>
      <c r="V503" s="55"/>
      <c r="W503" s="55"/>
    </row>
    <row r="504">
      <c r="A504" s="61"/>
      <c r="B504" s="202"/>
      <c r="C504" s="61"/>
      <c r="D504" s="202"/>
      <c r="E504" s="61"/>
      <c r="F504" s="202"/>
      <c r="G504" s="61"/>
      <c r="H504" s="202"/>
      <c r="I504" s="18"/>
      <c r="J504" s="202"/>
      <c r="K504" s="55"/>
      <c r="L504" s="55"/>
      <c r="M504" s="55"/>
      <c r="N504" s="55"/>
      <c r="O504" s="55"/>
      <c r="P504" s="55"/>
      <c r="Q504" s="55"/>
      <c r="R504" s="55"/>
      <c r="S504" s="55"/>
      <c r="T504" s="55"/>
      <c r="U504" s="55"/>
      <c r="V504" s="55"/>
      <c r="W504" s="55"/>
    </row>
    <row r="505">
      <c r="A505" s="61"/>
      <c r="B505" s="202"/>
      <c r="C505" s="61"/>
      <c r="D505" s="202"/>
      <c r="E505" s="61"/>
      <c r="F505" s="202"/>
      <c r="G505" s="61"/>
      <c r="H505" s="202"/>
      <c r="I505" s="18"/>
      <c r="J505" s="202"/>
      <c r="K505" s="55"/>
      <c r="L505" s="55"/>
      <c r="M505" s="55"/>
      <c r="N505" s="55"/>
      <c r="O505" s="55"/>
      <c r="P505" s="55"/>
      <c r="Q505" s="55"/>
      <c r="R505" s="55"/>
      <c r="S505" s="55"/>
      <c r="T505" s="55"/>
      <c r="U505" s="55"/>
      <c r="V505" s="55"/>
      <c r="W505" s="55"/>
    </row>
    <row r="506">
      <c r="A506" s="61"/>
      <c r="B506" s="202"/>
      <c r="C506" s="61"/>
      <c r="D506" s="202"/>
      <c r="E506" s="61"/>
      <c r="F506" s="202"/>
      <c r="G506" s="61"/>
      <c r="H506" s="202"/>
      <c r="I506" s="18"/>
      <c r="J506" s="202"/>
      <c r="K506" s="55"/>
      <c r="L506" s="55"/>
      <c r="M506" s="55"/>
      <c r="N506" s="55"/>
      <c r="O506" s="55"/>
      <c r="P506" s="55"/>
      <c r="Q506" s="55"/>
      <c r="R506" s="55"/>
      <c r="S506" s="55"/>
      <c r="T506" s="55"/>
      <c r="U506" s="55"/>
      <c r="V506" s="55"/>
      <c r="W506" s="55"/>
    </row>
    <row r="507">
      <c r="A507" s="61"/>
      <c r="B507" s="202"/>
      <c r="C507" s="61"/>
      <c r="D507" s="202"/>
      <c r="E507" s="61"/>
      <c r="F507" s="202"/>
      <c r="G507" s="61"/>
      <c r="H507" s="202"/>
      <c r="I507" s="18"/>
      <c r="J507" s="202"/>
      <c r="K507" s="55"/>
      <c r="L507" s="55"/>
      <c r="M507" s="55"/>
      <c r="N507" s="55"/>
      <c r="O507" s="55"/>
      <c r="P507" s="55"/>
      <c r="Q507" s="55"/>
      <c r="R507" s="55"/>
      <c r="S507" s="55"/>
      <c r="T507" s="55"/>
      <c r="U507" s="55"/>
      <c r="V507" s="55"/>
      <c r="W507" s="55"/>
    </row>
    <row r="508">
      <c r="A508" s="61"/>
      <c r="B508" s="202"/>
      <c r="C508" s="61"/>
      <c r="D508" s="202"/>
      <c r="E508" s="61"/>
      <c r="F508" s="202"/>
      <c r="G508" s="61"/>
      <c r="H508" s="202"/>
      <c r="I508" s="18"/>
      <c r="J508" s="202"/>
      <c r="K508" s="55"/>
      <c r="L508" s="55"/>
      <c r="M508" s="55"/>
      <c r="N508" s="55"/>
      <c r="O508" s="55"/>
      <c r="P508" s="55"/>
      <c r="Q508" s="55"/>
      <c r="R508" s="55"/>
      <c r="S508" s="55"/>
      <c r="T508" s="55"/>
      <c r="U508" s="55"/>
      <c r="V508" s="55"/>
      <c r="W508" s="55"/>
    </row>
    <row r="509">
      <c r="A509" s="61"/>
      <c r="B509" s="202"/>
      <c r="C509" s="61"/>
      <c r="D509" s="202"/>
      <c r="E509" s="61"/>
      <c r="F509" s="202"/>
      <c r="G509" s="61"/>
      <c r="H509" s="202"/>
      <c r="I509" s="18"/>
      <c r="J509" s="202"/>
      <c r="K509" s="55"/>
      <c r="L509" s="55"/>
      <c r="M509" s="55"/>
      <c r="N509" s="55"/>
      <c r="O509" s="55"/>
      <c r="P509" s="55"/>
      <c r="Q509" s="55"/>
      <c r="R509" s="55"/>
      <c r="S509" s="55"/>
      <c r="T509" s="55"/>
      <c r="U509" s="55"/>
      <c r="V509" s="55"/>
      <c r="W509" s="55"/>
    </row>
    <row r="510">
      <c r="A510" s="61"/>
      <c r="B510" s="202"/>
      <c r="C510" s="61"/>
      <c r="D510" s="202"/>
      <c r="E510" s="61"/>
      <c r="F510" s="202"/>
      <c r="G510" s="61"/>
      <c r="H510" s="202"/>
      <c r="I510" s="18"/>
      <c r="J510" s="202"/>
      <c r="K510" s="55"/>
      <c r="L510" s="55"/>
      <c r="M510" s="55"/>
      <c r="N510" s="55"/>
      <c r="O510" s="55"/>
      <c r="P510" s="55"/>
      <c r="Q510" s="55"/>
      <c r="R510" s="55"/>
      <c r="S510" s="55"/>
      <c r="T510" s="55"/>
      <c r="U510" s="55"/>
      <c r="V510" s="55"/>
      <c r="W510" s="55"/>
    </row>
    <row r="511">
      <c r="A511" s="61"/>
      <c r="B511" s="202"/>
      <c r="C511" s="61"/>
      <c r="D511" s="202"/>
      <c r="E511" s="61"/>
      <c r="F511" s="202"/>
      <c r="G511" s="61"/>
      <c r="H511" s="202"/>
      <c r="I511" s="18"/>
      <c r="J511" s="202"/>
      <c r="K511" s="55"/>
      <c r="L511" s="55"/>
      <c r="M511" s="55"/>
      <c r="N511" s="55"/>
      <c r="O511" s="55"/>
      <c r="P511" s="55"/>
      <c r="Q511" s="55"/>
      <c r="R511" s="55"/>
      <c r="S511" s="55"/>
      <c r="T511" s="55"/>
      <c r="U511" s="55"/>
      <c r="V511" s="55"/>
      <c r="W511" s="55"/>
    </row>
    <row r="512">
      <c r="A512" s="61"/>
      <c r="B512" s="202"/>
      <c r="C512" s="61"/>
      <c r="D512" s="202"/>
      <c r="E512" s="61"/>
      <c r="F512" s="202"/>
      <c r="G512" s="61"/>
      <c r="H512" s="202"/>
      <c r="I512" s="18"/>
      <c r="J512" s="202"/>
      <c r="K512" s="55"/>
      <c r="L512" s="55"/>
      <c r="M512" s="55"/>
      <c r="N512" s="55"/>
      <c r="O512" s="55"/>
      <c r="P512" s="55"/>
      <c r="Q512" s="55"/>
      <c r="R512" s="55"/>
      <c r="S512" s="55"/>
      <c r="T512" s="55"/>
      <c r="U512" s="55"/>
      <c r="V512" s="55"/>
      <c r="W512" s="55"/>
    </row>
    <row r="513">
      <c r="A513" s="61"/>
      <c r="B513" s="202"/>
      <c r="C513" s="61"/>
      <c r="D513" s="202"/>
      <c r="E513" s="61"/>
      <c r="F513" s="202"/>
      <c r="G513" s="61"/>
      <c r="H513" s="202"/>
      <c r="I513" s="18"/>
      <c r="J513" s="202"/>
      <c r="K513" s="55"/>
      <c r="L513" s="55"/>
      <c r="M513" s="55"/>
      <c r="N513" s="55"/>
      <c r="O513" s="55"/>
      <c r="P513" s="55"/>
      <c r="Q513" s="55"/>
      <c r="R513" s="55"/>
      <c r="S513" s="55"/>
      <c r="T513" s="55"/>
      <c r="U513" s="55"/>
      <c r="V513" s="55"/>
      <c r="W513" s="55"/>
    </row>
    <row r="514">
      <c r="A514" s="61"/>
      <c r="B514" s="202"/>
      <c r="C514" s="61"/>
      <c r="D514" s="202"/>
      <c r="E514" s="61"/>
      <c r="F514" s="202"/>
      <c r="G514" s="61"/>
      <c r="H514" s="202"/>
      <c r="I514" s="18"/>
      <c r="J514" s="202"/>
      <c r="K514" s="55"/>
      <c r="L514" s="55"/>
      <c r="M514" s="55"/>
      <c r="N514" s="55"/>
      <c r="O514" s="55"/>
      <c r="P514" s="55"/>
      <c r="Q514" s="55"/>
      <c r="R514" s="55"/>
      <c r="S514" s="55"/>
      <c r="T514" s="55"/>
      <c r="U514" s="55"/>
      <c r="V514" s="55"/>
      <c r="W514" s="55"/>
    </row>
    <row r="515">
      <c r="A515" s="61"/>
      <c r="B515" s="202"/>
      <c r="C515" s="61"/>
      <c r="D515" s="202"/>
      <c r="E515" s="61"/>
      <c r="F515" s="202"/>
      <c r="G515" s="61"/>
      <c r="H515" s="202"/>
      <c r="I515" s="18"/>
      <c r="J515" s="202"/>
      <c r="K515" s="55"/>
      <c r="L515" s="55"/>
      <c r="M515" s="55"/>
      <c r="N515" s="55"/>
      <c r="O515" s="55"/>
      <c r="P515" s="55"/>
      <c r="Q515" s="55"/>
      <c r="R515" s="55"/>
      <c r="S515" s="55"/>
      <c r="T515" s="55"/>
      <c r="U515" s="55"/>
      <c r="V515" s="55"/>
      <c r="W515" s="55"/>
    </row>
    <row r="516">
      <c r="A516" s="61"/>
      <c r="B516" s="202"/>
      <c r="C516" s="61"/>
      <c r="D516" s="202"/>
      <c r="E516" s="61"/>
      <c r="F516" s="202"/>
      <c r="G516" s="61"/>
      <c r="H516" s="202"/>
      <c r="I516" s="18"/>
      <c r="J516" s="202"/>
      <c r="K516" s="55"/>
      <c r="L516" s="55"/>
      <c r="M516" s="55"/>
      <c r="N516" s="55"/>
      <c r="O516" s="55"/>
      <c r="P516" s="55"/>
      <c r="Q516" s="55"/>
      <c r="R516" s="55"/>
      <c r="S516" s="55"/>
      <c r="T516" s="55"/>
      <c r="U516" s="55"/>
      <c r="V516" s="55"/>
      <c r="W516" s="55"/>
    </row>
    <row r="517">
      <c r="A517" s="61"/>
      <c r="B517" s="202"/>
      <c r="C517" s="61"/>
      <c r="D517" s="202"/>
      <c r="E517" s="61"/>
      <c r="F517" s="202"/>
      <c r="G517" s="61"/>
      <c r="H517" s="202"/>
      <c r="I517" s="18"/>
      <c r="J517" s="202"/>
      <c r="K517" s="55"/>
      <c r="L517" s="55"/>
      <c r="M517" s="55"/>
      <c r="N517" s="55"/>
      <c r="O517" s="55"/>
      <c r="P517" s="55"/>
      <c r="Q517" s="55"/>
      <c r="R517" s="55"/>
      <c r="S517" s="55"/>
      <c r="T517" s="55"/>
      <c r="U517" s="55"/>
      <c r="V517" s="55"/>
      <c r="W517" s="55"/>
    </row>
    <row r="518">
      <c r="A518" s="61"/>
      <c r="B518" s="202"/>
      <c r="C518" s="61"/>
      <c r="D518" s="202"/>
      <c r="E518" s="61"/>
      <c r="F518" s="202"/>
      <c r="G518" s="61"/>
      <c r="H518" s="202"/>
      <c r="I518" s="18"/>
      <c r="J518" s="202"/>
      <c r="K518" s="55"/>
      <c r="L518" s="55"/>
      <c r="M518" s="55"/>
      <c r="N518" s="55"/>
      <c r="O518" s="55"/>
      <c r="P518" s="55"/>
      <c r="Q518" s="55"/>
      <c r="R518" s="55"/>
      <c r="S518" s="55"/>
      <c r="T518" s="55"/>
      <c r="U518" s="55"/>
      <c r="V518" s="55"/>
      <c r="W518" s="55"/>
    </row>
    <row r="519">
      <c r="A519" s="61"/>
      <c r="B519" s="202"/>
      <c r="C519" s="61"/>
      <c r="D519" s="202"/>
      <c r="E519" s="61"/>
      <c r="F519" s="202"/>
      <c r="G519" s="61"/>
      <c r="H519" s="202"/>
      <c r="I519" s="18"/>
      <c r="J519" s="202"/>
      <c r="K519" s="55"/>
      <c r="L519" s="55"/>
      <c r="M519" s="55"/>
      <c r="N519" s="55"/>
      <c r="O519" s="55"/>
      <c r="P519" s="55"/>
      <c r="Q519" s="55"/>
      <c r="R519" s="55"/>
      <c r="S519" s="55"/>
      <c r="T519" s="55"/>
      <c r="U519" s="55"/>
      <c r="V519" s="55"/>
      <c r="W519" s="55"/>
    </row>
    <row r="520">
      <c r="A520" s="61"/>
      <c r="B520" s="202"/>
      <c r="C520" s="61"/>
      <c r="D520" s="202"/>
      <c r="E520" s="61"/>
      <c r="F520" s="202"/>
      <c r="G520" s="61"/>
      <c r="H520" s="202"/>
      <c r="I520" s="18"/>
      <c r="J520" s="202"/>
      <c r="K520" s="55"/>
      <c r="L520" s="55"/>
      <c r="M520" s="55"/>
      <c r="N520" s="55"/>
      <c r="O520" s="55"/>
      <c r="P520" s="55"/>
      <c r="Q520" s="55"/>
      <c r="R520" s="55"/>
      <c r="S520" s="55"/>
      <c r="T520" s="55"/>
      <c r="U520" s="55"/>
      <c r="V520" s="55"/>
      <c r="W520" s="55"/>
    </row>
    <row r="521">
      <c r="A521" s="61"/>
      <c r="B521" s="202"/>
      <c r="C521" s="61"/>
      <c r="D521" s="202"/>
      <c r="E521" s="61"/>
      <c r="F521" s="202"/>
      <c r="G521" s="61"/>
      <c r="H521" s="202"/>
      <c r="I521" s="18"/>
      <c r="J521" s="202"/>
      <c r="K521" s="55"/>
      <c r="L521" s="55"/>
      <c r="M521" s="55"/>
      <c r="N521" s="55"/>
      <c r="O521" s="55"/>
      <c r="P521" s="55"/>
      <c r="Q521" s="55"/>
      <c r="R521" s="55"/>
      <c r="S521" s="55"/>
      <c r="T521" s="55"/>
      <c r="U521" s="55"/>
      <c r="V521" s="55"/>
      <c r="W521" s="55"/>
    </row>
    <row r="522">
      <c r="A522" s="61"/>
      <c r="B522" s="202"/>
      <c r="C522" s="61"/>
      <c r="D522" s="202"/>
      <c r="E522" s="61"/>
      <c r="F522" s="202"/>
      <c r="G522" s="61"/>
      <c r="H522" s="202"/>
      <c r="I522" s="18"/>
      <c r="J522" s="202"/>
      <c r="K522" s="55"/>
      <c r="L522" s="55"/>
      <c r="M522" s="55"/>
      <c r="N522" s="55"/>
      <c r="O522" s="55"/>
      <c r="P522" s="55"/>
      <c r="Q522" s="55"/>
      <c r="R522" s="55"/>
      <c r="S522" s="55"/>
      <c r="T522" s="55"/>
      <c r="U522" s="55"/>
      <c r="V522" s="55"/>
      <c r="W522" s="55"/>
    </row>
    <row r="523">
      <c r="A523" s="61"/>
      <c r="B523" s="202"/>
      <c r="C523" s="61"/>
      <c r="D523" s="202"/>
      <c r="E523" s="61"/>
      <c r="F523" s="202"/>
      <c r="G523" s="61"/>
      <c r="H523" s="202"/>
      <c r="I523" s="18"/>
      <c r="J523" s="202"/>
      <c r="K523" s="55"/>
      <c r="L523" s="55"/>
      <c r="M523" s="55"/>
      <c r="N523" s="55"/>
      <c r="O523" s="55"/>
      <c r="P523" s="55"/>
      <c r="Q523" s="55"/>
      <c r="R523" s="55"/>
      <c r="S523" s="55"/>
      <c r="T523" s="55"/>
      <c r="U523" s="55"/>
      <c r="V523" s="55"/>
      <c r="W523" s="55"/>
    </row>
    <row r="524">
      <c r="A524" s="61"/>
      <c r="B524" s="202"/>
      <c r="C524" s="61"/>
      <c r="D524" s="202"/>
      <c r="E524" s="61"/>
      <c r="F524" s="202"/>
      <c r="G524" s="61"/>
      <c r="H524" s="202"/>
      <c r="I524" s="18"/>
      <c r="J524" s="202"/>
      <c r="K524" s="55"/>
      <c r="L524" s="55"/>
      <c r="M524" s="55"/>
      <c r="N524" s="55"/>
      <c r="O524" s="55"/>
      <c r="P524" s="55"/>
      <c r="Q524" s="55"/>
      <c r="R524" s="55"/>
      <c r="S524" s="55"/>
      <c r="T524" s="55"/>
      <c r="U524" s="55"/>
      <c r="V524" s="55"/>
      <c r="W524" s="55"/>
    </row>
    <row r="525">
      <c r="A525" s="61"/>
      <c r="B525" s="202"/>
      <c r="C525" s="61"/>
      <c r="D525" s="202"/>
      <c r="E525" s="61"/>
      <c r="F525" s="202"/>
      <c r="G525" s="61"/>
      <c r="H525" s="202"/>
      <c r="I525" s="18"/>
      <c r="J525" s="202"/>
      <c r="K525" s="55"/>
      <c r="L525" s="55"/>
      <c r="M525" s="55"/>
      <c r="N525" s="55"/>
      <c r="O525" s="55"/>
      <c r="P525" s="55"/>
      <c r="Q525" s="55"/>
      <c r="R525" s="55"/>
      <c r="S525" s="55"/>
      <c r="T525" s="55"/>
      <c r="U525" s="55"/>
      <c r="V525" s="55"/>
      <c r="W525" s="55"/>
    </row>
    <row r="526">
      <c r="A526" s="61"/>
      <c r="B526" s="202"/>
      <c r="C526" s="61"/>
      <c r="D526" s="202"/>
      <c r="E526" s="61"/>
      <c r="F526" s="202"/>
      <c r="G526" s="61"/>
      <c r="H526" s="202"/>
      <c r="I526" s="18"/>
      <c r="J526" s="202"/>
      <c r="K526" s="55"/>
      <c r="L526" s="55"/>
      <c r="M526" s="55"/>
      <c r="N526" s="55"/>
      <c r="O526" s="55"/>
      <c r="P526" s="55"/>
      <c r="Q526" s="55"/>
      <c r="R526" s="55"/>
      <c r="S526" s="55"/>
      <c r="T526" s="55"/>
      <c r="U526" s="55"/>
      <c r="V526" s="55"/>
      <c r="W526" s="55"/>
    </row>
    <row r="527">
      <c r="A527" s="61"/>
      <c r="B527" s="202"/>
      <c r="C527" s="61"/>
      <c r="D527" s="202"/>
      <c r="E527" s="61"/>
      <c r="F527" s="202"/>
      <c r="G527" s="61"/>
      <c r="H527" s="202"/>
      <c r="I527" s="18"/>
      <c r="J527" s="202"/>
      <c r="K527" s="55"/>
      <c r="L527" s="55"/>
      <c r="M527" s="55"/>
      <c r="N527" s="55"/>
      <c r="O527" s="55"/>
      <c r="P527" s="55"/>
      <c r="Q527" s="55"/>
      <c r="R527" s="55"/>
      <c r="S527" s="55"/>
      <c r="T527" s="55"/>
      <c r="U527" s="55"/>
      <c r="V527" s="55"/>
      <c r="W527" s="55"/>
    </row>
    <row r="528">
      <c r="A528" s="61"/>
      <c r="B528" s="202"/>
      <c r="C528" s="61"/>
      <c r="D528" s="202"/>
      <c r="E528" s="61"/>
      <c r="F528" s="202"/>
      <c r="G528" s="61"/>
      <c r="H528" s="202"/>
      <c r="I528" s="18"/>
      <c r="J528" s="202"/>
      <c r="K528" s="55"/>
      <c r="L528" s="55"/>
      <c r="M528" s="55"/>
      <c r="N528" s="55"/>
      <c r="O528" s="55"/>
      <c r="P528" s="55"/>
      <c r="Q528" s="55"/>
      <c r="R528" s="55"/>
      <c r="S528" s="55"/>
      <c r="T528" s="55"/>
      <c r="U528" s="55"/>
      <c r="V528" s="55"/>
      <c r="W528" s="55"/>
    </row>
    <row r="529">
      <c r="A529" s="61"/>
      <c r="B529" s="202"/>
      <c r="C529" s="61"/>
      <c r="D529" s="202"/>
      <c r="E529" s="61"/>
      <c r="F529" s="202"/>
      <c r="G529" s="61"/>
      <c r="H529" s="202"/>
      <c r="I529" s="18"/>
      <c r="J529" s="202"/>
      <c r="K529" s="55"/>
      <c r="L529" s="55"/>
      <c r="M529" s="55"/>
      <c r="N529" s="55"/>
      <c r="O529" s="55"/>
      <c r="P529" s="55"/>
      <c r="Q529" s="55"/>
      <c r="R529" s="55"/>
      <c r="S529" s="55"/>
      <c r="T529" s="55"/>
      <c r="U529" s="55"/>
      <c r="V529" s="55"/>
      <c r="W529" s="55"/>
    </row>
    <row r="530">
      <c r="A530" s="61"/>
      <c r="B530" s="202"/>
      <c r="C530" s="61"/>
      <c r="D530" s="202"/>
      <c r="E530" s="61"/>
      <c r="F530" s="202"/>
      <c r="G530" s="61"/>
      <c r="H530" s="202"/>
      <c r="I530" s="18"/>
      <c r="J530" s="202"/>
      <c r="K530" s="55"/>
      <c r="L530" s="55"/>
      <c r="M530" s="55"/>
      <c r="N530" s="55"/>
      <c r="O530" s="55"/>
      <c r="P530" s="55"/>
      <c r="Q530" s="55"/>
      <c r="R530" s="55"/>
      <c r="S530" s="55"/>
      <c r="T530" s="55"/>
      <c r="U530" s="55"/>
      <c r="V530" s="55"/>
      <c r="W530" s="55"/>
    </row>
    <row r="531">
      <c r="A531" s="61"/>
      <c r="B531" s="202"/>
      <c r="C531" s="61"/>
      <c r="D531" s="202"/>
      <c r="E531" s="61"/>
      <c r="F531" s="202"/>
      <c r="G531" s="61"/>
      <c r="H531" s="202"/>
      <c r="I531" s="18"/>
      <c r="J531" s="202"/>
      <c r="K531" s="55"/>
      <c r="L531" s="55"/>
      <c r="M531" s="55"/>
      <c r="N531" s="55"/>
      <c r="O531" s="55"/>
      <c r="P531" s="55"/>
      <c r="Q531" s="55"/>
      <c r="R531" s="55"/>
      <c r="S531" s="55"/>
      <c r="T531" s="55"/>
      <c r="U531" s="55"/>
      <c r="V531" s="55"/>
      <c r="W531" s="55"/>
    </row>
    <row r="532">
      <c r="A532" s="61"/>
      <c r="B532" s="202"/>
      <c r="C532" s="61"/>
      <c r="D532" s="202"/>
      <c r="E532" s="61"/>
      <c r="F532" s="202"/>
      <c r="G532" s="61"/>
      <c r="H532" s="202"/>
      <c r="I532" s="18"/>
      <c r="J532" s="202"/>
      <c r="K532" s="55"/>
      <c r="L532" s="55"/>
      <c r="M532" s="55"/>
      <c r="N532" s="55"/>
      <c r="O532" s="55"/>
      <c r="P532" s="55"/>
      <c r="Q532" s="55"/>
      <c r="R532" s="55"/>
      <c r="S532" s="55"/>
      <c r="T532" s="55"/>
      <c r="U532" s="55"/>
      <c r="V532" s="55"/>
      <c r="W532" s="55"/>
    </row>
    <row r="533">
      <c r="A533" s="61"/>
      <c r="B533" s="202"/>
      <c r="C533" s="61"/>
      <c r="D533" s="202"/>
      <c r="E533" s="61"/>
      <c r="F533" s="202"/>
      <c r="G533" s="61"/>
      <c r="H533" s="202"/>
      <c r="I533" s="18"/>
      <c r="J533" s="202"/>
      <c r="K533" s="55"/>
      <c r="L533" s="55"/>
      <c r="M533" s="55"/>
      <c r="N533" s="55"/>
      <c r="O533" s="55"/>
      <c r="P533" s="55"/>
      <c r="Q533" s="55"/>
      <c r="R533" s="55"/>
      <c r="S533" s="55"/>
      <c r="T533" s="55"/>
      <c r="U533" s="55"/>
      <c r="V533" s="55"/>
      <c r="W533" s="55"/>
    </row>
    <row r="534">
      <c r="A534" s="61"/>
      <c r="B534" s="202"/>
      <c r="C534" s="61"/>
      <c r="D534" s="202"/>
      <c r="E534" s="61"/>
      <c r="F534" s="202"/>
      <c r="G534" s="61"/>
      <c r="H534" s="202"/>
      <c r="I534" s="18"/>
      <c r="J534" s="202"/>
      <c r="K534" s="55"/>
      <c r="L534" s="55"/>
      <c r="M534" s="55"/>
      <c r="N534" s="55"/>
      <c r="O534" s="55"/>
      <c r="P534" s="55"/>
      <c r="Q534" s="55"/>
      <c r="R534" s="55"/>
      <c r="S534" s="55"/>
      <c r="T534" s="55"/>
      <c r="U534" s="55"/>
      <c r="V534" s="55"/>
      <c r="W534" s="55"/>
    </row>
    <row r="535">
      <c r="A535" s="61"/>
      <c r="B535" s="202"/>
      <c r="C535" s="61"/>
      <c r="D535" s="202"/>
      <c r="E535" s="61"/>
      <c r="F535" s="202"/>
      <c r="G535" s="61"/>
      <c r="H535" s="202"/>
      <c r="I535" s="18"/>
      <c r="J535" s="202"/>
      <c r="K535" s="55"/>
      <c r="L535" s="55"/>
      <c r="M535" s="55"/>
      <c r="N535" s="55"/>
      <c r="O535" s="55"/>
      <c r="P535" s="55"/>
      <c r="Q535" s="55"/>
      <c r="R535" s="55"/>
      <c r="S535" s="55"/>
      <c r="T535" s="55"/>
      <c r="U535" s="55"/>
      <c r="V535" s="55"/>
      <c r="W535" s="55"/>
    </row>
    <row r="536">
      <c r="A536" s="61"/>
      <c r="B536" s="202"/>
      <c r="C536" s="61"/>
      <c r="D536" s="202"/>
      <c r="E536" s="61"/>
      <c r="F536" s="202"/>
      <c r="G536" s="61"/>
      <c r="H536" s="202"/>
      <c r="I536" s="18"/>
      <c r="J536" s="202"/>
      <c r="K536" s="55"/>
      <c r="L536" s="55"/>
      <c r="M536" s="55"/>
      <c r="N536" s="55"/>
      <c r="O536" s="55"/>
      <c r="P536" s="55"/>
      <c r="Q536" s="55"/>
      <c r="R536" s="55"/>
      <c r="S536" s="55"/>
      <c r="T536" s="55"/>
      <c r="U536" s="55"/>
      <c r="V536" s="55"/>
      <c r="W536" s="55"/>
    </row>
    <row r="537">
      <c r="A537" s="61"/>
      <c r="B537" s="202"/>
      <c r="C537" s="61"/>
      <c r="D537" s="202"/>
      <c r="E537" s="61"/>
      <c r="F537" s="202"/>
      <c r="G537" s="61"/>
      <c r="H537" s="202"/>
      <c r="I537" s="18"/>
      <c r="J537" s="202"/>
      <c r="K537" s="55"/>
      <c r="L537" s="55"/>
      <c r="M537" s="55"/>
      <c r="N537" s="55"/>
      <c r="O537" s="55"/>
      <c r="P537" s="55"/>
      <c r="Q537" s="55"/>
      <c r="R537" s="55"/>
      <c r="S537" s="55"/>
      <c r="T537" s="55"/>
      <c r="U537" s="55"/>
      <c r="V537" s="55"/>
      <c r="W537" s="55"/>
    </row>
    <row r="538">
      <c r="A538" s="61"/>
      <c r="B538" s="202"/>
      <c r="C538" s="61"/>
      <c r="D538" s="202"/>
      <c r="E538" s="61"/>
      <c r="F538" s="202"/>
      <c r="G538" s="61"/>
      <c r="H538" s="202"/>
      <c r="I538" s="18"/>
      <c r="J538" s="202"/>
      <c r="K538" s="55"/>
      <c r="L538" s="55"/>
      <c r="M538" s="55"/>
      <c r="N538" s="55"/>
      <c r="O538" s="55"/>
      <c r="P538" s="55"/>
      <c r="Q538" s="55"/>
      <c r="R538" s="55"/>
      <c r="S538" s="55"/>
      <c r="T538" s="55"/>
      <c r="U538" s="55"/>
      <c r="V538" s="55"/>
      <c r="W538" s="55"/>
    </row>
    <row r="539">
      <c r="A539" s="61"/>
      <c r="B539" s="202"/>
      <c r="C539" s="61"/>
      <c r="D539" s="202"/>
      <c r="E539" s="61"/>
      <c r="F539" s="202"/>
      <c r="G539" s="61"/>
      <c r="H539" s="202"/>
      <c r="I539" s="18"/>
      <c r="J539" s="202"/>
      <c r="K539" s="55"/>
      <c r="L539" s="55"/>
      <c r="M539" s="55"/>
      <c r="N539" s="55"/>
      <c r="O539" s="55"/>
      <c r="P539" s="55"/>
      <c r="Q539" s="55"/>
      <c r="R539" s="55"/>
      <c r="S539" s="55"/>
      <c r="T539" s="55"/>
      <c r="U539" s="55"/>
      <c r="V539" s="55"/>
      <c r="W539" s="55"/>
    </row>
    <row r="540">
      <c r="A540" s="61"/>
      <c r="B540" s="202"/>
      <c r="C540" s="61"/>
      <c r="D540" s="202"/>
      <c r="E540" s="61"/>
      <c r="F540" s="202"/>
      <c r="G540" s="61"/>
      <c r="H540" s="202"/>
      <c r="I540" s="18"/>
      <c r="J540" s="202"/>
      <c r="K540" s="55"/>
      <c r="L540" s="55"/>
      <c r="M540" s="55"/>
      <c r="N540" s="55"/>
      <c r="O540" s="55"/>
      <c r="P540" s="55"/>
      <c r="Q540" s="55"/>
      <c r="R540" s="55"/>
      <c r="S540" s="55"/>
      <c r="T540" s="55"/>
      <c r="U540" s="55"/>
      <c r="V540" s="55"/>
      <c r="W540" s="55"/>
    </row>
    <row r="541">
      <c r="A541" s="61"/>
      <c r="B541" s="202"/>
      <c r="C541" s="61"/>
      <c r="D541" s="202"/>
      <c r="E541" s="61"/>
      <c r="F541" s="202"/>
      <c r="G541" s="61"/>
      <c r="H541" s="202"/>
      <c r="I541" s="18"/>
      <c r="J541" s="202"/>
      <c r="K541" s="55"/>
      <c r="L541" s="55"/>
      <c r="M541" s="55"/>
      <c r="N541" s="55"/>
      <c r="O541" s="55"/>
      <c r="P541" s="55"/>
      <c r="Q541" s="55"/>
      <c r="R541" s="55"/>
      <c r="S541" s="55"/>
      <c r="T541" s="55"/>
      <c r="U541" s="55"/>
      <c r="V541" s="55"/>
      <c r="W541" s="55"/>
    </row>
    <row r="542">
      <c r="A542" s="61"/>
      <c r="B542" s="202"/>
      <c r="C542" s="61"/>
      <c r="D542" s="202"/>
      <c r="E542" s="61"/>
      <c r="F542" s="202"/>
      <c r="G542" s="61"/>
      <c r="H542" s="202"/>
      <c r="I542" s="18"/>
      <c r="J542" s="202"/>
      <c r="K542" s="55"/>
      <c r="L542" s="55"/>
      <c r="M542" s="55"/>
      <c r="N542" s="55"/>
      <c r="O542" s="55"/>
      <c r="P542" s="55"/>
      <c r="Q542" s="55"/>
      <c r="R542" s="55"/>
      <c r="S542" s="55"/>
      <c r="T542" s="55"/>
      <c r="U542" s="55"/>
      <c r="V542" s="55"/>
      <c r="W542" s="55"/>
    </row>
    <row r="543">
      <c r="A543" s="61"/>
      <c r="B543" s="202"/>
      <c r="C543" s="61"/>
      <c r="D543" s="202"/>
      <c r="E543" s="61"/>
      <c r="F543" s="202"/>
      <c r="G543" s="61"/>
      <c r="H543" s="202"/>
      <c r="I543" s="18"/>
      <c r="J543" s="202"/>
      <c r="K543" s="55"/>
      <c r="L543" s="55"/>
      <c r="M543" s="55"/>
      <c r="N543" s="55"/>
      <c r="O543" s="55"/>
      <c r="P543" s="55"/>
      <c r="Q543" s="55"/>
      <c r="R543" s="55"/>
      <c r="S543" s="55"/>
      <c r="T543" s="55"/>
      <c r="U543" s="55"/>
      <c r="V543" s="55"/>
      <c r="W543" s="55"/>
    </row>
    <row r="544">
      <c r="A544" s="61"/>
      <c r="B544" s="202"/>
      <c r="C544" s="61"/>
      <c r="D544" s="202"/>
      <c r="E544" s="61"/>
      <c r="F544" s="202"/>
      <c r="G544" s="61"/>
      <c r="H544" s="202"/>
      <c r="I544" s="18"/>
      <c r="J544" s="202"/>
      <c r="K544" s="55"/>
      <c r="L544" s="55"/>
      <c r="M544" s="55"/>
      <c r="N544" s="55"/>
      <c r="O544" s="55"/>
      <c r="P544" s="55"/>
      <c r="Q544" s="55"/>
      <c r="R544" s="55"/>
      <c r="S544" s="55"/>
      <c r="T544" s="55"/>
      <c r="U544" s="55"/>
      <c r="V544" s="55"/>
      <c r="W544" s="55"/>
    </row>
    <row r="545">
      <c r="A545" s="61"/>
      <c r="B545" s="202"/>
      <c r="C545" s="61"/>
      <c r="D545" s="202"/>
      <c r="E545" s="61"/>
      <c r="F545" s="202"/>
      <c r="G545" s="61"/>
      <c r="H545" s="202"/>
      <c r="I545" s="18"/>
      <c r="J545" s="202"/>
      <c r="K545" s="55"/>
      <c r="L545" s="55"/>
      <c r="M545" s="55"/>
      <c r="N545" s="55"/>
      <c r="O545" s="55"/>
      <c r="P545" s="55"/>
      <c r="Q545" s="55"/>
      <c r="R545" s="55"/>
      <c r="S545" s="55"/>
      <c r="T545" s="55"/>
      <c r="U545" s="55"/>
      <c r="V545" s="55"/>
      <c r="W545" s="55"/>
    </row>
    <row r="546">
      <c r="A546" s="61"/>
      <c r="B546" s="202"/>
      <c r="C546" s="61"/>
      <c r="D546" s="202"/>
      <c r="E546" s="61"/>
      <c r="F546" s="202"/>
      <c r="G546" s="61"/>
      <c r="H546" s="202"/>
      <c r="I546" s="18"/>
      <c r="J546" s="202"/>
      <c r="K546" s="55"/>
      <c r="L546" s="55"/>
      <c r="M546" s="55"/>
      <c r="N546" s="55"/>
      <c r="O546" s="55"/>
      <c r="P546" s="55"/>
      <c r="Q546" s="55"/>
      <c r="R546" s="55"/>
      <c r="S546" s="55"/>
      <c r="T546" s="55"/>
      <c r="U546" s="55"/>
      <c r="V546" s="55"/>
      <c r="W546" s="55"/>
    </row>
    <row r="547">
      <c r="A547" s="61"/>
      <c r="B547" s="202"/>
      <c r="C547" s="61"/>
      <c r="D547" s="202"/>
      <c r="E547" s="61"/>
      <c r="F547" s="202"/>
      <c r="G547" s="61"/>
      <c r="H547" s="202"/>
      <c r="I547" s="18"/>
      <c r="J547" s="202"/>
      <c r="K547" s="55"/>
      <c r="L547" s="55"/>
      <c r="M547" s="55"/>
      <c r="N547" s="55"/>
      <c r="O547" s="55"/>
      <c r="P547" s="55"/>
      <c r="Q547" s="55"/>
      <c r="R547" s="55"/>
      <c r="S547" s="55"/>
      <c r="T547" s="55"/>
      <c r="U547" s="55"/>
      <c r="V547" s="55"/>
      <c r="W547" s="55"/>
    </row>
    <row r="548">
      <c r="A548" s="61"/>
      <c r="B548" s="202"/>
      <c r="C548" s="61"/>
      <c r="D548" s="202"/>
      <c r="E548" s="61"/>
      <c r="F548" s="202"/>
      <c r="G548" s="61"/>
      <c r="H548" s="202"/>
      <c r="I548" s="18"/>
      <c r="J548" s="202"/>
      <c r="K548" s="55"/>
      <c r="L548" s="55"/>
      <c r="M548" s="55"/>
      <c r="N548" s="55"/>
      <c r="O548" s="55"/>
      <c r="P548" s="55"/>
      <c r="Q548" s="55"/>
      <c r="R548" s="55"/>
      <c r="S548" s="55"/>
      <c r="T548" s="55"/>
      <c r="U548" s="55"/>
      <c r="V548" s="55"/>
      <c r="W548" s="55"/>
    </row>
    <row r="549">
      <c r="A549" s="61"/>
      <c r="B549" s="202"/>
      <c r="C549" s="61"/>
      <c r="D549" s="202"/>
      <c r="E549" s="61"/>
      <c r="F549" s="202"/>
      <c r="G549" s="61"/>
      <c r="H549" s="202"/>
      <c r="I549" s="18"/>
      <c r="J549" s="202"/>
      <c r="K549" s="55"/>
      <c r="L549" s="55"/>
      <c r="M549" s="55"/>
      <c r="N549" s="55"/>
      <c r="O549" s="55"/>
      <c r="P549" s="55"/>
      <c r="Q549" s="55"/>
      <c r="R549" s="55"/>
      <c r="S549" s="55"/>
      <c r="T549" s="55"/>
      <c r="U549" s="55"/>
      <c r="V549" s="55"/>
      <c r="W549" s="55"/>
    </row>
    <row r="550">
      <c r="A550" s="61"/>
      <c r="B550" s="202"/>
      <c r="C550" s="61"/>
      <c r="D550" s="202"/>
      <c r="E550" s="61"/>
      <c r="F550" s="202"/>
      <c r="G550" s="61"/>
      <c r="H550" s="202"/>
      <c r="I550" s="18"/>
      <c r="J550" s="202"/>
      <c r="K550" s="55"/>
      <c r="L550" s="55"/>
      <c r="M550" s="55"/>
      <c r="N550" s="55"/>
      <c r="O550" s="55"/>
      <c r="P550" s="55"/>
      <c r="Q550" s="55"/>
      <c r="R550" s="55"/>
      <c r="S550" s="55"/>
      <c r="T550" s="55"/>
      <c r="U550" s="55"/>
      <c r="V550" s="55"/>
      <c r="W550" s="55"/>
    </row>
    <row r="551">
      <c r="A551" s="61"/>
      <c r="B551" s="202"/>
      <c r="C551" s="61"/>
      <c r="D551" s="202"/>
      <c r="E551" s="61"/>
      <c r="F551" s="202"/>
      <c r="G551" s="61"/>
      <c r="H551" s="202"/>
      <c r="I551" s="18"/>
      <c r="J551" s="202"/>
      <c r="K551" s="55"/>
      <c r="L551" s="55"/>
      <c r="M551" s="55"/>
      <c r="N551" s="55"/>
      <c r="O551" s="55"/>
      <c r="P551" s="55"/>
      <c r="Q551" s="55"/>
      <c r="R551" s="55"/>
      <c r="S551" s="55"/>
      <c r="T551" s="55"/>
      <c r="U551" s="55"/>
      <c r="V551" s="55"/>
      <c r="W551" s="55"/>
    </row>
    <row r="552">
      <c r="A552" s="61"/>
      <c r="B552" s="202"/>
      <c r="C552" s="61"/>
      <c r="D552" s="202"/>
      <c r="E552" s="61"/>
      <c r="F552" s="202"/>
      <c r="G552" s="61"/>
      <c r="H552" s="202"/>
      <c r="I552" s="18"/>
      <c r="J552" s="202"/>
      <c r="K552" s="55"/>
      <c r="L552" s="55"/>
      <c r="M552" s="55"/>
      <c r="N552" s="55"/>
      <c r="O552" s="55"/>
      <c r="P552" s="55"/>
      <c r="Q552" s="55"/>
      <c r="R552" s="55"/>
      <c r="S552" s="55"/>
      <c r="T552" s="55"/>
      <c r="U552" s="55"/>
      <c r="V552" s="55"/>
      <c r="W552" s="55"/>
    </row>
    <row r="553">
      <c r="A553" s="61"/>
      <c r="B553" s="202"/>
      <c r="C553" s="61"/>
      <c r="D553" s="202"/>
      <c r="E553" s="61"/>
      <c r="F553" s="202"/>
      <c r="G553" s="61"/>
      <c r="H553" s="202"/>
      <c r="I553" s="18"/>
      <c r="J553" s="202"/>
      <c r="K553" s="55"/>
      <c r="L553" s="55"/>
      <c r="M553" s="55"/>
      <c r="N553" s="55"/>
      <c r="O553" s="55"/>
      <c r="P553" s="55"/>
      <c r="Q553" s="55"/>
      <c r="R553" s="55"/>
      <c r="S553" s="55"/>
      <c r="T553" s="55"/>
      <c r="U553" s="55"/>
      <c r="V553" s="55"/>
      <c r="W553" s="55"/>
    </row>
    <row r="554">
      <c r="A554" s="61"/>
      <c r="B554" s="202"/>
      <c r="C554" s="61"/>
      <c r="D554" s="202"/>
      <c r="E554" s="61"/>
      <c r="F554" s="202"/>
      <c r="G554" s="61"/>
      <c r="H554" s="202"/>
      <c r="I554" s="18"/>
      <c r="J554" s="202"/>
      <c r="K554" s="55"/>
      <c r="L554" s="55"/>
      <c r="M554" s="55"/>
      <c r="N554" s="55"/>
      <c r="O554" s="55"/>
      <c r="P554" s="55"/>
      <c r="Q554" s="55"/>
      <c r="R554" s="55"/>
      <c r="S554" s="55"/>
      <c r="T554" s="55"/>
      <c r="U554" s="55"/>
      <c r="V554" s="55"/>
      <c r="W554" s="55"/>
    </row>
    <row r="555">
      <c r="A555" s="61"/>
      <c r="B555" s="202"/>
      <c r="C555" s="61"/>
      <c r="D555" s="202"/>
      <c r="E555" s="61"/>
      <c r="F555" s="202"/>
      <c r="G555" s="61"/>
      <c r="H555" s="202"/>
      <c r="I555" s="18"/>
      <c r="J555" s="202"/>
      <c r="K555" s="55"/>
      <c r="L555" s="55"/>
      <c r="M555" s="55"/>
      <c r="N555" s="55"/>
      <c r="O555" s="55"/>
      <c r="P555" s="55"/>
      <c r="Q555" s="55"/>
      <c r="R555" s="55"/>
      <c r="S555" s="55"/>
      <c r="T555" s="55"/>
      <c r="U555" s="55"/>
      <c r="V555" s="55"/>
      <c r="W555" s="55"/>
    </row>
    <row r="556">
      <c r="A556" s="61"/>
      <c r="B556" s="202"/>
      <c r="C556" s="61"/>
      <c r="D556" s="202"/>
      <c r="E556" s="61"/>
      <c r="F556" s="202"/>
      <c r="G556" s="61"/>
      <c r="H556" s="202"/>
      <c r="I556" s="18"/>
      <c r="J556" s="202"/>
      <c r="K556" s="55"/>
      <c r="L556" s="55"/>
      <c r="M556" s="55"/>
      <c r="N556" s="55"/>
      <c r="O556" s="55"/>
      <c r="P556" s="55"/>
      <c r="Q556" s="55"/>
      <c r="R556" s="55"/>
      <c r="S556" s="55"/>
      <c r="T556" s="55"/>
      <c r="U556" s="55"/>
      <c r="V556" s="55"/>
      <c r="W556" s="55"/>
    </row>
    <row r="557">
      <c r="A557" s="61"/>
      <c r="B557" s="202"/>
      <c r="C557" s="61"/>
      <c r="D557" s="202"/>
      <c r="E557" s="61"/>
      <c r="F557" s="202"/>
      <c r="G557" s="61"/>
      <c r="H557" s="202"/>
      <c r="I557" s="18"/>
      <c r="J557" s="202"/>
      <c r="K557" s="55"/>
      <c r="L557" s="55"/>
      <c r="M557" s="55"/>
      <c r="N557" s="55"/>
      <c r="O557" s="55"/>
      <c r="P557" s="55"/>
      <c r="Q557" s="55"/>
      <c r="R557" s="55"/>
      <c r="S557" s="55"/>
      <c r="T557" s="55"/>
      <c r="U557" s="55"/>
      <c r="V557" s="55"/>
      <c r="W557" s="55"/>
    </row>
    <row r="558">
      <c r="A558" s="61"/>
      <c r="B558" s="202"/>
      <c r="C558" s="61"/>
      <c r="D558" s="202"/>
      <c r="E558" s="61"/>
      <c r="F558" s="202"/>
      <c r="G558" s="61"/>
      <c r="H558" s="202"/>
      <c r="I558" s="18"/>
      <c r="J558" s="202"/>
      <c r="K558" s="55"/>
      <c r="L558" s="55"/>
      <c r="M558" s="55"/>
      <c r="N558" s="55"/>
      <c r="O558" s="55"/>
      <c r="P558" s="55"/>
      <c r="Q558" s="55"/>
      <c r="R558" s="55"/>
      <c r="S558" s="55"/>
      <c r="T558" s="55"/>
      <c r="U558" s="55"/>
      <c r="V558" s="55"/>
      <c r="W558" s="55"/>
    </row>
    <row r="559">
      <c r="A559" s="61"/>
      <c r="B559" s="202"/>
      <c r="C559" s="61"/>
      <c r="D559" s="202"/>
      <c r="E559" s="61"/>
      <c r="F559" s="202"/>
      <c r="G559" s="61"/>
      <c r="H559" s="202"/>
      <c r="I559" s="18"/>
      <c r="J559" s="202"/>
      <c r="K559" s="55"/>
      <c r="L559" s="55"/>
      <c r="M559" s="55"/>
      <c r="N559" s="55"/>
      <c r="O559" s="55"/>
      <c r="P559" s="55"/>
      <c r="Q559" s="55"/>
      <c r="R559" s="55"/>
      <c r="S559" s="55"/>
      <c r="T559" s="55"/>
      <c r="U559" s="55"/>
      <c r="V559" s="55"/>
      <c r="W559" s="55"/>
    </row>
    <row r="560">
      <c r="A560" s="61"/>
      <c r="B560" s="202"/>
      <c r="C560" s="61"/>
      <c r="D560" s="202"/>
      <c r="E560" s="61"/>
      <c r="F560" s="202"/>
      <c r="G560" s="61"/>
      <c r="H560" s="202"/>
      <c r="I560" s="18"/>
      <c r="J560" s="202"/>
      <c r="K560" s="55"/>
      <c r="L560" s="55"/>
      <c r="M560" s="55"/>
      <c r="N560" s="55"/>
      <c r="O560" s="55"/>
      <c r="P560" s="55"/>
      <c r="Q560" s="55"/>
      <c r="R560" s="55"/>
      <c r="S560" s="55"/>
      <c r="T560" s="55"/>
      <c r="U560" s="55"/>
      <c r="V560" s="55"/>
      <c r="W560" s="55"/>
    </row>
    <row r="561">
      <c r="A561" s="61"/>
      <c r="B561" s="202"/>
      <c r="C561" s="61"/>
      <c r="D561" s="202"/>
      <c r="E561" s="61"/>
      <c r="F561" s="202"/>
      <c r="G561" s="61"/>
      <c r="H561" s="202"/>
      <c r="I561" s="18"/>
      <c r="J561" s="202"/>
      <c r="K561" s="55"/>
      <c r="L561" s="55"/>
      <c r="M561" s="55"/>
      <c r="N561" s="55"/>
      <c r="O561" s="55"/>
      <c r="P561" s="55"/>
      <c r="Q561" s="55"/>
      <c r="R561" s="55"/>
      <c r="S561" s="55"/>
      <c r="T561" s="55"/>
      <c r="U561" s="55"/>
      <c r="V561" s="55"/>
      <c r="W561" s="55"/>
    </row>
    <row r="562">
      <c r="A562" s="61"/>
      <c r="B562" s="202"/>
      <c r="C562" s="61"/>
      <c r="D562" s="202"/>
      <c r="E562" s="61"/>
      <c r="F562" s="202"/>
      <c r="G562" s="61"/>
      <c r="H562" s="202"/>
      <c r="I562" s="18"/>
      <c r="J562" s="202"/>
      <c r="K562" s="55"/>
      <c r="L562" s="55"/>
      <c r="M562" s="55"/>
      <c r="N562" s="55"/>
      <c r="O562" s="55"/>
      <c r="P562" s="55"/>
      <c r="Q562" s="55"/>
      <c r="R562" s="55"/>
      <c r="S562" s="55"/>
      <c r="T562" s="55"/>
      <c r="U562" s="55"/>
      <c r="V562" s="55"/>
      <c r="W562" s="55"/>
    </row>
    <row r="563">
      <c r="A563" s="61"/>
      <c r="B563" s="202"/>
      <c r="C563" s="61"/>
      <c r="D563" s="202"/>
      <c r="E563" s="61"/>
      <c r="F563" s="202"/>
      <c r="G563" s="61"/>
      <c r="H563" s="202"/>
      <c r="I563" s="18"/>
      <c r="J563" s="202"/>
      <c r="K563" s="55"/>
      <c r="L563" s="55"/>
      <c r="M563" s="55"/>
      <c r="N563" s="55"/>
      <c r="O563" s="55"/>
      <c r="P563" s="55"/>
      <c r="Q563" s="55"/>
      <c r="R563" s="55"/>
      <c r="S563" s="55"/>
      <c r="T563" s="55"/>
      <c r="U563" s="55"/>
      <c r="V563" s="55"/>
      <c r="W563" s="55"/>
    </row>
    <row r="564">
      <c r="A564" s="61"/>
      <c r="B564" s="202"/>
      <c r="C564" s="61"/>
      <c r="D564" s="202"/>
      <c r="E564" s="61"/>
      <c r="F564" s="202"/>
      <c r="G564" s="61"/>
      <c r="H564" s="202"/>
      <c r="I564" s="18"/>
      <c r="J564" s="202"/>
      <c r="K564" s="55"/>
      <c r="L564" s="55"/>
      <c r="M564" s="55"/>
      <c r="N564" s="55"/>
      <c r="O564" s="55"/>
      <c r="P564" s="55"/>
      <c r="Q564" s="55"/>
      <c r="R564" s="55"/>
      <c r="S564" s="55"/>
      <c r="T564" s="55"/>
      <c r="U564" s="55"/>
      <c r="V564" s="55"/>
      <c r="W564" s="55"/>
    </row>
    <row r="565">
      <c r="A565" s="61"/>
      <c r="B565" s="202"/>
      <c r="C565" s="61"/>
      <c r="D565" s="202"/>
      <c r="E565" s="61"/>
      <c r="F565" s="202"/>
      <c r="G565" s="61"/>
      <c r="H565" s="202"/>
      <c r="I565" s="18"/>
      <c r="J565" s="202"/>
      <c r="K565" s="55"/>
      <c r="L565" s="55"/>
      <c r="M565" s="55"/>
      <c r="N565" s="55"/>
      <c r="O565" s="55"/>
      <c r="P565" s="55"/>
      <c r="Q565" s="55"/>
      <c r="R565" s="55"/>
      <c r="S565" s="55"/>
      <c r="T565" s="55"/>
      <c r="U565" s="55"/>
      <c r="V565" s="55"/>
      <c r="W565" s="55"/>
    </row>
    <row r="566">
      <c r="A566" s="61"/>
      <c r="B566" s="202"/>
      <c r="C566" s="61"/>
      <c r="D566" s="202"/>
      <c r="E566" s="61"/>
      <c r="F566" s="202"/>
      <c r="G566" s="61"/>
      <c r="H566" s="202"/>
      <c r="I566" s="18"/>
      <c r="J566" s="202"/>
      <c r="K566" s="55"/>
      <c r="L566" s="55"/>
      <c r="M566" s="55"/>
      <c r="N566" s="55"/>
      <c r="O566" s="55"/>
      <c r="P566" s="55"/>
      <c r="Q566" s="55"/>
      <c r="R566" s="55"/>
      <c r="S566" s="55"/>
      <c r="T566" s="55"/>
      <c r="U566" s="55"/>
      <c r="V566" s="55"/>
      <c r="W566" s="55"/>
    </row>
    <row r="567">
      <c r="A567" s="61"/>
      <c r="B567" s="202"/>
      <c r="C567" s="61"/>
      <c r="D567" s="202"/>
      <c r="E567" s="61"/>
      <c r="F567" s="202"/>
      <c r="G567" s="61"/>
      <c r="H567" s="202"/>
      <c r="I567" s="18"/>
      <c r="J567" s="202"/>
      <c r="K567" s="55"/>
      <c r="L567" s="55"/>
      <c r="M567" s="55"/>
      <c r="N567" s="55"/>
      <c r="O567" s="55"/>
      <c r="P567" s="55"/>
      <c r="Q567" s="55"/>
      <c r="R567" s="55"/>
      <c r="S567" s="55"/>
      <c r="T567" s="55"/>
      <c r="U567" s="55"/>
      <c r="V567" s="55"/>
      <c r="W567" s="55"/>
    </row>
    <row r="568">
      <c r="A568" s="61"/>
      <c r="B568" s="202"/>
      <c r="C568" s="61"/>
      <c r="D568" s="202"/>
      <c r="E568" s="61"/>
      <c r="F568" s="202"/>
      <c r="G568" s="61"/>
      <c r="H568" s="202"/>
      <c r="I568" s="18"/>
      <c r="J568" s="202"/>
      <c r="K568" s="55"/>
      <c r="L568" s="55"/>
      <c r="M568" s="55"/>
      <c r="N568" s="55"/>
      <c r="O568" s="55"/>
      <c r="P568" s="55"/>
      <c r="Q568" s="55"/>
      <c r="R568" s="55"/>
      <c r="S568" s="55"/>
      <c r="T568" s="55"/>
      <c r="U568" s="55"/>
      <c r="V568" s="55"/>
      <c r="W568" s="55"/>
    </row>
    <row r="569">
      <c r="A569" s="61"/>
      <c r="B569" s="202"/>
      <c r="C569" s="61"/>
      <c r="D569" s="202"/>
      <c r="E569" s="61"/>
      <c r="F569" s="202"/>
      <c r="G569" s="61"/>
      <c r="H569" s="202"/>
      <c r="I569" s="18"/>
      <c r="J569" s="202"/>
      <c r="K569" s="55"/>
      <c r="L569" s="55"/>
      <c r="M569" s="55"/>
      <c r="N569" s="55"/>
      <c r="O569" s="55"/>
      <c r="P569" s="55"/>
      <c r="Q569" s="55"/>
      <c r="R569" s="55"/>
      <c r="S569" s="55"/>
      <c r="T569" s="55"/>
      <c r="U569" s="55"/>
      <c r="V569" s="55"/>
      <c r="W569" s="55"/>
    </row>
    <row r="570">
      <c r="A570" s="61"/>
      <c r="B570" s="202"/>
      <c r="C570" s="61"/>
      <c r="D570" s="202"/>
      <c r="E570" s="61"/>
      <c r="F570" s="202"/>
      <c r="G570" s="61"/>
      <c r="H570" s="202"/>
      <c r="I570" s="18"/>
      <c r="J570" s="202"/>
      <c r="K570" s="55"/>
      <c r="L570" s="55"/>
      <c r="M570" s="55"/>
      <c r="N570" s="55"/>
      <c r="O570" s="55"/>
      <c r="P570" s="55"/>
      <c r="Q570" s="55"/>
      <c r="R570" s="55"/>
      <c r="S570" s="55"/>
      <c r="T570" s="55"/>
      <c r="U570" s="55"/>
      <c r="V570" s="55"/>
      <c r="W570" s="55"/>
    </row>
    <row r="571">
      <c r="A571" s="61"/>
      <c r="B571" s="202"/>
      <c r="C571" s="61"/>
      <c r="D571" s="202"/>
      <c r="E571" s="61"/>
      <c r="F571" s="202"/>
      <c r="G571" s="61"/>
      <c r="H571" s="202"/>
      <c r="I571" s="18"/>
      <c r="J571" s="202"/>
      <c r="K571" s="55"/>
      <c r="L571" s="55"/>
      <c r="M571" s="55"/>
      <c r="N571" s="55"/>
      <c r="O571" s="55"/>
      <c r="P571" s="55"/>
      <c r="Q571" s="55"/>
      <c r="R571" s="55"/>
      <c r="S571" s="55"/>
      <c r="T571" s="55"/>
      <c r="U571" s="55"/>
      <c r="V571" s="55"/>
      <c r="W571" s="55"/>
    </row>
    <row r="572">
      <c r="A572" s="61"/>
      <c r="B572" s="202"/>
      <c r="C572" s="61"/>
      <c r="D572" s="202"/>
      <c r="E572" s="61"/>
      <c r="F572" s="202"/>
      <c r="G572" s="61"/>
      <c r="H572" s="202"/>
      <c r="I572" s="18"/>
      <c r="J572" s="202"/>
      <c r="K572" s="55"/>
      <c r="L572" s="55"/>
      <c r="M572" s="55"/>
      <c r="N572" s="55"/>
      <c r="O572" s="55"/>
      <c r="P572" s="55"/>
      <c r="Q572" s="55"/>
      <c r="R572" s="55"/>
      <c r="S572" s="55"/>
      <c r="T572" s="55"/>
      <c r="U572" s="55"/>
      <c r="V572" s="55"/>
      <c r="W572" s="55"/>
    </row>
    <row r="573">
      <c r="A573" s="61"/>
      <c r="B573" s="202"/>
      <c r="C573" s="61"/>
      <c r="D573" s="202"/>
      <c r="E573" s="61"/>
      <c r="F573" s="202"/>
      <c r="G573" s="61"/>
      <c r="H573" s="202"/>
      <c r="I573" s="18"/>
      <c r="J573" s="202"/>
      <c r="K573" s="55"/>
      <c r="L573" s="55"/>
      <c r="M573" s="55"/>
      <c r="N573" s="55"/>
      <c r="O573" s="55"/>
      <c r="P573" s="55"/>
      <c r="Q573" s="55"/>
      <c r="R573" s="55"/>
      <c r="S573" s="55"/>
      <c r="T573" s="55"/>
      <c r="U573" s="55"/>
      <c r="V573" s="55"/>
      <c r="W573" s="55"/>
    </row>
    <row r="574">
      <c r="A574" s="61"/>
      <c r="B574" s="202"/>
      <c r="C574" s="61"/>
      <c r="D574" s="202"/>
      <c r="E574" s="61"/>
      <c r="F574" s="202"/>
      <c r="G574" s="61"/>
      <c r="H574" s="202"/>
      <c r="I574" s="18"/>
      <c r="J574" s="202"/>
      <c r="K574" s="55"/>
      <c r="L574" s="55"/>
      <c r="M574" s="55"/>
      <c r="N574" s="55"/>
      <c r="O574" s="55"/>
      <c r="P574" s="55"/>
      <c r="Q574" s="55"/>
      <c r="R574" s="55"/>
      <c r="S574" s="55"/>
      <c r="T574" s="55"/>
      <c r="U574" s="55"/>
      <c r="V574" s="55"/>
      <c r="W574" s="55"/>
    </row>
    <row r="575">
      <c r="A575" s="61"/>
      <c r="B575" s="202"/>
      <c r="C575" s="61"/>
      <c r="D575" s="202"/>
      <c r="E575" s="61"/>
      <c r="F575" s="202"/>
      <c r="G575" s="61"/>
      <c r="H575" s="202"/>
      <c r="I575" s="18"/>
      <c r="J575" s="202"/>
      <c r="K575" s="55"/>
      <c r="L575" s="55"/>
      <c r="M575" s="55"/>
      <c r="N575" s="55"/>
      <c r="O575" s="55"/>
      <c r="P575" s="55"/>
      <c r="Q575" s="55"/>
      <c r="R575" s="55"/>
      <c r="S575" s="55"/>
      <c r="T575" s="55"/>
      <c r="U575" s="55"/>
      <c r="V575" s="55"/>
      <c r="W575" s="55"/>
    </row>
    <row r="576">
      <c r="A576" s="61"/>
      <c r="B576" s="202"/>
      <c r="C576" s="61"/>
      <c r="D576" s="202"/>
      <c r="E576" s="61"/>
      <c r="F576" s="202"/>
      <c r="G576" s="61"/>
      <c r="H576" s="202"/>
      <c r="I576" s="18"/>
      <c r="J576" s="202"/>
      <c r="K576" s="55"/>
      <c r="L576" s="55"/>
      <c r="M576" s="55"/>
      <c r="N576" s="55"/>
      <c r="O576" s="55"/>
      <c r="P576" s="55"/>
      <c r="Q576" s="55"/>
      <c r="R576" s="55"/>
      <c r="S576" s="55"/>
      <c r="T576" s="55"/>
      <c r="U576" s="55"/>
      <c r="V576" s="55"/>
      <c r="W576" s="55"/>
    </row>
    <row r="577">
      <c r="A577" s="61"/>
      <c r="B577" s="202"/>
      <c r="C577" s="61"/>
      <c r="D577" s="202"/>
      <c r="E577" s="61"/>
      <c r="F577" s="202"/>
      <c r="G577" s="61"/>
      <c r="H577" s="202"/>
      <c r="I577" s="18"/>
      <c r="J577" s="202"/>
      <c r="K577" s="55"/>
      <c r="L577" s="55"/>
      <c r="M577" s="55"/>
      <c r="N577" s="55"/>
      <c r="O577" s="55"/>
      <c r="P577" s="55"/>
      <c r="Q577" s="55"/>
      <c r="R577" s="55"/>
      <c r="S577" s="55"/>
      <c r="T577" s="55"/>
      <c r="U577" s="55"/>
      <c r="V577" s="55"/>
      <c r="W577" s="55"/>
    </row>
    <row r="578">
      <c r="A578" s="61"/>
      <c r="B578" s="202"/>
      <c r="C578" s="61"/>
      <c r="D578" s="202"/>
      <c r="E578" s="61"/>
      <c r="F578" s="202"/>
      <c r="G578" s="61"/>
      <c r="H578" s="202"/>
      <c r="I578" s="18"/>
      <c r="J578" s="202"/>
      <c r="K578" s="55"/>
      <c r="L578" s="55"/>
      <c r="M578" s="55"/>
      <c r="N578" s="55"/>
      <c r="O578" s="55"/>
      <c r="P578" s="55"/>
      <c r="Q578" s="55"/>
      <c r="R578" s="55"/>
      <c r="S578" s="55"/>
      <c r="T578" s="55"/>
      <c r="U578" s="55"/>
      <c r="V578" s="55"/>
      <c r="W578" s="55"/>
    </row>
    <row r="579">
      <c r="A579" s="61"/>
      <c r="B579" s="202"/>
      <c r="C579" s="61"/>
      <c r="D579" s="202"/>
      <c r="E579" s="61"/>
      <c r="F579" s="202"/>
      <c r="G579" s="61"/>
      <c r="H579" s="202"/>
      <c r="I579" s="18"/>
      <c r="J579" s="202"/>
      <c r="K579" s="55"/>
      <c r="L579" s="55"/>
      <c r="M579" s="55"/>
      <c r="N579" s="55"/>
      <c r="O579" s="55"/>
      <c r="P579" s="55"/>
      <c r="Q579" s="55"/>
      <c r="R579" s="55"/>
      <c r="S579" s="55"/>
      <c r="T579" s="55"/>
      <c r="U579" s="55"/>
      <c r="V579" s="55"/>
      <c r="W579" s="55"/>
    </row>
    <row r="580">
      <c r="A580" s="61"/>
      <c r="B580" s="202"/>
      <c r="C580" s="61"/>
      <c r="D580" s="202"/>
      <c r="E580" s="61"/>
      <c r="F580" s="202"/>
      <c r="G580" s="61"/>
      <c r="H580" s="202"/>
      <c r="I580" s="18"/>
      <c r="J580" s="202"/>
      <c r="K580" s="55"/>
      <c r="L580" s="55"/>
      <c r="M580" s="55"/>
      <c r="N580" s="55"/>
      <c r="O580" s="55"/>
      <c r="P580" s="55"/>
      <c r="Q580" s="55"/>
      <c r="R580" s="55"/>
      <c r="S580" s="55"/>
      <c r="T580" s="55"/>
      <c r="U580" s="55"/>
      <c r="V580" s="55"/>
      <c r="W580" s="55"/>
    </row>
    <row r="581">
      <c r="A581" s="61"/>
      <c r="B581" s="202"/>
      <c r="C581" s="61"/>
      <c r="D581" s="202"/>
      <c r="E581" s="61"/>
      <c r="F581" s="202"/>
      <c r="G581" s="61"/>
      <c r="H581" s="202"/>
      <c r="I581" s="18"/>
      <c r="J581" s="202"/>
      <c r="K581" s="55"/>
      <c r="L581" s="55"/>
      <c r="M581" s="55"/>
      <c r="N581" s="55"/>
      <c r="O581" s="55"/>
      <c r="P581" s="55"/>
      <c r="Q581" s="55"/>
      <c r="R581" s="55"/>
      <c r="S581" s="55"/>
      <c r="T581" s="55"/>
      <c r="U581" s="55"/>
      <c r="V581" s="55"/>
      <c r="W581" s="55"/>
    </row>
    <row r="582">
      <c r="A582" s="61"/>
      <c r="B582" s="202"/>
      <c r="C582" s="61"/>
      <c r="D582" s="202"/>
      <c r="E582" s="61"/>
      <c r="F582" s="202"/>
      <c r="G582" s="61"/>
      <c r="H582" s="202"/>
      <c r="I582" s="18"/>
      <c r="J582" s="202"/>
      <c r="K582" s="55"/>
      <c r="L582" s="55"/>
      <c r="M582" s="55"/>
      <c r="N582" s="55"/>
      <c r="O582" s="55"/>
      <c r="P582" s="55"/>
      <c r="Q582" s="55"/>
      <c r="R582" s="55"/>
      <c r="S582" s="55"/>
      <c r="T582" s="55"/>
      <c r="U582" s="55"/>
      <c r="V582" s="55"/>
      <c r="W582" s="55"/>
    </row>
    <row r="583">
      <c r="A583" s="61"/>
      <c r="B583" s="202"/>
      <c r="C583" s="61"/>
      <c r="D583" s="202"/>
      <c r="E583" s="61"/>
      <c r="F583" s="202"/>
      <c r="G583" s="61"/>
      <c r="H583" s="202"/>
      <c r="I583" s="18"/>
      <c r="J583" s="202"/>
      <c r="K583" s="55"/>
      <c r="L583" s="55"/>
      <c r="M583" s="55"/>
      <c r="N583" s="55"/>
      <c r="O583" s="55"/>
      <c r="P583" s="55"/>
      <c r="Q583" s="55"/>
      <c r="R583" s="55"/>
      <c r="S583" s="55"/>
      <c r="T583" s="55"/>
      <c r="U583" s="55"/>
      <c r="V583" s="55"/>
      <c r="W583" s="55"/>
    </row>
    <row r="584">
      <c r="A584" s="61"/>
      <c r="B584" s="202"/>
      <c r="C584" s="61"/>
      <c r="D584" s="202"/>
      <c r="E584" s="61"/>
      <c r="F584" s="202"/>
      <c r="G584" s="61"/>
      <c r="H584" s="202"/>
      <c r="I584" s="18"/>
      <c r="J584" s="202"/>
      <c r="K584" s="55"/>
      <c r="L584" s="55"/>
      <c r="M584" s="55"/>
      <c r="N584" s="55"/>
      <c r="O584" s="55"/>
      <c r="P584" s="55"/>
      <c r="Q584" s="55"/>
      <c r="R584" s="55"/>
      <c r="S584" s="55"/>
      <c r="T584" s="55"/>
      <c r="U584" s="55"/>
      <c r="V584" s="55"/>
      <c r="W584" s="55"/>
    </row>
    <row r="585">
      <c r="A585" s="61"/>
      <c r="B585" s="202"/>
      <c r="C585" s="61"/>
      <c r="D585" s="202"/>
      <c r="E585" s="61"/>
      <c r="F585" s="202"/>
      <c r="G585" s="61"/>
      <c r="H585" s="202"/>
      <c r="I585" s="18"/>
      <c r="J585" s="202"/>
      <c r="K585" s="55"/>
      <c r="L585" s="55"/>
      <c r="M585" s="55"/>
      <c r="N585" s="55"/>
      <c r="O585" s="55"/>
      <c r="P585" s="55"/>
      <c r="Q585" s="55"/>
      <c r="R585" s="55"/>
      <c r="S585" s="55"/>
      <c r="T585" s="55"/>
      <c r="U585" s="55"/>
      <c r="V585" s="55"/>
      <c r="W585" s="55"/>
    </row>
    <row r="586">
      <c r="A586" s="61"/>
      <c r="B586" s="202"/>
      <c r="C586" s="61"/>
      <c r="D586" s="202"/>
      <c r="E586" s="61"/>
      <c r="F586" s="202"/>
      <c r="G586" s="61"/>
      <c r="H586" s="202"/>
      <c r="I586" s="18"/>
      <c r="J586" s="202"/>
      <c r="K586" s="55"/>
      <c r="L586" s="55"/>
      <c r="M586" s="55"/>
      <c r="N586" s="55"/>
      <c r="O586" s="55"/>
      <c r="P586" s="55"/>
      <c r="Q586" s="55"/>
      <c r="R586" s="55"/>
      <c r="S586" s="55"/>
      <c r="T586" s="55"/>
      <c r="U586" s="55"/>
      <c r="V586" s="55"/>
      <c r="W586" s="55"/>
    </row>
    <row r="587">
      <c r="A587" s="61"/>
      <c r="B587" s="202"/>
      <c r="C587" s="61"/>
      <c r="D587" s="202"/>
      <c r="E587" s="61"/>
      <c r="F587" s="202"/>
      <c r="G587" s="61"/>
      <c r="H587" s="202"/>
      <c r="I587" s="18"/>
      <c r="J587" s="202"/>
      <c r="K587" s="55"/>
      <c r="L587" s="55"/>
      <c r="M587" s="55"/>
      <c r="N587" s="55"/>
      <c r="O587" s="55"/>
      <c r="P587" s="55"/>
      <c r="Q587" s="55"/>
      <c r="R587" s="55"/>
      <c r="S587" s="55"/>
      <c r="T587" s="55"/>
      <c r="U587" s="55"/>
      <c r="V587" s="55"/>
      <c r="W587" s="55"/>
    </row>
    <row r="588">
      <c r="A588" s="61"/>
      <c r="B588" s="202"/>
      <c r="C588" s="61"/>
      <c r="D588" s="202"/>
      <c r="E588" s="61"/>
      <c r="F588" s="202"/>
      <c r="G588" s="61"/>
      <c r="H588" s="202"/>
      <c r="I588" s="18"/>
      <c r="J588" s="202"/>
      <c r="K588" s="55"/>
      <c r="L588" s="55"/>
      <c r="M588" s="55"/>
      <c r="N588" s="55"/>
      <c r="O588" s="55"/>
      <c r="P588" s="55"/>
      <c r="Q588" s="55"/>
      <c r="R588" s="55"/>
      <c r="S588" s="55"/>
      <c r="T588" s="55"/>
      <c r="U588" s="55"/>
      <c r="V588" s="55"/>
      <c r="W588" s="55"/>
    </row>
    <row r="589">
      <c r="A589" s="61"/>
      <c r="B589" s="202"/>
      <c r="C589" s="61"/>
      <c r="D589" s="202"/>
      <c r="E589" s="61"/>
      <c r="F589" s="202"/>
      <c r="G589" s="61"/>
      <c r="H589" s="202"/>
      <c r="I589" s="18"/>
      <c r="J589" s="202"/>
      <c r="K589" s="55"/>
      <c r="L589" s="55"/>
      <c r="M589" s="55"/>
      <c r="N589" s="55"/>
      <c r="O589" s="55"/>
      <c r="P589" s="55"/>
      <c r="Q589" s="55"/>
      <c r="R589" s="55"/>
      <c r="S589" s="55"/>
      <c r="T589" s="55"/>
      <c r="U589" s="55"/>
      <c r="V589" s="55"/>
      <c r="W589" s="55"/>
    </row>
    <row r="590">
      <c r="A590" s="61"/>
      <c r="B590" s="202"/>
      <c r="C590" s="61"/>
      <c r="D590" s="202"/>
      <c r="E590" s="61"/>
      <c r="F590" s="202"/>
      <c r="G590" s="61"/>
      <c r="H590" s="202"/>
      <c r="I590" s="18"/>
      <c r="J590" s="202"/>
      <c r="K590" s="55"/>
      <c r="L590" s="55"/>
      <c r="M590" s="55"/>
      <c r="N590" s="55"/>
      <c r="O590" s="55"/>
      <c r="P590" s="55"/>
      <c r="Q590" s="55"/>
      <c r="R590" s="55"/>
      <c r="S590" s="55"/>
      <c r="T590" s="55"/>
      <c r="U590" s="55"/>
      <c r="V590" s="55"/>
      <c r="W590" s="55"/>
    </row>
    <row r="591">
      <c r="A591" s="61"/>
      <c r="B591" s="202"/>
      <c r="C591" s="61"/>
      <c r="D591" s="202"/>
      <c r="E591" s="61"/>
      <c r="F591" s="202"/>
      <c r="G591" s="61"/>
      <c r="H591" s="202"/>
      <c r="I591" s="18"/>
      <c r="J591" s="202"/>
      <c r="K591" s="55"/>
      <c r="L591" s="55"/>
      <c r="M591" s="55"/>
      <c r="N591" s="55"/>
      <c r="O591" s="55"/>
      <c r="P591" s="55"/>
      <c r="Q591" s="55"/>
      <c r="R591" s="55"/>
      <c r="S591" s="55"/>
      <c r="T591" s="55"/>
      <c r="U591" s="55"/>
      <c r="V591" s="55"/>
      <c r="W591" s="55"/>
    </row>
    <row r="592">
      <c r="A592" s="61"/>
      <c r="B592" s="202"/>
      <c r="C592" s="61"/>
      <c r="D592" s="202"/>
      <c r="E592" s="61"/>
      <c r="F592" s="202"/>
      <c r="G592" s="61"/>
      <c r="H592" s="202"/>
      <c r="I592" s="18"/>
      <c r="J592" s="202"/>
      <c r="K592" s="55"/>
      <c r="L592" s="55"/>
      <c r="M592" s="55"/>
      <c r="N592" s="55"/>
      <c r="O592" s="55"/>
      <c r="P592" s="55"/>
      <c r="Q592" s="55"/>
      <c r="R592" s="55"/>
      <c r="S592" s="55"/>
      <c r="T592" s="55"/>
      <c r="U592" s="55"/>
      <c r="V592" s="55"/>
      <c r="W592" s="55"/>
    </row>
    <row r="593">
      <c r="A593" s="61"/>
      <c r="B593" s="202"/>
      <c r="C593" s="61"/>
      <c r="D593" s="202"/>
      <c r="E593" s="61"/>
      <c r="F593" s="202"/>
      <c r="G593" s="61"/>
      <c r="H593" s="202"/>
      <c r="I593" s="18"/>
      <c r="J593" s="202"/>
      <c r="K593" s="55"/>
      <c r="L593" s="55"/>
      <c r="M593" s="55"/>
      <c r="N593" s="55"/>
      <c r="O593" s="55"/>
      <c r="P593" s="55"/>
      <c r="Q593" s="55"/>
      <c r="R593" s="55"/>
      <c r="S593" s="55"/>
      <c r="T593" s="55"/>
      <c r="U593" s="55"/>
      <c r="V593" s="55"/>
      <c r="W593" s="55"/>
    </row>
    <row r="594">
      <c r="A594" s="61"/>
      <c r="B594" s="202"/>
      <c r="C594" s="61"/>
      <c r="D594" s="202"/>
      <c r="E594" s="61"/>
      <c r="F594" s="202"/>
      <c r="G594" s="61"/>
      <c r="H594" s="202"/>
      <c r="I594" s="18"/>
      <c r="J594" s="202"/>
      <c r="K594" s="55"/>
      <c r="L594" s="55"/>
      <c r="M594" s="55"/>
      <c r="N594" s="55"/>
      <c r="O594" s="55"/>
      <c r="P594" s="55"/>
      <c r="Q594" s="55"/>
      <c r="R594" s="55"/>
      <c r="S594" s="55"/>
      <c r="T594" s="55"/>
      <c r="U594" s="55"/>
      <c r="V594" s="55"/>
      <c r="W594" s="55"/>
    </row>
    <row r="595">
      <c r="A595" s="61"/>
      <c r="B595" s="202"/>
      <c r="C595" s="61"/>
      <c r="D595" s="202"/>
      <c r="E595" s="61"/>
      <c r="F595" s="202"/>
      <c r="G595" s="61"/>
      <c r="H595" s="202"/>
      <c r="I595" s="18"/>
      <c r="J595" s="202"/>
      <c r="K595" s="55"/>
      <c r="L595" s="55"/>
      <c r="M595" s="55"/>
      <c r="N595" s="55"/>
      <c r="O595" s="55"/>
      <c r="P595" s="55"/>
      <c r="Q595" s="55"/>
      <c r="R595" s="55"/>
      <c r="S595" s="55"/>
      <c r="T595" s="55"/>
      <c r="U595" s="55"/>
      <c r="V595" s="55"/>
      <c r="W595" s="55"/>
    </row>
    <row r="596">
      <c r="A596" s="61"/>
      <c r="B596" s="202"/>
      <c r="C596" s="61"/>
      <c r="D596" s="202"/>
      <c r="E596" s="61"/>
      <c r="F596" s="202"/>
      <c r="G596" s="61"/>
      <c r="H596" s="202"/>
      <c r="I596" s="18"/>
      <c r="J596" s="202"/>
      <c r="K596" s="55"/>
      <c r="L596" s="55"/>
      <c r="M596" s="55"/>
      <c r="N596" s="55"/>
      <c r="O596" s="55"/>
      <c r="P596" s="55"/>
      <c r="Q596" s="55"/>
      <c r="R596" s="55"/>
      <c r="S596" s="55"/>
      <c r="T596" s="55"/>
      <c r="U596" s="55"/>
      <c r="V596" s="55"/>
      <c r="W596" s="55"/>
    </row>
    <row r="597">
      <c r="A597" s="61"/>
      <c r="B597" s="202"/>
      <c r="C597" s="61"/>
      <c r="D597" s="202"/>
      <c r="E597" s="61"/>
      <c r="F597" s="202"/>
      <c r="G597" s="61"/>
      <c r="H597" s="202"/>
      <c r="I597" s="18"/>
      <c r="J597" s="202"/>
      <c r="K597" s="55"/>
      <c r="L597" s="55"/>
      <c r="M597" s="55"/>
      <c r="N597" s="55"/>
      <c r="O597" s="55"/>
      <c r="P597" s="55"/>
      <c r="Q597" s="55"/>
      <c r="R597" s="55"/>
      <c r="S597" s="55"/>
      <c r="T597" s="55"/>
      <c r="U597" s="55"/>
      <c r="V597" s="55"/>
      <c r="W597" s="55"/>
    </row>
    <row r="598">
      <c r="A598" s="61"/>
      <c r="B598" s="202"/>
      <c r="C598" s="61"/>
      <c r="D598" s="202"/>
      <c r="E598" s="61"/>
      <c r="F598" s="202"/>
      <c r="G598" s="61"/>
      <c r="H598" s="202"/>
      <c r="I598" s="18"/>
      <c r="J598" s="202"/>
      <c r="K598" s="55"/>
      <c r="L598" s="55"/>
      <c r="M598" s="55"/>
      <c r="N598" s="55"/>
      <c r="O598" s="55"/>
      <c r="P598" s="55"/>
      <c r="Q598" s="55"/>
      <c r="R598" s="55"/>
      <c r="S598" s="55"/>
      <c r="T598" s="55"/>
      <c r="U598" s="55"/>
      <c r="V598" s="55"/>
      <c r="W598" s="55"/>
    </row>
    <row r="599">
      <c r="A599" s="61"/>
      <c r="B599" s="202"/>
      <c r="C599" s="61"/>
      <c r="D599" s="202"/>
      <c r="E599" s="61"/>
      <c r="F599" s="202"/>
      <c r="G599" s="61"/>
      <c r="H599" s="202"/>
      <c r="I599" s="18"/>
      <c r="J599" s="202"/>
      <c r="K599" s="55"/>
      <c r="L599" s="55"/>
      <c r="M599" s="55"/>
      <c r="N599" s="55"/>
      <c r="O599" s="55"/>
      <c r="P599" s="55"/>
      <c r="Q599" s="55"/>
      <c r="R599" s="55"/>
      <c r="S599" s="55"/>
      <c r="T599" s="55"/>
      <c r="U599" s="55"/>
      <c r="V599" s="55"/>
      <c r="W599" s="55"/>
    </row>
    <row r="600">
      <c r="A600" s="61"/>
      <c r="B600" s="202"/>
      <c r="C600" s="61"/>
      <c r="D600" s="202"/>
      <c r="E600" s="61"/>
      <c r="F600" s="202"/>
      <c r="G600" s="61"/>
      <c r="H600" s="202"/>
      <c r="I600" s="18"/>
      <c r="J600" s="202"/>
      <c r="K600" s="55"/>
      <c r="L600" s="55"/>
      <c r="M600" s="55"/>
      <c r="N600" s="55"/>
      <c r="O600" s="55"/>
      <c r="P600" s="55"/>
      <c r="Q600" s="55"/>
      <c r="R600" s="55"/>
      <c r="S600" s="55"/>
      <c r="T600" s="55"/>
      <c r="U600" s="55"/>
      <c r="V600" s="55"/>
      <c r="W600" s="55"/>
    </row>
    <row r="601">
      <c r="A601" s="61"/>
      <c r="B601" s="202"/>
      <c r="C601" s="61"/>
      <c r="D601" s="202"/>
      <c r="E601" s="61"/>
      <c r="F601" s="202"/>
      <c r="G601" s="61"/>
      <c r="H601" s="202"/>
      <c r="I601" s="18"/>
      <c r="J601" s="202"/>
      <c r="K601" s="55"/>
      <c r="L601" s="55"/>
      <c r="M601" s="55"/>
      <c r="N601" s="55"/>
      <c r="O601" s="55"/>
      <c r="P601" s="55"/>
      <c r="Q601" s="55"/>
      <c r="R601" s="55"/>
      <c r="S601" s="55"/>
      <c r="T601" s="55"/>
      <c r="U601" s="55"/>
      <c r="V601" s="55"/>
      <c r="W601" s="55"/>
    </row>
    <row r="602">
      <c r="A602" s="61"/>
      <c r="B602" s="202"/>
      <c r="C602" s="61"/>
      <c r="D602" s="202"/>
      <c r="E602" s="61"/>
      <c r="F602" s="202"/>
      <c r="G602" s="61"/>
      <c r="H602" s="202"/>
      <c r="I602" s="18"/>
      <c r="J602" s="202"/>
      <c r="K602" s="55"/>
      <c r="L602" s="55"/>
      <c r="M602" s="55"/>
      <c r="N602" s="55"/>
      <c r="O602" s="55"/>
      <c r="P602" s="55"/>
      <c r="Q602" s="55"/>
      <c r="R602" s="55"/>
      <c r="S602" s="55"/>
      <c r="T602" s="55"/>
      <c r="U602" s="55"/>
      <c r="V602" s="55"/>
      <c r="W602" s="55"/>
    </row>
    <row r="603">
      <c r="A603" s="61"/>
      <c r="B603" s="202"/>
      <c r="C603" s="61"/>
      <c r="D603" s="202"/>
      <c r="E603" s="61"/>
      <c r="F603" s="202"/>
      <c r="G603" s="61"/>
      <c r="H603" s="202"/>
      <c r="I603" s="18"/>
      <c r="J603" s="202"/>
      <c r="K603" s="55"/>
      <c r="L603" s="55"/>
      <c r="M603" s="55"/>
      <c r="N603" s="55"/>
      <c r="O603" s="55"/>
      <c r="P603" s="55"/>
      <c r="Q603" s="55"/>
      <c r="R603" s="55"/>
      <c r="S603" s="55"/>
      <c r="T603" s="55"/>
      <c r="U603" s="55"/>
      <c r="V603" s="55"/>
      <c r="W603" s="55"/>
    </row>
    <row r="604">
      <c r="A604" s="61"/>
      <c r="B604" s="202"/>
      <c r="C604" s="61"/>
      <c r="D604" s="202"/>
      <c r="E604" s="61"/>
      <c r="F604" s="202"/>
      <c r="G604" s="61"/>
      <c r="H604" s="202"/>
      <c r="I604" s="18"/>
      <c r="J604" s="202"/>
      <c r="K604" s="55"/>
      <c r="L604" s="55"/>
      <c r="M604" s="55"/>
      <c r="N604" s="55"/>
      <c r="O604" s="55"/>
      <c r="P604" s="55"/>
      <c r="Q604" s="55"/>
      <c r="R604" s="55"/>
      <c r="S604" s="55"/>
      <c r="T604" s="55"/>
      <c r="U604" s="55"/>
      <c r="V604" s="55"/>
      <c r="W604" s="55"/>
    </row>
    <row r="605">
      <c r="A605" s="61"/>
      <c r="B605" s="202"/>
      <c r="C605" s="61"/>
      <c r="D605" s="202"/>
      <c r="E605" s="61"/>
      <c r="F605" s="202"/>
      <c r="G605" s="61"/>
      <c r="H605" s="202"/>
      <c r="I605" s="18"/>
      <c r="J605" s="202"/>
      <c r="K605" s="55"/>
      <c r="L605" s="55"/>
      <c r="M605" s="55"/>
      <c r="N605" s="55"/>
      <c r="O605" s="55"/>
      <c r="P605" s="55"/>
      <c r="Q605" s="55"/>
      <c r="R605" s="55"/>
      <c r="S605" s="55"/>
      <c r="T605" s="55"/>
      <c r="U605" s="55"/>
      <c r="V605" s="55"/>
      <c r="W605" s="55"/>
    </row>
    <row r="606">
      <c r="A606" s="61"/>
      <c r="B606" s="202"/>
      <c r="C606" s="61"/>
      <c r="D606" s="202"/>
      <c r="E606" s="61"/>
      <c r="F606" s="202"/>
      <c r="G606" s="61"/>
      <c r="H606" s="202"/>
      <c r="I606" s="18"/>
      <c r="J606" s="202"/>
      <c r="K606" s="55"/>
      <c r="L606" s="55"/>
      <c r="M606" s="55"/>
      <c r="N606" s="55"/>
      <c r="O606" s="55"/>
      <c r="P606" s="55"/>
      <c r="Q606" s="55"/>
      <c r="R606" s="55"/>
      <c r="S606" s="55"/>
      <c r="T606" s="55"/>
      <c r="U606" s="55"/>
      <c r="V606" s="55"/>
      <c r="W606" s="55"/>
    </row>
    <row r="607">
      <c r="A607" s="61"/>
      <c r="B607" s="202"/>
      <c r="C607" s="61"/>
      <c r="D607" s="202"/>
      <c r="E607" s="61"/>
      <c r="F607" s="202"/>
      <c r="G607" s="61"/>
      <c r="H607" s="202"/>
      <c r="I607" s="18"/>
      <c r="J607" s="202"/>
      <c r="K607" s="55"/>
      <c r="L607" s="55"/>
      <c r="M607" s="55"/>
      <c r="N607" s="55"/>
      <c r="O607" s="55"/>
      <c r="P607" s="55"/>
      <c r="Q607" s="55"/>
      <c r="R607" s="55"/>
      <c r="S607" s="55"/>
      <c r="T607" s="55"/>
      <c r="U607" s="55"/>
      <c r="V607" s="55"/>
      <c r="W607" s="55"/>
    </row>
    <row r="608">
      <c r="A608" s="61"/>
      <c r="B608" s="202"/>
      <c r="C608" s="61"/>
      <c r="D608" s="202"/>
      <c r="E608" s="61"/>
      <c r="F608" s="202"/>
      <c r="G608" s="61"/>
      <c r="H608" s="202"/>
      <c r="I608" s="18"/>
      <c r="J608" s="202"/>
      <c r="K608" s="55"/>
      <c r="L608" s="55"/>
      <c r="M608" s="55"/>
      <c r="N608" s="55"/>
      <c r="O608" s="55"/>
      <c r="P608" s="55"/>
      <c r="Q608" s="55"/>
      <c r="R608" s="55"/>
      <c r="S608" s="55"/>
      <c r="T608" s="55"/>
      <c r="U608" s="55"/>
      <c r="V608" s="55"/>
      <c r="W608" s="55"/>
    </row>
    <row r="609">
      <c r="A609" s="61"/>
      <c r="B609" s="202"/>
      <c r="C609" s="61"/>
      <c r="D609" s="202"/>
      <c r="E609" s="61"/>
      <c r="F609" s="202"/>
      <c r="G609" s="61"/>
      <c r="H609" s="202"/>
      <c r="I609" s="18"/>
      <c r="J609" s="202"/>
      <c r="K609" s="55"/>
      <c r="L609" s="55"/>
      <c r="M609" s="55"/>
      <c r="N609" s="55"/>
      <c r="O609" s="55"/>
      <c r="P609" s="55"/>
      <c r="Q609" s="55"/>
      <c r="R609" s="55"/>
      <c r="S609" s="55"/>
      <c r="T609" s="55"/>
      <c r="U609" s="55"/>
      <c r="V609" s="55"/>
      <c r="W609" s="55"/>
    </row>
    <row r="610">
      <c r="A610" s="61"/>
      <c r="B610" s="202"/>
      <c r="C610" s="61"/>
      <c r="D610" s="202"/>
      <c r="E610" s="61"/>
      <c r="F610" s="202"/>
      <c r="G610" s="61"/>
      <c r="H610" s="202"/>
      <c r="I610" s="18"/>
      <c r="J610" s="202"/>
      <c r="K610" s="55"/>
      <c r="L610" s="55"/>
      <c r="M610" s="55"/>
      <c r="N610" s="55"/>
      <c r="O610" s="55"/>
      <c r="P610" s="55"/>
      <c r="Q610" s="55"/>
      <c r="R610" s="55"/>
      <c r="S610" s="55"/>
      <c r="T610" s="55"/>
      <c r="U610" s="55"/>
      <c r="V610" s="55"/>
      <c r="W610" s="55"/>
    </row>
    <row r="611">
      <c r="A611" s="61"/>
      <c r="B611" s="202"/>
      <c r="C611" s="61"/>
      <c r="D611" s="202"/>
      <c r="E611" s="61"/>
      <c r="F611" s="202"/>
      <c r="G611" s="61"/>
      <c r="H611" s="202"/>
      <c r="I611" s="18"/>
      <c r="J611" s="202"/>
      <c r="K611" s="55"/>
      <c r="L611" s="55"/>
      <c r="M611" s="55"/>
      <c r="N611" s="55"/>
      <c r="O611" s="55"/>
      <c r="P611" s="55"/>
      <c r="Q611" s="55"/>
      <c r="R611" s="55"/>
      <c r="S611" s="55"/>
      <c r="T611" s="55"/>
      <c r="U611" s="55"/>
      <c r="V611" s="55"/>
      <c r="W611" s="55"/>
    </row>
    <row r="612">
      <c r="A612" s="61"/>
      <c r="B612" s="202"/>
      <c r="C612" s="61"/>
      <c r="D612" s="202"/>
      <c r="E612" s="61"/>
      <c r="F612" s="202"/>
      <c r="G612" s="61"/>
      <c r="H612" s="202"/>
      <c r="I612" s="18"/>
      <c r="J612" s="202"/>
      <c r="K612" s="55"/>
      <c r="L612" s="55"/>
      <c r="M612" s="55"/>
      <c r="N612" s="55"/>
      <c r="O612" s="55"/>
      <c r="P612" s="55"/>
      <c r="Q612" s="55"/>
      <c r="R612" s="55"/>
      <c r="S612" s="55"/>
      <c r="T612" s="55"/>
      <c r="U612" s="55"/>
      <c r="V612" s="55"/>
      <c r="W612" s="55"/>
    </row>
    <row r="613">
      <c r="A613" s="61"/>
      <c r="B613" s="202"/>
      <c r="C613" s="61"/>
      <c r="D613" s="202"/>
      <c r="E613" s="61"/>
      <c r="F613" s="202"/>
      <c r="G613" s="61"/>
      <c r="H613" s="202"/>
      <c r="I613" s="18"/>
      <c r="J613" s="202"/>
      <c r="K613" s="55"/>
      <c r="L613" s="55"/>
      <c r="M613" s="55"/>
      <c r="N613" s="55"/>
      <c r="O613" s="55"/>
      <c r="P613" s="55"/>
      <c r="Q613" s="55"/>
      <c r="R613" s="55"/>
      <c r="S613" s="55"/>
      <c r="T613" s="55"/>
      <c r="U613" s="55"/>
      <c r="V613" s="55"/>
      <c r="W613" s="55"/>
    </row>
    <row r="614">
      <c r="A614" s="61"/>
      <c r="B614" s="202"/>
      <c r="C614" s="61"/>
      <c r="D614" s="202"/>
      <c r="E614" s="61"/>
      <c r="F614" s="202"/>
      <c r="G614" s="61"/>
      <c r="H614" s="202"/>
      <c r="I614" s="18"/>
      <c r="J614" s="202"/>
      <c r="K614" s="55"/>
      <c r="L614" s="55"/>
      <c r="M614" s="55"/>
      <c r="N614" s="55"/>
      <c r="O614" s="55"/>
      <c r="P614" s="55"/>
      <c r="Q614" s="55"/>
      <c r="R614" s="55"/>
      <c r="S614" s="55"/>
      <c r="T614" s="55"/>
      <c r="U614" s="55"/>
      <c r="V614" s="55"/>
      <c r="W614" s="55"/>
    </row>
    <row r="615">
      <c r="A615" s="61"/>
      <c r="B615" s="202"/>
      <c r="C615" s="61"/>
      <c r="D615" s="202"/>
      <c r="E615" s="61"/>
      <c r="F615" s="202"/>
      <c r="G615" s="61"/>
      <c r="H615" s="202"/>
      <c r="I615" s="18"/>
      <c r="J615" s="202"/>
      <c r="K615" s="55"/>
      <c r="L615" s="55"/>
      <c r="M615" s="55"/>
      <c r="N615" s="55"/>
      <c r="O615" s="55"/>
      <c r="P615" s="55"/>
      <c r="Q615" s="55"/>
      <c r="R615" s="55"/>
      <c r="S615" s="55"/>
      <c r="T615" s="55"/>
      <c r="U615" s="55"/>
      <c r="V615" s="55"/>
      <c r="W615" s="55"/>
    </row>
    <row r="616">
      <c r="A616" s="61"/>
      <c r="B616" s="202"/>
      <c r="C616" s="61"/>
      <c r="D616" s="202"/>
      <c r="E616" s="61"/>
      <c r="F616" s="202"/>
      <c r="G616" s="61"/>
      <c r="H616" s="202"/>
      <c r="I616" s="18"/>
      <c r="J616" s="202"/>
      <c r="K616" s="55"/>
      <c r="L616" s="55"/>
      <c r="M616" s="55"/>
      <c r="N616" s="55"/>
      <c r="O616" s="55"/>
      <c r="P616" s="55"/>
      <c r="Q616" s="55"/>
      <c r="R616" s="55"/>
      <c r="S616" s="55"/>
      <c r="T616" s="55"/>
      <c r="U616" s="55"/>
      <c r="V616" s="55"/>
      <c r="W616" s="55"/>
    </row>
    <row r="617">
      <c r="A617" s="61"/>
      <c r="B617" s="202"/>
      <c r="C617" s="61"/>
      <c r="D617" s="202"/>
      <c r="E617" s="61"/>
      <c r="F617" s="202"/>
      <c r="G617" s="61"/>
      <c r="H617" s="202"/>
      <c r="I617" s="18"/>
      <c r="J617" s="202"/>
      <c r="K617" s="55"/>
      <c r="L617" s="55"/>
      <c r="M617" s="55"/>
      <c r="N617" s="55"/>
      <c r="O617" s="55"/>
      <c r="P617" s="55"/>
      <c r="Q617" s="55"/>
      <c r="R617" s="55"/>
      <c r="S617" s="55"/>
      <c r="T617" s="55"/>
      <c r="U617" s="55"/>
      <c r="V617" s="55"/>
      <c r="W617" s="55"/>
    </row>
    <row r="618">
      <c r="A618" s="61"/>
      <c r="B618" s="202"/>
      <c r="C618" s="61"/>
      <c r="D618" s="202"/>
      <c r="E618" s="61"/>
      <c r="F618" s="202"/>
      <c r="G618" s="61"/>
      <c r="H618" s="202"/>
      <c r="I618" s="18"/>
      <c r="J618" s="202"/>
      <c r="K618" s="55"/>
      <c r="L618" s="55"/>
      <c r="M618" s="55"/>
      <c r="N618" s="55"/>
      <c r="O618" s="55"/>
      <c r="P618" s="55"/>
      <c r="Q618" s="55"/>
      <c r="R618" s="55"/>
      <c r="S618" s="55"/>
      <c r="T618" s="55"/>
      <c r="U618" s="55"/>
      <c r="V618" s="55"/>
      <c r="W618" s="55"/>
    </row>
    <row r="619">
      <c r="A619" s="61"/>
      <c r="B619" s="202"/>
      <c r="C619" s="61"/>
      <c r="D619" s="202"/>
      <c r="E619" s="61"/>
      <c r="F619" s="202"/>
      <c r="G619" s="61"/>
      <c r="H619" s="202"/>
      <c r="I619" s="18"/>
      <c r="J619" s="202"/>
      <c r="K619" s="55"/>
      <c r="L619" s="55"/>
      <c r="M619" s="55"/>
      <c r="N619" s="55"/>
      <c r="O619" s="55"/>
      <c r="P619" s="55"/>
      <c r="Q619" s="55"/>
      <c r="R619" s="55"/>
      <c r="S619" s="55"/>
      <c r="T619" s="55"/>
      <c r="U619" s="55"/>
      <c r="V619" s="55"/>
      <c r="W619" s="55"/>
    </row>
    <row r="620">
      <c r="A620" s="61"/>
      <c r="B620" s="202"/>
      <c r="C620" s="61"/>
      <c r="D620" s="202"/>
      <c r="E620" s="61"/>
      <c r="F620" s="202"/>
      <c r="G620" s="61"/>
      <c r="H620" s="202"/>
      <c r="I620" s="18"/>
      <c r="J620" s="202"/>
      <c r="K620" s="55"/>
      <c r="L620" s="55"/>
      <c r="M620" s="55"/>
      <c r="N620" s="55"/>
      <c r="O620" s="55"/>
      <c r="P620" s="55"/>
      <c r="Q620" s="55"/>
      <c r="R620" s="55"/>
      <c r="S620" s="55"/>
      <c r="T620" s="55"/>
      <c r="U620" s="55"/>
      <c r="V620" s="55"/>
      <c r="W620" s="55"/>
    </row>
    <row r="621">
      <c r="A621" s="61"/>
      <c r="B621" s="202"/>
      <c r="C621" s="61"/>
      <c r="D621" s="202"/>
      <c r="E621" s="61"/>
      <c r="F621" s="202"/>
      <c r="G621" s="61"/>
      <c r="H621" s="202"/>
      <c r="I621" s="18"/>
      <c r="J621" s="202"/>
      <c r="K621" s="55"/>
      <c r="L621" s="55"/>
      <c r="M621" s="55"/>
      <c r="N621" s="55"/>
      <c r="O621" s="55"/>
      <c r="P621" s="55"/>
      <c r="Q621" s="55"/>
      <c r="R621" s="55"/>
      <c r="S621" s="55"/>
      <c r="T621" s="55"/>
      <c r="U621" s="55"/>
      <c r="V621" s="55"/>
      <c r="W621" s="55"/>
    </row>
    <row r="622">
      <c r="A622" s="61"/>
      <c r="B622" s="202"/>
      <c r="C622" s="61"/>
      <c r="D622" s="202"/>
      <c r="E622" s="61"/>
      <c r="F622" s="202"/>
      <c r="G622" s="61"/>
      <c r="H622" s="202"/>
      <c r="I622" s="18"/>
      <c r="J622" s="202"/>
      <c r="K622" s="55"/>
      <c r="L622" s="55"/>
      <c r="M622" s="55"/>
      <c r="N622" s="55"/>
      <c r="O622" s="55"/>
      <c r="P622" s="55"/>
      <c r="Q622" s="55"/>
      <c r="R622" s="55"/>
      <c r="S622" s="55"/>
      <c r="T622" s="55"/>
      <c r="U622" s="55"/>
      <c r="V622" s="55"/>
      <c r="W622" s="55"/>
    </row>
    <row r="623">
      <c r="A623" s="61"/>
      <c r="B623" s="202"/>
      <c r="C623" s="61"/>
      <c r="D623" s="202"/>
      <c r="E623" s="61"/>
      <c r="F623" s="202"/>
      <c r="G623" s="61"/>
      <c r="H623" s="202"/>
      <c r="I623" s="18"/>
      <c r="J623" s="202"/>
      <c r="K623" s="55"/>
      <c r="L623" s="55"/>
      <c r="M623" s="55"/>
      <c r="N623" s="55"/>
      <c r="O623" s="55"/>
      <c r="P623" s="55"/>
      <c r="Q623" s="55"/>
      <c r="R623" s="55"/>
      <c r="S623" s="55"/>
      <c r="T623" s="55"/>
      <c r="U623" s="55"/>
      <c r="V623" s="55"/>
      <c r="W623" s="55"/>
    </row>
    <row r="624">
      <c r="A624" s="61"/>
      <c r="B624" s="202"/>
      <c r="C624" s="61"/>
      <c r="D624" s="202"/>
      <c r="E624" s="61"/>
      <c r="F624" s="202"/>
      <c r="G624" s="61"/>
      <c r="H624" s="202"/>
      <c r="I624" s="18"/>
      <c r="J624" s="202"/>
      <c r="K624" s="55"/>
      <c r="L624" s="55"/>
      <c r="M624" s="55"/>
      <c r="N624" s="55"/>
      <c r="O624" s="55"/>
      <c r="P624" s="55"/>
      <c r="Q624" s="55"/>
      <c r="R624" s="55"/>
      <c r="S624" s="55"/>
      <c r="T624" s="55"/>
      <c r="U624" s="55"/>
      <c r="V624" s="55"/>
      <c r="W624" s="55"/>
    </row>
    <row r="625">
      <c r="A625" s="61"/>
      <c r="B625" s="202"/>
      <c r="C625" s="61"/>
      <c r="D625" s="202"/>
      <c r="E625" s="61"/>
      <c r="F625" s="202"/>
      <c r="G625" s="61"/>
      <c r="H625" s="202"/>
      <c r="I625" s="18"/>
      <c r="J625" s="202"/>
      <c r="K625" s="55"/>
      <c r="L625" s="55"/>
      <c r="M625" s="55"/>
      <c r="N625" s="55"/>
      <c r="O625" s="55"/>
      <c r="P625" s="55"/>
      <c r="Q625" s="55"/>
      <c r="R625" s="55"/>
      <c r="S625" s="55"/>
      <c r="T625" s="55"/>
      <c r="U625" s="55"/>
      <c r="V625" s="55"/>
      <c r="W625" s="55"/>
    </row>
    <row r="626">
      <c r="A626" s="61"/>
      <c r="B626" s="202"/>
      <c r="C626" s="61"/>
      <c r="D626" s="202"/>
      <c r="E626" s="61"/>
      <c r="F626" s="202"/>
      <c r="G626" s="61"/>
      <c r="H626" s="202"/>
      <c r="I626" s="18"/>
      <c r="J626" s="202"/>
      <c r="K626" s="55"/>
      <c r="L626" s="55"/>
      <c r="M626" s="55"/>
      <c r="N626" s="55"/>
      <c r="O626" s="55"/>
      <c r="P626" s="55"/>
      <c r="Q626" s="55"/>
      <c r="R626" s="55"/>
      <c r="S626" s="55"/>
      <c r="T626" s="55"/>
      <c r="U626" s="55"/>
      <c r="V626" s="55"/>
      <c r="W626" s="55"/>
    </row>
    <row r="627">
      <c r="A627" s="61"/>
      <c r="B627" s="202"/>
      <c r="C627" s="61"/>
      <c r="D627" s="202"/>
      <c r="E627" s="61"/>
      <c r="F627" s="202"/>
      <c r="G627" s="61"/>
      <c r="H627" s="202"/>
      <c r="I627" s="18"/>
      <c r="J627" s="202"/>
      <c r="K627" s="55"/>
      <c r="L627" s="55"/>
      <c r="M627" s="55"/>
      <c r="N627" s="55"/>
      <c r="O627" s="55"/>
      <c r="P627" s="55"/>
      <c r="Q627" s="55"/>
      <c r="R627" s="55"/>
      <c r="S627" s="55"/>
      <c r="T627" s="55"/>
      <c r="U627" s="55"/>
      <c r="V627" s="55"/>
      <c r="W627" s="55"/>
    </row>
    <row r="628">
      <c r="A628" s="61"/>
      <c r="B628" s="202"/>
      <c r="C628" s="61"/>
      <c r="D628" s="202"/>
      <c r="E628" s="61"/>
      <c r="F628" s="202"/>
      <c r="G628" s="61"/>
      <c r="H628" s="202"/>
      <c r="I628" s="18"/>
      <c r="J628" s="202"/>
      <c r="K628" s="55"/>
      <c r="L628" s="55"/>
      <c r="M628" s="55"/>
      <c r="N628" s="55"/>
      <c r="O628" s="55"/>
      <c r="P628" s="55"/>
      <c r="Q628" s="55"/>
      <c r="R628" s="55"/>
      <c r="S628" s="55"/>
      <c r="T628" s="55"/>
      <c r="U628" s="55"/>
      <c r="V628" s="55"/>
      <c r="W628" s="55"/>
    </row>
    <row r="629">
      <c r="A629" s="61"/>
      <c r="B629" s="202"/>
      <c r="C629" s="61"/>
      <c r="D629" s="202"/>
      <c r="E629" s="61"/>
      <c r="F629" s="202"/>
      <c r="G629" s="61"/>
      <c r="H629" s="202"/>
      <c r="I629" s="18"/>
      <c r="J629" s="202"/>
      <c r="K629" s="55"/>
      <c r="L629" s="55"/>
      <c r="M629" s="55"/>
      <c r="N629" s="55"/>
      <c r="O629" s="55"/>
      <c r="P629" s="55"/>
      <c r="Q629" s="55"/>
      <c r="R629" s="55"/>
      <c r="S629" s="55"/>
      <c r="T629" s="55"/>
      <c r="U629" s="55"/>
      <c r="V629" s="55"/>
      <c r="W629" s="55"/>
    </row>
    <row r="630">
      <c r="A630" s="61"/>
      <c r="B630" s="202"/>
      <c r="C630" s="61"/>
      <c r="D630" s="202"/>
      <c r="E630" s="61"/>
      <c r="F630" s="202"/>
      <c r="G630" s="61"/>
      <c r="H630" s="202"/>
      <c r="I630" s="18"/>
      <c r="J630" s="202"/>
      <c r="K630" s="55"/>
      <c r="L630" s="55"/>
      <c r="M630" s="55"/>
      <c r="N630" s="55"/>
      <c r="O630" s="55"/>
      <c r="P630" s="55"/>
      <c r="Q630" s="55"/>
      <c r="R630" s="55"/>
      <c r="S630" s="55"/>
      <c r="T630" s="55"/>
      <c r="U630" s="55"/>
      <c r="V630" s="55"/>
      <c r="W630" s="55"/>
    </row>
    <row r="631">
      <c r="A631" s="61"/>
      <c r="B631" s="202"/>
      <c r="C631" s="61"/>
      <c r="D631" s="202"/>
      <c r="E631" s="61"/>
      <c r="F631" s="202"/>
      <c r="G631" s="61"/>
      <c r="H631" s="202"/>
      <c r="I631" s="18"/>
      <c r="J631" s="202"/>
      <c r="K631" s="55"/>
      <c r="L631" s="55"/>
      <c r="M631" s="55"/>
      <c r="N631" s="55"/>
      <c r="O631" s="55"/>
      <c r="P631" s="55"/>
      <c r="Q631" s="55"/>
      <c r="R631" s="55"/>
      <c r="S631" s="55"/>
      <c r="T631" s="55"/>
      <c r="U631" s="55"/>
      <c r="V631" s="55"/>
      <c r="W631" s="55"/>
    </row>
    <row r="632">
      <c r="A632" s="61"/>
      <c r="B632" s="202"/>
      <c r="C632" s="61"/>
      <c r="D632" s="202"/>
      <c r="E632" s="61"/>
      <c r="F632" s="202"/>
      <c r="G632" s="61"/>
      <c r="H632" s="202"/>
      <c r="I632" s="18"/>
      <c r="J632" s="202"/>
      <c r="K632" s="55"/>
      <c r="L632" s="55"/>
      <c r="M632" s="55"/>
      <c r="N632" s="55"/>
      <c r="O632" s="55"/>
      <c r="P632" s="55"/>
      <c r="Q632" s="55"/>
      <c r="R632" s="55"/>
      <c r="S632" s="55"/>
      <c r="T632" s="55"/>
      <c r="U632" s="55"/>
      <c r="V632" s="55"/>
      <c r="W632" s="55"/>
    </row>
    <row r="633">
      <c r="A633" s="61"/>
      <c r="B633" s="202"/>
      <c r="C633" s="61"/>
      <c r="D633" s="202"/>
      <c r="E633" s="61"/>
      <c r="F633" s="202"/>
      <c r="G633" s="61"/>
      <c r="H633" s="202"/>
      <c r="I633" s="18"/>
      <c r="J633" s="202"/>
      <c r="K633" s="55"/>
      <c r="L633" s="55"/>
      <c r="M633" s="55"/>
      <c r="N633" s="55"/>
      <c r="O633" s="55"/>
      <c r="P633" s="55"/>
      <c r="Q633" s="55"/>
      <c r="R633" s="55"/>
      <c r="S633" s="55"/>
      <c r="T633" s="55"/>
      <c r="U633" s="55"/>
      <c r="V633" s="55"/>
      <c r="W633" s="55"/>
    </row>
    <row r="634">
      <c r="A634" s="61"/>
      <c r="B634" s="202"/>
      <c r="C634" s="61"/>
      <c r="D634" s="202"/>
      <c r="E634" s="61"/>
      <c r="F634" s="202"/>
      <c r="G634" s="61"/>
      <c r="H634" s="202"/>
      <c r="I634" s="18"/>
      <c r="J634" s="202"/>
      <c r="K634" s="55"/>
      <c r="L634" s="55"/>
      <c r="M634" s="55"/>
      <c r="N634" s="55"/>
      <c r="O634" s="55"/>
      <c r="P634" s="55"/>
      <c r="Q634" s="55"/>
      <c r="R634" s="55"/>
      <c r="S634" s="55"/>
      <c r="T634" s="55"/>
      <c r="U634" s="55"/>
      <c r="V634" s="55"/>
      <c r="W634" s="55"/>
    </row>
    <row r="635">
      <c r="A635" s="61"/>
      <c r="B635" s="202"/>
      <c r="C635" s="61"/>
      <c r="D635" s="202"/>
      <c r="E635" s="61"/>
      <c r="F635" s="202"/>
      <c r="G635" s="61"/>
      <c r="H635" s="202"/>
      <c r="I635" s="18"/>
      <c r="J635" s="202"/>
      <c r="K635" s="55"/>
      <c r="L635" s="55"/>
      <c r="M635" s="55"/>
      <c r="N635" s="55"/>
      <c r="O635" s="55"/>
      <c r="P635" s="55"/>
      <c r="Q635" s="55"/>
      <c r="R635" s="55"/>
      <c r="S635" s="55"/>
      <c r="T635" s="55"/>
      <c r="U635" s="55"/>
      <c r="V635" s="55"/>
      <c r="W635" s="55"/>
    </row>
    <row r="636">
      <c r="A636" s="61"/>
      <c r="B636" s="202"/>
      <c r="C636" s="61"/>
      <c r="D636" s="202"/>
      <c r="E636" s="61"/>
      <c r="F636" s="202"/>
      <c r="G636" s="61"/>
      <c r="H636" s="202"/>
      <c r="I636" s="18"/>
      <c r="J636" s="202"/>
      <c r="K636" s="55"/>
      <c r="L636" s="55"/>
      <c r="M636" s="55"/>
      <c r="N636" s="55"/>
      <c r="O636" s="55"/>
      <c r="P636" s="55"/>
      <c r="Q636" s="55"/>
      <c r="R636" s="55"/>
      <c r="S636" s="55"/>
      <c r="T636" s="55"/>
      <c r="U636" s="55"/>
      <c r="V636" s="55"/>
      <c r="W636" s="55"/>
    </row>
    <row r="637">
      <c r="A637" s="61"/>
      <c r="B637" s="202"/>
      <c r="C637" s="61"/>
      <c r="D637" s="202"/>
      <c r="E637" s="61"/>
      <c r="F637" s="202"/>
      <c r="G637" s="61"/>
      <c r="H637" s="202"/>
      <c r="I637" s="18"/>
      <c r="J637" s="202"/>
      <c r="K637" s="55"/>
      <c r="L637" s="55"/>
      <c r="M637" s="55"/>
      <c r="N637" s="55"/>
      <c r="O637" s="55"/>
      <c r="P637" s="55"/>
      <c r="Q637" s="55"/>
      <c r="R637" s="55"/>
      <c r="S637" s="55"/>
      <c r="T637" s="55"/>
      <c r="U637" s="55"/>
      <c r="V637" s="55"/>
      <c r="W637" s="55"/>
    </row>
    <row r="638">
      <c r="A638" s="61"/>
      <c r="B638" s="202"/>
      <c r="C638" s="61"/>
      <c r="D638" s="202"/>
      <c r="E638" s="61"/>
      <c r="F638" s="202"/>
      <c r="G638" s="61"/>
      <c r="H638" s="202"/>
      <c r="I638" s="18"/>
      <c r="J638" s="202"/>
      <c r="K638" s="55"/>
      <c r="L638" s="55"/>
      <c r="M638" s="55"/>
      <c r="N638" s="55"/>
      <c r="O638" s="55"/>
      <c r="P638" s="55"/>
      <c r="Q638" s="55"/>
      <c r="R638" s="55"/>
      <c r="S638" s="55"/>
      <c r="T638" s="55"/>
      <c r="U638" s="55"/>
      <c r="V638" s="55"/>
      <c r="W638" s="55"/>
    </row>
    <row r="639">
      <c r="A639" s="61"/>
      <c r="B639" s="202"/>
      <c r="C639" s="61"/>
      <c r="D639" s="202"/>
      <c r="E639" s="61"/>
      <c r="F639" s="202"/>
      <c r="G639" s="61"/>
      <c r="H639" s="202"/>
      <c r="I639" s="18"/>
      <c r="J639" s="202"/>
      <c r="K639" s="55"/>
      <c r="L639" s="55"/>
      <c r="M639" s="55"/>
      <c r="N639" s="55"/>
      <c r="O639" s="55"/>
      <c r="P639" s="55"/>
      <c r="Q639" s="55"/>
      <c r="R639" s="55"/>
      <c r="S639" s="55"/>
      <c r="T639" s="55"/>
      <c r="U639" s="55"/>
      <c r="V639" s="55"/>
      <c r="W639" s="55"/>
    </row>
    <row r="640">
      <c r="A640" s="61"/>
      <c r="B640" s="202"/>
      <c r="C640" s="61"/>
      <c r="D640" s="202"/>
      <c r="E640" s="61"/>
      <c r="F640" s="202"/>
      <c r="G640" s="61"/>
      <c r="H640" s="202"/>
      <c r="I640" s="18"/>
      <c r="J640" s="202"/>
      <c r="K640" s="55"/>
      <c r="L640" s="55"/>
      <c r="M640" s="55"/>
      <c r="N640" s="55"/>
      <c r="O640" s="55"/>
      <c r="P640" s="55"/>
      <c r="Q640" s="55"/>
      <c r="R640" s="55"/>
      <c r="S640" s="55"/>
      <c r="T640" s="55"/>
      <c r="U640" s="55"/>
      <c r="V640" s="55"/>
      <c r="W640" s="55"/>
    </row>
    <row r="641">
      <c r="A641" s="61"/>
      <c r="B641" s="202"/>
      <c r="C641" s="61"/>
      <c r="D641" s="202"/>
      <c r="E641" s="61"/>
      <c r="F641" s="202"/>
      <c r="G641" s="61"/>
      <c r="H641" s="202"/>
      <c r="I641" s="18"/>
      <c r="J641" s="202"/>
      <c r="K641" s="55"/>
      <c r="L641" s="55"/>
      <c r="M641" s="55"/>
      <c r="N641" s="55"/>
      <c r="O641" s="55"/>
      <c r="P641" s="55"/>
      <c r="Q641" s="55"/>
      <c r="R641" s="55"/>
      <c r="S641" s="55"/>
      <c r="T641" s="55"/>
      <c r="U641" s="55"/>
      <c r="V641" s="55"/>
      <c r="W641" s="55"/>
    </row>
    <row r="642">
      <c r="A642" s="61"/>
      <c r="B642" s="202"/>
      <c r="C642" s="61"/>
      <c r="D642" s="202"/>
      <c r="E642" s="61"/>
      <c r="F642" s="202"/>
      <c r="G642" s="61"/>
      <c r="H642" s="202"/>
      <c r="I642" s="18"/>
      <c r="J642" s="202"/>
      <c r="K642" s="55"/>
      <c r="L642" s="55"/>
      <c r="M642" s="55"/>
      <c r="N642" s="55"/>
      <c r="O642" s="55"/>
      <c r="P642" s="55"/>
      <c r="Q642" s="55"/>
      <c r="R642" s="55"/>
      <c r="S642" s="55"/>
      <c r="T642" s="55"/>
      <c r="U642" s="55"/>
      <c r="V642" s="55"/>
      <c r="W642" s="55"/>
    </row>
    <row r="643">
      <c r="A643" s="61"/>
      <c r="B643" s="202"/>
      <c r="C643" s="61"/>
      <c r="D643" s="202"/>
      <c r="E643" s="61"/>
      <c r="F643" s="202"/>
      <c r="G643" s="61"/>
      <c r="H643" s="202"/>
      <c r="I643" s="18"/>
      <c r="J643" s="202"/>
      <c r="K643" s="55"/>
      <c r="L643" s="55"/>
      <c r="M643" s="55"/>
      <c r="N643" s="55"/>
      <c r="O643" s="55"/>
      <c r="P643" s="55"/>
      <c r="Q643" s="55"/>
      <c r="R643" s="55"/>
      <c r="S643" s="55"/>
      <c r="T643" s="55"/>
      <c r="U643" s="55"/>
      <c r="V643" s="55"/>
      <c r="W643" s="55"/>
    </row>
    <row r="644">
      <c r="A644" s="61"/>
      <c r="B644" s="202"/>
      <c r="C644" s="61"/>
      <c r="D644" s="202"/>
      <c r="E644" s="61"/>
      <c r="F644" s="202"/>
      <c r="G644" s="61"/>
      <c r="H644" s="202"/>
      <c r="I644" s="18"/>
      <c r="J644" s="202"/>
      <c r="K644" s="55"/>
      <c r="L644" s="55"/>
      <c r="M644" s="55"/>
      <c r="N644" s="55"/>
      <c r="O644" s="55"/>
      <c r="P644" s="55"/>
      <c r="Q644" s="55"/>
      <c r="R644" s="55"/>
      <c r="S644" s="55"/>
      <c r="T644" s="55"/>
      <c r="U644" s="55"/>
      <c r="V644" s="55"/>
      <c r="W644" s="55"/>
    </row>
    <row r="645">
      <c r="A645" s="61"/>
      <c r="B645" s="202"/>
      <c r="C645" s="61"/>
      <c r="D645" s="202"/>
      <c r="E645" s="61"/>
      <c r="F645" s="202"/>
      <c r="G645" s="61"/>
      <c r="H645" s="202"/>
      <c r="I645" s="18"/>
      <c r="J645" s="202"/>
      <c r="K645" s="55"/>
      <c r="L645" s="55"/>
      <c r="M645" s="55"/>
      <c r="N645" s="55"/>
      <c r="O645" s="55"/>
      <c r="P645" s="55"/>
      <c r="Q645" s="55"/>
      <c r="R645" s="55"/>
      <c r="S645" s="55"/>
      <c r="T645" s="55"/>
      <c r="U645" s="55"/>
      <c r="V645" s="55"/>
      <c r="W645" s="55"/>
    </row>
    <row r="646">
      <c r="A646" s="61"/>
      <c r="B646" s="202"/>
      <c r="C646" s="61"/>
      <c r="D646" s="202"/>
      <c r="E646" s="61"/>
      <c r="F646" s="202"/>
      <c r="G646" s="61"/>
      <c r="H646" s="202"/>
      <c r="I646" s="18"/>
      <c r="J646" s="202"/>
      <c r="K646" s="55"/>
      <c r="L646" s="55"/>
      <c r="M646" s="55"/>
      <c r="N646" s="55"/>
      <c r="O646" s="55"/>
      <c r="P646" s="55"/>
      <c r="Q646" s="55"/>
      <c r="R646" s="55"/>
      <c r="S646" s="55"/>
      <c r="T646" s="55"/>
      <c r="U646" s="55"/>
      <c r="V646" s="55"/>
      <c r="W646" s="55"/>
    </row>
    <row r="647">
      <c r="A647" s="61"/>
      <c r="B647" s="202"/>
      <c r="C647" s="61"/>
      <c r="D647" s="202"/>
      <c r="E647" s="61"/>
      <c r="F647" s="202"/>
      <c r="G647" s="61"/>
      <c r="H647" s="202"/>
      <c r="I647" s="18"/>
      <c r="J647" s="202"/>
      <c r="K647" s="55"/>
      <c r="L647" s="55"/>
      <c r="M647" s="55"/>
      <c r="N647" s="55"/>
      <c r="O647" s="55"/>
      <c r="P647" s="55"/>
      <c r="Q647" s="55"/>
      <c r="R647" s="55"/>
      <c r="S647" s="55"/>
      <c r="T647" s="55"/>
      <c r="U647" s="55"/>
      <c r="V647" s="55"/>
      <c r="W647" s="55"/>
    </row>
    <row r="648">
      <c r="A648" s="61"/>
      <c r="B648" s="202"/>
      <c r="C648" s="61"/>
      <c r="D648" s="202"/>
      <c r="E648" s="61"/>
      <c r="F648" s="202"/>
      <c r="G648" s="61"/>
      <c r="H648" s="202"/>
      <c r="I648" s="18"/>
      <c r="J648" s="202"/>
      <c r="K648" s="55"/>
      <c r="L648" s="55"/>
      <c r="M648" s="55"/>
      <c r="N648" s="55"/>
      <c r="O648" s="55"/>
      <c r="P648" s="55"/>
      <c r="Q648" s="55"/>
      <c r="R648" s="55"/>
      <c r="S648" s="55"/>
      <c r="T648" s="55"/>
      <c r="U648" s="55"/>
      <c r="V648" s="55"/>
      <c r="W648" s="55"/>
    </row>
    <row r="649">
      <c r="A649" s="61"/>
      <c r="B649" s="202"/>
      <c r="C649" s="61"/>
      <c r="D649" s="202"/>
      <c r="E649" s="61"/>
      <c r="F649" s="202"/>
      <c r="G649" s="61"/>
      <c r="H649" s="202"/>
      <c r="I649" s="18"/>
      <c r="J649" s="202"/>
      <c r="K649" s="55"/>
      <c r="L649" s="55"/>
      <c r="M649" s="55"/>
      <c r="N649" s="55"/>
      <c r="O649" s="55"/>
      <c r="P649" s="55"/>
      <c r="Q649" s="55"/>
      <c r="R649" s="55"/>
      <c r="S649" s="55"/>
      <c r="T649" s="55"/>
      <c r="U649" s="55"/>
      <c r="V649" s="55"/>
      <c r="W649" s="55"/>
    </row>
    <row r="650">
      <c r="A650" s="61"/>
      <c r="B650" s="202"/>
      <c r="C650" s="61"/>
      <c r="D650" s="202"/>
      <c r="E650" s="61"/>
      <c r="F650" s="202"/>
      <c r="G650" s="61"/>
      <c r="H650" s="202"/>
      <c r="I650" s="18"/>
      <c r="J650" s="202"/>
      <c r="K650" s="55"/>
      <c r="L650" s="55"/>
      <c r="M650" s="55"/>
      <c r="N650" s="55"/>
      <c r="O650" s="55"/>
      <c r="P650" s="55"/>
      <c r="Q650" s="55"/>
      <c r="R650" s="55"/>
      <c r="S650" s="55"/>
      <c r="T650" s="55"/>
      <c r="U650" s="55"/>
      <c r="V650" s="55"/>
      <c r="W650" s="55"/>
    </row>
    <row r="651">
      <c r="A651" s="61"/>
      <c r="B651" s="202"/>
      <c r="C651" s="61"/>
      <c r="D651" s="202"/>
      <c r="E651" s="61"/>
      <c r="F651" s="202"/>
      <c r="G651" s="61"/>
      <c r="H651" s="202"/>
      <c r="I651" s="18"/>
      <c r="J651" s="202"/>
      <c r="K651" s="55"/>
      <c r="L651" s="55"/>
      <c r="M651" s="55"/>
      <c r="N651" s="55"/>
      <c r="O651" s="55"/>
      <c r="P651" s="55"/>
      <c r="Q651" s="55"/>
      <c r="R651" s="55"/>
      <c r="S651" s="55"/>
      <c r="T651" s="55"/>
      <c r="U651" s="55"/>
      <c r="V651" s="55"/>
      <c r="W651" s="55"/>
    </row>
    <row r="652">
      <c r="A652" s="61"/>
      <c r="B652" s="202"/>
      <c r="C652" s="61"/>
      <c r="D652" s="202"/>
      <c r="E652" s="61"/>
      <c r="F652" s="202"/>
      <c r="G652" s="61"/>
      <c r="H652" s="202"/>
      <c r="I652" s="18"/>
      <c r="J652" s="202"/>
      <c r="K652" s="55"/>
      <c r="L652" s="55"/>
      <c r="M652" s="55"/>
      <c r="N652" s="55"/>
      <c r="O652" s="55"/>
      <c r="P652" s="55"/>
      <c r="Q652" s="55"/>
      <c r="R652" s="55"/>
      <c r="S652" s="55"/>
      <c r="T652" s="55"/>
      <c r="U652" s="55"/>
      <c r="V652" s="55"/>
      <c r="W652" s="55"/>
    </row>
    <row r="653">
      <c r="A653" s="61"/>
      <c r="B653" s="202"/>
      <c r="C653" s="61"/>
      <c r="D653" s="202"/>
      <c r="E653" s="61"/>
      <c r="F653" s="202"/>
      <c r="G653" s="61"/>
      <c r="H653" s="202"/>
      <c r="I653" s="18"/>
      <c r="J653" s="202"/>
      <c r="K653" s="55"/>
      <c r="L653" s="55"/>
      <c r="M653" s="55"/>
      <c r="N653" s="55"/>
      <c r="O653" s="55"/>
      <c r="P653" s="55"/>
      <c r="Q653" s="55"/>
      <c r="R653" s="55"/>
      <c r="S653" s="55"/>
      <c r="T653" s="55"/>
      <c r="U653" s="55"/>
      <c r="V653" s="55"/>
      <c r="W653" s="55"/>
    </row>
    <row r="654">
      <c r="A654" s="61"/>
      <c r="B654" s="202"/>
      <c r="C654" s="61"/>
      <c r="D654" s="202"/>
      <c r="E654" s="61"/>
      <c r="F654" s="202"/>
      <c r="G654" s="61"/>
      <c r="H654" s="202"/>
      <c r="I654" s="18"/>
      <c r="J654" s="202"/>
      <c r="K654" s="55"/>
      <c r="L654" s="55"/>
      <c r="M654" s="55"/>
      <c r="N654" s="55"/>
      <c r="O654" s="55"/>
      <c r="P654" s="55"/>
      <c r="Q654" s="55"/>
      <c r="R654" s="55"/>
      <c r="S654" s="55"/>
      <c r="T654" s="55"/>
      <c r="U654" s="55"/>
      <c r="V654" s="55"/>
      <c r="W654" s="55"/>
    </row>
    <row r="655">
      <c r="A655" s="61"/>
      <c r="B655" s="202"/>
      <c r="C655" s="61"/>
      <c r="D655" s="202"/>
      <c r="E655" s="61"/>
      <c r="F655" s="202"/>
      <c r="G655" s="61"/>
      <c r="H655" s="202"/>
      <c r="I655" s="18"/>
      <c r="J655" s="202"/>
      <c r="K655" s="55"/>
      <c r="L655" s="55"/>
      <c r="M655" s="55"/>
      <c r="N655" s="55"/>
      <c r="O655" s="55"/>
      <c r="P655" s="55"/>
      <c r="Q655" s="55"/>
      <c r="R655" s="55"/>
      <c r="S655" s="55"/>
      <c r="T655" s="55"/>
      <c r="U655" s="55"/>
      <c r="V655" s="55"/>
      <c r="W655" s="55"/>
    </row>
    <row r="656">
      <c r="A656" s="61"/>
      <c r="B656" s="202"/>
      <c r="C656" s="61"/>
      <c r="D656" s="202"/>
      <c r="E656" s="61"/>
      <c r="F656" s="202"/>
      <c r="G656" s="61"/>
      <c r="H656" s="202"/>
      <c r="I656" s="18"/>
      <c r="J656" s="202"/>
      <c r="K656" s="55"/>
      <c r="L656" s="55"/>
      <c r="M656" s="55"/>
      <c r="N656" s="55"/>
      <c r="O656" s="55"/>
      <c r="P656" s="55"/>
      <c r="Q656" s="55"/>
      <c r="R656" s="55"/>
      <c r="S656" s="55"/>
      <c r="T656" s="55"/>
      <c r="U656" s="55"/>
      <c r="V656" s="55"/>
      <c r="W656" s="55"/>
    </row>
    <row r="657">
      <c r="A657" s="61"/>
      <c r="B657" s="202"/>
      <c r="C657" s="61"/>
      <c r="D657" s="202"/>
      <c r="E657" s="61"/>
      <c r="F657" s="202"/>
      <c r="G657" s="61"/>
      <c r="H657" s="202"/>
      <c r="I657" s="18"/>
      <c r="J657" s="202"/>
      <c r="K657" s="55"/>
      <c r="L657" s="55"/>
      <c r="M657" s="55"/>
      <c r="N657" s="55"/>
      <c r="O657" s="55"/>
      <c r="P657" s="55"/>
      <c r="Q657" s="55"/>
      <c r="R657" s="55"/>
      <c r="S657" s="55"/>
      <c r="T657" s="55"/>
      <c r="U657" s="55"/>
      <c r="V657" s="55"/>
      <c r="W657" s="55"/>
    </row>
    <row r="658">
      <c r="A658" s="61"/>
      <c r="B658" s="202"/>
      <c r="C658" s="61"/>
      <c r="D658" s="202"/>
      <c r="E658" s="61"/>
      <c r="F658" s="202"/>
      <c r="G658" s="61"/>
      <c r="H658" s="202"/>
      <c r="I658" s="18"/>
      <c r="J658" s="202"/>
      <c r="K658" s="55"/>
      <c r="L658" s="55"/>
      <c r="M658" s="55"/>
      <c r="N658" s="55"/>
      <c r="O658" s="55"/>
      <c r="P658" s="55"/>
      <c r="Q658" s="55"/>
      <c r="R658" s="55"/>
      <c r="S658" s="55"/>
      <c r="T658" s="55"/>
      <c r="U658" s="55"/>
      <c r="V658" s="55"/>
      <c r="W658" s="55"/>
    </row>
    <row r="659">
      <c r="A659" s="61"/>
      <c r="B659" s="202"/>
      <c r="C659" s="61"/>
      <c r="D659" s="202"/>
      <c r="E659" s="61"/>
      <c r="F659" s="202"/>
      <c r="G659" s="61"/>
      <c r="H659" s="202"/>
      <c r="I659" s="18"/>
      <c r="J659" s="202"/>
      <c r="K659" s="55"/>
      <c r="L659" s="55"/>
      <c r="M659" s="55"/>
      <c r="N659" s="55"/>
      <c r="O659" s="55"/>
      <c r="P659" s="55"/>
      <c r="Q659" s="55"/>
      <c r="R659" s="55"/>
      <c r="S659" s="55"/>
      <c r="T659" s="55"/>
      <c r="U659" s="55"/>
      <c r="V659" s="55"/>
      <c r="W659" s="55"/>
    </row>
    <row r="660">
      <c r="A660" s="61"/>
      <c r="B660" s="202"/>
      <c r="C660" s="61"/>
      <c r="D660" s="202"/>
      <c r="E660" s="61"/>
      <c r="F660" s="202"/>
      <c r="G660" s="61"/>
      <c r="H660" s="202"/>
      <c r="I660" s="18"/>
      <c r="J660" s="202"/>
      <c r="K660" s="55"/>
      <c r="L660" s="55"/>
      <c r="M660" s="55"/>
      <c r="N660" s="55"/>
      <c r="O660" s="55"/>
      <c r="P660" s="55"/>
      <c r="Q660" s="55"/>
      <c r="R660" s="55"/>
      <c r="S660" s="55"/>
      <c r="T660" s="55"/>
      <c r="U660" s="55"/>
      <c r="V660" s="55"/>
      <c r="W660" s="55"/>
    </row>
    <row r="661">
      <c r="A661" s="61"/>
      <c r="B661" s="202"/>
      <c r="C661" s="61"/>
      <c r="D661" s="202"/>
      <c r="E661" s="61"/>
      <c r="F661" s="202"/>
      <c r="G661" s="61"/>
      <c r="H661" s="202"/>
      <c r="I661" s="18"/>
      <c r="J661" s="202"/>
      <c r="K661" s="55"/>
      <c r="L661" s="55"/>
      <c r="M661" s="55"/>
      <c r="N661" s="55"/>
      <c r="O661" s="55"/>
      <c r="P661" s="55"/>
      <c r="Q661" s="55"/>
      <c r="R661" s="55"/>
      <c r="S661" s="55"/>
      <c r="T661" s="55"/>
      <c r="U661" s="55"/>
      <c r="V661" s="55"/>
      <c r="W661" s="55"/>
    </row>
    <row r="662">
      <c r="A662" s="61"/>
      <c r="B662" s="202"/>
      <c r="C662" s="61"/>
      <c r="D662" s="202"/>
      <c r="E662" s="61"/>
      <c r="F662" s="202"/>
      <c r="G662" s="61"/>
      <c r="H662" s="202"/>
      <c r="I662" s="18"/>
      <c r="J662" s="202"/>
      <c r="K662" s="55"/>
      <c r="L662" s="55"/>
      <c r="M662" s="55"/>
      <c r="N662" s="55"/>
      <c r="O662" s="55"/>
      <c r="P662" s="55"/>
      <c r="Q662" s="55"/>
      <c r="R662" s="55"/>
      <c r="S662" s="55"/>
      <c r="T662" s="55"/>
      <c r="U662" s="55"/>
      <c r="V662" s="55"/>
      <c r="W662" s="55"/>
    </row>
    <row r="663">
      <c r="A663" s="61"/>
      <c r="B663" s="202"/>
      <c r="C663" s="61"/>
      <c r="D663" s="202"/>
      <c r="E663" s="61"/>
      <c r="F663" s="202"/>
      <c r="G663" s="61"/>
      <c r="H663" s="202"/>
      <c r="I663" s="18"/>
      <c r="J663" s="202"/>
      <c r="K663" s="55"/>
      <c r="L663" s="55"/>
      <c r="M663" s="55"/>
      <c r="N663" s="55"/>
      <c r="O663" s="55"/>
      <c r="P663" s="55"/>
      <c r="Q663" s="55"/>
      <c r="R663" s="55"/>
      <c r="S663" s="55"/>
      <c r="T663" s="55"/>
      <c r="U663" s="55"/>
      <c r="V663" s="55"/>
      <c r="W663" s="55"/>
    </row>
    <row r="664">
      <c r="A664" s="61"/>
      <c r="B664" s="202"/>
      <c r="C664" s="61"/>
      <c r="D664" s="202"/>
      <c r="E664" s="61"/>
      <c r="F664" s="202"/>
      <c r="G664" s="61"/>
      <c r="H664" s="202"/>
      <c r="I664" s="18"/>
      <c r="J664" s="202"/>
      <c r="K664" s="55"/>
      <c r="L664" s="55"/>
      <c r="M664" s="55"/>
      <c r="N664" s="55"/>
      <c r="O664" s="55"/>
      <c r="P664" s="55"/>
      <c r="Q664" s="55"/>
      <c r="R664" s="55"/>
      <c r="S664" s="55"/>
      <c r="T664" s="55"/>
      <c r="U664" s="55"/>
      <c r="V664" s="55"/>
      <c r="W664" s="55"/>
    </row>
    <row r="665">
      <c r="A665" s="61"/>
      <c r="B665" s="202"/>
      <c r="C665" s="61"/>
      <c r="D665" s="202"/>
      <c r="E665" s="61"/>
      <c r="F665" s="202"/>
      <c r="G665" s="61"/>
      <c r="H665" s="202"/>
      <c r="I665" s="18"/>
      <c r="J665" s="202"/>
      <c r="K665" s="55"/>
      <c r="L665" s="55"/>
      <c r="M665" s="55"/>
      <c r="N665" s="55"/>
      <c r="O665" s="55"/>
      <c r="P665" s="55"/>
      <c r="Q665" s="55"/>
      <c r="R665" s="55"/>
      <c r="S665" s="55"/>
      <c r="T665" s="55"/>
      <c r="U665" s="55"/>
      <c r="V665" s="55"/>
      <c r="W665" s="55"/>
    </row>
    <row r="666">
      <c r="A666" s="61"/>
      <c r="B666" s="202"/>
      <c r="C666" s="61"/>
      <c r="D666" s="202"/>
      <c r="E666" s="61"/>
      <c r="F666" s="202"/>
      <c r="G666" s="61"/>
      <c r="H666" s="202"/>
      <c r="I666" s="18"/>
      <c r="J666" s="202"/>
      <c r="K666" s="55"/>
      <c r="L666" s="55"/>
      <c r="M666" s="55"/>
      <c r="N666" s="55"/>
      <c r="O666" s="55"/>
      <c r="P666" s="55"/>
      <c r="Q666" s="55"/>
      <c r="R666" s="55"/>
      <c r="S666" s="55"/>
      <c r="T666" s="55"/>
      <c r="U666" s="55"/>
      <c r="V666" s="55"/>
      <c r="W666" s="55"/>
    </row>
    <row r="667">
      <c r="A667" s="61"/>
      <c r="B667" s="202"/>
      <c r="C667" s="61"/>
      <c r="D667" s="202"/>
      <c r="E667" s="61"/>
      <c r="F667" s="202"/>
      <c r="G667" s="61"/>
      <c r="H667" s="202"/>
      <c r="I667" s="18"/>
      <c r="J667" s="202"/>
      <c r="K667" s="55"/>
      <c r="L667" s="55"/>
      <c r="M667" s="55"/>
      <c r="N667" s="55"/>
      <c r="O667" s="55"/>
      <c r="P667" s="55"/>
      <c r="Q667" s="55"/>
      <c r="R667" s="55"/>
      <c r="S667" s="55"/>
      <c r="T667" s="55"/>
      <c r="U667" s="55"/>
      <c r="V667" s="55"/>
      <c r="W667" s="55"/>
    </row>
    <row r="668">
      <c r="A668" s="61"/>
      <c r="B668" s="202"/>
      <c r="C668" s="61"/>
      <c r="D668" s="202"/>
      <c r="E668" s="61"/>
      <c r="F668" s="202"/>
      <c r="G668" s="61"/>
      <c r="H668" s="202"/>
      <c r="I668" s="18"/>
      <c r="J668" s="202"/>
      <c r="K668" s="55"/>
      <c r="L668" s="55"/>
      <c r="M668" s="55"/>
      <c r="N668" s="55"/>
      <c r="O668" s="55"/>
      <c r="P668" s="55"/>
      <c r="Q668" s="55"/>
      <c r="R668" s="55"/>
      <c r="S668" s="55"/>
      <c r="T668" s="55"/>
      <c r="U668" s="55"/>
      <c r="V668" s="55"/>
      <c r="W668" s="55"/>
    </row>
    <row r="669">
      <c r="A669" s="61"/>
      <c r="B669" s="202"/>
      <c r="C669" s="61"/>
      <c r="D669" s="202"/>
      <c r="E669" s="61"/>
      <c r="F669" s="202"/>
      <c r="G669" s="61"/>
      <c r="H669" s="202"/>
      <c r="I669" s="18"/>
      <c r="J669" s="202"/>
      <c r="K669" s="55"/>
      <c r="L669" s="55"/>
      <c r="M669" s="55"/>
      <c r="N669" s="55"/>
      <c r="O669" s="55"/>
      <c r="P669" s="55"/>
      <c r="Q669" s="55"/>
      <c r="R669" s="55"/>
      <c r="S669" s="55"/>
      <c r="T669" s="55"/>
      <c r="U669" s="55"/>
      <c r="V669" s="55"/>
      <c r="W669" s="55"/>
    </row>
    <row r="670">
      <c r="A670" s="61"/>
      <c r="B670" s="202"/>
      <c r="C670" s="61"/>
      <c r="D670" s="202"/>
      <c r="E670" s="61"/>
      <c r="F670" s="202"/>
      <c r="G670" s="61"/>
      <c r="H670" s="202"/>
      <c r="I670" s="18"/>
      <c r="J670" s="202"/>
      <c r="K670" s="55"/>
      <c r="L670" s="55"/>
      <c r="M670" s="55"/>
      <c r="N670" s="55"/>
      <c r="O670" s="55"/>
      <c r="P670" s="55"/>
      <c r="Q670" s="55"/>
      <c r="R670" s="55"/>
      <c r="S670" s="55"/>
      <c r="T670" s="55"/>
      <c r="U670" s="55"/>
      <c r="V670" s="55"/>
      <c r="W670" s="55"/>
    </row>
    <row r="671">
      <c r="A671" s="61"/>
      <c r="B671" s="202"/>
      <c r="C671" s="61"/>
      <c r="D671" s="202"/>
      <c r="E671" s="61"/>
      <c r="F671" s="202"/>
      <c r="G671" s="61"/>
      <c r="H671" s="202"/>
      <c r="I671" s="18"/>
      <c r="J671" s="202"/>
      <c r="K671" s="55"/>
      <c r="L671" s="55"/>
      <c r="M671" s="55"/>
      <c r="N671" s="55"/>
      <c r="O671" s="55"/>
      <c r="P671" s="55"/>
      <c r="Q671" s="55"/>
      <c r="R671" s="55"/>
      <c r="S671" s="55"/>
      <c r="T671" s="55"/>
      <c r="U671" s="55"/>
      <c r="V671" s="55"/>
      <c r="W671" s="55"/>
    </row>
    <row r="672">
      <c r="A672" s="61"/>
      <c r="B672" s="202"/>
      <c r="C672" s="61"/>
      <c r="D672" s="202"/>
      <c r="E672" s="61"/>
      <c r="F672" s="202"/>
      <c r="G672" s="61"/>
      <c r="H672" s="202"/>
      <c r="I672" s="18"/>
      <c r="J672" s="202"/>
      <c r="K672" s="55"/>
      <c r="L672" s="55"/>
      <c r="M672" s="55"/>
      <c r="N672" s="55"/>
      <c r="O672" s="55"/>
      <c r="P672" s="55"/>
      <c r="Q672" s="55"/>
      <c r="R672" s="55"/>
      <c r="S672" s="55"/>
      <c r="T672" s="55"/>
      <c r="U672" s="55"/>
      <c r="V672" s="55"/>
      <c r="W672" s="55"/>
    </row>
    <row r="673">
      <c r="A673" s="61"/>
      <c r="B673" s="202"/>
      <c r="C673" s="61"/>
      <c r="D673" s="202"/>
      <c r="E673" s="61"/>
      <c r="F673" s="202"/>
      <c r="G673" s="61"/>
      <c r="H673" s="202"/>
      <c r="I673" s="18"/>
      <c r="J673" s="202"/>
      <c r="K673" s="55"/>
      <c r="L673" s="55"/>
      <c r="M673" s="55"/>
      <c r="N673" s="55"/>
      <c r="O673" s="55"/>
      <c r="P673" s="55"/>
      <c r="Q673" s="55"/>
      <c r="R673" s="55"/>
      <c r="S673" s="55"/>
      <c r="T673" s="55"/>
      <c r="U673" s="55"/>
      <c r="V673" s="55"/>
      <c r="W673" s="55"/>
    </row>
    <row r="674">
      <c r="A674" s="61"/>
      <c r="B674" s="202"/>
      <c r="C674" s="61"/>
      <c r="D674" s="202"/>
      <c r="E674" s="61"/>
      <c r="F674" s="202"/>
      <c r="G674" s="61"/>
      <c r="H674" s="202"/>
      <c r="I674" s="18"/>
      <c r="J674" s="202"/>
      <c r="K674" s="55"/>
      <c r="L674" s="55"/>
      <c r="M674" s="55"/>
      <c r="N674" s="55"/>
      <c r="O674" s="55"/>
      <c r="P674" s="55"/>
      <c r="Q674" s="55"/>
      <c r="R674" s="55"/>
      <c r="S674" s="55"/>
      <c r="T674" s="55"/>
      <c r="U674" s="55"/>
      <c r="V674" s="55"/>
      <c r="W674" s="55"/>
    </row>
    <row r="675">
      <c r="A675" s="61"/>
      <c r="B675" s="202"/>
      <c r="C675" s="61"/>
      <c r="D675" s="202"/>
      <c r="E675" s="61"/>
      <c r="F675" s="202"/>
      <c r="G675" s="61"/>
      <c r="H675" s="202"/>
      <c r="I675" s="18"/>
      <c r="J675" s="202"/>
      <c r="K675" s="55"/>
      <c r="L675" s="55"/>
      <c r="M675" s="55"/>
      <c r="N675" s="55"/>
      <c r="O675" s="55"/>
      <c r="P675" s="55"/>
      <c r="Q675" s="55"/>
      <c r="R675" s="55"/>
      <c r="S675" s="55"/>
      <c r="T675" s="55"/>
      <c r="U675" s="55"/>
      <c r="V675" s="55"/>
      <c r="W675" s="55"/>
    </row>
    <row r="676">
      <c r="A676" s="61"/>
      <c r="B676" s="202"/>
      <c r="C676" s="61"/>
      <c r="D676" s="202"/>
      <c r="E676" s="61"/>
      <c r="F676" s="202"/>
      <c r="G676" s="61"/>
      <c r="H676" s="202"/>
      <c r="I676" s="18"/>
      <c r="J676" s="202"/>
      <c r="K676" s="55"/>
      <c r="L676" s="55"/>
      <c r="M676" s="55"/>
      <c r="N676" s="55"/>
      <c r="O676" s="55"/>
      <c r="P676" s="55"/>
      <c r="Q676" s="55"/>
      <c r="R676" s="55"/>
      <c r="S676" s="55"/>
      <c r="T676" s="55"/>
      <c r="U676" s="55"/>
      <c r="V676" s="55"/>
      <c r="W676" s="55"/>
    </row>
    <row r="677">
      <c r="A677" s="61"/>
      <c r="B677" s="202"/>
      <c r="C677" s="61"/>
      <c r="D677" s="202"/>
      <c r="E677" s="61"/>
      <c r="F677" s="202"/>
      <c r="G677" s="61"/>
      <c r="H677" s="202"/>
      <c r="I677" s="18"/>
      <c r="J677" s="202"/>
      <c r="K677" s="55"/>
      <c r="L677" s="55"/>
      <c r="M677" s="55"/>
      <c r="N677" s="55"/>
      <c r="O677" s="55"/>
      <c r="P677" s="55"/>
      <c r="Q677" s="55"/>
      <c r="R677" s="55"/>
      <c r="S677" s="55"/>
      <c r="T677" s="55"/>
      <c r="U677" s="55"/>
      <c r="V677" s="55"/>
      <c r="W677" s="55"/>
    </row>
    <row r="678">
      <c r="A678" s="61"/>
      <c r="B678" s="202"/>
      <c r="C678" s="61"/>
      <c r="D678" s="202"/>
      <c r="E678" s="61"/>
      <c r="F678" s="202"/>
      <c r="G678" s="61"/>
      <c r="H678" s="202"/>
      <c r="I678" s="18"/>
      <c r="J678" s="202"/>
      <c r="K678" s="55"/>
      <c r="L678" s="55"/>
      <c r="M678" s="55"/>
      <c r="N678" s="55"/>
      <c r="O678" s="55"/>
      <c r="P678" s="55"/>
      <c r="Q678" s="55"/>
      <c r="R678" s="55"/>
      <c r="S678" s="55"/>
      <c r="T678" s="55"/>
      <c r="U678" s="55"/>
      <c r="V678" s="55"/>
      <c r="W678" s="55"/>
    </row>
    <row r="679">
      <c r="A679" s="61"/>
      <c r="B679" s="202"/>
      <c r="C679" s="61"/>
      <c r="D679" s="202"/>
      <c r="E679" s="61"/>
      <c r="F679" s="202"/>
      <c r="G679" s="61"/>
      <c r="H679" s="202"/>
      <c r="I679" s="18"/>
      <c r="J679" s="202"/>
      <c r="K679" s="55"/>
      <c r="L679" s="55"/>
      <c r="M679" s="55"/>
      <c r="N679" s="55"/>
      <c r="O679" s="55"/>
      <c r="P679" s="55"/>
      <c r="Q679" s="55"/>
      <c r="R679" s="55"/>
      <c r="S679" s="55"/>
      <c r="T679" s="55"/>
      <c r="U679" s="55"/>
      <c r="V679" s="55"/>
      <c r="W679" s="55"/>
    </row>
    <row r="680">
      <c r="A680" s="61"/>
      <c r="B680" s="202"/>
      <c r="C680" s="61"/>
      <c r="D680" s="202"/>
      <c r="E680" s="61"/>
      <c r="F680" s="202"/>
      <c r="G680" s="61"/>
      <c r="H680" s="202"/>
      <c r="I680" s="18"/>
      <c r="J680" s="202"/>
      <c r="K680" s="55"/>
      <c r="L680" s="55"/>
      <c r="M680" s="55"/>
      <c r="N680" s="55"/>
      <c r="O680" s="55"/>
      <c r="P680" s="55"/>
      <c r="Q680" s="55"/>
      <c r="R680" s="55"/>
      <c r="S680" s="55"/>
      <c r="T680" s="55"/>
      <c r="U680" s="55"/>
      <c r="V680" s="55"/>
      <c r="W680" s="55"/>
    </row>
    <row r="681">
      <c r="A681" s="61"/>
      <c r="B681" s="202"/>
      <c r="C681" s="61"/>
      <c r="D681" s="202"/>
      <c r="E681" s="61"/>
      <c r="F681" s="202"/>
      <c r="G681" s="61"/>
      <c r="H681" s="202"/>
      <c r="I681" s="18"/>
      <c r="J681" s="202"/>
      <c r="K681" s="55"/>
      <c r="L681" s="55"/>
      <c r="M681" s="55"/>
      <c r="N681" s="55"/>
      <c r="O681" s="55"/>
      <c r="P681" s="55"/>
      <c r="Q681" s="55"/>
      <c r="R681" s="55"/>
      <c r="S681" s="55"/>
      <c r="T681" s="55"/>
      <c r="U681" s="55"/>
      <c r="V681" s="55"/>
      <c r="W681" s="55"/>
    </row>
    <row r="682">
      <c r="A682" s="61"/>
      <c r="B682" s="202"/>
      <c r="C682" s="61"/>
      <c r="D682" s="202"/>
      <c r="E682" s="61"/>
      <c r="F682" s="202"/>
      <c r="G682" s="61"/>
      <c r="H682" s="202"/>
      <c r="I682" s="18"/>
      <c r="J682" s="202"/>
      <c r="K682" s="55"/>
      <c r="L682" s="55"/>
      <c r="M682" s="55"/>
      <c r="N682" s="55"/>
      <c r="O682" s="55"/>
      <c r="P682" s="55"/>
      <c r="Q682" s="55"/>
      <c r="R682" s="55"/>
      <c r="S682" s="55"/>
      <c r="T682" s="55"/>
      <c r="U682" s="55"/>
      <c r="V682" s="55"/>
      <c r="W682" s="55"/>
    </row>
    <row r="683">
      <c r="A683" s="61"/>
      <c r="B683" s="202"/>
      <c r="C683" s="61"/>
      <c r="D683" s="202"/>
      <c r="E683" s="61"/>
      <c r="F683" s="202"/>
      <c r="G683" s="61"/>
      <c r="H683" s="202"/>
      <c r="I683" s="18"/>
      <c r="J683" s="202"/>
      <c r="K683" s="55"/>
      <c r="L683" s="55"/>
      <c r="M683" s="55"/>
      <c r="N683" s="55"/>
      <c r="O683" s="55"/>
      <c r="P683" s="55"/>
      <c r="Q683" s="55"/>
      <c r="R683" s="55"/>
      <c r="S683" s="55"/>
      <c r="T683" s="55"/>
      <c r="U683" s="55"/>
      <c r="V683" s="55"/>
      <c r="W683" s="55"/>
    </row>
    <row r="684">
      <c r="A684" s="61"/>
      <c r="B684" s="202"/>
      <c r="C684" s="61"/>
      <c r="D684" s="202"/>
      <c r="E684" s="61"/>
      <c r="F684" s="202"/>
      <c r="G684" s="61"/>
      <c r="H684" s="202"/>
      <c r="I684" s="18"/>
      <c r="J684" s="202"/>
      <c r="K684" s="55"/>
      <c r="L684" s="55"/>
      <c r="M684" s="55"/>
      <c r="N684" s="55"/>
      <c r="O684" s="55"/>
      <c r="P684" s="55"/>
      <c r="Q684" s="55"/>
      <c r="R684" s="55"/>
      <c r="S684" s="55"/>
      <c r="T684" s="55"/>
      <c r="U684" s="55"/>
      <c r="V684" s="55"/>
      <c r="W684" s="55"/>
    </row>
    <row r="685">
      <c r="A685" s="61"/>
      <c r="B685" s="202"/>
      <c r="C685" s="61"/>
      <c r="D685" s="202"/>
      <c r="E685" s="61"/>
      <c r="F685" s="202"/>
      <c r="G685" s="61"/>
      <c r="H685" s="202"/>
      <c r="I685" s="18"/>
      <c r="J685" s="202"/>
      <c r="K685" s="55"/>
      <c r="L685" s="55"/>
      <c r="M685" s="55"/>
      <c r="N685" s="55"/>
      <c r="O685" s="55"/>
      <c r="P685" s="55"/>
      <c r="Q685" s="55"/>
      <c r="R685" s="55"/>
      <c r="S685" s="55"/>
      <c r="T685" s="55"/>
      <c r="U685" s="55"/>
      <c r="V685" s="55"/>
      <c r="W685" s="55"/>
    </row>
    <row r="686">
      <c r="A686" s="61"/>
      <c r="B686" s="202"/>
      <c r="C686" s="61"/>
      <c r="D686" s="202"/>
      <c r="E686" s="61"/>
      <c r="F686" s="202"/>
      <c r="G686" s="61"/>
      <c r="H686" s="202"/>
      <c r="I686" s="18"/>
      <c r="J686" s="202"/>
      <c r="K686" s="55"/>
      <c r="L686" s="55"/>
      <c r="M686" s="55"/>
      <c r="N686" s="55"/>
      <c r="O686" s="55"/>
      <c r="P686" s="55"/>
      <c r="Q686" s="55"/>
      <c r="R686" s="55"/>
      <c r="S686" s="55"/>
      <c r="T686" s="55"/>
      <c r="U686" s="55"/>
      <c r="V686" s="55"/>
      <c r="W686" s="55"/>
    </row>
    <row r="687">
      <c r="A687" s="61"/>
      <c r="B687" s="202"/>
      <c r="C687" s="61"/>
      <c r="D687" s="202"/>
      <c r="E687" s="61"/>
      <c r="F687" s="202"/>
      <c r="G687" s="61"/>
      <c r="H687" s="202"/>
      <c r="I687" s="18"/>
      <c r="J687" s="202"/>
      <c r="K687" s="55"/>
      <c r="L687" s="55"/>
      <c r="M687" s="55"/>
      <c r="N687" s="55"/>
      <c r="O687" s="55"/>
      <c r="P687" s="55"/>
      <c r="Q687" s="55"/>
      <c r="R687" s="55"/>
      <c r="S687" s="55"/>
      <c r="T687" s="55"/>
      <c r="U687" s="55"/>
      <c r="V687" s="55"/>
      <c r="W687" s="55"/>
    </row>
    <row r="688">
      <c r="A688" s="61"/>
      <c r="B688" s="202"/>
      <c r="C688" s="61"/>
      <c r="D688" s="202"/>
      <c r="E688" s="61"/>
      <c r="F688" s="202"/>
      <c r="G688" s="61"/>
      <c r="H688" s="202"/>
      <c r="I688" s="18"/>
      <c r="J688" s="202"/>
      <c r="K688" s="55"/>
      <c r="L688" s="55"/>
      <c r="M688" s="55"/>
      <c r="N688" s="55"/>
      <c r="O688" s="55"/>
      <c r="P688" s="55"/>
      <c r="Q688" s="55"/>
      <c r="R688" s="55"/>
      <c r="S688" s="55"/>
      <c r="T688" s="55"/>
      <c r="U688" s="55"/>
      <c r="V688" s="55"/>
      <c r="W688" s="55"/>
    </row>
    <row r="689">
      <c r="A689" s="61"/>
      <c r="B689" s="202"/>
      <c r="C689" s="61"/>
      <c r="D689" s="202"/>
      <c r="E689" s="61"/>
      <c r="F689" s="202"/>
      <c r="G689" s="61"/>
      <c r="H689" s="202"/>
      <c r="I689" s="18"/>
      <c r="J689" s="202"/>
      <c r="K689" s="55"/>
      <c r="L689" s="55"/>
      <c r="M689" s="55"/>
      <c r="N689" s="55"/>
      <c r="O689" s="55"/>
      <c r="P689" s="55"/>
      <c r="Q689" s="55"/>
      <c r="R689" s="55"/>
      <c r="S689" s="55"/>
      <c r="T689" s="55"/>
      <c r="U689" s="55"/>
      <c r="V689" s="55"/>
      <c r="W689" s="55"/>
    </row>
    <row r="690">
      <c r="A690" s="61"/>
      <c r="B690" s="202"/>
      <c r="C690" s="61"/>
      <c r="D690" s="202"/>
      <c r="E690" s="61"/>
      <c r="F690" s="202"/>
      <c r="G690" s="61"/>
      <c r="H690" s="202"/>
      <c r="I690" s="18"/>
      <c r="J690" s="202"/>
      <c r="K690" s="55"/>
      <c r="L690" s="55"/>
      <c r="M690" s="55"/>
      <c r="N690" s="55"/>
      <c r="O690" s="55"/>
      <c r="P690" s="55"/>
      <c r="Q690" s="55"/>
      <c r="R690" s="55"/>
      <c r="S690" s="55"/>
      <c r="T690" s="55"/>
      <c r="U690" s="55"/>
      <c r="V690" s="55"/>
      <c r="W690" s="55"/>
    </row>
    <row r="691">
      <c r="A691" s="61"/>
      <c r="B691" s="202"/>
      <c r="C691" s="61"/>
      <c r="D691" s="202"/>
      <c r="E691" s="61"/>
      <c r="F691" s="202"/>
      <c r="G691" s="61"/>
      <c r="H691" s="202"/>
      <c r="I691" s="18"/>
      <c r="J691" s="202"/>
      <c r="K691" s="55"/>
      <c r="L691" s="55"/>
      <c r="M691" s="55"/>
      <c r="N691" s="55"/>
      <c r="O691" s="55"/>
      <c r="P691" s="55"/>
      <c r="Q691" s="55"/>
      <c r="R691" s="55"/>
      <c r="S691" s="55"/>
      <c r="T691" s="55"/>
      <c r="U691" s="55"/>
      <c r="V691" s="55"/>
      <c r="W691" s="55"/>
    </row>
    <row r="692">
      <c r="A692" s="61"/>
      <c r="B692" s="202"/>
      <c r="C692" s="61"/>
      <c r="D692" s="202"/>
      <c r="E692" s="61"/>
      <c r="F692" s="202"/>
      <c r="G692" s="61"/>
      <c r="H692" s="202"/>
      <c r="I692" s="18"/>
      <c r="J692" s="202"/>
      <c r="K692" s="55"/>
      <c r="L692" s="55"/>
      <c r="M692" s="55"/>
      <c r="N692" s="55"/>
      <c r="O692" s="55"/>
      <c r="P692" s="55"/>
      <c r="Q692" s="55"/>
      <c r="R692" s="55"/>
      <c r="S692" s="55"/>
      <c r="T692" s="55"/>
      <c r="U692" s="55"/>
      <c r="V692" s="55"/>
      <c r="W692" s="55"/>
    </row>
    <row r="693">
      <c r="A693" s="61"/>
      <c r="B693" s="202"/>
      <c r="C693" s="61"/>
      <c r="D693" s="202"/>
      <c r="E693" s="61"/>
      <c r="F693" s="202"/>
      <c r="G693" s="61"/>
      <c r="H693" s="202"/>
      <c r="I693" s="18"/>
      <c r="J693" s="202"/>
      <c r="K693" s="55"/>
      <c r="L693" s="55"/>
      <c r="M693" s="55"/>
      <c r="N693" s="55"/>
      <c r="O693" s="55"/>
      <c r="P693" s="55"/>
      <c r="Q693" s="55"/>
      <c r="R693" s="55"/>
      <c r="S693" s="55"/>
      <c r="T693" s="55"/>
      <c r="U693" s="55"/>
      <c r="V693" s="55"/>
      <c r="W693" s="55"/>
    </row>
    <row r="694">
      <c r="A694" s="61"/>
      <c r="B694" s="202"/>
      <c r="C694" s="61"/>
      <c r="D694" s="202"/>
      <c r="E694" s="61"/>
      <c r="F694" s="202"/>
      <c r="G694" s="61"/>
      <c r="H694" s="202"/>
      <c r="I694" s="18"/>
      <c r="J694" s="202"/>
      <c r="K694" s="55"/>
      <c r="L694" s="55"/>
      <c r="M694" s="55"/>
      <c r="N694" s="55"/>
      <c r="O694" s="55"/>
      <c r="P694" s="55"/>
      <c r="Q694" s="55"/>
      <c r="R694" s="55"/>
      <c r="S694" s="55"/>
      <c r="T694" s="55"/>
      <c r="U694" s="55"/>
      <c r="V694" s="55"/>
      <c r="W694" s="55"/>
    </row>
    <row r="695">
      <c r="A695" s="61"/>
      <c r="B695" s="202"/>
      <c r="C695" s="61"/>
      <c r="D695" s="202"/>
      <c r="E695" s="61"/>
      <c r="F695" s="202"/>
      <c r="G695" s="61"/>
      <c r="H695" s="202"/>
      <c r="I695" s="18"/>
      <c r="J695" s="202"/>
      <c r="K695" s="55"/>
      <c r="L695" s="55"/>
      <c r="M695" s="55"/>
      <c r="N695" s="55"/>
      <c r="O695" s="55"/>
      <c r="P695" s="55"/>
      <c r="Q695" s="55"/>
      <c r="R695" s="55"/>
      <c r="S695" s="55"/>
      <c r="T695" s="55"/>
      <c r="U695" s="55"/>
      <c r="V695" s="55"/>
      <c r="W695" s="55"/>
    </row>
    <row r="696">
      <c r="A696" s="61"/>
      <c r="B696" s="202"/>
      <c r="C696" s="61"/>
      <c r="D696" s="202"/>
      <c r="E696" s="61"/>
      <c r="F696" s="202"/>
      <c r="G696" s="61"/>
      <c r="H696" s="202"/>
      <c r="I696" s="18"/>
      <c r="J696" s="202"/>
      <c r="K696" s="55"/>
      <c r="L696" s="55"/>
      <c r="M696" s="55"/>
      <c r="N696" s="55"/>
      <c r="O696" s="55"/>
      <c r="P696" s="55"/>
      <c r="Q696" s="55"/>
      <c r="R696" s="55"/>
      <c r="S696" s="55"/>
      <c r="T696" s="55"/>
      <c r="U696" s="55"/>
      <c r="V696" s="55"/>
      <c r="W696" s="55"/>
    </row>
    <row r="697">
      <c r="A697" s="61"/>
      <c r="B697" s="202"/>
      <c r="C697" s="61"/>
      <c r="D697" s="202"/>
      <c r="E697" s="61"/>
      <c r="F697" s="202"/>
      <c r="G697" s="61"/>
      <c r="H697" s="202"/>
      <c r="I697" s="18"/>
      <c r="J697" s="202"/>
      <c r="K697" s="55"/>
      <c r="L697" s="55"/>
      <c r="M697" s="55"/>
      <c r="N697" s="55"/>
      <c r="O697" s="55"/>
      <c r="P697" s="55"/>
      <c r="Q697" s="55"/>
      <c r="R697" s="55"/>
      <c r="S697" s="55"/>
      <c r="T697" s="55"/>
      <c r="U697" s="55"/>
      <c r="V697" s="55"/>
      <c r="W697" s="55"/>
    </row>
    <row r="698">
      <c r="A698" s="61"/>
      <c r="B698" s="202"/>
      <c r="C698" s="61"/>
      <c r="D698" s="202"/>
      <c r="E698" s="61"/>
      <c r="F698" s="202"/>
      <c r="G698" s="61"/>
      <c r="H698" s="202"/>
      <c r="I698" s="18"/>
      <c r="J698" s="202"/>
      <c r="K698" s="55"/>
      <c r="L698" s="55"/>
      <c r="M698" s="55"/>
      <c r="N698" s="55"/>
      <c r="O698" s="55"/>
      <c r="P698" s="55"/>
      <c r="Q698" s="55"/>
      <c r="R698" s="55"/>
      <c r="S698" s="55"/>
      <c r="T698" s="55"/>
      <c r="U698" s="55"/>
      <c r="V698" s="55"/>
      <c r="W698" s="55"/>
    </row>
    <row r="699">
      <c r="A699" s="61"/>
      <c r="B699" s="202"/>
      <c r="C699" s="61"/>
      <c r="D699" s="202"/>
      <c r="E699" s="61"/>
      <c r="F699" s="202"/>
      <c r="G699" s="61"/>
      <c r="H699" s="202"/>
      <c r="I699" s="18"/>
      <c r="J699" s="202"/>
      <c r="K699" s="55"/>
      <c r="L699" s="55"/>
      <c r="M699" s="55"/>
      <c r="N699" s="55"/>
      <c r="O699" s="55"/>
      <c r="P699" s="55"/>
      <c r="Q699" s="55"/>
      <c r="R699" s="55"/>
      <c r="S699" s="55"/>
      <c r="T699" s="55"/>
      <c r="U699" s="55"/>
      <c r="V699" s="55"/>
      <c r="W699" s="55"/>
    </row>
    <row r="700">
      <c r="A700" s="61"/>
      <c r="B700" s="202"/>
      <c r="C700" s="61"/>
      <c r="D700" s="202"/>
      <c r="E700" s="61"/>
      <c r="F700" s="202"/>
      <c r="G700" s="61"/>
      <c r="H700" s="202"/>
      <c r="I700" s="18"/>
      <c r="J700" s="202"/>
      <c r="K700" s="55"/>
      <c r="L700" s="55"/>
      <c r="M700" s="55"/>
      <c r="N700" s="55"/>
      <c r="O700" s="55"/>
      <c r="P700" s="55"/>
      <c r="Q700" s="55"/>
      <c r="R700" s="55"/>
      <c r="S700" s="55"/>
      <c r="T700" s="55"/>
      <c r="U700" s="55"/>
      <c r="V700" s="55"/>
      <c r="W700" s="55"/>
    </row>
    <row r="701">
      <c r="A701" s="61"/>
      <c r="B701" s="202"/>
      <c r="C701" s="61"/>
      <c r="D701" s="202"/>
      <c r="E701" s="61"/>
      <c r="F701" s="202"/>
      <c r="G701" s="61"/>
      <c r="H701" s="202"/>
      <c r="I701" s="18"/>
      <c r="J701" s="202"/>
      <c r="K701" s="55"/>
      <c r="L701" s="55"/>
      <c r="M701" s="55"/>
      <c r="N701" s="55"/>
      <c r="O701" s="55"/>
      <c r="P701" s="55"/>
      <c r="Q701" s="55"/>
      <c r="R701" s="55"/>
      <c r="S701" s="55"/>
      <c r="T701" s="55"/>
      <c r="U701" s="55"/>
      <c r="V701" s="55"/>
      <c r="W701" s="55"/>
    </row>
    <row r="702">
      <c r="A702" s="61"/>
      <c r="B702" s="202"/>
      <c r="C702" s="61"/>
      <c r="D702" s="202"/>
      <c r="E702" s="61"/>
      <c r="F702" s="202"/>
      <c r="G702" s="61"/>
      <c r="H702" s="202"/>
      <c r="I702" s="18"/>
      <c r="J702" s="202"/>
      <c r="K702" s="55"/>
      <c r="L702" s="55"/>
      <c r="M702" s="55"/>
      <c r="N702" s="55"/>
      <c r="O702" s="55"/>
      <c r="P702" s="55"/>
      <c r="Q702" s="55"/>
      <c r="R702" s="55"/>
      <c r="S702" s="55"/>
      <c r="T702" s="55"/>
      <c r="U702" s="55"/>
      <c r="V702" s="55"/>
      <c r="W702" s="55"/>
    </row>
    <row r="703">
      <c r="A703" s="61"/>
      <c r="B703" s="202"/>
      <c r="C703" s="61"/>
      <c r="D703" s="202"/>
      <c r="E703" s="61"/>
      <c r="F703" s="202"/>
      <c r="G703" s="61"/>
      <c r="H703" s="202"/>
      <c r="I703" s="18"/>
      <c r="J703" s="202"/>
      <c r="K703" s="55"/>
      <c r="L703" s="55"/>
      <c r="M703" s="55"/>
      <c r="N703" s="55"/>
      <c r="O703" s="55"/>
      <c r="P703" s="55"/>
      <c r="Q703" s="55"/>
      <c r="R703" s="55"/>
      <c r="S703" s="55"/>
      <c r="T703" s="55"/>
      <c r="U703" s="55"/>
      <c r="V703" s="55"/>
      <c r="W703" s="55"/>
    </row>
    <row r="704">
      <c r="A704" s="61"/>
      <c r="B704" s="202"/>
      <c r="C704" s="61"/>
      <c r="D704" s="202"/>
      <c r="E704" s="61"/>
      <c r="F704" s="202"/>
      <c r="G704" s="61"/>
      <c r="H704" s="202"/>
      <c r="I704" s="18"/>
      <c r="J704" s="202"/>
      <c r="K704" s="55"/>
      <c r="L704" s="55"/>
      <c r="M704" s="55"/>
      <c r="N704" s="55"/>
      <c r="O704" s="55"/>
      <c r="P704" s="55"/>
      <c r="Q704" s="55"/>
      <c r="R704" s="55"/>
      <c r="S704" s="55"/>
      <c r="T704" s="55"/>
      <c r="U704" s="55"/>
      <c r="V704" s="55"/>
      <c r="W704" s="55"/>
    </row>
    <row r="705">
      <c r="A705" s="61"/>
      <c r="B705" s="202"/>
      <c r="C705" s="61"/>
      <c r="D705" s="202"/>
      <c r="E705" s="61"/>
      <c r="F705" s="202"/>
      <c r="G705" s="61"/>
      <c r="H705" s="202"/>
      <c r="I705" s="18"/>
      <c r="J705" s="202"/>
      <c r="K705" s="55"/>
      <c r="L705" s="55"/>
      <c r="M705" s="55"/>
      <c r="N705" s="55"/>
      <c r="O705" s="55"/>
      <c r="P705" s="55"/>
      <c r="Q705" s="55"/>
      <c r="R705" s="55"/>
      <c r="S705" s="55"/>
      <c r="T705" s="55"/>
      <c r="U705" s="55"/>
      <c r="V705" s="55"/>
      <c r="W705" s="55"/>
    </row>
    <row r="706">
      <c r="A706" s="61"/>
      <c r="B706" s="202"/>
      <c r="C706" s="61"/>
      <c r="D706" s="202"/>
      <c r="E706" s="61"/>
      <c r="F706" s="202"/>
      <c r="G706" s="61"/>
      <c r="H706" s="202"/>
      <c r="I706" s="18"/>
      <c r="J706" s="202"/>
      <c r="K706" s="55"/>
      <c r="L706" s="55"/>
      <c r="M706" s="55"/>
      <c r="N706" s="55"/>
      <c r="O706" s="55"/>
      <c r="P706" s="55"/>
      <c r="Q706" s="55"/>
      <c r="R706" s="55"/>
      <c r="S706" s="55"/>
      <c r="T706" s="55"/>
      <c r="U706" s="55"/>
      <c r="V706" s="55"/>
      <c r="W706" s="55"/>
    </row>
    <row r="707">
      <c r="A707" s="61"/>
      <c r="B707" s="202"/>
      <c r="C707" s="61"/>
      <c r="D707" s="202"/>
      <c r="E707" s="61"/>
      <c r="F707" s="202"/>
      <c r="G707" s="61"/>
      <c r="H707" s="202"/>
      <c r="I707" s="18"/>
      <c r="J707" s="202"/>
      <c r="K707" s="55"/>
      <c r="L707" s="55"/>
      <c r="M707" s="55"/>
      <c r="N707" s="55"/>
      <c r="O707" s="55"/>
      <c r="P707" s="55"/>
      <c r="Q707" s="55"/>
      <c r="R707" s="55"/>
      <c r="S707" s="55"/>
      <c r="T707" s="55"/>
      <c r="U707" s="55"/>
      <c r="V707" s="55"/>
      <c r="W707" s="55"/>
    </row>
    <row r="708">
      <c r="A708" s="61"/>
      <c r="B708" s="202"/>
      <c r="C708" s="61"/>
      <c r="D708" s="202"/>
      <c r="E708" s="61"/>
      <c r="F708" s="202"/>
      <c r="G708" s="61"/>
      <c r="H708" s="202"/>
      <c r="I708" s="18"/>
      <c r="J708" s="202"/>
      <c r="K708" s="55"/>
      <c r="L708" s="55"/>
      <c r="M708" s="55"/>
      <c r="N708" s="55"/>
      <c r="O708" s="55"/>
      <c r="P708" s="55"/>
      <c r="Q708" s="55"/>
      <c r="R708" s="55"/>
      <c r="S708" s="55"/>
      <c r="T708" s="55"/>
      <c r="U708" s="55"/>
      <c r="V708" s="55"/>
      <c r="W708" s="55"/>
    </row>
    <row r="709">
      <c r="A709" s="61"/>
      <c r="B709" s="202"/>
      <c r="C709" s="61"/>
      <c r="D709" s="202"/>
      <c r="E709" s="61"/>
      <c r="F709" s="202"/>
      <c r="G709" s="61"/>
      <c r="H709" s="202"/>
      <c r="I709" s="18"/>
      <c r="J709" s="202"/>
      <c r="K709" s="55"/>
      <c r="L709" s="55"/>
      <c r="M709" s="55"/>
      <c r="N709" s="55"/>
      <c r="O709" s="55"/>
      <c r="P709" s="55"/>
      <c r="Q709" s="55"/>
      <c r="R709" s="55"/>
      <c r="S709" s="55"/>
      <c r="T709" s="55"/>
      <c r="U709" s="55"/>
      <c r="V709" s="55"/>
      <c r="W709" s="55"/>
    </row>
    <row r="710">
      <c r="A710" s="61"/>
      <c r="B710" s="202"/>
      <c r="C710" s="61"/>
      <c r="D710" s="202"/>
      <c r="E710" s="61"/>
      <c r="F710" s="202"/>
      <c r="G710" s="61"/>
      <c r="H710" s="202"/>
      <c r="I710" s="18"/>
      <c r="J710" s="202"/>
      <c r="K710" s="55"/>
      <c r="L710" s="55"/>
      <c r="M710" s="55"/>
      <c r="N710" s="55"/>
      <c r="O710" s="55"/>
      <c r="P710" s="55"/>
      <c r="Q710" s="55"/>
      <c r="R710" s="55"/>
      <c r="S710" s="55"/>
      <c r="T710" s="55"/>
      <c r="U710" s="55"/>
      <c r="V710" s="55"/>
      <c r="W710" s="55"/>
    </row>
    <row r="711">
      <c r="A711" s="61"/>
      <c r="B711" s="202"/>
      <c r="C711" s="61"/>
      <c r="D711" s="202"/>
      <c r="E711" s="61"/>
      <c r="F711" s="202"/>
      <c r="G711" s="61"/>
      <c r="H711" s="202"/>
      <c r="I711" s="18"/>
      <c r="J711" s="202"/>
      <c r="K711" s="55"/>
      <c r="L711" s="55"/>
      <c r="M711" s="55"/>
      <c r="N711" s="55"/>
      <c r="O711" s="55"/>
      <c r="P711" s="55"/>
      <c r="Q711" s="55"/>
      <c r="R711" s="55"/>
      <c r="S711" s="55"/>
      <c r="T711" s="55"/>
      <c r="U711" s="55"/>
      <c r="V711" s="55"/>
      <c r="W711" s="55"/>
    </row>
    <row r="712">
      <c r="A712" s="61"/>
      <c r="B712" s="202"/>
      <c r="C712" s="61"/>
      <c r="D712" s="202"/>
      <c r="E712" s="61"/>
      <c r="F712" s="202"/>
      <c r="G712" s="61"/>
      <c r="H712" s="202"/>
      <c r="I712" s="18"/>
      <c r="J712" s="202"/>
      <c r="K712" s="55"/>
      <c r="L712" s="55"/>
      <c r="M712" s="55"/>
      <c r="N712" s="55"/>
      <c r="O712" s="55"/>
      <c r="P712" s="55"/>
      <c r="Q712" s="55"/>
      <c r="R712" s="55"/>
      <c r="S712" s="55"/>
      <c r="T712" s="55"/>
      <c r="U712" s="55"/>
      <c r="V712" s="55"/>
      <c r="W712" s="55"/>
    </row>
    <row r="713">
      <c r="A713" s="61"/>
      <c r="B713" s="202"/>
      <c r="C713" s="61"/>
      <c r="D713" s="202"/>
      <c r="E713" s="61"/>
      <c r="F713" s="202"/>
      <c r="G713" s="61"/>
      <c r="H713" s="202"/>
      <c r="I713" s="18"/>
      <c r="J713" s="202"/>
      <c r="K713" s="55"/>
      <c r="L713" s="55"/>
      <c r="M713" s="55"/>
      <c r="N713" s="55"/>
      <c r="O713" s="55"/>
      <c r="P713" s="55"/>
      <c r="Q713" s="55"/>
      <c r="R713" s="55"/>
      <c r="S713" s="55"/>
      <c r="T713" s="55"/>
      <c r="U713" s="55"/>
      <c r="V713" s="55"/>
      <c r="W713" s="55"/>
    </row>
    <row r="714">
      <c r="A714" s="61"/>
      <c r="B714" s="202"/>
      <c r="C714" s="61"/>
      <c r="D714" s="202"/>
      <c r="E714" s="61"/>
      <c r="F714" s="202"/>
      <c r="G714" s="61"/>
      <c r="H714" s="202"/>
      <c r="I714" s="18"/>
      <c r="J714" s="202"/>
      <c r="K714" s="55"/>
      <c r="L714" s="55"/>
      <c r="M714" s="55"/>
      <c r="N714" s="55"/>
      <c r="O714" s="55"/>
      <c r="P714" s="55"/>
      <c r="Q714" s="55"/>
      <c r="R714" s="55"/>
      <c r="S714" s="55"/>
      <c r="T714" s="55"/>
      <c r="U714" s="55"/>
      <c r="V714" s="55"/>
      <c r="W714" s="55"/>
    </row>
    <row r="715">
      <c r="A715" s="61"/>
      <c r="B715" s="202"/>
      <c r="C715" s="61"/>
      <c r="D715" s="202"/>
      <c r="E715" s="61"/>
      <c r="F715" s="202"/>
      <c r="G715" s="61"/>
      <c r="H715" s="202"/>
      <c r="I715" s="18"/>
      <c r="J715" s="202"/>
      <c r="K715" s="55"/>
      <c r="L715" s="55"/>
      <c r="M715" s="55"/>
      <c r="N715" s="55"/>
      <c r="O715" s="55"/>
      <c r="P715" s="55"/>
      <c r="Q715" s="55"/>
      <c r="R715" s="55"/>
      <c r="S715" s="55"/>
      <c r="T715" s="55"/>
      <c r="U715" s="55"/>
      <c r="V715" s="55"/>
      <c r="W715" s="55"/>
    </row>
    <row r="716">
      <c r="A716" s="61"/>
      <c r="B716" s="202"/>
      <c r="C716" s="61"/>
      <c r="D716" s="202"/>
      <c r="E716" s="61"/>
      <c r="F716" s="202"/>
      <c r="G716" s="61"/>
      <c r="H716" s="202"/>
      <c r="I716" s="18"/>
      <c r="J716" s="202"/>
      <c r="K716" s="55"/>
      <c r="L716" s="55"/>
      <c r="M716" s="55"/>
      <c r="N716" s="55"/>
      <c r="O716" s="55"/>
      <c r="P716" s="55"/>
      <c r="Q716" s="55"/>
      <c r="R716" s="55"/>
      <c r="S716" s="55"/>
      <c r="T716" s="55"/>
      <c r="U716" s="55"/>
      <c r="V716" s="55"/>
      <c r="W716" s="55"/>
    </row>
    <row r="717">
      <c r="A717" s="61"/>
      <c r="B717" s="202"/>
      <c r="C717" s="61"/>
      <c r="D717" s="202"/>
      <c r="E717" s="61"/>
      <c r="F717" s="202"/>
      <c r="G717" s="61"/>
      <c r="H717" s="202"/>
      <c r="I717" s="18"/>
      <c r="J717" s="202"/>
      <c r="K717" s="55"/>
      <c r="L717" s="55"/>
      <c r="M717" s="55"/>
      <c r="N717" s="55"/>
      <c r="O717" s="55"/>
      <c r="P717" s="55"/>
      <c r="Q717" s="55"/>
      <c r="R717" s="55"/>
      <c r="S717" s="55"/>
      <c r="T717" s="55"/>
      <c r="U717" s="55"/>
      <c r="V717" s="55"/>
      <c r="W717" s="55"/>
    </row>
    <row r="718">
      <c r="A718" s="61"/>
      <c r="B718" s="202"/>
      <c r="C718" s="61"/>
      <c r="D718" s="202"/>
      <c r="E718" s="61"/>
      <c r="F718" s="202"/>
      <c r="G718" s="61"/>
      <c r="H718" s="202"/>
      <c r="I718" s="18"/>
      <c r="J718" s="202"/>
      <c r="K718" s="55"/>
      <c r="L718" s="55"/>
      <c r="M718" s="55"/>
      <c r="N718" s="55"/>
      <c r="O718" s="55"/>
      <c r="P718" s="55"/>
      <c r="Q718" s="55"/>
      <c r="R718" s="55"/>
      <c r="S718" s="55"/>
      <c r="T718" s="55"/>
      <c r="U718" s="55"/>
      <c r="V718" s="55"/>
      <c r="W718" s="55"/>
    </row>
    <row r="719">
      <c r="A719" s="61"/>
      <c r="B719" s="202"/>
      <c r="C719" s="61"/>
      <c r="D719" s="202"/>
      <c r="E719" s="61"/>
      <c r="F719" s="202"/>
      <c r="G719" s="61"/>
      <c r="H719" s="202"/>
      <c r="I719" s="18"/>
      <c r="J719" s="202"/>
      <c r="K719" s="55"/>
      <c r="L719" s="55"/>
      <c r="M719" s="55"/>
      <c r="N719" s="55"/>
      <c r="O719" s="55"/>
      <c r="P719" s="55"/>
      <c r="Q719" s="55"/>
      <c r="R719" s="55"/>
      <c r="S719" s="55"/>
      <c r="T719" s="55"/>
      <c r="U719" s="55"/>
      <c r="V719" s="55"/>
      <c r="W719" s="55"/>
    </row>
    <row r="720">
      <c r="A720" s="61"/>
      <c r="B720" s="202"/>
      <c r="C720" s="61"/>
      <c r="D720" s="202"/>
      <c r="E720" s="61"/>
      <c r="F720" s="202"/>
      <c r="G720" s="61"/>
      <c r="H720" s="202"/>
      <c r="I720" s="18"/>
      <c r="J720" s="202"/>
      <c r="K720" s="55"/>
      <c r="L720" s="55"/>
      <c r="M720" s="55"/>
      <c r="N720" s="55"/>
      <c r="O720" s="55"/>
      <c r="P720" s="55"/>
      <c r="Q720" s="55"/>
      <c r="R720" s="55"/>
      <c r="S720" s="55"/>
      <c r="T720" s="55"/>
      <c r="U720" s="55"/>
      <c r="V720" s="55"/>
      <c r="W720" s="55"/>
    </row>
    <row r="721">
      <c r="A721" s="61"/>
      <c r="B721" s="202"/>
      <c r="C721" s="61"/>
      <c r="D721" s="202"/>
      <c r="E721" s="61"/>
      <c r="F721" s="202"/>
      <c r="G721" s="61"/>
      <c r="H721" s="202"/>
      <c r="I721" s="18"/>
      <c r="J721" s="202"/>
      <c r="K721" s="55"/>
      <c r="L721" s="55"/>
      <c r="M721" s="55"/>
      <c r="N721" s="55"/>
      <c r="O721" s="55"/>
      <c r="P721" s="55"/>
      <c r="Q721" s="55"/>
      <c r="R721" s="55"/>
      <c r="S721" s="55"/>
      <c r="T721" s="55"/>
      <c r="U721" s="55"/>
      <c r="V721" s="55"/>
      <c r="W721" s="55"/>
    </row>
    <row r="722">
      <c r="A722" s="61"/>
      <c r="B722" s="202"/>
      <c r="C722" s="61"/>
      <c r="D722" s="202"/>
      <c r="E722" s="61"/>
      <c r="F722" s="202"/>
      <c r="G722" s="61"/>
      <c r="H722" s="202"/>
      <c r="I722" s="18"/>
      <c r="J722" s="202"/>
      <c r="K722" s="55"/>
      <c r="L722" s="55"/>
      <c r="M722" s="55"/>
      <c r="N722" s="55"/>
      <c r="O722" s="55"/>
      <c r="P722" s="55"/>
      <c r="Q722" s="55"/>
      <c r="R722" s="55"/>
      <c r="S722" s="55"/>
      <c r="T722" s="55"/>
      <c r="U722" s="55"/>
      <c r="V722" s="55"/>
      <c r="W722" s="55"/>
    </row>
    <row r="723">
      <c r="A723" s="61"/>
      <c r="B723" s="202"/>
      <c r="C723" s="61"/>
      <c r="D723" s="202"/>
      <c r="E723" s="61"/>
      <c r="F723" s="202"/>
      <c r="G723" s="61"/>
      <c r="H723" s="202"/>
      <c r="I723" s="18"/>
      <c r="J723" s="202"/>
      <c r="K723" s="55"/>
      <c r="L723" s="55"/>
      <c r="M723" s="55"/>
      <c r="N723" s="55"/>
      <c r="O723" s="55"/>
      <c r="P723" s="55"/>
      <c r="Q723" s="55"/>
      <c r="R723" s="55"/>
      <c r="S723" s="55"/>
      <c r="T723" s="55"/>
      <c r="U723" s="55"/>
      <c r="V723" s="55"/>
      <c r="W723" s="55"/>
    </row>
    <row r="724">
      <c r="A724" s="61"/>
      <c r="B724" s="202"/>
      <c r="C724" s="61"/>
      <c r="D724" s="202"/>
      <c r="E724" s="61"/>
      <c r="F724" s="202"/>
      <c r="G724" s="61"/>
      <c r="H724" s="202"/>
      <c r="I724" s="18"/>
      <c r="J724" s="202"/>
      <c r="K724" s="55"/>
      <c r="L724" s="55"/>
      <c r="M724" s="55"/>
      <c r="N724" s="55"/>
      <c r="O724" s="55"/>
      <c r="P724" s="55"/>
      <c r="Q724" s="55"/>
      <c r="R724" s="55"/>
      <c r="S724" s="55"/>
      <c r="T724" s="55"/>
      <c r="U724" s="55"/>
      <c r="V724" s="55"/>
      <c r="W724" s="55"/>
    </row>
    <row r="725">
      <c r="A725" s="61"/>
      <c r="B725" s="202"/>
      <c r="C725" s="61"/>
      <c r="D725" s="202"/>
      <c r="E725" s="61"/>
      <c r="F725" s="202"/>
      <c r="G725" s="61"/>
      <c r="H725" s="202"/>
      <c r="I725" s="18"/>
      <c r="J725" s="202"/>
      <c r="K725" s="55"/>
      <c r="L725" s="55"/>
      <c r="M725" s="55"/>
      <c r="N725" s="55"/>
      <c r="O725" s="55"/>
      <c r="P725" s="55"/>
      <c r="Q725" s="55"/>
      <c r="R725" s="55"/>
      <c r="S725" s="55"/>
      <c r="T725" s="55"/>
      <c r="U725" s="55"/>
      <c r="V725" s="55"/>
      <c r="W725" s="55"/>
    </row>
    <row r="726">
      <c r="A726" s="61"/>
      <c r="B726" s="202"/>
      <c r="C726" s="61"/>
      <c r="D726" s="202"/>
      <c r="E726" s="61"/>
      <c r="F726" s="202"/>
      <c r="G726" s="61"/>
      <c r="H726" s="202"/>
      <c r="I726" s="18"/>
      <c r="J726" s="202"/>
      <c r="K726" s="55"/>
      <c r="L726" s="55"/>
      <c r="M726" s="55"/>
      <c r="N726" s="55"/>
      <c r="O726" s="55"/>
      <c r="P726" s="55"/>
      <c r="Q726" s="55"/>
      <c r="R726" s="55"/>
      <c r="S726" s="55"/>
      <c r="T726" s="55"/>
      <c r="U726" s="55"/>
      <c r="V726" s="55"/>
      <c r="W726" s="55"/>
    </row>
    <row r="727">
      <c r="A727" s="61"/>
      <c r="B727" s="202"/>
      <c r="C727" s="61"/>
      <c r="D727" s="202"/>
      <c r="E727" s="61"/>
      <c r="F727" s="202"/>
      <c r="G727" s="61"/>
      <c r="H727" s="202"/>
      <c r="I727" s="18"/>
      <c r="J727" s="202"/>
      <c r="K727" s="55"/>
      <c r="L727" s="55"/>
      <c r="M727" s="55"/>
      <c r="N727" s="55"/>
      <c r="O727" s="55"/>
      <c r="P727" s="55"/>
      <c r="Q727" s="55"/>
      <c r="R727" s="55"/>
      <c r="S727" s="55"/>
      <c r="T727" s="55"/>
      <c r="U727" s="55"/>
      <c r="V727" s="55"/>
      <c r="W727" s="55"/>
    </row>
    <row r="728">
      <c r="A728" s="61"/>
      <c r="B728" s="202"/>
      <c r="C728" s="61"/>
      <c r="D728" s="202"/>
      <c r="E728" s="61"/>
      <c r="F728" s="202"/>
      <c r="G728" s="61"/>
      <c r="H728" s="202"/>
      <c r="I728" s="18"/>
      <c r="J728" s="202"/>
      <c r="K728" s="55"/>
      <c r="L728" s="55"/>
      <c r="M728" s="55"/>
      <c r="N728" s="55"/>
      <c r="O728" s="55"/>
      <c r="P728" s="55"/>
      <c r="Q728" s="55"/>
      <c r="R728" s="55"/>
      <c r="S728" s="55"/>
      <c r="T728" s="55"/>
      <c r="U728" s="55"/>
      <c r="V728" s="55"/>
      <c r="W728" s="55"/>
    </row>
    <row r="729">
      <c r="A729" s="61"/>
      <c r="B729" s="202"/>
      <c r="C729" s="61"/>
      <c r="D729" s="202"/>
      <c r="E729" s="61"/>
      <c r="F729" s="202"/>
      <c r="G729" s="61"/>
      <c r="H729" s="202"/>
      <c r="I729" s="18"/>
      <c r="J729" s="202"/>
      <c r="K729" s="55"/>
      <c r="L729" s="55"/>
      <c r="M729" s="55"/>
      <c r="N729" s="55"/>
      <c r="O729" s="55"/>
      <c r="P729" s="55"/>
      <c r="Q729" s="55"/>
      <c r="R729" s="55"/>
      <c r="S729" s="55"/>
      <c r="T729" s="55"/>
      <c r="U729" s="55"/>
      <c r="V729" s="55"/>
      <c r="W729" s="55"/>
    </row>
    <row r="730">
      <c r="A730" s="61"/>
      <c r="B730" s="202"/>
      <c r="C730" s="61"/>
      <c r="D730" s="202"/>
      <c r="E730" s="61"/>
      <c r="F730" s="202"/>
      <c r="G730" s="61"/>
      <c r="H730" s="202"/>
      <c r="I730" s="18"/>
      <c r="J730" s="202"/>
      <c r="K730" s="55"/>
      <c r="L730" s="55"/>
      <c r="M730" s="55"/>
      <c r="N730" s="55"/>
      <c r="O730" s="55"/>
      <c r="P730" s="55"/>
      <c r="Q730" s="55"/>
      <c r="R730" s="55"/>
      <c r="S730" s="55"/>
      <c r="T730" s="55"/>
      <c r="U730" s="55"/>
      <c r="V730" s="55"/>
      <c r="W730" s="55"/>
    </row>
    <row r="731">
      <c r="A731" s="61"/>
      <c r="B731" s="202"/>
      <c r="C731" s="61"/>
      <c r="D731" s="202"/>
      <c r="E731" s="61"/>
      <c r="F731" s="202"/>
      <c r="G731" s="61"/>
      <c r="H731" s="202"/>
      <c r="I731" s="18"/>
      <c r="J731" s="202"/>
      <c r="K731" s="55"/>
      <c r="L731" s="55"/>
      <c r="M731" s="55"/>
      <c r="N731" s="55"/>
      <c r="O731" s="55"/>
      <c r="P731" s="55"/>
      <c r="Q731" s="55"/>
      <c r="R731" s="55"/>
      <c r="S731" s="55"/>
      <c r="T731" s="55"/>
      <c r="U731" s="55"/>
      <c r="V731" s="55"/>
      <c r="W731" s="55"/>
    </row>
    <row r="732">
      <c r="A732" s="61"/>
      <c r="B732" s="202"/>
      <c r="C732" s="61"/>
      <c r="D732" s="202"/>
      <c r="E732" s="61"/>
      <c r="F732" s="202"/>
      <c r="G732" s="61"/>
      <c r="H732" s="202"/>
      <c r="I732" s="18"/>
      <c r="J732" s="202"/>
      <c r="K732" s="55"/>
      <c r="L732" s="55"/>
      <c r="M732" s="55"/>
      <c r="N732" s="55"/>
      <c r="O732" s="55"/>
      <c r="P732" s="55"/>
      <c r="Q732" s="55"/>
      <c r="R732" s="55"/>
      <c r="S732" s="55"/>
      <c r="T732" s="55"/>
      <c r="U732" s="55"/>
      <c r="V732" s="55"/>
      <c r="W732" s="55"/>
    </row>
    <row r="733">
      <c r="A733" s="61"/>
      <c r="B733" s="202"/>
      <c r="C733" s="61"/>
      <c r="D733" s="202"/>
      <c r="E733" s="61"/>
      <c r="F733" s="202"/>
      <c r="G733" s="61"/>
      <c r="H733" s="202"/>
      <c r="I733" s="18"/>
      <c r="J733" s="202"/>
      <c r="K733" s="55"/>
      <c r="L733" s="55"/>
      <c r="M733" s="55"/>
      <c r="N733" s="55"/>
      <c r="O733" s="55"/>
      <c r="P733" s="55"/>
      <c r="Q733" s="55"/>
      <c r="R733" s="55"/>
      <c r="S733" s="55"/>
      <c r="T733" s="55"/>
      <c r="U733" s="55"/>
      <c r="V733" s="55"/>
      <c r="W733" s="55"/>
    </row>
    <row r="734">
      <c r="A734" s="61"/>
      <c r="B734" s="202"/>
      <c r="C734" s="61"/>
      <c r="D734" s="202"/>
      <c r="E734" s="61"/>
      <c r="F734" s="202"/>
      <c r="G734" s="61"/>
      <c r="H734" s="202"/>
      <c r="I734" s="18"/>
      <c r="J734" s="202"/>
      <c r="K734" s="55"/>
      <c r="L734" s="55"/>
      <c r="M734" s="55"/>
      <c r="N734" s="55"/>
      <c r="O734" s="55"/>
      <c r="P734" s="55"/>
      <c r="Q734" s="55"/>
      <c r="R734" s="55"/>
      <c r="S734" s="55"/>
      <c r="T734" s="55"/>
      <c r="U734" s="55"/>
      <c r="V734" s="55"/>
      <c r="W734" s="55"/>
    </row>
    <row r="735">
      <c r="A735" s="61"/>
      <c r="B735" s="202"/>
      <c r="C735" s="61"/>
      <c r="D735" s="202"/>
      <c r="E735" s="61"/>
      <c r="F735" s="202"/>
      <c r="G735" s="61"/>
      <c r="H735" s="202"/>
      <c r="I735" s="18"/>
      <c r="J735" s="202"/>
      <c r="K735" s="55"/>
      <c r="L735" s="55"/>
      <c r="M735" s="55"/>
      <c r="N735" s="55"/>
      <c r="O735" s="55"/>
      <c r="P735" s="55"/>
      <c r="Q735" s="55"/>
      <c r="R735" s="55"/>
      <c r="S735" s="55"/>
      <c r="T735" s="55"/>
      <c r="U735" s="55"/>
      <c r="V735" s="55"/>
      <c r="W735" s="55"/>
    </row>
    <row r="736">
      <c r="A736" s="61"/>
      <c r="B736" s="202"/>
      <c r="C736" s="61"/>
      <c r="D736" s="202"/>
      <c r="E736" s="61"/>
      <c r="F736" s="202"/>
      <c r="G736" s="61"/>
      <c r="H736" s="202"/>
      <c r="I736" s="18"/>
      <c r="J736" s="202"/>
      <c r="K736" s="55"/>
      <c r="L736" s="55"/>
      <c r="M736" s="55"/>
      <c r="N736" s="55"/>
      <c r="O736" s="55"/>
      <c r="P736" s="55"/>
      <c r="Q736" s="55"/>
      <c r="R736" s="55"/>
      <c r="S736" s="55"/>
      <c r="T736" s="55"/>
      <c r="U736" s="55"/>
      <c r="V736" s="55"/>
      <c r="W736" s="55"/>
    </row>
    <row r="737">
      <c r="A737" s="61"/>
      <c r="B737" s="202"/>
      <c r="C737" s="61"/>
      <c r="D737" s="202"/>
      <c r="E737" s="61"/>
      <c r="F737" s="202"/>
      <c r="G737" s="61"/>
      <c r="H737" s="202"/>
      <c r="I737" s="18"/>
      <c r="J737" s="202"/>
      <c r="K737" s="55"/>
      <c r="L737" s="55"/>
      <c r="M737" s="55"/>
      <c r="N737" s="55"/>
      <c r="O737" s="55"/>
      <c r="P737" s="55"/>
      <c r="Q737" s="55"/>
      <c r="R737" s="55"/>
      <c r="S737" s="55"/>
      <c r="T737" s="55"/>
      <c r="U737" s="55"/>
      <c r="V737" s="55"/>
      <c r="W737" s="55"/>
    </row>
    <row r="738">
      <c r="A738" s="61"/>
      <c r="B738" s="202"/>
      <c r="C738" s="61"/>
      <c r="D738" s="202"/>
      <c r="E738" s="61"/>
      <c r="F738" s="202"/>
      <c r="G738" s="61"/>
      <c r="H738" s="202"/>
      <c r="I738" s="18"/>
      <c r="J738" s="202"/>
      <c r="K738" s="55"/>
      <c r="L738" s="55"/>
      <c r="M738" s="55"/>
      <c r="N738" s="55"/>
      <c r="O738" s="55"/>
      <c r="P738" s="55"/>
      <c r="Q738" s="55"/>
      <c r="R738" s="55"/>
      <c r="S738" s="55"/>
      <c r="T738" s="55"/>
      <c r="U738" s="55"/>
      <c r="V738" s="55"/>
      <c r="W738" s="55"/>
    </row>
    <row r="739">
      <c r="A739" s="61"/>
      <c r="B739" s="202"/>
      <c r="C739" s="61"/>
      <c r="D739" s="202"/>
      <c r="E739" s="61"/>
      <c r="F739" s="202"/>
      <c r="G739" s="61"/>
      <c r="H739" s="202"/>
      <c r="I739" s="18"/>
      <c r="J739" s="202"/>
      <c r="K739" s="55"/>
      <c r="L739" s="55"/>
      <c r="M739" s="55"/>
      <c r="N739" s="55"/>
      <c r="O739" s="55"/>
      <c r="P739" s="55"/>
      <c r="Q739" s="55"/>
      <c r="R739" s="55"/>
      <c r="S739" s="55"/>
      <c r="T739" s="55"/>
      <c r="U739" s="55"/>
      <c r="V739" s="55"/>
      <c r="W739" s="55"/>
    </row>
    <row r="740">
      <c r="A740" s="61"/>
      <c r="B740" s="202"/>
      <c r="C740" s="61"/>
      <c r="D740" s="202"/>
      <c r="E740" s="61"/>
      <c r="F740" s="202"/>
      <c r="G740" s="61"/>
      <c r="H740" s="202"/>
      <c r="I740" s="18"/>
      <c r="J740" s="202"/>
      <c r="K740" s="55"/>
      <c r="L740" s="55"/>
      <c r="M740" s="55"/>
      <c r="N740" s="55"/>
      <c r="O740" s="55"/>
      <c r="P740" s="55"/>
      <c r="Q740" s="55"/>
      <c r="R740" s="55"/>
      <c r="S740" s="55"/>
      <c r="T740" s="55"/>
      <c r="U740" s="55"/>
      <c r="V740" s="55"/>
      <c r="W740" s="55"/>
    </row>
    <row r="741">
      <c r="A741" s="61"/>
      <c r="B741" s="202"/>
      <c r="C741" s="61"/>
      <c r="D741" s="202"/>
      <c r="E741" s="61"/>
      <c r="F741" s="202"/>
      <c r="G741" s="61"/>
      <c r="H741" s="202"/>
      <c r="I741" s="18"/>
      <c r="J741" s="202"/>
      <c r="K741" s="55"/>
      <c r="L741" s="55"/>
      <c r="M741" s="55"/>
      <c r="N741" s="55"/>
      <c r="O741" s="55"/>
      <c r="P741" s="55"/>
      <c r="Q741" s="55"/>
      <c r="R741" s="55"/>
      <c r="S741" s="55"/>
      <c r="T741" s="55"/>
      <c r="U741" s="55"/>
      <c r="V741" s="55"/>
      <c r="W741" s="55"/>
    </row>
    <row r="742">
      <c r="A742" s="61"/>
      <c r="B742" s="202"/>
      <c r="C742" s="61"/>
      <c r="D742" s="202"/>
      <c r="E742" s="61"/>
      <c r="F742" s="202"/>
      <c r="G742" s="61"/>
      <c r="H742" s="202"/>
      <c r="I742" s="18"/>
      <c r="J742" s="202"/>
      <c r="K742" s="55"/>
      <c r="L742" s="55"/>
      <c r="M742" s="55"/>
      <c r="N742" s="55"/>
      <c r="O742" s="55"/>
      <c r="P742" s="55"/>
      <c r="Q742" s="55"/>
      <c r="R742" s="55"/>
      <c r="S742" s="55"/>
      <c r="T742" s="55"/>
      <c r="U742" s="55"/>
      <c r="V742" s="55"/>
      <c r="W742" s="55"/>
    </row>
    <row r="743">
      <c r="A743" s="61"/>
      <c r="B743" s="202"/>
      <c r="C743" s="61"/>
      <c r="D743" s="202"/>
      <c r="E743" s="61"/>
      <c r="F743" s="202"/>
      <c r="G743" s="61"/>
      <c r="H743" s="202"/>
      <c r="I743" s="18"/>
      <c r="J743" s="202"/>
      <c r="K743" s="55"/>
      <c r="L743" s="55"/>
      <c r="M743" s="55"/>
      <c r="N743" s="55"/>
      <c r="O743" s="55"/>
      <c r="P743" s="55"/>
      <c r="Q743" s="55"/>
      <c r="R743" s="55"/>
      <c r="S743" s="55"/>
      <c r="T743" s="55"/>
      <c r="U743" s="55"/>
      <c r="V743" s="55"/>
      <c r="W743" s="55"/>
    </row>
    <row r="744">
      <c r="A744" s="61"/>
      <c r="B744" s="202"/>
      <c r="C744" s="61"/>
      <c r="D744" s="202"/>
      <c r="E744" s="61"/>
      <c r="F744" s="202"/>
      <c r="G744" s="61"/>
      <c r="H744" s="202"/>
      <c r="I744" s="18"/>
      <c r="J744" s="202"/>
      <c r="K744" s="55"/>
      <c r="L744" s="55"/>
      <c r="M744" s="55"/>
      <c r="N744" s="55"/>
      <c r="O744" s="55"/>
      <c r="P744" s="55"/>
      <c r="Q744" s="55"/>
      <c r="R744" s="55"/>
      <c r="S744" s="55"/>
      <c r="T744" s="55"/>
      <c r="U744" s="55"/>
      <c r="V744" s="55"/>
      <c r="W744" s="55"/>
    </row>
    <row r="745">
      <c r="A745" s="61"/>
      <c r="B745" s="202"/>
      <c r="C745" s="61"/>
      <c r="D745" s="202"/>
      <c r="E745" s="61"/>
      <c r="F745" s="202"/>
      <c r="G745" s="61"/>
      <c r="H745" s="202"/>
      <c r="I745" s="18"/>
      <c r="J745" s="202"/>
      <c r="K745" s="55"/>
      <c r="L745" s="55"/>
      <c r="M745" s="55"/>
      <c r="N745" s="55"/>
      <c r="O745" s="55"/>
      <c r="P745" s="55"/>
      <c r="Q745" s="55"/>
      <c r="R745" s="55"/>
      <c r="S745" s="55"/>
      <c r="T745" s="55"/>
      <c r="U745" s="55"/>
      <c r="V745" s="55"/>
      <c r="W745" s="55"/>
    </row>
    <row r="746">
      <c r="A746" s="61"/>
      <c r="B746" s="202"/>
      <c r="C746" s="61"/>
      <c r="D746" s="202"/>
      <c r="E746" s="61"/>
      <c r="F746" s="202"/>
      <c r="G746" s="61"/>
      <c r="H746" s="202"/>
      <c r="I746" s="18"/>
      <c r="J746" s="202"/>
      <c r="K746" s="55"/>
      <c r="L746" s="55"/>
      <c r="M746" s="55"/>
      <c r="N746" s="55"/>
      <c r="O746" s="55"/>
      <c r="P746" s="55"/>
      <c r="Q746" s="55"/>
      <c r="R746" s="55"/>
      <c r="S746" s="55"/>
      <c r="T746" s="55"/>
      <c r="U746" s="55"/>
      <c r="V746" s="55"/>
      <c r="W746" s="55"/>
    </row>
    <row r="747">
      <c r="A747" s="61"/>
      <c r="B747" s="202"/>
      <c r="C747" s="61"/>
      <c r="D747" s="202"/>
      <c r="E747" s="61"/>
      <c r="F747" s="202"/>
      <c r="G747" s="61"/>
      <c r="H747" s="202"/>
      <c r="I747" s="18"/>
      <c r="J747" s="202"/>
      <c r="K747" s="55"/>
      <c r="L747" s="55"/>
      <c r="M747" s="55"/>
      <c r="N747" s="55"/>
      <c r="O747" s="55"/>
      <c r="P747" s="55"/>
      <c r="Q747" s="55"/>
      <c r="R747" s="55"/>
      <c r="S747" s="55"/>
      <c r="T747" s="55"/>
      <c r="U747" s="55"/>
      <c r="V747" s="55"/>
      <c r="W747" s="55"/>
    </row>
    <row r="748">
      <c r="A748" s="61"/>
      <c r="B748" s="202"/>
      <c r="C748" s="61"/>
      <c r="D748" s="202"/>
      <c r="E748" s="61"/>
      <c r="F748" s="202"/>
      <c r="G748" s="61"/>
      <c r="H748" s="202"/>
      <c r="I748" s="18"/>
      <c r="J748" s="202"/>
      <c r="K748" s="55"/>
      <c r="L748" s="55"/>
      <c r="M748" s="55"/>
      <c r="N748" s="55"/>
      <c r="O748" s="55"/>
      <c r="P748" s="55"/>
      <c r="Q748" s="55"/>
      <c r="R748" s="55"/>
      <c r="S748" s="55"/>
      <c r="T748" s="55"/>
      <c r="U748" s="55"/>
      <c r="V748" s="55"/>
      <c r="W748" s="55"/>
    </row>
    <row r="749">
      <c r="A749" s="61"/>
      <c r="B749" s="202"/>
      <c r="C749" s="61"/>
      <c r="D749" s="202"/>
      <c r="E749" s="61"/>
      <c r="F749" s="202"/>
      <c r="G749" s="61"/>
      <c r="H749" s="202"/>
      <c r="I749" s="18"/>
      <c r="J749" s="202"/>
      <c r="K749" s="55"/>
      <c r="L749" s="55"/>
      <c r="M749" s="55"/>
      <c r="N749" s="55"/>
      <c r="O749" s="55"/>
      <c r="P749" s="55"/>
      <c r="Q749" s="55"/>
      <c r="R749" s="55"/>
      <c r="S749" s="55"/>
      <c r="T749" s="55"/>
      <c r="U749" s="55"/>
      <c r="V749" s="55"/>
      <c r="W749" s="55"/>
    </row>
    <row r="750">
      <c r="A750" s="61"/>
      <c r="B750" s="202"/>
      <c r="C750" s="61"/>
      <c r="D750" s="202"/>
      <c r="E750" s="61"/>
      <c r="F750" s="202"/>
      <c r="G750" s="61"/>
      <c r="H750" s="202"/>
      <c r="I750" s="18"/>
      <c r="J750" s="202"/>
      <c r="K750" s="55"/>
      <c r="L750" s="55"/>
      <c r="M750" s="55"/>
      <c r="N750" s="55"/>
      <c r="O750" s="55"/>
      <c r="P750" s="55"/>
      <c r="Q750" s="55"/>
      <c r="R750" s="55"/>
      <c r="S750" s="55"/>
      <c r="T750" s="55"/>
      <c r="U750" s="55"/>
      <c r="V750" s="55"/>
      <c r="W750" s="55"/>
    </row>
    <row r="751">
      <c r="A751" s="61"/>
      <c r="B751" s="202"/>
      <c r="C751" s="61"/>
      <c r="D751" s="202"/>
      <c r="E751" s="61"/>
      <c r="F751" s="202"/>
      <c r="G751" s="61"/>
      <c r="H751" s="202"/>
      <c r="I751" s="18"/>
      <c r="J751" s="202"/>
      <c r="K751" s="55"/>
      <c r="L751" s="55"/>
      <c r="M751" s="55"/>
      <c r="N751" s="55"/>
      <c r="O751" s="55"/>
      <c r="P751" s="55"/>
      <c r="Q751" s="55"/>
      <c r="R751" s="55"/>
      <c r="S751" s="55"/>
      <c r="T751" s="55"/>
      <c r="U751" s="55"/>
      <c r="V751" s="55"/>
      <c r="W751" s="55"/>
    </row>
    <row r="752">
      <c r="A752" s="61"/>
      <c r="B752" s="202"/>
      <c r="C752" s="61"/>
      <c r="D752" s="202"/>
      <c r="E752" s="61"/>
      <c r="F752" s="202"/>
      <c r="G752" s="61"/>
      <c r="H752" s="202"/>
      <c r="I752" s="18"/>
      <c r="J752" s="202"/>
      <c r="K752" s="55"/>
      <c r="L752" s="55"/>
      <c r="M752" s="55"/>
      <c r="N752" s="55"/>
      <c r="O752" s="55"/>
      <c r="P752" s="55"/>
      <c r="Q752" s="55"/>
      <c r="R752" s="55"/>
      <c r="S752" s="55"/>
      <c r="T752" s="55"/>
      <c r="U752" s="55"/>
      <c r="V752" s="55"/>
      <c r="W752" s="55"/>
    </row>
    <row r="753">
      <c r="A753" s="61"/>
      <c r="B753" s="202"/>
      <c r="C753" s="61"/>
      <c r="D753" s="202"/>
      <c r="E753" s="61"/>
      <c r="F753" s="202"/>
      <c r="G753" s="61"/>
      <c r="H753" s="202"/>
      <c r="I753" s="18"/>
      <c r="J753" s="202"/>
      <c r="K753" s="55"/>
      <c r="L753" s="55"/>
      <c r="M753" s="55"/>
      <c r="N753" s="55"/>
      <c r="O753" s="55"/>
      <c r="P753" s="55"/>
      <c r="Q753" s="55"/>
      <c r="R753" s="55"/>
      <c r="S753" s="55"/>
      <c r="T753" s="55"/>
      <c r="U753" s="55"/>
      <c r="V753" s="55"/>
      <c r="W753" s="55"/>
    </row>
    <row r="754">
      <c r="A754" s="61"/>
      <c r="B754" s="202"/>
      <c r="C754" s="61"/>
      <c r="D754" s="202"/>
      <c r="E754" s="61"/>
      <c r="F754" s="202"/>
      <c r="G754" s="61"/>
      <c r="H754" s="202"/>
      <c r="I754" s="18"/>
      <c r="J754" s="202"/>
      <c r="K754" s="55"/>
      <c r="L754" s="55"/>
      <c r="M754" s="55"/>
      <c r="N754" s="55"/>
      <c r="O754" s="55"/>
      <c r="P754" s="55"/>
      <c r="Q754" s="55"/>
      <c r="R754" s="55"/>
      <c r="S754" s="55"/>
      <c r="T754" s="55"/>
      <c r="U754" s="55"/>
      <c r="V754" s="55"/>
      <c r="W754" s="55"/>
    </row>
    <row r="755">
      <c r="A755" s="61"/>
      <c r="B755" s="202"/>
      <c r="C755" s="61"/>
      <c r="D755" s="202"/>
      <c r="E755" s="61"/>
      <c r="F755" s="202"/>
      <c r="G755" s="61"/>
      <c r="H755" s="202"/>
      <c r="I755" s="18"/>
      <c r="J755" s="202"/>
      <c r="K755" s="55"/>
      <c r="L755" s="55"/>
      <c r="M755" s="55"/>
      <c r="N755" s="55"/>
      <c r="O755" s="55"/>
      <c r="P755" s="55"/>
      <c r="Q755" s="55"/>
      <c r="R755" s="55"/>
      <c r="S755" s="55"/>
      <c r="T755" s="55"/>
      <c r="U755" s="55"/>
      <c r="V755" s="55"/>
      <c r="W755" s="55"/>
    </row>
    <row r="756">
      <c r="A756" s="61"/>
      <c r="B756" s="202"/>
      <c r="C756" s="61"/>
      <c r="D756" s="202"/>
      <c r="E756" s="61"/>
      <c r="F756" s="202"/>
      <c r="G756" s="61"/>
      <c r="H756" s="202"/>
      <c r="I756" s="18"/>
      <c r="J756" s="202"/>
      <c r="K756" s="55"/>
      <c r="L756" s="55"/>
      <c r="M756" s="55"/>
      <c r="N756" s="55"/>
      <c r="O756" s="55"/>
      <c r="P756" s="55"/>
      <c r="Q756" s="55"/>
      <c r="R756" s="55"/>
      <c r="S756" s="55"/>
      <c r="T756" s="55"/>
      <c r="U756" s="55"/>
      <c r="V756" s="55"/>
      <c r="W756" s="55"/>
    </row>
    <row r="757">
      <c r="A757" s="61"/>
      <c r="B757" s="202"/>
      <c r="C757" s="61"/>
      <c r="D757" s="202"/>
      <c r="E757" s="61"/>
      <c r="F757" s="202"/>
      <c r="G757" s="61"/>
      <c r="H757" s="202"/>
      <c r="I757" s="18"/>
      <c r="J757" s="202"/>
      <c r="K757" s="55"/>
      <c r="L757" s="55"/>
      <c r="M757" s="55"/>
      <c r="N757" s="55"/>
      <c r="O757" s="55"/>
      <c r="P757" s="55"/>
      <c r="Q757" s="55"/>
      <c r="R757" s="55"/>
      <c r="S757" s="55"/>
      <c r="T757" s="55"/>
      <c r="U757" s="55"/>
      <c r="V757" s="55"/>
      <c r="W757" s="55"/>
    </row>
    <row r="758">
      <c r="A758" s="61"/>
      <c r="B758" s="202"/>
      <c r="C758" s="61"/>
      <c r="D758" s="202"/>
      <c r="E758" s="61"/>
      <c r="F758" s="202"/>
      <c r="G758" s="61"/>
      <c r="H758" s="202"/>
      <c r="I758" s="18"/>
      <c r="J758" s="202"/>
      <c r="K758" s="55"/>
      <c r="L758" s="55"/>
      <c r="M758" s="55"/>
      <c r="N758" s="55"/>
      <c r="O758" s="55"/>
      <c r="P758" s="55"/>
      <c r="Q758" s="55"/>
      <c r="R758" s="55"/>
      <c r="S758" s="55"/>
      <c r="T758" s="55"/>
      <c r="U758" s="55"/>
      <c r="V758" s="55"/>
      <c r="W758" s="55"/>
    </row>
    <row r="759">
      <c r="A759" s="61"/>
      <c r="B759" s="202"/>
      <c r="C759" s="61"/>
      <c r="D759" s="202"/>
      <c r="E759" s="61"/>
      <c r="F759" s="202"/>
      <c r="G759" s="61"/>
      <c r="H759" s="202"/>
      <c r="I759" s="18"/>
      <c r="J759" s="202"/>
      <c r="K759" s="55"/>
      <c r="L759" s="55"/>
      <c r="M759" s="55"/>
      <c r="N759" s="55"/>
      <c r="O759" s="55"/>
      <c r="P759" s="55"/>
      <c r="Q759" s="55"/>
      <c r="R759" s="55"/>
      <c r="S759" s="55"/>
      <c r="T759" s="55"/>
      <c r="U759" s="55"/>
      <c r="V759" s="55"/>
      <c r="W759" s="55"/>
    </row>
    <row r="760">
      <c r="A760" s="61"/>
      <c r="B760" s="202"/>
      <c r="C760" s="61"/>
      <c r="D760" s="202"/>
      <c r="E760" s="61"/>
      <c r="F760" s="202"/>
      <c r="G760" s="61"/>
      <c r="H760" s="202"/>
      <c r="I760" s="18"/>
      <c r="J760" s="202"/>
      <c r="K760" s="55"/>
      <c r="L760" s="55"/>
      <c r="M760" s="55"/>
      <c r="N760" s="55"/>
      <c r="O760" s="55"/>
      <c r="P760" s="55"/>
      <c r="Q760" s="55"/>
      <c r="R760" s="55"/>
      <c r="S760" s="55"/>
      <c r="T760" s="55"/>
      <c r="U760" s="55"/>
      <c r="V760" s="55"/>
      <c r="W760" s="55"/>
    </row>
    <row r="761">
      <c r="A761" s="61"/>
      <c r="B761" s="202"/>
      <c r="C761" s="61"/>
      <c r="D761" s="202"/>
      <c r="E761" s="61"/>
      <c r="F761" s="202"/>
      <c r="G761" s="61"/>
      <c r="H761" s="202"/>
      <c r="I761" s="18"/>
      <c r="J761" s="202"/>
      <c r="K761" s="55"/>
      <c r="L761" s="55"/>
      <c r="M761" s="55"/>
      <c r="N761" s="55"/>
      <c r="O761" s="55"/>
      <c r="P761" s="55"/>
      <c r="Q761" s="55"/>
      <c r="R761" s="55"/>
      <c r="S761" s="55"/>
      <c r="T761" s="55"/>
      <c r="U761" s="55"/>
      <c r="V761" s="55"/>
      <c r="W761" s="55"/>
    </row>
    <row r="762">
      <c r="A762" s="61"/>
      <c r="B762" s="202"/>
      <c r="C762" s="61"/>
      <c r="D762" s="202"/>
      <c r="E762" s="61"/>
      <c r="F762" s="202"/>
      <c r="G762" s="61"/>
      <c r="H762" s="202"/>
      <c r="I762" s="18"/>
      <c r="J762" s="202"/>
      <c r="K762" s="55"/>
      <c r="L762" s="55"/>
      <c r="M762" s="55"/>
      <c r="N762" s="55"/>
      <c r="O762" s="55"/>
      <c r="P762" s="55"/>
      <c r="Q762" s="55"/>
      <c r="R762" s="55"/>
      <c r="S762" s="55"/>
      <c r="T762" s="55"/>
      <c r="U762" s="55"/>
      <c r="V762" s="55"/>
      <c r="W762" s="55"/>
    </row>
    <row r="763">
      <c r="A763" s="61"/>
      <c r="B763" s="202"/>
      <c r="C763" s="61"/>
      <c r="D763" s="202"/>
      <c r="E763" s="61"/>
      <c r="F763" s="202"/>
      <c r="G763" s="61"/>
      <c r="H763" s="202"/>
      <c r="I763" s="18"/>
      <c r="J763" s="202"/>
      <c r="K763" s="55"/>
      <c r="L763" s="55"/>
      <c r="M763" s="55"/>
      <c r="N763" s="55"/>
      <c r="O763" s="55"/>
      <c r="P763" s="55"/>
      <c r="Q763" s="55"/>
      <c r="R763" s="55"/>
      <c r="S763" s="55"/>
      <c r="T763" s="55"/>
      <c r="U763" s="55"/>
      <c r="V763" s="55"/>
      <c r="W763" s="55"/>
    </row>
    <row r="764">
      <c r="A764" s="61"/>
      <c r="B764" s="202"/>
      <c r="C764" s="61"/>
      <c r="D764" s="202"/>
      <c r="E764" s="61"/>
      <c r="F764" s="202"/>
      <c r="G764" s="61"/>
      <c r="H764" s="202"/>
      <c r="I764" s="18"/>
      <c r="J764" s="202"/>
      <c r="K764" s="55"/>
      <c r="L764" s="55"/>
      <c r="M764" s="55"/>
      <c r="N764" s="55"/>
      <c r="O764" s="55"/>
      <c r="P764" s="55"/>
      <c r="Q764" s="55"/>
      <c r="R764" s="55"/>
      <c r="S764" s="55"/>
      <c r="T764" s="55"/>
      <c r="U764" s="55"/>
      <c r="V764" s="55"/>
      <c r="W764" s="55"/>
    </row>
    <row r="765">
      <c r="A765" s="61"/>
      <c r="B765" s="202"/>
      <c r="C765" s="61"/>
      <c r="D765" s="202"/>
      <c r="E765" s="61"/>
      <c r="F765" s="202"/>
      <c r="G765" s="61"/>
      <c r="H765" s="202"/>
      <c r="I765" s="18"/>
      <c r="J765" s="202"/>
      <c r="K765" s="55"/>
      <c r="L765" s="55"/>
      <c r="M765" s="55"/>
      <c r="N765" s="55"/>
      <c r="O765" s="55"/>
      <c r="P765" s="55"/>
      <c r="Q765" s="55"/>
      <c r="R765" s="55"/>
      <c r="S765" s="55"/>
      <c r="T765" s="55"/>
      <c r="U765" s="55"/>
      <c r="V765" s="55"/>
      <c r="W765" s="55"/>
    </row>
    <row r="766">
      <c r="A766" s="61"/>
      <c r="B766" s="202"/>
      <c r="C766" s="61"/>
      <c r="D766" s="202"/>
      <c r="E766" s="61"/>
      <c r="F766" s="202"/>
      <c r="G766" s="61"/>
      <c r="H766" s="202"/>
      <c r="I766" s="18"/>
      <c r="J766" s="202"/>
      <c r="K766" s="55"/>
      <c r="L766" s="55"/>
      <c r="M766" s="55"/>
      <c r="N766" s="55"/>
      <c r="O766" s="55"/>
      <c r="P766" s="55"/>
      <c r="Q766" s="55"/>
      <c r="R766" s="55"/>
      <c r="S766" s="55"/>
      <c r="T766" s="55"/>
      <c r="U766" s="55"/>
      <c r="V766" s="55"/>
      <c r="W766" s="55"/>
    </row>
    <row r="767">
      <c r="A767" s="61"/>
      <c r="B767" s="202"/>
      <c r="C767" s="61"/>
      <c r="D767" s="202"/>
      <c r="E767" s="61"/>
      <c r="F767" s="202"/>
      <c r="G767" s="61"/>
      <c r="H767" s="202"/>
      <c r="I767" s="18"/>
      <c r="J767" s="202"/>
      <c r="K767" s="55"/>
      <c r="L767" s="55"/>
      <c r="M767" s="55"/>
      <c r="N767" s="55"/>
      <c r="O767" s="55"/>
      <c r="P767" s="55"/>
      <c r="Q767" s="55"/>
      <c r="R767" s="55"/>
      <c r="S767" s="55"/>
      <c r="T767" s="55"/>
      <c r="U767" s="55"/>
      <c r="V767" s="55"/>
      <c r="W767" s="55"/>
    </row>
    <row r="768">
      <c r="A768" s="61"/>
      <c r="B768" s="202"/>
      <c r="C768" s="61"/>
      <c r="D768" s="202"/>
      <c r="E768" s="61"/>
      <c r="F768" s="202"/>
      <c r="G768" s="61"/>
      <c r="H768" s="202"/>
      <c r="I768" s="18"/>
      <c r="J768" s="202"/>
      <c r="K768" s="55"/>
      <c r="L768" s="55"/>
      <c r="M768" s="55"/>
      <c r="N768" s="55"/>
      <c r="O768" s="55"/>
      <c r="P768" s="55"/>
      <c r="Q768" s="55"/>
      <c r="R768" s="55"/>
      <c r="S768" s="55"/>
      <c r="T768" s="55"/>
      <c r="U768" s="55"/>
      <c r="V768" s="55"/>
      <c r="W768" s="55"/>
    </row>
    <row r="769">
      <c r="A769" s="61"/>
      <c r="B769" s="202"/>
      <c r="C769" s="61"/>
      <c r="D769" s="202"/>
      <c r="E769" s="61"/>
      <c r="F769" s="202"/>
      <c r="G769" s="61"/>
      <c r="H769" s="202"/>
      <c r="I769" s="18"/>
      <c r="J769" s="202"/>
      <c r="K769" s="55"/>
      <c r="L769" s="55"/>
      <c r="M769" s="55"/>
      <c r="N769" s="55"/>
      <c r="O769" s="55"/>
      <c r="P769" s="55"/>
      <c r="Q769" s="55"/>
      <c r="R769" s="55"/>
      <c r="S769" s="55"/>
      <c r="T769" s="55"/>
      <c r="U769" s="55"/>
      <c r="V769" s="55"/>
      <c r="W769" s="55"/>
    </row>
    <row r="770">
      <c r="A770" s="61"/>
      <c r="B770" s="202"/>
      <c r="C770" s="61"/>
      <c r="D770" s="202"/>
      <c r="E770" s="61"/>
      <c r="F770" s="202"/>
      <c r="G770" s="61"/>
      <c r="H770" s="202"/>
      <c r="I770" s="18"/>
      <c r="J770" s="202"/>
      <c r="K770" s="55"/>
      <c r="L770" s="55"/>
      <c r="M770" s="55"/>
      <c r="N770" s="55"/>
      <c r="O770" s="55"/>
      <c r="P770" s="55"/>
      <c r="Q770" s="55"/>
      <c r="R770" s="55"/>
      <c r="S770" s="55"/>
      <c r="T770" s="55"/>
      <c r="U770" s="55"/>
      <c r="V770" s="55"/>
      <c r="W770" s="55"/>
    </row>
    <row r="771">
      <c r="A771" s="61"/>
      <c r="B771" s="202"/>
      <c r="C771" s="61"/>
      <c r="D771" s="202"/>
      <c r="E771" s="61"/>
      <c r="F771" s="202"/>
      <c r="G771" s="61"/>
      <c r="H771" s="202"/>
      <c r="I771" s="18"/>
      <c r="J771" s="202"/>
      <c r="K771" s="55"/>
      <c r="L771" s="55"/>
      <c r="M771" s="55"/>
      <c r="N771" s="55"/>
      <c r="O771" s="55"/>
      <c r="P771" s="55"/>
      <c r="Q771" s="55"/>
      <c r="R771" s="55"/>
      <c r="S771" s="55"/>
      <c r="T771" s="55"/>
      <c r="U771" s="55"/>
      <c r="V771" s="55"/>
      <c r="W771" s="55"/>
    </row>
    <row r="772">
      <c r="A772" s="61"/>
      <c r="B772" s="202"/>
      <c r="C772" s="61"/>
      <c r="D772" s="202"/>
      <c r="E772" s="61"/>
      <c r="F772" s="202"/>
      <c r="G772" s="61"/>
      <c r="H772" s="202"/>
      <c r="I772" s="18"/>
      <c r="J772" s="202"/>
      <c r="K772" s="55"/>
      <c r="L772" s="55"/>
      <c r="M772" s="55"/>
      <c r="N772" s="55"/>
      <c r="O772" s="55"/>
      <c r="P772" s="55"/>
      <c r="Q772" s="55"/>
      <c r="R772" s="55"/>
      <c r="S772" s="55"/>
      <c r="T772" s="55"/>
      <c r="U772" s="55"/>
      <c r="V772" s="55"/>
      <c r="W772" s="55"/>
    </row>
    <row r="773">
      <c r="A773" s="61"/>
      <c r="B773" s="202"/>
      <c r="C773" s="61"/>
      <c r="D773" s="202"/>
      <c r="E773" s="61"/>
      <c r="F773" s="202"/>
      <c r="G773" s="61"/>
      <c r="H773" s="202"/>
      <c r="I773" s="18"/>
      <c r="J773" s="202"/>
      <c r="K773" s="55"/>
      <c r="L773" s="55"/>
      <c r="M773" s="55"/>
      <c r="N773" s="55"/>
      <c r="O773" s="55"/>
      <c r="P773" s="55"/>
      <c r="Q773" s="55"/>
      <c r="R773" s="55"/>
      <c r="S773" s="55"/>
      <c r="T773" s="55"/>
      <c r="U773" s="55"/>
      <c r="V773" s="55"/>
      <c r="W773" s="55"/>
    </row>
    <row r="774">
      <c r="A774" s="61"/>
      <c r="B774" s="202"/>
      <c r="C774" s="61"/>
      <c r="D774" s="202"/>
      <c r="E774" s="61"/>
      <c r="F774" s="202"/>
      <c r="G774" s="61"/>
      <c r="H774" s="202"/>
      <c r="I774" s="18"/>
      <c r="J774" s="202"/>
      <c r="K774" s="55"/>
      <c r="L774" s="55"/>
      <c r="M774" s="55"/>
      <c r="N774" s="55"/>
      <c r="O774" s="55"/>
      <c r="P774" s="55"/>
      <c r="Q774" s="55"/>
      <c r="R774" s="55"/>
      <c r="S774" s="55"/>
      <c r="T774" s="55"/>
      <c r="U774" s="55"/>
      <c r="V774" s="55"/>
      <c r="W774" s="55"/>
    </row>
    <row r="775">
      <c r="A775" s="61"/>
      <c r="B775" s="202"/>
      <c r="C775" s="61"/>
      <c r="D775" s="202"/>
      <c r="E775" s="61"/>
      <c r="F775" s="202"/>
      <c r="G775" s="61"/>
      <c r="H775" s="202"/>
      <c r="I775" s="18"/>
      <c r="J775" s="202"/>
      <c r="K775" s="55"/>
      <c r="L775" s="55"/>
      <c r="M775" s="55"/>
      <c r="N775" s="55"/>
      <c r="O775" s="55"/>
      <c r="P775" s="55"/>
      <c r="Q775" s="55"/>
      <c r="R775" s="55"/>
      <c r="S775" s="55"/>
      <c r="T775" s="55"/>
      <c r="U775" s="55"/>
      <c r="V775" s="55"/>
      <c r="W775" s="55"/>
    </row>
    <row r="776">
      <c r="A776" s="61"/>
      <c r="B776" s="202"/>
      <c r="C776" s="61"/>
      <c r="D776" s="202"/>
      <c r="E776" s="61"/>
      <c r="F776" s="202"/>
      <c r="G776" s="61"/>
      <c r="H776" s="202"/>
      <c r="I776" s="18"/>
      <c r="J776" s="202"/>
      <c r="K776" s="55"/>
      <c r="L776" s="55"/>
      <c r="M776" s="55"/>
      <c r="N776" s="55"/>
      <c r="O776" s="55"/>
      <c r="P776" s="55"/>
      <c r="Q776" s="55"/>
      <c r="R776" s="55"/>
      <c r="S776" s="55"/>
      <c r="T776" s="55"/>
      <c r="U776" s="55"/>
      <c r="V776" s="55"/>
      <c r="W776" s="55"/>
    </row>
    <row r="777">
      <c r="A777" s="61"/>
      <c r="B777" s="202"/>
      <c r="C777" s="61"/>
      <c r="D777" s="202"/>
      <c r="E777" s="61"/>
      <c r="F777" s="202"/>
      <c r="G777" s="61"/>
      <c r="H777" s="202"/>
      <c r="I777" s="18"/>
      <c r="J777" s="202"/>
      <c r="K777" s="55"/>
      <c r="L777" s="55"/>
      <c r="M777" s="55"/>
      <c r="N777" s="55"/>
      <c r="O777" s="55"/>
      <c r="P777" s="55"/>
      <c r="Q777" s="55"/>
      <c r="R777" s="55"/>
      <c r="S777" s="55"/>
      <c r="T777" s="55"/>
      <c r="U777" s="55"/>
      <c r="V777" s="55"/>
      <c r="W777" s="55"/>
    </row>
    <row r="778">
      <c r="A778" s="61"/>
      <c r="B778" s="202"/>
      <c r="C778" s="61"/>
      <c r="D778" s="202"/>
      <c r="E778" s="61"/>
      <c r="F778" s="202"/>
      <c r="G778" s="61"/>
      <c r="H778" s="202"/>
      <c r="I778" s="18"/>
      <c r="J778" s="202"/>
      <c r="K778" s="55"/>
      <c r="L778" s="55"/>
      <c r="M778" s="55"/>
      <c r="N778" s="55"/>
      <c r="O778" s="55"/>
      <c r="P778" s="55"/>
      <c r="Q778" s="55"/>
      <c r="R778" s="55"/>
      <c r="S778" s="55"/>
      <c r="T778" s="55"/>
      <c r="U778" s="55"/>
      <c r="V778" s="55"/>
      <c r="W778" s="55"/>
    </row>
    <row r="779">
      <c r="A779" s="61"/>
      <c r="B779" s="202"/>
      <c r="C779" s="61"/>
      <c r="D779" s="202"/>
      <c r="E779" s="61"/>
      <c r="F779" s="202"/>
      <c r="G779" s="61"/>
      <c r="H779" s="202"/>
      <c r="I779" s="18"/>
      <c r="J779" s="202"/>
      <c r="K779" s="55"/>
      <c r="L779" s="55"/>
      <c r="M779" s="55"/>
      <c r="N779" s="55"/>
      <c r="O779" s="55"/>
      <c r="P779" s="55"/>
      <c r="Q779" s="55"/>
      <c r="R779" s="55"/>
      <c r="S779" s="55"/>
      <c r="T779" s="55"/>
      <c r="U779" s="55"/>
      <c r="V779" s="55"/>
      <c r="W779" s="55"/>
    </row>
    <row r="780">
      <c r="A780" s="61"/>
      <c r="B780" s="202"/>
      <c r="C780" s="61"/>
      <c r="D780" s="202"/>
      <c r="E780" s="61"/>
      <c r="F780" s="202"/>
      <c r="G780" s="61"/>
      <c r="H780" s="202"/>
      <c r="I780" s="18"/>
      <c r="J780" s="202"/>
      <c r="K780" s="55"/>
      <c r="L780" s="55"/>
      <c r="M780" s="55"/>
      <c r="N780" s="55"/>
      <c r="O780" s="55"/>
      <c r="P780" s="55"/>
      <c r="Q780" s="55"/>
      <c r="R780" s="55"/>
      <c r="S780" s="55"/>
      <c r="T780" s="55"/>
      <c r="U780" s="55"/>
      <c r="V780" s="55"/>
      <c r="W780" s="55"/>
    </row>
    <row r="781">
      <c r="A781" s="61"/>
      <c r="B781" s="202"/>
      <c r="C781" s="61"/>
      <c r="D781" s="202"/>
      <c r="E781" s="61"/>
      <c r="F781" s="202"/>
      <c r="G781" s="61"/>
      <c r="H781" s="202"/>
      <c r="I781" s="18"/>
      <c r="J781" s="202"/>
      <c r="K781" s="55"/>
      <c r="L781" s="55"/>
      <c r="M781" s="55"/>
      <c r="N781" s="55"/>
      <c r="O781" s="55"/>
      <c r="P781" s="55"/>
      <c r="Q781" s="55"/>
      <c r="R781" s="55"/>
      <c r="S781" s="55"/>
      <c r="T781" s="55"/>
      <c r="U781" s="55"/>
      <c r="V781" s="55"/>
      <c r="W781" s="55"/>
    </row>
    <row r="782">
      <c r="A782" s="61"/>
      <c r="B782" s="202"/>
      <c r="C782" s="61"/>
      <c r="D782" s="202"/>
      <c r="E782" s="61"/>
      <c r="F782" s="202"/>
      <c r="G782" s="61"/>
      <c r="H782" s="202"/>
      <c r="I782" s="18"/>
      <c r="J782" s="202"/>
      <c r="K782" s="55"/>
      <c r="L782" s="55"/>
      <c r="M782" s="55"/>
      <c r="N782" s="55"/>
      <c r="O782" s="55"/>
      <c r="P782" s="55"/>
      <c r="Q782" s="55"/>
      <c r="R782" s="55"/>
      <c r="S782" s="55"/>
      <c r="T782" s="55"/>
      <c r="U782" s="55"/>
      <c r="V782" s="55"/>
      <c r="W782" s="55"/>
    </row>
    <row r="783">
      <c r="A783" s="61"/>
      <c r="B783" s="202"/>
      <c r="C783" s="61"/>
      <c r="D783" s="202"/>
      <c r="E783" s="61"/>
      <c r="F783" s="202"/>
      <c r="G783" s="61"/>
      <c r="H783" s="202"/>
      <c r="I783" s="18"/>
      <c r="J783" s="202"/>
      <c r="K783" s="55"/>
      <c r="L783" s="55"/>
      <c r="M783" s="55"/>
      <c r="N783" s="55"/>
      <c r="O783" s="55"/>
      <c r="P783" s="55"/>
      <c r="Q783" s="55"/>
      <c r="R783" s="55"/>
      <c r="S783" s="55"/>
      <c r="T783" s="55"/>
      <c r="U783" s="55"/>
      <c r="V783" s="55"/>
      <c r="W783" s="55"/>
    </row>
    <row r="784">
      <c r="A784" s="61"/>
      <c r="B784" s="202"/>
      <c r="C784" s="61"/>
      <c r="D784" s="202"/>
      <c r="E784" s="61"/>
      <c r="F784" s="202"/>
      <c r="G784" s="61"/>
      <c r="H784" s="202"/>
      <c r="I784" s="18"/>
      <c r="J784" s="202"/>
      <c r="K784" s="55"/>
      <c r="L784" s="55"/>
      <c r="M784" s="55"/>
      <c r="N784" s="55"/>
      <c r="O784" s="55"/>
      <c r="P784" s="55"/>
      <c r="Q784" s="55"/>
      <c r="R784" s="55"/>
      <c r="S784" s="55"/>
      <c r="T784" s="55"/>
      <c r="U784" s="55"/>
      <c r="V784" s="55"/>
      <c r="W784" s="55"/>
    </row>
    <row r="785">
      <c r="A785" s="61"/>
      <c r="B785" s="202"/>
      <c r="C785" s="61"/>
      <c r="D785" s="202"/>
      <c r="E785" s="61"/>
      <c r="F785" s="202"/>
      <c r="G785" s="61"/>
      <c r="H785" s="202"/>
      <c r="I785" s="18"/>
      <c r="J785" s="202"/>
      <c r="K785" s="55"/>
      <c r="L785" s="55"/>
      <c r="M785" s="55"/>
      <c r="N785" s="55"/>
      <c r="O785" s="55"/>
      <c r="P785" s="55"/>
      <c r="Q785" s="55"/>
      <c r="R785" s="55"/>
      <c r="S785" s="55"/>
      <c r="T785" s="55"/>
      <c r="U785" s="55"/>
      <c r="V785" s="55"/>
      <c r="W785" s="55"/>
    </row>
    <row r="786">
      <c r="A786" s="61"/>
      <c r="B786" s="202"/>
      <c r="C786" s="61"/>
      <c r="D786" s="202"/>
      <c r="E786" s="61"/>
      <c r="F786" s="202"/>
      <c r="G786" s="61"/>
      <c r="H786" s="202"/>
      <c r="I786" s="18"/>
      <c r="J786" s="202"/>
      <c r="K786" s="55"/>
      <c r="L786" s="55"/>
      <c r="M786" s="55"/>
      <c r="N786" s="55"/>
      <c r="O786" s="55"/>
      <c r="P786" s="55"/>
      <c r="Q786" s="55"/>
      <c r="R786" s="55"/>
      <c r="S786" s="55"/>
      <c r="T786" s="55"/>
      <c r="U786" s="55"/>
      <c r="V786" s="55"/>
      <c r="W786" s="55"/>
    </row>
    <row r="787">
      <c r="A787" s="61"/>
      <c r="B787" s="202"/>
      <c r="C787" s="61"/>
      <c r="D787" s="202"/>
      <c r="E787" s="61"/>
      <c r="F787" s="202"/>
      <c r="G787" s="61"/>
      <c r="H787" s="202"/>
      <c r="I787" s="18"/>
      <c r="J787" s="202"/>
      <c r="K787" s="55"/>
      <c r="L787" s="55"/>
      <c r="M787" s="55"/>
      <c r="N787" s="55"/>
      <c r="O787" s="55"/>
      <c r="P787" s="55"/>
      <c r="Q787" s="55"/>
      <c r="R787" s="55"/>
      <c r="S787" s="55"/>
      <c r="T787" s="55"/>
      <c r="U787" s="55"/>
      <c r="V787" s="55"/>
      <c r="W787" s="55"/>
    </row>
    <row r="788">
      <c r="A788" s="61"/>
      <c r="B788" s="202"/>
      <c r="C788" s="61"/>
      <c r="D788" s="202"/>
      <c r="E788" s="61"/>
      <c r="F788" s="202"/>
      <c r="G788" s="61"/>
      <c r="H788" s="202"/>
      <c r="I788" s="18"/>
      <c r="J788" s="202"/>
      <c r="K788" s="55"/>
      <c r="L788" s="55"/>
      <c r="M788" s="55"/>
      <c r="N788" s="55"/>
      <c r="O788" s="55"/>
      <c r="P788" s="55"/>
      <c r="Q788" s="55"/>
      <c r="R788" s="55"/>
      <c r="S788" s="55"/>
      <c r="T788" s="55"/>
      <c r="U788" s="55"/>
      <c r="V788" s="55"/>
      <c r="W788" s="55"/>
    </row>
    <row r="789">
      <c r="A789" s="61"/>
      <c r="B789" s="202"/>
      <c r="C789" s="61"/>
      <c r="D789" s="202"/>
      <c r="E789" s="61"/>
      <c r="F789" s="202"/>
      <c r="G789" s="61"/>
      <c r="H789" s="202"/>
      <c r="I789" s="18"/>
      <c r="J789" s="202"/>
      <c r="K789" s="55"/>
      <c r="L789" s="55"/>
      <c r="M789" s="55"/>
      <c r="N789" s="55"/>
      <c r="O789" s="55"/>
      <c r="P789" s="55"/>
      <c r="Q789" s="55"/>
      <c r="R789" s="55"/>
      <c r="S789" s="55"/>
      <c r="T789" s="55"/>
      <c r="U789" s="55"/>
      <c r="V789" s="55"/>
      <c r="W789" s="55"/>
    </row>
    <row r="790">
      <c r="A790" s="61"/>
      <c r="B790" s="202"/>
      <c r="C790" s="61"/>
      <c r="D790" s="202"/>
      <c r="E790" s="61"/>
      <c r="F790" s="202"/>
      <c r="G790" s="61"/>
      <c r="H790" s="202"/>
      <c r="I790" s="18"/>
      <c r="J790" s="202"/>
      <c r="K790" s="55"/>
      <c r="L790" s="55"/>
      <c r="M790" s="55"/>
      <c r="N790" s="55"/>
      <c r="O790" s="55"/>
      <c r="P790" s="55"/>
      <c r="Q790" s="55"/>
      <c r="R790" s="55"/>
      <c r="S790" s="55"/>
      <c r="T790" s="55"/>
      <c r="U790" s="55"/>
      <c r="V790" s="55"/>
      <c r="W790" s="55"/>
    </row>
    <row r="791">
      <c r="A791" s="61"/>
      <c r="B791" s="202"/>
      <c r="C791" s="61"/>
      <c r="D791" s="202"/>
      <c r="E791" s="61"/>
      <c r="F791" s="202"/>
      <c r="G791" s="61"/>
      <c r="H791" s="202"/>
      <c r="I791" s="18"/>
      <c r="J791" s="202"/>
      <c r="K791" s="55"/>
      <c r="L791" s="55"/>
      <c r="M791" s="55"/>
      <c r="N791" s="55"/>
      <c r="O791" s="55"/>
      <c r="P791" s="55"/>
      <c r="Q791" s="55"/>
      <c r="R791" s="55"/>
      <c r="S791" s="55"/>
      <c r="T791" s="55"/>
      <c r="U791" s="55"/>
      <c r="V791" s="55"/>
      <c r="W791" s="55"/>
    </row>
    <row r="792">
      <c r="A792" s="61"/>
      <c r="B792" s="202"/>
      <c r="C792" s="61"/>
      <c r="D792" s="202"/>
      <c r="E792" s="61"/>
      <c r="F792" s="202"/>
      <c r="G792" s="61"/>
      <c r="H792" s="202"/>
      <c r="I792" s="18"/>
      <c r="J792" s="202"/>
      <c r="K792" s="55"/>
      <c r="L792" s="55"/>
      <c r="M792" s="55"/>
      <c r="N792" s="55"/>
      <c r="O792" s="55"/>
      <c r="P792" s="55"/>
      <c r="Q792" s="55"/>
      <c r="R792" s="55"/>
      <c r="S792" s="55"/>
      <c r="T792" s="55"/>
      <c r="U792" s="55"/>
      <c r="V792" s="55"/>
      <c r="W792" s="55"/>
    </row>
    <row r="793">
      <c r="A793" s="61"/>
      <c r="B793" s="202"/>
      <c r="C793" s="61"/>
      <c r="D793" s="202"/>
      <c r="E793" s="61"/>
      <c r="F793" s="202"/>
      <c r="G793" s="61"/>
      <c r="H793" s="202"/>
      <c r="I793" s="18"/>
      <c r="J793" s="202"/>
      <c r="K793" s="55"/>
      <c r="L793" s="55"/>
      <c r="M793" s="55"/>
      <c r="N793" s="55"/>
      <c r="O793" s="55"/>
      <c r="P793" s="55"/>
      <c r="Q793" s="55"/>
      <c r="R793" s="55"/>
      <c r="S793" s="55"/>
      <c r="T793" s="55"/>
      <c r="U793" s="55"/>
      <c r="V793" s="55"/>
      <c r="W793" s="55"/>
    </row>
    <row r="794">
      <c r="A794" s="61"/>
      <c r="B794" s="202"/>
      <c r="C794" s="61"/>
      <c r="D794" s="202"/>
      <c r="E794" s="61"/>
      <c r="F794" s="202"/>
      <c r="G794" s="61"/>
      <c r="H794" s="202"/>
      <c r="I794" s="18"/>
      <c r="J794" s="202"/>
      <c r="K794" s="55"/>
      <c r="L794" s="55"/>
      <c r="M794" s="55"/>
      <c r="N794" s="55"/>
      <c r="O794" s="55"/>
      <c r="P794" s="55"/>
      <c r="Q794" s="55"/>
      <c r="R794" s="55"/>
      <c r="S794" s="55"/>
      <c r="T794" s="55"/>
      <c r="U794" s="55"/>
      <c r="V794" s="55"/>
      <c r="W794" s="55"/>
    </row>
    <row r="795">
      <c r="A795" s="61"/>
      <c r="B795" s="202"/>
      <c r="C795" s="61"/>
      <c r="D795" s="202"/>
      <c r="E795" s="61"/>
      <c r="F795" s="202"/>
      <c r="G795" s="61"/>
      <c r="H795" s="202"/>
      <c r="I795" s="18"/>
      <c r="J795" s="202"/>
      <c r="K795" s="55"/>
      <c r="L795" s="55"/>
      <c r="M795" s="55"/>
      <c r="N795" s="55"/>
      <c r="O795" s="55"/>
      <c r="P795" s="55"/>
      <c r="Q795" s="55"/>
      <c r="R795" s="55"/>
      <c r="S795" s="55"/>
      <c r="T795" s="55"/>
      <c r="U795" s="55"/>
      <c r="V795" s="55"/>
      <c r="W795" s="55"/>
    </row>
    <row r="796">
      <c r="A796" s="61"/>
      <c r="B796" s="202"/>
      <c r="C796" s="61"/>
      <c r="D796" s="202"/>
      <c r="E796" s="61"/>
      <c r="F796" s="202"/>
      <c r="G796" s="61"/>
      <c r="H796" s="202"/>
      <c r="I796" s="18"/>
      <c r="J796" s="202"/>
      <c r="K796" s="55"/>
      <c r="L796" s="55"/>
      <c r="M796" s="55"/>
      <c r="N796" s="55"/>
      <c r="O796" s="55"/>
      <c r="P796" s="55"/>
      <c r="Q796" s="55"/>
      <c r="R796" s="55"/>
      <c r="S796" s="55"/>
      <c r="T796" s="55"/>
      <c r="U796" s="55"/>
      <c r="V796" s="55"/>
      <c r="W796" s="55"/>
    </row>
    <row r="797">
      <c r="A797" s="61"/>
      <c r="B797" s="202"/>
      <c r="C797" s="61"/>
      <c r="D797" s="202"/>
      <c r="E797" s="61"/>
      <c r="F797" s="202"/>
      <c r="G797" s="61"/>
      <c r="H797" s="202"/>
      <c r="I797" s="18"/>
      <c r="J797" s="202"/>
      <c r="K797" s="55"/>
      <c r="L797" s="55"/>
      <c r="M797" s="55"/>
      <c r="N797" s="55"/>
      <c r="O797" s="55"/>
      <c r="P797" s="55"/>
      <c r="Q797" s="55"/>
      <c r="R797" s="55"/>
      <c r="S797" s="55"/>
      <c r="T797" s="55"/>
      <c r="U797" s="55"/>
      <c r="V797" s="55"/>
      <c r="W797" s="55"/>
    </row>
    <row r="798">
      <c r="A798" s="61"/>
      <c r="B798" s="202"/>
      <c r="C798" s="61"/>
      <c r="D798" s="202"/>
      <c r="E798" s="61"/>
      <c r="F798" s="202"/>
      <c r="G798" s="61"/>
      <c r="H798" s="202"/>
      <c r="I798" s="18"/>
      <c r="J798" s="202"/>
      <c r="K798" s="55"/>
      <c r="L798" s="55"/>
      <c r="M798" s="55"/>
      <c r="N798" s="55"/>
      <c r="O798" s="55"/>
      <c r="P798" s="55"/>
      <c r="Q798" s="55"/>
      <c r="R798" s="55"/>
      <c r="S798" s="55"/>
      <c r="T798" s="55"/>
      <c r="U798" s="55"/>
      <c r="V798" s="55"/>
      <c r="W798" s="55"/>
    </row>
    <row r="799">
      <c r="A799" s="61"/>
      <c r="B799" s="202"/>
      <c r="C799" s="61"/>
      <c r="D799" s="202"/>
      <c r="E799" s="61"/>
      <c r="F799" s="202"/>
      <c r="G799" s="61"/>
      <c r="H799" s="202"/>
      <c r="I799" s="18"/>
      <c r="J799" s="202"/>
      <c r="K799" s="55"/>
      <c r="L799" s="55"/>
      <c r="M799" s="55"/>
      <c r="N799" s="55"/>
      <c r="O799" s="55"/>
      <c r="P799" s="55"/>
      <c r="Q799" s="55"/>
      <c r="R799" s="55"/>
      <c r="S799" s="55"/>
      <c r="T799" s="55"/>
      <c r="U799" s="55"/>
      <c r="V799" s="55"/>
      <c r="W799" s="55"/>
    </row>
    <row r="800">
      <c r="A800" s="61"/>
      <c r="B800" s="202"/>
      <c r="C800" s="61"/>
      <c r="D800" s="202"/>
      <c r="E800" s="61"/>
      <c r="F800" s="202"/>
      <c r="G800" s="61"/>
      <c r="H800" s="202"/>
      <c r="I800" s="18"/>
      <c r="J800" s="202"/>
      <c r="K800" s="55"/>
      <c r="L800" s="55"/>
      <c r="M800" s="55"/>
      <c r="N800" s="55"/>
      <c r="O800" s="55"/>
      <c r="P800" s="55"/>
      <c r="Q800" s="55"/>
      <c r="R800" s="55"/>
      <c r="S800" s="55"/>
      <c r="T800" s="55"/>
      <c r="U800" s="55"/>
      <c r="V800" s="55"/>
      <c r="W800" s="55"/>
    </row>
    <row r="801">
      <c r="A801" s="61"/>
      <c r="B801" s="202"/>
      <c r="C801" s="61"/>
      <c r="D801" s="202"/>
      <c r="E801" s="61"/>
      <c r="F801" s="202"/>
      <c r="G801" s="61"/>
      <c r="H801" s="202"/>
      <c r="I801" s="18"/>
      <c r="J801" s="202"/>
      <c r="K801" s="55"/>
      <c r="L801" s="55"/>
      <c r="M801" s="55"/>
      <c r="N801" s="55"/>
      <c r="O801" s="55"/>
      <c r="P801" s="55"/>
      <c r="Q801" s="55"/>
      <c r="R801" s="55"/>
      <c r="S801" s="55"/>
      <c r="T801" s="55"/>
      <c r="U801" s="55"/>
      <c r="V801" s="55"/>
      <c r="W801" s="55"/>
    </row>
    <row r="802">
      <c r="A802" s="61"/>
      <c r="B802" s="202"/>
      <c r="C802" s="61"/>
      <c r="D802" s="202"/>
      <c r="E802" s="61"/>
      <c r="F802" s="202"/>
      <c r="G802" s="61"/>
      <c r="H802" s="202"/>
      <c r="I802" s="18"/>
      <c r="J802" s="202"/>
      <c r="K802" s="55"/>
      <c r="L802" s="55"/>
      <c r="M802" s="55"/>
      <c r="N802" s="55"/>
      <c r="O802" s="55"/>
      <c r="P802" s="55"/>
      <c r="Q802" s="55"/>
      <c r="R802" s="55"/>
      <c r="S802" s="55"/>
      <c r="T802" s="55"/>
      <c r="U802" s="55"/>
      <c r="V802" s="55"/>
      <c r="W802" s="55"/>
    </row>
    <row r="803">
      <c r="A803" s="61"/>
      <c r="B803" s="202"/>
      <c r="C803" s="61"/>
      <c r="D803" s="202"/>
      <c r="E803" s="61"/>
      <c r="F803" s="202"/>
      <c r="G803" s="61"/>
      <c r="H803" s="202"/>
      <c r="I803" s="18"/>
      <c r="J803" s="202"/>
      <c r="K803" s="55"/>
      <c r="L803" s="55"/>
      <c r="M803" s="55"/>
      <c r="N803" s="55"/>
      <c r="O803" s="55"/>
      <c r="P803" s="55"/>
      <c r="Q803" s="55"/>
      <c r="R803" s="55"/>
      <c r="S803" s="55"/>
      <c r="T803" s="55"/>
      <c r="U803" s="55"/>
      <c r="V803" s="55"/>
      <c r="W803" s="55"/>
    </row>
    <row r="804">
      <c r="A804" s="61"/>
      <c r="B804" s="202"/>
      <c r="C804" s="61"/>
      <c r="D804" s="202"/>
      <c r="E804" s="61"/>
      <c r="F804" s="202"/>
      <c r="G804" s="61"/>
      <c r="H804" s="202"/>
      <c r="I804" s="18"/>
      <c r="J804" s="202"/>
      <c r="K804" s="55"/>
      <c r="L804" s="55"/>
      <c r="M804" s="55"/>
      <c r="N804" s="55"/>
      <c r="O804" s="55"/>
      <c r="P804" s="55"/>
      <c r="Q804" s="55"/>
      <c r="R804" s="55"/>
      <c r="S804" s="55"/>
      <c r="T804" s="55"/>
      <c r="U804" s="55"/>
      <c r="V804" s="55"/>
      <c r="W804" s="55"/>
    </row>
    <row r="805">
      <c r="A805" s="61"/>
      <c r="B805" s="202"/>
      <c r="C805" s="61"/>
      <c r="D805" s="202"/>
      <c r="E805" s="61"/>
      <c r="F805" s="202"/>
      <c r="G805" s="61"/>
      <c r="H805" s="202"/>
      <c r="I805" s="18"/>
      <c r="J805" s="202"/>
      <c r="K805" s="55"/>
      <c r="L805" s="55"/>
      <c r="M805" s="55"/>
      <c r="N805" s="55"/>
      <c r="O805" s="55"/>
      <c r="P805" s="55"/>
      <c r="Q805" s="55"/>
      <c r="R805" s="55"/>
      <c r="S805" s="55"/>
      <c r="T805" s="55"/>
      <c r="U805" s="55"/>
      <c r="V805" s="55"/>
      <c r="W805" s="55"/>
    </row>
    <row r="806">
      <c r="A806" s="61"/>
      <c r="B806" s="202"/>
      <c r="C806" s="61"/>
      <c r="D806" s="202"/>
      <c r="E806" s="61"/>
      <c r="F806" s="202"/>
      <c r="G806" s="61"/>
      <c r="H806" s="202"/>
      <c r="I806" s="18"/>
      <c r="J806" s="202"/>
      <c r="K806" s="55"/>
      <c r="L806" s="55"/>
      <c r="M806" s="55"/>
      <c r="N806" s="55"/>
      <c r="O806" s="55"/>
      <c r="P806" s="55"/>
      <c r="Q806" s="55"/>
      <c r="R806" s="55"/>
      <c r="S806" s="55"/>
      <c r="T806" s="55"/>
      <c r="U806" s="55"/>
      <c r="V806" s="55"/>
      <c r="W806" s="55"/>
    </row>
    <row r="807">
      <c r="A807" s="61"/>
      <c r="B807" s="202"/>
      <c r="C807" s="61"/>
      <c r="D807" s="202"/>
      <c r="E807" s="61"/>
      <c r="F807" s="202"/>
      <c r="G807" s="61"/>
      <c r="H807" s="202"/>
      <c r="I807" s="18"/>
      <c r="J807" s="202"/>
      <c r="K807" s="55"/>
      <c r="L807" s="55"/>
      <c r="M807" s="55"/>
      <c r="N807" s="55"/>
      <c r="O807" s="55"/>
      <c r="P807" s="55"/>
      <c r="Q807" s="55"/>
      <c r="R807" s="55"/>
      <c r="S807" s="55"/>
      <c r="T807" s="55"/>
      <c r="U807" s="55"/>
      <c r="V807" s="55"/>
      <c r="W807" s="55"/>
    </row>
    <row r="808">
      <c r="A808" s="61"/>
      <c r="B808" s="202"/>
      <c r="C808" s="61"/>
      <c r="D808" s="202"/>
      <c r="E808" s="61"/>
      <c r="F808" s="202"/>
      <c r="G808" s="61"/>
      <c r="H808" s="202"/>
      <c r="I808" s="18"/>
      <c r="J808" s="202"/>
      <c r="K808" s="55"/>
      <c r="L808" s="55"/>
      <c r="M808" s="55"/>
      <c r="N808" s="55"/>
      <c r="O808" s="55"/>
      <c r="P808" s="55"/>
      <c r="Q808" s="55"/>
      <c r="R808" s="55"/>
      <c r="S808" s="55"/>
      <c r="T808" s="55"/>
      <c r="U808" s="55"/>
      <c r="V808" s="55"/>
      <c r="W808" s="55"/>
    </row>
    <row r="809">
      <c r="A809" s="61"/>
      <c r="B809" s="202"/>
      <c r="C809" s="61"/>
      <c r="D809" s="202"/>
      <c r="E809" s="61"/>
      <c r="F809" s="202"/>
      <c r="G809" s="61"/>
      <c r="H809" s="202"/>
      <c r="I809" s="18"/>
      <c r="J809" s="202"/>
      <c r="K809" s="55"/>
      <c r="L809" s="55"/>
      <c r="M809" s="55"/>
      <c r="N809" s="55"/>
      <c r="O809" s="55"/>
      <c r="P809" s="55"/>
      <c r="Q809" s="55"/>
      <c r="R809" s="55"/>
      <c r="S809" s="55"/>
      <c r="T809" s="55"/>
      <c r="U809" s="55"/>
      <c r="V809" s="55"/>
      <c r="W809" s="55"/>
    </row>
    <row r="810">
      <c r="A810" s="61"/>
      <c r="B810" s="202"/>
      <c r="C810" s="61"/>
      <c r="D810" s="202"/>
      <c r="E810" s="61"/>
      <c r="F810" s="202"/>
      <c r="G810" s="61"/>
      <c r="H810" s="202"/>
      <c r="I810" s="18"/>
      <c r="J810" s="202"/>
      <c r="K810" s="55"/>
      <c r="L810" s="55"/>
      <c r="M810" s="55"/>
      <c r="N810" s="55"/>
      <c r="O810" s="55"/>
      <c r="P810" s="55"/>
      <c r="Q810" s="55"/>
      <c r="R810" s="55"/>
      <c r="S810" s="55"/>
      <c r="T810" s="55"/>
      <c r="U810" s="55"/>
      <c r="V810" s="55"/>
      <c r="W810" s="55"/>
    </row>
    <row r="811">
      <c r="A811" s="61"/>
      <c r="B811" s="202"/>
      <c r="C811" s="61"/>
      <c r="D811" s="202"/>
      <c r="E811" s="61"/>
      <c r="F811" s="202"/>
      <c r="G811" s="61"/>
      <c r="H811" s="202"/>
      <c r="I811" s="18"/>
      <c r="J811" s="202"/>
      <c r="K811" s="55"/>
      <c r="L811" s="55"/>
      <c r="M811" s="55"/>
      <c r="N811" s="55"/>
      <c r="O811" s="55"/>
      <c r="P811" s="55"/>
      <c r="Q811" s="55"/>
      <c r="R811" s="55"/>
      <c r="S811" s="55"/>
      <c r="T811" s="55"/>
      <c r="U811" s="55"/>
      <c r="V811" s="55"/>
      <c r="W811" s="55"/>
    </row>
    <row r="812">
      <c r="A812" s="61"/>
      <c r="B812" s="202"/>
      <c r="C812" s="61"/>
      <c r="D812" s="202"/>
      <c r="E812" s="61"/>
      <c r="F812" s="202"/>
      <c r="G812" s="61"/>
      <c r="H812" s="202"/>
      <c r="I812" s="18"/>
      <c r="J812" s="202"/>
      <c r="K812" s="55"/>
      <c r="L812" s="55"/>
      <c r="M812" s="55"/>
      <c r="N812" s="55"/>
      <c r="O812" s="55"/>
      <c r="P812" s="55"/>
      <c r="Q812" s="55"/>
      <c r="R812" s="55"/>
      <c r="S812" s="55"/>
      <c r="T812" s="55"/>
      <c r="U812" s="55"/>
      <c r="V812" s="55"/>
      <c r="W812" s="55"/>
    </row>
    <row r="813">
      <c r="A813" s="61"/>
      <c r="B813" s="202"/>
      <c r="C813" s="61"/>
      <c r="D813" s="202"/>
      <c r="E813" s="61"/>
      <c r="F813" s="202"/>
      <c r="G813" s="61"/>
      <c r="H813" s="202"/>
      <c r="I813" s="18"/>
      <c r="J813" s="202"/>
      <c r="K813" s="55"/>
      <c r="L813" s="55"/>
      <c r="M813" s="55"/>
      <c r="N813" s="55"/>
      <c r="O813" s="55"/>
      <c r="P813" s="55"/>
      <c r="Q813" s="55"/>
      <c r="R813" s="55"/>
      <c r="S813" s="55"/>
      <c r="T813" s="55"/>
      <c r="U813" s="55"/>
      <c r="V813" s="55"/>
      <c r="W813" s="55"/>
    </row>
    <row r="814">
      <c r="A814" s="61"/>
      <c r="B814" s="202"/>
      <c r="C814" s="61"/>
      <c r="D814" s="202"/>
      <c r="E814" s="61"/>
      <c r="F814" s="202"/>
      <c r="G814" s="61"/>
      <c r="H814" s="202"/>
      <c r="I814" s="18"/>
      <c r="J814" s="202"/>
      <c r="K814" s="55"/>
      <c r="L814" s="55"/>
      <c r="M814" s="55"/>
      <c r="N814" s="55"/>
      <c r="O814" s="55"/>
      <c r="P814" s="55"/>
      <c r="Q814" s="55"/>
      <c r="R814" s="55"/>
      <c r="S814" s="55"/>
      <c r="T814" s="55"/>
      <c r="U814" s="55"/>
      <c r="V814" s="55"/>
      <c r="W814" s="55"/>
    </row>
    <row r="815">
      <c r="A815" s="61"/>
      <c r="B815" s="202"/>
      <c r="C815" s="61"/>
      <c r="D815" s="202"/>
      <c r="E815" s="61"/>
      <c r="F815" s="202"/>
      <c r="G815" s="61"/>
      <c r="H815" s="202"/>
      <c r="I815" s="18"/>
      <c r="J815" s="202"/>
      <c r="K815" s="55"/>
      <c r="L815" s="55"/>
      <c r="M815" s="55"/>
      <c r="N815" s="55"/>
      <c r="O815" s="55"/>
      <c r="P815" s="55"/>
      <c r="Q815" s="55"/>
      <c r="R815" s="55"/>
      <c r="S815" s="55"/>
      <c r="T815" s="55"/>
      <c r="U815" s="55"/>
      <c r="V815" s="55"/>
      <c r="W815" s="55"/>
    </row>
    <row r="816">
      <c r="A816" s="61"/>
      <c r="B816" s="202"/>
      <c r="C816" s="61"/>
      <c r="D816" s="202"/>
      <c r="E816" s="61"/>
      <c r="F816" s="202"/>
      <c r="G816" s="61"/>
      <c r="H816" s="202"/>
      <c r="I816" s="18"/>
      <c r="J816" s="202"/>
      <c r="K816" s="55"/>
      <c r="L816" s="55"/>
      <c r="M816" s="55"/>
      <c r="N816" s="55"/>
      <c r="O816" s="55"/>
      <c r="P816" s="55"/>
      <c r="Q816" s="55"/>
      <c r="R816" s="55"/>
      <c r="S816" s="55"/>
      <c r="T816" s="55"/>
      <c r="U816" s="55"/>
      <c r="V816" s="55"/>
      <c r="W816" s="55"/>
    </row>
    <row r="817">
      <c r="A817" s="61"/>
      <c r="B817" s="202"/>
      <c r="C817" s="61"/>
      <c r="D817" s="202"/>
      <c r="E817" s="61"/>
      <c r="F817" s="202"/>
      <c r="G817" s="61"/>
      <c r="H817" s="202"/>
      <c r="I817" s="18"/>
      <c r="J817" s="202"/>
      <c r="K817" s="55"/>
      <c r="L817" s="55"/>
      <c r="M817" s="55"/>
      <c r="N817" s="55"/>
      <c r="O817" s="55"/>
      <c r="P817" s="55"/>
      <c r="Q817" s="55"/>
      <c r="R817" s="55"/>
      <c r="S817" s="55"/>
      <c r="T817" s="55"/>
      <c r="U817" s="55"/>
      <c r="V817" s="55"/>
      <c r="W817" s="55"/>
    </row>
    <row r="818">
      <c r="A818" s="61"/>
      <c r="B818" s="202"/>
      <c r="C818" s="61"/>
      <c r="D818" s="202"/>
      <c r="E818" s="61"/>
      <c r="F818" s="202"/>
      <c r="G818" s="61"/>
      <c r="H818" s="202"/>
      <c r="I818" s="18"/>
      <c r="J818" s="202"/>
      <c r="K818" s="55"/>
      <c r="L818" s="55"/>
      <c r="M818" s="55"/>
      <c r="N818" s="55"/>
      <c r="O818" s="55"/>
      <c r="P818" s="55"/>
      <c r="Q818" s="55"/>
      <c r="R818" s="55"/>
      <c r="S818" s="55"/>
      <c r="T818" s="55"/>
      <c r="U818" s="55"/>
      <c r="V818" s="55"/>
      <c r="W818" s="55"/>
    </row>
    <row r="819">
      <c r="A819" s="61"/>
      <c r="B819" s="202"/>
      <c r="C819" s="61"/>
      <c r="D819" s="202"/>
      <c r="E819" s="61"/>
      <c r="F819" s="202"/>
      <c r="G819" s="61"/>
      <c r="H819" s="202"/>
      <c r="I819" s="18"/>
      <c r="J819" s="202"/>
      <c r="K819" s="55"/>
      <c r="L819" s="55"/>
      <c r="M819" s="55"/>
      <c r="N819" s="55"/>
      <c r="O819" s="55"/>
      <c r="P819" s="55"/>
      <c r="Q819" s="55"/>
      <c r="R819" s="55"/>
      <c r="S819" s="55"/>
      <c r="T819" s="55"/>
      <c r="U819" s="55"/>
      <c r="V819" s="55"/>
      <c r="W819" s="55"/>
    </row>
    <row r="820">
      <c r="A820" s="61"/>
      <c r="B820" s="202"/>
      <c r="C820" s="61"/>
      <c r="D820" s="202"/>
      <c r="E820" s="61"/>
      <c r="F820" s="202"/>
      <c r="G820" s="61"/>
      <c r="H820" s="202"/>
      <c r="I820" s="18"/>
      <c r="J820" s="202"/>
      <c r="K820" s="55"/>
      <c r="L820" s="55"/>
      <c r="M820" s="55"/>
      <c r="N820" s="55"/>
      <c r="O820" s="55"/>
      <c r="P820" s="55"/>
      <c r="Q820" s="55"/>
      <c r="R820" s="55"/>
      <c r="S820" s="55"/>
      <c r="T820" s="55"/>
      <c r="U820" s="55"/>
      <c r="V820" s="55"/>
      <c r="W820" s="55"/>
    </row>
    <row r="821">
      <c r="A821" s="61"/>
      <c r="B821" s="202"/>
      <c r="C821" s="61"/>
      <c r="D821" s="202"/>
      <c r="E821" s="61"/>
      <c r="F821" s="202"/>
      <c r="G821" s="61"/>
      <c r="H821" s="202"/>
      <c r="I821" s="18"/>
      <c r="J821" s="202"/>
      <c r="K821" s="55"/>
      <c r="L821" s="55"/>
      <c r="M821" s="55"/>
      <c r="N821" s="55"/>
      <c r="O821" s="55"/>
      <c r="P821" s="55"/>
      <c r="Q821" s="55"/>
      <c r="R821" s="55"/>
      <c r="S821" s="55"/>
      <c r="T821" s="55"/>
      <c r="U821" s="55"/>
      <c r="V821" s="55"/>
      <c r="W821" s="55"/>
    </row>
    <row r="822">
      <c r="A822" s="61"/>
      <c r="B822" s="202"/>
      <c r="C822" s="61"/>
      <c r="D822" s="202"/>
      <c r="E822" s="61"/>
      <c r="F822" s="202"/>
      <c r="G822" s="61"/>
      <c r="H822" s="202"/>
      <c r="I822" s="18"/>
      <c r="J822" s="202"/>
      <c r="K822" s="55"/>
      <c r="L822" s="55"/>
      <c r="M822" s="55"/>
      <c r="N822" s="55"/>
      <c r="O822" s="55"/>
      <c r="P822" s="55"/>
      <c r="Q822" s="55"/>
      <c r="R822" s="55"/>
      <c r="S822" s="55"/>
      <c r="T822" s="55"/>
      <c r="U822" s="55"/>
      <c r="V822" s="55"/>
      <c r="W822" s="55"/>
    </row>
    <row r="823">
      <c r="A823" s="61"/>
      <c r="B823" s="202"/>
      <c r="C823" s="61"/>
      <c r="D823" s="202"/>
      <c r="E823" s="61"/>
      <c r="F823" s="202"/>
      <c r="G823" s="61"/>
      <c r="H823" s="202"/>
      <c r="I823" s="18"/>
      <c r="J823" s="202"/>
      <c r="K823" s="55"/>
      <c r="L823" s="55"/>
      <c r="M823" s="55"/>
      <c r="N823" s="55"/>
      <c r="O823" s="55"/>
      <c r="P823" s="55"/>
      <c r="Q823" s="55"/>
      <c r="R823" s="55"/>
      <c r="S823" s="55"/>
      <c r="T823" s="55"/>
      <c r="U823" s="55"/>
      <c r="V823" s="55"/>
      <c r="W823" s="55"/>
    </row>
    <row r="824">
      <c r="A824" s="61"/>
      <c r="B824" s="202"/>
      <c r="C824" s="61"/>
      <c r="D824" s="202"/>
      <c r="E824" s="61"/>
      <c r="F824" s="202"/>
      <c r="G824" s="61"/>
      <c r="H824" s="202"/>
      <c r="I824" s="18"/>
      <c r="J824" s="202"/>
      <c r="K824" s="55"/>
      <c r="L824" s="55"/>
      <c r="M824" s="55"/>
      <c r="N824" s="55"/>
      <c r="O824" s="55"/>
      <c r="P824" s="55"/>
      <c r="Q824" s="55"/>
      <c r="R824" s="55"/>
      <c r="S824" s="55"/>
      <c r="T824" s="55"/>
      <c r="U824" s="55"/>
      <c r="V824" s="55"/>
      <c r="W824" s="55"/>
    </row>
    <row r="825">
      <c r="A825" s="61"/>
      <c r="B825" s="202"/>
      <c r="C825" s="61"/>
      <c r="D825" s="202"/>
      <c r="E825" s="61"/>
      <c r="F825" s="202"/>
      <c r="G825" s="61"/>
      <c r="H825" s="202"/>
      <c r="I825" s="18"/>
      <c r="J825" s="202"/>
      <c r="K825" s="55"/>
      <c r="L825" s="55"/>
      <c r="M825" s="55"/>
      <c r="N825" s="55"/>
      <c r="O825" s="55"/>
      <c r="P825" s="55"/>
      <c r="Q825" s="55"/>
      <c r="R825" s="55"/>
      <c r="S825" s="55"/>
      <c r="T825" s="55"/>
      <c r="U825" s="55"/>
      <c r="V825" s="55"/>
      <c r="W825" s="55"/>
    </row>
    <row r="826">
      <c r="A826" s="61"/>
      <c r="B826" s="202"/>
      <c r="C826" s="61"/>
      <c r="D826" s="202"/>
      <c r="E826" s="61"/>
      <c r="F826" s="202"/>
      <c r="G826" s="61"/>
      <c r="H826" s="202"/>
      <c r="I826" s="18"/>
      <c r="J826" s="202"/>
      <c r="K826" s="55"/>
      <c r="L826" s="55"/>
      <c r="M826" s="55"/>
      <c r="N826" s="55"/>
      <c r="O826" s="55"/>
      <c r="P826" s="55"/>
      <c r="Q826" s="55"/>
      <c r="R826" s="55"/>
      <c r="S826" s="55"/>
      <c r="T826" s="55"/>
      <c r="U826" s="55"/>
      <c r="V826" s="55"/>
      <c r="W826" s="55"/>
    </row>
    <row r="827">
      <c r="A827" s="61"/>
      <c r="B827" s="202"/>
      <c r="C827" s="61"/>
      <c r="D827" s="202"/>
      <c r="E827" s="61"/>
      <c r="F827" s="202"/>
      <c r="G827" s="61"/>
      <c r="H827" s="202"/>
      <c r="I827" s="18"/>
      <c r="J827" s="202"/>
      <c r="K827" s="55"/>
      <c r="L827" s="55"/>
      <c r="M827" s="55"/>
      <c r="N827" s="55"/>
      <c r="O827" s="55"/>
      <c r="P827" s="55"/>
      <c r="Q827" s="55"/>
      <c r="R827" s="55"/>
      <c r="S827" s="55"/>
      <c r="T827" s="55"/>
      <c r="U827" s="55"/>
      <c r="V827" s="55"/>
      <c r="W827" s="55"/>
    </row>
    <row r="828">
      <c r="A828" s="61"/>
      <c r="B828" s="202"/>
      <c r="C828" s="61"/>
      <c r="D828" s="202"/>
      <c r="E828" s="61"/>
      <c r="F828" s="202"/>
      <c r="G828" s="61"/>
      <c r="H828" s="202"/>
      <c r="I828" s="18"/>
      <c r="J828" s="202"/>
      <c r="K828" s="55"/>
      <c r="L828" s="55"/>
      <c r="M828" s="55"/>
      <c r="N828" s="55"/>
      <c r="O828" s="55"/>
      <c r="P828" s="55"/>
      <c r="Q828" s="55"/>
      <c r="R828" s="55"/>
      <c r="S828" s="55"/>
      <c r="T828" s="55"/>
      <c r="U828" s="55"/>
      <c r="V828" s="55"/>
      <c r="W828" s="55"/>
    </row>
    <row r="829">
      <c r="A829" s="61"/>
      <c r="B829" s="202"/>
      <c r="C829" s="61"/>
      <c r="D829" s="202"/>
      <c r="E829" s="61"/>
      <c r="F829" s="202"/>
      <c r="G829" s="61"/>
      <c r="H829" s="202"/>
      <c r="I829" s="18"/>
      <c r="J829" s="202"/>
      <c r="K829" s="55"/>
      <c r="L829" s="55"/>
      <c r="M829" s="55"/>
      <c r="N829" s="55"/>
      <c r="O829" s="55"/>
      <c r="P829" s="55"/>
      <c r="Q829" s="55"/>
      <c r="R829" s="55"/>
      <c r="S829" s="55"/>
      <c r="T829" s="55"/>
      <c r="U829" s="55"/>
      <c r="V829" s="55"/>
      <c r="W829" s="55"/>
    </row>
    <row r="830">
      <c r="A830" s="61"/>
      <c r="B830" s="202"/>
      <c r="C830" s="61"/>
      <c r="D830" s="202"/>
      <c r="E830" s="61"/>
      <c r="F830" s="202"/>
      <c r="G830" s="61"/>
      <c r="H830" s="202"/>
      <c r="I830" s="18"/>
      <c r="J830" s="202"/>
      <c r="K830" s="55"/>
      <c r="L830" s="55"/>
      <c r="M830" s="55"/>
      <c r="N830" s="55"/>
      <c r="O830" s="55"/>
      <c r="P830" s="55"/>
      <c r="Q830" s="55"/>
      <c r="R830" s="55"/>
      <c r="S830" s="55"/>
      <c r="T830" s="55"/>
      <c r="U830" s="55"/>
      <c r="V830" s="55"/>
      <c r="W830" s="55"/>
    </row>
    <row r="831">
      <c r="A831" s="61"/>
      <c r="B831" s="202"/>
      <c r="C831" s="61"/>
      <c r="D831" s="202"/>
      <c r="E831" s="61"/>
      <c r="F831" s="202"/>
      <c r="G831" s="61"/>
      <c r="H831" s="202"/>
      <c r="I831" s="18"/>
      <c r="J831" s="202"/>
      <c r="K831" s="55"/>
      <c r="L831" s="55"/>
      <c r="M831" s="55"/>
      <c r="N831" s="55"/>
      <c r="O831" s="55"/>
      <c r="P831" s="55"/>
      <c r="Q831" s="55"/>
      <c r="R831" s="55"/>
      <c r="S831" s="55"/>
      <c r="T831" s="55"/>
      <c r="U831" s="55"/>
      <c r="V831" s="55"/>
      <c r="W831" s="55"/>
    </row>
    <row r="832">
      <c r="A832" s="61"/>
      <c r="B832" s="202"/>
      <c r="C832" s="61"/>
      <c r="D832" s="202"/>
      <c r="E832" s="61"/>
      <c r="F832" s="202"/>
      <c r="G832" s="61"/>
      <c r="H832" s="202"/>
      <c r="I832" s="18"/>
      <c r="J832" s="202"/>
      <c r="K832" s="55"/>
      <c r="L832" s="55"/>
      <c r="M832" s="55"/>
      <c r="N832" s="55"/>
      <c r="O832" s="55"/>
      <c r="P832" s="55"/>
      <c r="Q832" s="55"/>
      <c r="R832" s="55"/>
      <c r="S832" s="55"/>
      <c r="T832" s="55"/>
      <c r="U832" s="55"/>
      <c r="V832" s="55"/>
      <c r="W832" s="55"/>
    </row>
    <row r="833">
      <c r="A833" s="61"/>
      <c r="B833" s="202"/>
      <c r="C833" s="61"/>
      <c r="D833" s="202"/>
      <c r="E833" s="61"/>
      <c r="F833" s="202"/>
      <c r="G833" s="61"/>
      <c r="H833" s="202"/>
      <c r="I833" s="18"/>
      <c r="J833" s="202"/>
      <c r="K833" s="55"/>
      <c r="L833" s="55"/>
      <c r="M833" s="55"/>
      <c r="N833" s="55"/>
      <c r="O833" s="55"/>
      <c r="P833" s="55"/>
      <c r="Q833" s="55"/>
      <c r="R833" s="55"/>
      <c r="S833" s="55"/>
      <c r="T833" s="55"/>
      <c r="U833" s="55"/>
      <c r="V833" s="55"/>
      <c r="W833" s="55"/>
    </row>
    <row r="834">
      <c r="A834" s="61"/>
      <c r="B834" s="202"/>
      <c r="C834" s="61"/>
      <c r="D834" s="202"/>
      <c r="E834" s="61"/>
      <c r="F834" s="202"/>
      <c r="G834" s="61"/>
      <c r="H834" s="202"/>
      <c r="I834" s="18"/>
      <c r="J834" s="202"/>
      <c r="K834" s="55"/>
      <c r="L834" s="55"/>
      <c r="M834" s="55"/>
      <c r="N834" s="55"/>
      <c r="O834" s="55"/>
      <c r="P834" s="55"/>
      <c r="Q834" s="55"/>
      <c r="R834" s="55"/>
      <c r="S834" s="55"/>
      <c r="T834" s="55"/>
      <c r="U834" s="55"/>
      <c r="V834" s="55"/>
      <c r="W834" s="55"/>
    </row>
    <row r="835">
      <c r="A835" s="61"/>
      <c r="B835" s="202"/>
      <c r="C835" s="61"/>
      <c r="D835" s="202"/>
      <c r="E835" s="61"/>
      <c r="F835" s="202"/>
      <c r="G835" s="61"/>
      <c r="H835" s="202"/>
      <c r="I835" s="18"/>
      <c r="J835" s="202"/>
      <c r="K835" s="55"/>
      <c r="L835" s="55"/>
      <c r="M835" s="55"/>
      <c r="N835" s="55"/>
      <c r="O835" s="55"/>
      <c r="P835" s="55"/>
      <c r="Q835" s="55"/>
      <c r="R835" s="55"/>
      <c r="S835" s="55"/>
      <c r="T835" s="55"/>
      <c r="U835" s="55"/>
      <c r="V835" s="55"/>
      <c r="W835" s="55"/>
    </row>
    <row r="836">
      <c r="A836" s="61"/>
      <c r="B836" s="202"/>
      <c r="C836" s="61"/>
      <c r="D836" s="202"/>
      <c r="E836" s="61"/>
      <c r="F836" s="202"/>
      <c r="G836" s="61"/>
      <c r="H836" s="202"/>
      <c r="I836" s="18"/>
      <c r="J836" s="202"/>
      <c r="K836" s="55"/>
      <c r="L836" s="55"/>
      <c r="M836" s="55"/>
      <c r="N836" s="55"/>
      <c r="O836" s="55"/>
      <c r="P836" s="55"/>
      <c r="Q836" s="55"/>
      <c r="R836" s="55"/>
      <c r="S836" s="55"/>
      <c r="T836" s="55"/>
      <c r="U836" s="55"/>
      <c r="V836" s="55"/>
      <c r="W836" s="55"/>
    </row>
    <row r="837">
      <c r="A837" s="61"/>
      <c r="B837" s="202"/>
      <c r="C837" s="61"/>
      <c r="D837" s="202"/>
      <c r="E837" s="61"/>
      <c r="F837" s="202"/>
      <c r="G837" s="61"/>
      <c r="H837" s="202"/>
      <c r="I837" s="18"/>
      <c r="J837" s="202"/>
      <c r="K837" s="55"/>
      <c r="L837" s="55"/>
      <c r="M837" s="55"/>
      <c r="N837" s="55"/>
      <c r="O837" s="55"/>
      <c r="P837" s="55"/>
      <c r="Q837" s="55"/>
      <c r="R837" s="55"/>
      <c r="S837" s="55"/>
      <c r="T837" s="55"/>
      <c r="U837" s="55"/>
      <c r="V837" s="55"/>
      <c r="W837" s="55"/>
    </row>
    <row r="838">
      <c r="A838" s="61"/>
      <c r="B838" s="202"/>
      <c r="C838" s="61"/>
      <c r="D838" s="202"/>
      <c r="E838" s="61"/>
      <c r="F838" s="202"/>
      <c r="G838" s="61"/>
      <c r="H838" s="202"/>
      <c r="I838" s="18"/>
      <c r="J838" s="202"/>
      <c r="K838" s="55"/>
      <c r="L838" s="55"/>
      <c r="M838" s="55"/>
      <c r="N838" s="55"/>
      <c r="O838" s="55"/>
      <c r="P838" s="55"/>
      <c r="Q838" s="55"/>
      <c r="R838" s="55"/>
      <c r="S838" s="55"/>
      <c r="T838" s="55"/>
      <c r="U838" s="55"/>
      <c r="V838" s="55"/>
      <c r="W838" s="55"/>
    </row>
    <row r="839">
      <c r="A839" s="61"/>
      <c r="B839" s="202"/>
      <c r="C839" s="61"/>
      <c r="D839" s="202"/>
      <c r="E839" s="61"/>
      <c r="F839" s="202"/>
      <c r="G839" s="61"/>
      <c r="H839" s="202"/>
      <c r="I839" s="18"/>
      <c r="J839" s="202"/>
      <c r="K839" s="55"/>
      <c r="L839" s="55"/>
      <c r="M839" s="55"/>
      <c r="N839" s="55"/>
      <c r="O839" s="55"/>
      <c r="P839" s="55"/>
      <c r="Q839" s="55"/>
      <c r="R839" s="55"/>
      <c r="S839" s="55"/>
      <c r="T839" s="55"/>
      <c r="U839" s="55"/>
      <c r="V839" s="55"/>
      <c r="W839" s="55"/>
    </row>
    <row r="840">
      <c r="A840" s="61"/>
      <c r="B840" s="202"/>
      <c r="C840" s="61"/>
      <c r="D840" s="202"/>
      <c r="E840" s="61"/>
      <c r="F840" s="202"/>
      <c r="G840" s="61"/>
      <c r="H840" s="202"/>
      <c r="I840" s="18"/>
      <c r="J840" s="202"/>
      <c r="K840" s="55"/>
      <c r="L840" s="55"/>
      <c r="M840" s="55"/>
      <c r="N840" s="55"/>
      <c r="O840" s="55"/>
      <c r="P840" s="55"/>
      <c r="Q840" s="55"/>
      <c r="R840" s="55"/>
      <c r="S840" s="55"/>
      <c r="T840" s="55"/>
      <c r="U840" s="55"/>
      <c r="V840" s="55"/>
      <c r="W840" s="55"/>
    </row>
    <row r="841">
      <c r="A841" s="61"/>
      <c r="B841" s="202"/>
      <c r="C841" s="61"/>
      <c r="D841" s="202"/>
      <c r="E841" s="61"/>
      <c r="F841" s="202"/>
      <c r="G841" s="61"/>
      <c r="H841" s="202"/>
      <c r="I841" s="18"/>
      <c r="J841" s="202"/>
      <c r="K841" s="55"/>
      <c r="L841" s="55"/>
      <c r="M841" s="55"/>
      <c r="N841" s="55"/>
      <c r="O841" s="55"/>
      <c r="P841" s="55"/>
      <c r="Q841" s="55"/>
      <c r="R841" s="55"/>
      <c r="S841" s="55"/>
      <c r="T841" s="55"/>
      <c r="U841" s="55"/>
      <c r="V841" s="55"/>
      <c r="W841" s="55"/>
    </row>
    <row r="842">
      <c r="A842" s="61"/>
      <c r="B842" s="202"/>
      <c r="C842" s="61"/>
      <c r="D842" s="202"/>
      <c r="E842" s="61"/>
      <c r="F842" s="202"/>
      <c r="G842" s="61"/>
      <c r="H842" s="202"/>
      <c r="I842" s="18"/>
      <c r="J842" s="202"/>
      <c r="K842" s="55"/>
      <c r="L842" s="55"/>
      <c r="M842" s="55"/>
      <c r="N842" s="55"/>
      <c r="O842" s="55"/>
      <c r="P842" s="55"/>
      <c r="Q842" s="55"/>
      <c r="R842" s="55"/>
      <c r="S842" s="55"/>
      <c r="T842" s="55"/>
      <c r="U842" s="55"/>
      <c r="V842" s="55"/>
      <c r="W842" s="55"/>
    </row>
    <row r="843">
      <c r="A843" s="61"/>
      <c r="B843" s="202"/>
      <c r="C843" s="61"/>
      <c r="D843" s="202"/>
      <c r="E843" s="61"/>
      <c r="F843" s="202"/>
      <c r="G843" s="61"/>
      <c r="H843" s="202"/>
      <c r="I843" s="18"/>
      <c r="J843" s="202"/>
      <c r="K843" s="55"/>
      <c r="L843" s="55"/>
      <c r="M843" s="55"/>
      <c r="N843" s="55"/>
      <c r="O843" s="55"/>
      <c r="P843" s="55"/>
      <c r="Q843" s="55"/>
      <c r="R843" s="55"/>
      <c r="S843" s="55"/>
      <c r="T843" s="55"/>
      <c r="U843" s="55"/>
      <c r="V843" s="55"/>
      <c r="W843" s="55"/>
    </row>
    <row r="844">
      <c r="A844" s="61"/>
      <c r="B844" s="202"/>
      <c r="C844" s="61"/>
      <c r="D844" s="202"/>
      <c r="E844" s="61"/>
      <c r="F844" s="202"/>
      <c r="G844" s="61"/>
      <c r="H844" s="202"/>
      <c r="I844" s="18"/>
      <c r="J844" s="202"/>
      <c r="K844" s="55"/>
      <c r="L844" s="55"/>
      <c r="M844" s="55"/>
      <c r="N844" s="55"/>
      <c r="O844" s="55"/>
      <c r="P844" s="55"/>
      <c r="Q844" s="55"/>
      <c r="R844" s="55"/>
      <c r="S844" s="55"/>
      <c r="T844" s="55"/>
      <c r="U844" s="55"/>
      <c r="V844" s="55"/>
      <c r="W844" s="55"/>
    </row>
    <row r="845">
      <c r="A845" s="61"/>
      <c r="B845" s="202"/>
      <c r="C845" s="61"/>
      <c r="D845" s="202"/>
      <c r="E845" s="61"/>
      <c r="F845" s="202"/>
      <c r="G845" s="61"/>
      <c r="H845" s="202"/>
      <c r="I845" s="18"/>
      <c r="J845" s="202"/>
      <c r="K845" s="55"/>
      <c r="L845" s="55"/>
      <c r="M845" s="55"/>
      <c r="N845" s="55"/>
      <c r="O845" s="55"/>
      <c r="P845" s="55"/>
      <c r="Q845" s="55"/>
      <c r="R845" s="55"/>
      <c r="S845" s="55"/>
      <c r="T845" s="55"/>
      <c r="U845" s="55"/>
      <c r="V845" s="55"/>
      <c r="W845" s="55"/>
    </row>
    <row r="846">
      <c r="A846" s="61"/>
      <c r="B846" s="202"/>
      <c r="C846" s="61"/>
      <c r="D846" s="202"/>
      <c r="E846" s="61"/>
      <c r="F846" s="202"/>
      <c r="G846" s="61"/>
      <c r="H846" s="202"/>
      <c r="I846" s="18"/>
      <c r="J846" s="202"/>
      <c r="K846" s="55"/>
      <c r="L846" s="55"/>
      <c r="M846" s="55"/>
      <c r="N846" s="55"/>
      <c r="O846" s="55"/>
      <c r="P846" s="55"/>
      <c r="Q846" s="55"/>
      <c r="R846" s="55"/>
      <c r="S846" s="55"/>
      <c r="T846" s="55"/>
      <c r="U846" s="55"/>
      <c r="V846" s="55"/>
      <c r="W846" s="55"/>
    </row>
    <row r="847">
      <c r="A847" s="61"/>
      <c r="B847" s="202"/>
      <c r="C847" s="61"/>
      <c r="D847" s="202"/>
      <c r="E847" s="61"/>
      <c r="F847" s="202"/>
      <c r="G847" s="61"/>
      <c r="H847" s="202"/>
      <c r="I847" s="18"/>
      <c r="J847" s="202"/>
      <c r="K847" s="55"/>
      <c r="L847" s="55"/>
      <c r="M847" s="55"/>
      <c r="N847" s="55"/>
      <c r="O847" s="55"/>
      <c r="P847" s="55"/>
      <c r="Q847" s="55"/>
      <c r="R847" s="55"/>
      <c r="S847" s="55"/>
      <c r="T847" s="55"/>
      <c r="U847" s="55"/>
      <c r="V847" s="55"/>
      <c r="W847" s="55"/>
    </row>
    <row r="848">
      <c r="A848" s="61"/>
      <c r="B848" s="202"/>
      <c r="C848" s="61"/>
      <c r="D848" s="202"/>
      <c r="E848" s="61"/>
      <c r="F848" s="202"/>
      <c r="G848" s="61"/>
      <c r="H848" s="202"/>
      <c r="I848" s="18"/>
      <c r="J848" s="202"/>
      <c r="K848" s="55"/>
      <c r="L848" s="55"/>
      <c r="M848" s="55"/>
      <c r="N848" s="55"/>
      <c r="O848" s="55"/>
      <c r="P848" s="55"/>
      <c r="Q848" s="55"/>
      <c r="R848" s="55"/>
      <c r="S848" s="55"/>
      <c r="T848" s="55"/>
      <c r="U848" s="55"/>
      <c r="V848" s="55"/>
      <c r="W848" s="55"/>
    </row>
    <row r="849">
      <c r="A849" s="61"/>
      <c r="B849" s="202"/>
      <c r="C849" s="61"/>
      <c r="D849" s="202"/>
      <c r="E849" s="61"/>
      <c r="F849" s="202"/>
      <c r="G849" s="61"/>
      <c r="H849" s="202"/>
      <c r="I849" s="18"/>
      <c r="J849" s="202"/>
      <c r="K849" s="55"/>
      <c r="L849" s="55"/>
      <c r="M849" s="55"/>
      <c r="N849" s="55"/>
      <c r="O849" s="55"/>
      <c r="P849" s="55"/>
      <c r="Q849" s="55"/>
      <c r="R849" s="55"/>
      <c r="S849" s="55"/>
      <c r="T849" s="55"/>
      <c r="U849" s="55"/>
      <c r="V849" s="55"/>
      <c r="W849" s="55"/>
    </row>
    <row r="850">
      <c r="A850" s="61"/>
      <c r="B850" s="202"/>
      <c r="C850" s="61"/>
      <c r="D850" s="202"/>
      <c r="E850" s="61"/>
      <c r="F850" s="202"/>
      <c r="G850" s="61"/>
      <c r="H850" s="202"/>
      <c r="I850" s="18"/>
      <c r="J850" s="202"/>
      <c r="K850" s="55"/>
      <c r="L850" s="55"/>
      <c r="M850" s="55"/>
      <c r="N850" s="55"/>
      <c r="O850" s="55"/>
      <c r="P850" s="55"/>
      <c r="Q850" s="55"/>
      <c r="R850" s="55"/>
      <c r="S850" s="55"/>
      <c r="T850" s="55"/>
      <c r="U850" s="55"/>
      <c r="V850" s="55"/>
      <c r="W850" s="55"/>
    </row>
    <row r="851">
      <c r="A851" s="61"/>
      <c r="B851" s="202"/>
      <c r="C851" s="61"/>
      <c r="D851" s="202"/>
      <c r="E851" s="61"/>
      <c r="F851" s="202"/>
      <c r="G851" s="61"/>
      <c r="H851" s="202"/>
      <c r="I851" s="18"/>
      <c r="J851" s="202"/>
      <c r="K851" s="55"/>
      <c r="L851" s="55"/>
      <c r="M851" s="55"/>
      <c r="N851" s="55"/>
      <c r="O851" s="55"/>
      <c r="P851" s="55"/>
      <c r="Q851" s="55"/>
      <c r="R851" s="55"/>
      <c r="S851" s="55"/>
      <c r="T851" s="55"/>
      <c r="U851" s="55"/>
      <c r="V851" s="55"/>
      <c r="W851" s="55"/>
    </row>
    <row r="852">
      <c r="A852" s="61"/>
      <c r="B852" s="202"/>
      <c r="C852" s="61"/>
      <c r="D852" s="202"/>
      <c r="E852" s="61"/>
      <c r="F852" s="202"/>
      <c r="G852" s="61"/>
      <c r="H852" s="202"/>
      <c r="I852" s="18"/>
      <c r="J852" s="202"/>
      <c r="K852" s="55"/>
      <c r="L852" s="55"/>
      <c r="M852" s="55"/>
      <c r="N852" s="55"/>
      <c r="O852" s="55"/>
      <c r="P852" s="55"/>
      <c r="Q852" s="55"/>
      <c r="R852" s="55"/>
      <c r="S852" s="55"/>
      <c r="T852" s="55"/>
      <c r="U852" s="55"/>
      <c r="V852" s="55"/>
      <c r="W852" s="55"/>
    </row>
    <row r="853">
      <c r="A853" s="61"/>
      <c r="B853" s="202"/>
      <c r="C853" s="61"/>
      <c r="D853" s="202"/>
      <c r="E853" s="61"/>
      <c r="F853" s="202"/>
      <c r="G853" s="61"/>
      <c r="H853" s="202"/>
      <c r="I853" s="18"/>
      <c r="J853" s="202"/>
      <c r="K853" s="55"/>
      <c r="L853" s="55"/>
      <c r="M853" s="55"/>
      <c r="N853" s="55"/>
      <c r="O853" s="55"/>
      <c r="P853" s="55"/>
      <c r="Q853" s="55"/>
      <c r="R853" s="55"/>
      <c r="S853" s="55"/>
      <c r="T853" s="55"/>
      <c r="U853" s="55"/>
      <c r="V853" s="55"/>
      <c r="W853" s="55"/>
    </row>
    <row r="854">
      <c r="A854" s="61"/>
      <c r="B854" s="202"/>
      <c r="C854" s="61"/>
      <c r="D854" s="202"/>
      <c r="E854" s="61"/>
      <c r="F854" s="202"/>
      <c r="G854" s="61"/>
      <c r="H854" s="202"/>
      <c r="I854" s="18"/>
      <c r="J854" s="202"/>
      <c r="K854" s="55"/>
      <c r="L854" s="55"/>
      <c r="M854" s="55"/>
      <c r="N854" s="55"/>
      <c r="O854" s="55"/>
      <c r="P854" s="55"/>
      <c r="Q854" s="55"/>
      <c r="R854" s="55"/>
      <c r="S854" s="55"/>
      <c r="T854" s="55"/>
      <c r="U854" s="55"/>
      <c r="V854" s="55"/>
      <c r="W854" s="55"/>
    </row>
    <row r="855">
      <c r="A855" s="61"/>
      <c r="B855" s="202"/>
      <c r="C855" s="61"/>
      <c r="D855" s="202"/>
      <c r="E855" s="61"/>
      <c r="F855" s="202"/>
      <c r="G855" s="61"/>
      <c r="H855" s="202"/>
      <c r="I855" s="18"/>
      <c r="J855" s="202"/>
      <c r="K855" s="55"/>
      <c r="L855" s="55"/>
      <c r="M855" s="55"/>
      <c r="N855" s="55"/>
      <c r="O855" s="55"/>
      <c r="P855" s="55"/>
      <c r="Q855" s="55"/>
      <c r="R855" s="55"/>
      <c r="S855" s="55"/>
      <c r="T855" s="55"/>
      <c r="U855" s="55"/>
      <c r="V855" s="55"/>
      <c r="W855" s="55"/>
    </row>
    <row r="856">
      <c r="A856" s="61"/>
      <c r="B856" s="202"/>
      <c r="C856" s="61"/>
      <c r="D856" s="202"/>
      <c r="E856" s="61"/>
      <c r="F856" s="202"/>
      <c r="G856" s="61"/>
      <c r="H856" s="202"/>
      <c r="I856" s="18"/>
      <c r="J856" s="202"/>
      <c r="K856" s="55"/>
      <c r="L856" s="55"/>
      <c r="M856" s="55"/>
      <c r="N856" s="55"/>
      <c r="O856" s="55"/>
      <c r="P856" s="55"/>
      <c r="Q856" s="55"/>
      <c r="R856" s="55"/>
      <c r="S856" s="55"/>
      <c r="T856" s="55"/>
      <c r="U856" s="55"/>
      <c r="V856" s="55"/>
      <c r="W856" s="55"/>
    </row>
    <row r="857">
      <c r="A857" s="61"/>
      <c r="B857" s="202"/>
      <c r="C857" s="61"/>
      <c r="D857" s="202"/>
      <c r="E857" s="61"/>
      <c r="F857" s="202"/>
      <c r="G857" s="61"/>
      <c r="H857" s="202"/>
      <c r="I857" s="18"/>
      <c r="J857" s="202"/>
      <c r="K857" s="55"/>
      <c r="L857" s="55"/>
      <c r="M857" s="55"/>
      <c r="N857" s="55"/>
      <c r="O857" s="55"/>
      <c r="P857" s="55"/>
      <c r="Q857" s="55"/>
      <c r="R857" s="55"/>
      <c r="S857" s="55"/>
      <c r="T857" s="55"/>
      <c r="U857" s="55"/>
      <c r="V857" s="55"/>
      <c r="W857" s="55"/>
    </row>
    <row r="858">
      <c r="A858" s="61"/>
      <c r="B858" s="202"/>
      <c r="C858" s="61"/>
      <c r="D858" s="202"/>
      <c r="E858" s="61"/>
      <c r="F858" s="202"/>
      <c r="G858" s="61"/>
      <c r="H858" s="202"/>
      <c r="I858" s="18"/>
      <c r="J858" s="202"/>
      <c r="K858" s="55"/>
      <c r="L858" s="55"/>
      <c r="M858" s="55"/>
      <c r="N858" s="55"/>
      <c r="O858" s="55"/>
      <c r="P858" s="55"/>
      <c r="Q858" s="55"/>
      <c r="R858" s="55"/>
      <c r="S858" s="55"/>
      <c r="T858" s="55"/>
      <c r="U858" s="55"/>
      <c r="V858" s="55"/>
      <c r="W858" s="55"/>
    </row>
    <row r="859">
      <c r="A859" s="61"/>
      <c r="B859" s="202"/>
      <c r="C859" s="61"/>
      <c r="D859" s="202"/>
      <c r="E859" s="61"/>
      <c r="F859" s="202"/>
      <c r="G859" s="61"/>
      <c r="H859" s="202"/>
      <c r="I859" s="18"/>
      <c r="J859" s="202"/>
      <c r="K859" s="55"/>
      <c r="L859" s="55"/>
      <c r="M859" s="55"/>
      <c r="N859" s="55"/>
      <c r="O859" s="55"/>
      <c r="P859" s="55"/>
      <c r="Q859" s="55"/>
      <c r="R859" s="55"/>
      <c r="S859" s="55"/>
      <c r="T859" s="55"/>
      <c r="U859" s="55"/>
      <c r="V859" s="55"/>
      <c r="W859" s="55"/>
    </row>
    <row r="860">
      <c r="A860" s="61"/>
      <c r="B860" s="202"/>
      <c r="C860" s="61"/>
      <c r="D860" s="202"/>
      <c r="E860" s="61"/>
      <c r="F860" s="202"/>
      <c r="G860" s="61"/>
      <c r="H860" s="202"/>
      <c r="I860" s="18"/>
      <c r="J860" s="202"/>
      <c r="K860" s="55"/>
      <c r="L860" s="55"/>
      <c r="M860" s="55"/>
      <c r="N860" s="55"/>
      <c r="O860" s="55"/>
      <c r="P860" s="55"/>
      <c r="Q860" s="55"/>
      <c r="R860" s="55"/>
      <c r="S860" s="55"/>
      <c r="T860" s="55"/>
      <c r="U860" s="55"/>
      <c r="V860" s="55"/>
      <c r="W860" s="55"/>
    </row>
    <row r="861">
      <c r="A861" s="61"/>
      <c r="B861" s="202"/>
      <c r="C861" s="61"/>
      <c r="D861" s="202"/>
      <c r="E861" s="61"/>
      <c r="F861" s="202"/>
      <c r="G861" s="61"/>
      <c r="H861" s="202"/>
      <c r="I861" s="18"/>
      <c r="J861" s="202"/>
      <c r="K861" s="55"/>
      <c r="L861" s="55"/>
      <c r="M861" s="55"/>
      <c r="N861" s="55"/>
      <c r="O861" s="55"/>
      <c r="P861" s="55"/>
      <c r="Q861" s="55"/>
      <c r="R861" s="55"/>
      <c r="S861" s="55"/>
      <c r="T861" s="55"/>
      <c r="U861" s="55"/>
      <c r="V861" s="55"/>
      <c r="W861" s="55"/>
    </row>
    <row r="862">
      <c r="A862" s="61"/>
      <c r="B862" s="202"/>
      <c r="C862" s="61"/>
      <c r="D862" s="202"/>
      <c r="E862" s="61"/>
      <c r="F862" s="202"/>
      <c r="G862" s="61"/>
      <c r="H862" s="202"/>
      <c r="I862" s="18"/>
      <c r="J862" s="202"/>
      <c r="K862" s="55"/>
      <c r="L862" s="55"/>
      <c r="M862" s="55"/>
      <c r="N862" s="55"/>
      <c r="O862" s="55"/>
      <c r="P862" s="55"/>
      <c r="Q862" s="55"/>
      <c r="R862" s="55"/>
      <c r="S862" s="55"/>
      <c r="T862" s="55"/>
      <c r="U862" s="55"/>
      <c r="V862" s="55"/>
      <c r="W862" s="55"/>
    </row>
    <row r="863">
      <c r="A863" s="61"/>
      <c r="B863" s="202"/>
      <c r="C863" s="61"/>
      <c r="D863" s="202"/>
      <c r="E863" s="61"/>
      <c r="F863" s="202"/>
      <c r="G863" s="61"/>
      <c r="H863" s="202"/>
      <c r="I863" s="18"/>
      <c r="J863" s="202"/>
      <c r="K863" s="55"/>
      <c r="L863" s="55"/>
      <c r="M863" s="55"/>
      <c r="N863" s="55"/>
      <c r="O863" s="55"/>
      <c r="P863" s="55"/>
      <c r="Q863" s="55"/>
      <c r="R863" s="55"/>
      <c r="S863" s="55"/>
      <c r="T863" s="55"/>
      <c r="U863" s="55"/>
      <c r="V863" s="55"/>
      <c r="W863" s="55"/>
    </row>
    <row r="864">
      <c r="A864" s="61"/>
      <c r="B864" s="202"/>
      <c r="C864" s="61"/>
      <c r="D864" s="202"/>
      <c r="E864" s="61"/>
      <c r="F864" s="202"/>
      <c r="G864" s="61"/>
      <c r="H864" s="202"/>
      <c r="I864" s="18"/>
      <c r="J864" s="202"/>
      <c r="K864" s="55"/>
      <c r="L864" s="55"/>
      <c r="M864" s="55"/>
      <c r="N864" s="55"/>
      <c r="O864" s="55"/>
      <c r="P864" s="55"/>
      <c r="Q864" s="55"/>
      <c r="R864" s="55"/>
      <c r="S864" s="55"/>
      <c r="T864" s="55"/>
      <c r="U864" s="55"/>
      <c r="V864" s="55"/>
      <c r="W864" s="55"/>
    </row>
    <row r="865">
      <c r="A865" s="61"/>
      <c r="B865" s="202"/>
      <c r="C865" s="61"/>
      <c r="D865" s="202"/>
      <c r="E865" s="61"/>
      <c r="F865" s="202"/>
      <c r="G865" s="61"/>
      <c r="H865" s="202"/>
      <c r="I865" s="18"/>
      <c r="J865" s="202"/>
      <c r="K865" s="55"/>
      <c r="L865" s="55"/>
      <c r="M865" s="55"/>
      <c r="N865" s="55"/>
      <c r="O865" s="55"/>
      <c r="P865" s="55"/>
      <c r="Q865" s="55"/>
      <c r="R865" s="55"/>
      <c r="S865" s="55"/>
      <c r="T865" s="55"/>
      <c r="U865" s="55"/>
      <c r="V865" s="55"/>
      <c r="W865" s="55"/>
    </row>
    <row r="866">
      <c r="A866" s="61"/>
      <c r="B866" s="202"/>
      <c r="C866" s="61"/>
      <c r="D866" s="202"/>
      <c r="E866" s="61"/>
      <c r="F866" s="202"/>
      <c r="G866" s="61"/>
      <c r="H866" s="202"/>
      <c r="I866" s="18"/>
      <c r="J866" s="202"/>
      <c r="K866" s="55"/>
      <c r="L866" s="55"/>
      <c r="M866" s="55"/>
      <c r="N866" s="55"/>
      <c r="O866" s="55"/>
      <c r="P866" s="55"/>
      <c r="Q866" s="55"/>
      <c r="R866" s="55"/>
      <c r="S866" s="55"/>
      <c r="T866" s="55"/>
      <c r="U866" s="55"/>
      <c r="V866" s="55"/>
      <c r="W866" s="55"/>
    </row>
    <row r="867">
      <c r="A867" s="61"/>
      <c r="B867" s="202"/>
      <c r="C867" s="61"/>
      <c r="D867" s="202"/>
      <c r="E867" s="61"/>
      <c r="F867" s="202"/>
      <c r="G867" s="61"/>
      <c r="H867" s="202"/>
      <c r="I867" s="18"/>
      <c r="J867" s="202"/>
      <c r="K867" s="55"/>
      <c r="L867" s="55"/>
      <c r="M867" s="55"/>
      <c r="N867" s="55"/>
      <c r="O867" s="55"/>
      <c r="P867" s="55"/>
      <c r="Q867" s="55"/>
      <c r="R867" s="55"/>
      <c r="S867" s="55"/>
      <c r="T867" s="55"/>
      <c r="U867" s="55"/>
      <c r="V867" s="55"/>
      <c r="W867" s="55"/>
    </row>
    <row r="868">
      <c r="A868" s="61"/>
      <c r="B868" s="202"/>
      <c r="C868" s="61"/>
      <c r="D868" s="202"/>
      <c r="E868" s="61"/>
      <c r="F868" s="202"/>
      <c r="G868" s="61"/>
      <c r="H868" s="202"/>
      <c r="I868" s="18"/>
      <c r="J868" s="202"/>
      <c r="K868" s="55"/>
      <c r="L868" s="55"/>
      <c r="M868" s="55"/>
      <c r="N868" s="55"/>
      <c r="O868" s="55"/>
      <c r="P868" s="55"/>
      <c r="Q868" s="55"/>
      <c r="R868" s="55"/>
      <c r="S868" s="55"/>
      <c r="T868" s="55"/>
      <c r="U868" s="55"/>
      <c r="V868" s="55"/>
      <c r="W868" s="55"/>
    </row>
    <row r="869">
      <c r="A869" s="61"/>
      <c r="B869" s="202"/>
      <c r="C869" s="61"/>
      <c r="D869" s="202"/>
      <c r="E869" s="61"/>
      <c r="F869" s="202"/>
      <c r="G869" s="61"/>
      <c r="H869" s="202"/>
      <c r="I869" s="18"/>
      <c r="J869" s="202"/>
      <c r="K869" s="55"/>
      <c r="L869" s="55"/>
      <c r="M869" s="55"/>
      <c r="N869" s="55"/>
      <c r="O869" s="55"/>
      <c r="P869" s="55"/>
      <c r="Q869" s="55"/>
      <c r="R869" s="55"/>
      <c r="S869" s="55"/>
      <c r="T869" s="55"/>
      <c r="U869" s="55"/>
      <c r="V869" s="55"/>
      <c r="W869" s="55"/>
    </row>
    <row r="870">
      <c r="A870" s="61"/>
      <c r="B870" s="202"/>
      <c r="C870" s="61"/>
      <c r="D870" s="202"/>
      <c r="E870" s="61"/>
      <c r="F870" s="202"/>
      <c r="G870" s="61"/>
      <c r="H870" s="202"/>
      <c r="I870" s="18"/>
      <c r="J870" s="202"/>
      <c r="K870" s="55"/>
      <c r="L870" s="55"/>
      <c r="M870" s="55"/>
      <c r="N870" s="55"/>
      <c r="O870" s="55"/>
      <c r="P870" s="55"/>
      <c r="Q870" s="55"/>
      <c r="R870" s="55"/>
      <c r="S870" s="55"/>
      <c r="T870" s="55"/>
      <c r="U870" s="55"/>
      <c r="V870" s="55"/>
      <c r="W870" s="55"/>
    </row>
    <row r="871">
      <c r="A871" s="61"/>
      <c r="B871" s="202"/>
      <c r="C871" s="61"/>
      <c r="D871" s="202"/>
      <c r="E871" s="61"/>
      <c r="F871" s="202"/>
      <c r="G871" s="61"/>
      <c r="H871" s="202"/>
      <c r="I871" s="18"/>
      <c r="J871" s="202"/>
      <c r="K871" s="55"/>
      <c r="L871" s="55"/>
      <c r="M871" s="55"/>
      <c r="N871" s="55"/>
      <c r="O871" s="55"/>
      <c r="P871" s="55"/>
      <c r="Q871" s="55"/>
      <c r="R871" s="55"/>
      <c r="S871" s="55"/>
      <c r="T871" s="55"/>
      <c r="U871" s="55"/>
      <c r="V871" s="55"/>
      <c r="W871" s="55"/>
    </row>
    <row r="872">
      <c r="A872" s="61"/>
      <c r="B872" s="202"/>
      <c r="C872" s="61"/>
      <c r="D872" s="202"/>
      <c r="E872" s="61"/>
      <c r="F872" s="202"/>
      <c r="G872" s="61"/>
      <c r="H872" s="202"/>
      <c r="I872" s="18"/>
      <c r="J872" s="202"/>
      <c r="K872" s="55"/>
      <c r="L872" s="55"/>
      <c r="M872" s="55"/>
      <c r="N872" s="55"/>
      <c r="O872" s="55"/>
      <c r="P872" s="55"/>
      <c r="Q872" s="55"/>
      <c r="R872" s="55"/>
      <c r="S872" s="55"/>
      <c r="T872" s="55"/>
      <c r="U872" s="55"/>
      <c r="V872" s="55"/>
      <c r="W872" s="55"/>
    </row>
    <row r="873">
      <c r="A873" s="61"/>
      <c r="B873" s="202"/>
      <c r="C873" s="61"/>
      <c r="D873" s="202"/>
      <c r="E873" s="61"/>
      <c r="F873" s="202"/>
      <c r="G873" s="61"/>
      <c r="H873" s="202"/>
      <c r="I873" s="18"/>
      <c r="J873" s="202"/>
      <c r="K873" s="55"/>
      <c r="L873" s="55"/>
      <c r="M873" s="55"/>
      <c r="N873" s="55"/>
      <c r="O873" s="55"/>
      <c r="P873" s="55"/>
      <c r="Q873" s="55"/>
      <c r="R873" s="55"/>
      <c r="S873" s="55"/>
      <c r="T873" s="55"/>
      <c r="U873" s="55"/>
      <c r="V873" s="55"/>
      <c r="W873" s="55"/>
    </row>
    <row r="874">
      <c r="A874" s="61"/>
      <c r="B874" s="202"/>
      <c r="C874" s="61"/>
      <c r="D874" s="202"/>
      <c r="E874" s="61"/>
      <c r="F874" s="202"/>
      <c r="G874" s="61"/>
      <c r="H874" s="202"/>
      <c r="I874" s="18"/>
      <c r="J874" s="202"/>
      <c r="K874" s="55"/>
      <c r="L874" s="55"/>
      <c r="M874" s="55"/>
      <c r="N874" s="55"/>
      <c r="O874" s="55"/>
      <c r="P874" s="55"/>
      <c r="Q874" s="55"/>
      <c r="R874" s="55"/>
      <c r="S874" s="55"/>
      <c r="T874" s="55"/>
      <c r="U874" s="55"/>
      <c r="V874" s="55"/>
      <c r="W874" s="55"/>
    </row>
    <row r="875">
      <c r="A875" s="61"/>
      <c r="B875" s="202"/>
      <c r="C875" s="61"/>
      <c r="D875" s="202"/>
      <c r="E875" s="61"/>
      <c r="F875" s="202"/>
      <c r="G875" s="61"/>
      <c r="H875" s="202"/>
      <c r="I875" s="18"/>
      <c r="J875" s="202"/>
      <c r="K875" s="55"/>
      <c r="L875" s="55"/>
      <c r="M875" s="55"/>
      <c r="N875" s="55"/>
      <c r="O875" s="55"/>
      <c r="P875" s="55"/>
      <c r="Q875" s="55"/>
      <c r="R875" s="55"/>
      <c r="S875" s="55"/>
      <c r="T875" s="55"/>
      <c r="U875" s="55"/>
      <c r="V875" s="55"/>
      <c r="W875" s="55"/>
    </row>
    <row r="876">
      <c r="A876" s="61"/>
      <c r="B876" s="202"/>
      <c r="C876" s="61"/>
      <c r="D876" s="202"/>
      <c r="E876" s="61"/>
      <c r="F876" s="202"/>
      <c r="G876" s="61"/>
      <c r="H876" s="202"/>
      <c r="I876" s="18"/>
      <c r="J876" s="202"/>
      <c r="K876" s="55"/>
      <c r="L876" s="55"/>
      <c r="M876" s="55"/>
      <c r="N876" s="55"/>
      <c r="O876" s="55"/>
      <c r="P876" s="55"/>
      <c r="Q876" s="55"/>
      <c r="R876" s="55"/>
      <c r="S876" s="55"/>
      <c r="T876" s="55"/>
      <c r="U876" s="55"/>
      <c r="V876" s="55"/>
      <c r="W876" s="55"/>
    </row>
    <row r="877">
      <c r="A877" s="61"/>
      <c r="B877" s="202"/>
      <c r="C877" s="61"/>
      <c r="D877" s="202"/>
      <c r="E877" s="61"/>
      <c r="F877" s="202"/>
      <c r="G877" s="61"/>
      <c r="H877" s="202"/>
      <c r="I877" s="18"/>
      <c r="J877" s="202"/>
      <c r="K877" s="55"/>
      <c r="L877" s="55"/>
      <c r="M877" s="55"/>
      <c r="N877" s="55"/>
      <c r="O877" s="55"/>
      <c r="P877" s="55"/>
      <c r="Q877" s="55"/>
      <c r="R877" s="55"/>
      <c r="S877" s="55"/>
      <c r="T877" s="55"/>
      <c r="U877" s="55"/>
      <c r="V877" s="55"/>
      <c r="W877" s="55"/>
    </row>
    <row r="878">
      <c r="A878" s="61"/>
      <c r="B878" s="202"/>
      <c r="C878" s="61"/>
      <c r="D878" s="202"/>
      <c r="E878" s="61"/>
      <c r="F878" s="202"/>
      <c r="G878" s="61"/>
      <c r="H878" s="202"/>
      <c r="I878" s="18"/>
      <c r="J878" s="202"/>
      <c r="K878" s="55"/>
      <c r="L878" s="55"/>
      <c r="M878" s="55"/>
      <c r="N878" s="55"/>
      <c r="O878" s="55"/>
      <c r="P878" s="55"/>
      <c r="Q878" s="55"/>
      <c r="R878" s="55"/>
      <c r="S878" s="55"/>
      <c r="T878" s="55"/>
      <c r="U878" s="55"/>
      <c r="V878" s="55"/>
      <c r="W878" s="55"/>
    </row>
    <row r="879">
      <c r="A879" s="61"/>
      <c r="B879" s="202"/>
      <c r="C879" s="61"/>
      <c r="D879" s="202"/>
      <c r="E879" s="61"/>
      <c r="F879" s="202"/>
      <c r="G879" s="61"/>
      <c r="H879" s="202"/>
      <c r="I879" s="18"/>
      <c r="J879" s="202"/>
      <c r="K879" s="55"/>
      <c r="L879" s="55"/>
      <c r="M879" s="55"/>
      <c r="N879" s="55"/>
      <c r="O879" s="55"/>
      <c r="P879" s="55"/>
      <c r="Q879" s="55"/>
      <c r="R879" s="55"/>
      <c r="S879" s="55"/>
      <c r="T879" s="55"/>
      <c r="U879" s="55"/>
      <c r="V879" s="55"/>
      <c r="W879" s="55"/>
    </row>
    <row r="880">
      <c r="A880" s="61"/>
      <c r="B880" s="202"/>
      <c r="C880" s="61"/>
      <c r="D880" s="202"/>
      <c r="E880" s="61"/>
      <c r="F880" s="202"/>
      <c r="G880" s="61"/>
      <c r="H880" s="202"/>
      <c r="I880" s="18"/>
      <c r="J880" s="202"/>
      <c r="K880" s="55"/>
      <c r="L880" s="55"/>
      <c r="M880" s="55"/>
      <c r="N880" s="55"/>
      <c r="O880" s="55"/>
      <c r="P880" s="55"/>
      <c r="Q880" s="55"/>
      <c r="R880" s="55"/>
      <c r="S880" s="55"/>
      <c r="T880" s="55"/>
      <c r="U880" s="55"/>
      <c r="V880" s="55"/>
      <c r="W880" s="55"/>
    </row>
    <row r="881">
      <c r="A881" s="61"/>
      <c r="B881" s="202"/>
      <c r="C881" s="61"/>
      <c r="D881" s="202"/>
      <c r="E881" s="61"/>
      <c r="F881" s="202"/>
      <c r="G881" s="61"/>
      <c r="H881" s="202"/>
      <c r="I881" s="18"/>
      <c r="J881" s="202"/>
      <c r="K881" s="55"/>
      <c r="L881" s="55"/>
      <c r="M881" s="55"/>
      <c r="N881" s="55"/>
      <c r="O881" s="55"/>
      <c r="P881" s="55"/>
      <c r="Q881" s="55"/>
      <c r="R881" s="55"/>
      <c r="S881" s="55"/>
      <c r="T881" s="55"/>
      <c r="U881" s="55"/>
      <c r="V881" s="55"/>
      <c r="W881" s="55"/>
    </row>
    <row r="882">
      <c r="A882" s="61"/>
      <c r="B882" s="202"/>
      <c r="C882" s="61"/>
      <c r="D882" s="202"/>
      <c r="E882" s="61"/>
      <c r="F882" s="202"/>
      <c r="G882" s="61"/>
      <c r="H882" s="202"/>
      <c r="I882" s="18"/>
      <c r="J882" s="202"/>
      <c r="K882" s="55"/>
      <c r="L882" s="55"/>
      <c r="M882" s="55"/>
      <c r="N882" s="55"/>
      <c r="O882" s="55"/>
      <c r="P882" s="55"/>
      <c r="Q882" s="55"/>
      <c r="R882" s="55"/>
      <c r="S882" s="55"/>
      <c r="T882" s="55"/>
      <c r="U882" s="55"/>
      <c r="V882" s="55"/>
      <c r="W882" s="55"/>
    </row>
    <row r="883">
      <c r="A883" s="61"/>
      <c r="B883" s="202"/>
      <c r="C883" s="61"/>
      <c r="D883" s="202"/>
      <c r="E883" s="61"/>
      <c r="F883" s="202"/>
      <c r="G883" s="61"/>
      <c r="H883" s="202"/>
      <c r="I883" s="18"/>
      <c r="J883" s="202"/>
      <c r="K883" s="55"/>
      <c r="L883" s="55"/>
      <c r="M883" s="55"/>
      <c r="N883" s="55"/>
      <c r="O883" s="55"/>
      <c r="P883" s="55"/>
      <c r="Q883" s="55"/>
      <c r="R883" s="55"/>
      <c r="S883" s="55"/>
      <c r="T883" s="55"/>
      <c r="U883" s="55"/>
      <c r="V883" s="55"/>
      <c r="W883" s="55"/>
    </row>
    <row r="884">
      <c r="A884" s="61"/>
      <c r="B884" s="202"/>
      <c r="C884" s="61"/>
      <c r="D884" s="202"/>
      <c r="E884" s="61"/>
      <c r="F884" s="202"/>
      <c r="G884" s="61"/>
      <c r="H884" s="202"/>
      <c r="I884" s="18"/>
      <c r="J884" s="202"/>
      <c r="K884" s="55"/>
      <c r="L884" s="55"/>
      <c r="M884" s="55"/>
      <c r="N884" s="55"/>
      <c r="O884" s="55"/>
      <c r="P884" s="55"/>
      <c r="Q884" s="55"/>
      <c r="R884" s="55"/>
      <c r="S884" s="55"/>
      <c r="T884" s="55"/>
      <c r="U884" s="55"/>
      <c r="V884" s="55"/>
      <c r="W884" s="55"/>
    </row>
    <row r="885">
      <c r="A885" s="61"/>
      <c r="B885" s="202"/>
      <c r="C885" s="61"/>
      <c r="D885" s="202"/>
      <c r="E885" s="61"/>
      <c r="F885" s="202"/>
      <c r="G885" s="61"/>
      <c r="H885" s="202"/>
      <c r="I885" s="18"/>
      <c r="J885" s="202"/>
      <c r="K885" s="55"/>
      <c r="L885" s="55"/>
      <c r="M885" s="55"/>
      <c r="N885" s="55"/>
      <c r="O885" s="55"/>
      <c r="P885" s="55"/>
      <c r="Q885" s="55"/>
      <c r="R885" s="55"/>
      <c r="S885" s="55"/>
      <c r="T885" s="55"/>
      <c r="U885" s="55"/>
      <c r="V885" s="55"/>
      <c r="W885" s="55"/>
    </row>
    <row r="886">
      <c r="A886" s="61"/>
      <c r="B886" s="202"/>
      <c r="C886" s="61"/>
      <c r="D886" s="202"/>
      <c r="E886" s="61"/>
      <c r="F886" s="202"/>
      <c r="G886" s="61"/>
      <c r="H886" s="202"/>
      <c r="I886" s="18"/>
      <c r="J886" s="202"/>
      <c r="K886" s="55"/>
      <c r="L886" s="55"/>
      <c r="M886" s="55"/>
      <c r="N886" s="55"/>
      <c r="O886" s="55"/>
      <c r="P886" s="55"/>
      <c r="Q886" s="55"/>
      <c r="R886" s="55"/>
      <c r="S886" s="55"/>
      <c r="T886" s="55"/>
      <c r="U886" s="55"/>
      <c r="V886" s="55"/>
      <c r="W886" s="55"/>
    </row>
    <row r="887">
      <c r="A887" s="61"/>
      <c r="B887" s="202"/>
      <c r="C887" s="61"/>
      <c r="D887" s="202"/>
      <c r="E887" s="61"/>
      <c r="F887" s="202"/>
      <c r="G887" s="61"/>
      <c r="H887" s="202"/>
      <c r="I887" s="18"/>
      <c r="J887" s="202"/>
      <c r="K887" s="55"/>
      <c r="L887" s="55"/>
      <c r="M887" s="55"/>
      <c r="N887" s="55"/>
      <c r="O887" s="55"/>
      <c r="P887" s="55"/>
      <c r="Q887" s="55"/>
      <c r="R887" s="55"/>
      <c r="S887" s="55"/>
      <c r="T887" s="55"/>
      <c r="U887" s="55"/>
      <c r="V887" s="55"/>
      <c r="W887" s="55"/>
    </row>
    <row r="888">
      <c r="A888" s="61"/>
      <c r="B888" s="202"/>
      <c r="C888" s="61"/>
      <c r="D888" s="202"/>
      <c r="E888" s="61"/>
      <c r="F888" s="202"/>
      <c r="G888" s="61"/>
      <c r="H888" s="202"/>
      <c r="I888" s="18"/>
      <c r="J888" s="202"/>
      <c r="K888" s="55"/>
      <c r="L888" s="55"/>
      <c r="M888" s="55"/>
      <c r="N888" s="55"/>
      <c r="O888" s="55"/>
      <c r="P888" s="55"/>
      <c r="Q888" s="55"/>
      <c r="R888" s="55"/>
      <c r="S888" s="55"/>
      <c r="T888" s="55"/>
      <c r="U888" s="55"/>
      <c r="V888" s="55"/>
      <c r="W888" s="55"/>
    </row>
    <row r="889">
      <c r="A889" s="61"/>
      <c r="B889" s="202"/>
      <c r="C889" s="61"/>
      <c r="D889" s="202"/>
      <c r="E889" s="61"/>
      <c r="F889" s="202"/>
      <c r="G889" s="61"/>
      <c r="H889" s="202"/>
      <c r="I889" s="18"/>
      <c r="J889" s="202"/>
      <c r="K889" s="55"/>
      <c r="L889" s="55"/>
      <c r="M889" s="55"/>
      <c r="N889" s="55"/>
      <c r="O889" s="55"/>
      <c r="P889" s="55"/>
      <c r="Q889" s="55"/>
      <c r="R889" s="55"/>
      <c r="S889" s="55"/>
      <c r="T889" s="55"/>
      <c r="U889" s="55"/>
      <c r="V889" s="55"/>
      <c r="W889" s="55"/>
    </row>
    <row r="890">
      <c r="A890" s="61"/>
      <c r="B890" s="202"/>
      <c r="C890" s="61"/>
      <c r="D890" s="202"/>
      <c r="E890" s="61"/>
      <c r="F890" s="202"/>
      <c r="G890" s="61"/>
      <c r="H890" s="202"/>
      <c r="I890" s="18"/>
      <c r="J890" s="202"/>
      <c r="K890" s="55"/>
      <c r="L890" s="55"/>
      <c r="M890" s="55"/>
      <c r="N890" s="55"/>
      <c r="O890" s="55"/>
      <c r="P890" s="55"/>
      <c r="Q890" s="55"/>
      <c r="R890" s="55"/>
      <c r="S890" s="55"/>
      <c r="T890" s="55"/>
      <c r="U890" s="55"/>
      <c r="V890" s="55"/>
      <c r="W890" s="55"/>
    </row>
    <row r="891">
      <c r="A891" s="61"/>
      <c r="B891" s="202"/>
      <c r="C891" s="61"/>
      <c r="D891" s="202"/>
      <c r="E891" s="61"/>
      <c r="F891" s="202"/>
      <c r="G891" s="61"/>
      <c r="H891" s="202"/>
      <c r="I891" s="18"/>
      <c r="J891" s="202"/>
      <c r="K891" s="55"/>
      <c r="L891" s="55"/>
      <c r="M891" s="55"/>
      <c r="N891" s="55"/>
      <c r="O891" s="55"/>
      <c r="P891" s="55"/>
      <c r="Q891" s="55"/>
      <c r="R891" s="55"/>
      <c r="S891" s="55"/>
      <c r="T891" s="55"/>
      <c r="U891" s="55"/>
      <c r="V891" s="55"/>
      <c r="W891" s="55"/>
    </row>
    <row r="892">
      <c r="A892" s="61"/>
      <c r="B892" s="202"/>
      <c r="C892" s="61"/>
      <c r="D892" s="202"/>
      <c r="E892" s="61"/>
      <c r="F892" s="202"/>
      <c r="G892" s="61"/>
      <c r="H892" s="202"/>
      <c r="I892" s="18"/>
      <c r="J892" s="202"/>
      <c r="K892" s="55"/>
      <c r="L892" s="55"/>
      <c r="M892" s="55"/>
      <c r="N892" s="55"/>
      <c r="O892" s="55"/>
      <c r="P892" s="55"/>
      <c r="Q892" s="55"/>
      <c r="R892" s="55"/>
      <c r="S892" s="55"/>
      <c r="T892" s="55"/>
      <c r="U892" s="55"/>
      <c r="V892" s="55"/>
      <c r="W892" s="55"/>
    </row>
    <row r="893">
      <c r="A893" s="61"/>
      <c r="B893" s="202"/>
      <c r="C893" s="61"/>
      <c r="D893" s="202"/>
      <c r="E893" s="61"/>
      <c r="F893" s="202"/>
      <c r="G893" s="61"/>
      <c r="H893" s="202"/>
      <c r="I893" s="18"/>
      <c r="J893" s="202"/>
      <c r="K893" s="55"/>
      <c r="L893" s="55"/>
      <c r="M893" s="55"/>
      <c r="N893" s="55"/>
      <c r="O893" s="55"/>
      <c r="P893" s="55"/>
      <c r="Q893" s="55"/>
      <c r="R893" s="55"/>
      <c r="S893" s="55"/>
      <c r="T893" s="55"/>
      <c r="U893" s="55"/>
      <c r="V893" s="55"/>
      <c r="W893" s="55"/>
    </row>
    <row r="894">
      <c r="A894" s="61"/>
      <c r="B894" s="202"/>
      <c r="C894" s="61"/>
      <c r="D894" s="202"/>
      <c r="E894" s="61"/>
      <c r="F894" s="202"/>
      <c r="G894" s="61"/>
      <c r="H894" s="202"/>
      <c r="I894" s="18"/>
      <c r="J894" s="202"/>
      <c r="K894" s="55"/>
      <c r="L894" s="55"/>
      <c r="M894" s="55"/>
      <c r="N894" s="55"/>
      <c r="O894" s="55"/>
      <c r="P894" s="55"/>
      <c r="Q894" s="55"/>
      <c r="R894" s="55"/>
      <c r="S894" s="55"/>
      <c r="T894" s="55"/>
      <c r="U894" s="55"/>
      <c r="V894" s="55"/>
      <c r="W894" s="55"/>
    </row>
    <row r="895">
      <c r="A895" s="61"/>
      <c r="B895" s="202"/>
      <c r="C895" s="61"/>
      <c r="D895" s="202"/>
      <c r="E895" s="61"/>
      <c r="F895" s="202"/>
      <c r="G895" s="61"/>
      <c r="H895" s="202"/>
      <c r="I895" s="18"/>
      <c r="J895" s="202"/>
      <c r="K895" s="55"/>
      <c r="L895" s="55"/>
      <c r="M895" s="55"/>
      <c r="N895" s="55"/>
      <c r="O895" s="55"/>
      <c r="P895" s="55"/>
      <c r="Q895" s="55"/>
      <c r="R895" s="55"/>
      <c r="S895" s="55"/>
      <c r="T895" s="55"/>
      <c r="U895" s="55"/>
      <c r="V895" s="55"/>
      <c r="W895" s="55"/>
    </row>
    <row r="896">
      <c r="A896" s="61"/>
      <c r="B896" s="202"/>
      <c r="C896" s="61"/>
      <c r="D896" s="202"/>
      <c r="E896" s="61"/>
      <c r="F896" s="202"/>
      <c r="G896" s="61"/>
      <c r="H896" s="202"/>
      <c r="I896" s="18"/>
      <c r="J896" s="202"/>
      <c r="K896" s="55"/>
      <c r="L896" s="55"/>
      <c r="M896" s="55"/>
      <c r="N896" s="55"/>
      <c r="O896" s="55"/>
      <c r="P896" s="55"/>
      <c r="Q896" s="55"/>
      <c r="R896" s="55"/>
      <c r="S896" s="55"/>
      <c r="T896" s="55"/>
      <c r="U896" s="55"/>
      <c r="V896" s="55"/>
      <c r="W896" s="55"/>
    </row>
    <row r="897">
      <c r="A897" s="61"/>
      <c r="B897" s="202"/>
      <c r="C897" s="61"/>
      <c r="D897" s="202"/>
      <c r="E897" s="61"/>
      <c r="F897" s="202"/>
      <c r="G897" s="61"/>
      <c r="H897" s="202"/>
      <c r="I897" s="18"/>
      <c r="J897" s="202"/>
      <c r="K897" s="55"/>
      <c r="L897" s="55"/>
      <c r="M897" s="55"/>
      <c r="N897" s="55"/>
      <c r="O897" s="55"/>
      <c r="P897" s="55"/>
      <c r="Q897" s="55"/>
      <c r="R897" s="55"/>
      <c r="S897" s="55"/>
      <c r="T897" s="55"/>
      <c r="U897" s="55"/>
      <c r="V897" s="55"/>
      <c r="W897" s="55"/>
    </row>
    <row r="898">
      <c r="A898" s="61"/>
      <c r="B898" s="202"/>
      <c r="C898" s="61"/>
      <c r="D898" s="202"/>
      <c r="E898" s="61"/>
      <c r="F898" s="202"/>
      <c r="G898" s="61"/>
      <c r="H898" s="202"/>
      <c r="I898" s="18"/>
      <c r="J898" s="202"/>
      <c r="K898" s="55"/>
      <c r="L898" s="55"/>
      <c r="M898" s="55"/>
      <c r="N898" s="55"/>
      <c r="O898" s="55"/>
      <c r="P898" s="55"/>
      <c r="Q898" s="55"/>
      <c r="R898" s="55"/>
      <c r="S898" s="55"/>
      <c r="T898" s="55"/>
      <c r="U898" s="55"/>
      <c r="V898" s="55"/>
      <c r="W898" s="55"/>
    </row>
    <row r="899">
      <c r="A899" s="61"/>
      <c r="B899" s="202"/>
      <c r="C899" s="61"/>
      <c r="D899" s="202"/>
      <c r="E899" s="61"/>
      <c r="F899" s="202"/>
      <c r="G899" s="61"/>
      <c r="H899" s="202"/>
      <c r="I899" s="18"/>
      <c r="J899" s="202"/>
      <c r="K899" s="55"/>
      <c r="L899" s="55"/>
      <c r="M899" s="55"/>
      <c r="N899" s="55"/>
      <c r="O899" s="55"/>
      <c r="P899" s="55"/>
      <c r="Q899" s="55"/>
      <c r="R899" s="55"/>
      <c r="S899" s="55"/>
      <c r="T899" s="55"/>
      <c r="U899" s="55"/>
      <c r="V899" s="55"/>
      <c r="W899" s="55"/>
    </row>
    <row r="900">
      <c r="A900" s="61"/>
      <c r="B900" s="202"/>
      <c r="C900" s="61"/>
      <c r="D900" s="202"/>
      <c r="E900" s="61"/>
      <c r="F900" s="202"/>
      <c r="G900" s="61"/>
      <c r="H900" s="202"/>
      <c r="I900" s="18"/>
      <c r="J900" s="202"/>
      <c r="K900" s="55"/>
      <c r="L900" s="55"/>
      <c r="M900" s="55"/>
      <c r="N900" s="55"/>
      <c r="O900" s="55"/>
      <c r="P900" s="55"/>
      <c r="Q900" s="55"/>
      <c r="R900" s="55"/>
      <c r="S900" s="55"/>
      <c r="T900" s="55"/>
      <c r="U900" s="55"/>
      <c r="V900" s="55"/>
      <c r="W900" s="55"/>
    </row>
    <row r="901">
      <c r="A901" s="61"/>
      <c r="B901" s="202"/>
      <c r="C901" s="61"/>
      <c r="D901" s="202"/>
      <c r="E901" s="61"/>
      <c r="F901" s="202"/>
      <c r="G901" s="61"/>
      <c r="H901" s="202"/>
      <c r="I901" s="18"/>
      <c r="J901" s="202"/>
      <c r="K901" s="55"/>
      <c r="L901" s="55"/>
      <c r="M901" s="55"/>
      <c r="N901" s="55"/>
      <c r="O901" s="55"/>
      <c r="P901" s="55"/>
      <c r="Q901" s="55"/>
      <c r="R901" s="55"/>
      <c r="S901" s="55"/>
      <c r="T901" s="55"/>
      <c r="U901" s="55"/>
      <c r="V901" s="55"/>
      <c r="W901" s="55"/>
    </row>
    <row r="902">
      <c r="A902" s="61"/>
      <c r="B902" s="202"/>
      <c r="C902" s="61"/>
      <c r="D902" s="202"/>
      <c r="E902" s="61"/>
      <c r="F902" s="202"/>
      <c r="G902" s="61"/>
      <c r="H902" s="202"/>
      <c r="I902" s="18"/>
      <c r="J902" s="202"/>
      <c r="K902" s="55"/>
      <c r="L902" s="55"/>
      <c r="M902" s="55"/>
      <c r="N902" s="55"/>
      <c r="O902" s="55"/>
      <c r="P902" s="55"/>
      <c r="Q902" s="55"/>
      <c r="R902" s="55"/>
      <c r="S902" s="55"/>
      <c r="T902" s="55"/>
      <c r="U902" s="55"/>
      <c r="V902" s="55"/>
      <c r="W902" s="55"/>
    </row>
    <row r="903">
      <c r="A903" s="61"/>
      <c r="B903" s="202"/>
      <c r="C903" s="61"/>
      <c r="D903" s="202"/>
      <c r="E903" s="61"/>
      <c r="F903" s="202"/>
      <c r="G903" s="61"/>
      <c r="H903" s="202"/>
      <c r="I903" s="18"/>
      <c r="J903" s="202"/>
      <c r="K903" s="55"/>
      <c r="L903" s="55"/>
      <c r="M903" s="55"/>
      <c r="N903" s="55"/>
      <c r="O903" s="55"/>
      <c r="P903" s="55"/>
      <c r="Q903" s="55"/>
      <c r="R903" s="55"/>
      <c r="S903" s="55"/>
      <c r="T903" s="55"/>
      <c r="U903" s="55"/>
      <c r="V903" s="55"/>
      <c r="W903" s="55"/>
    </row>
    <row r="904">
      <c r="A904" s="61"/>
      <c r="B904" s="202"/>
      <c r="C904" s="61"/>
      <c r="D904" s="202"/>
      <c r="E904" s="61"/>
      <c r="F904" s="202"/>
      <c r="G904" s="61"/>
      <c r="H904" s="202"/>
      <c r="I904" s="18"/>
      <c r="J904" s="202"/>
      <c r="K904" s="55"/>
      <c r="L904" s="55"/>
      <c r="M904" s="55"/>
      <c r="N904" s="55"/>
      <c r="O904" s="55"/>
      <c r="P904" s="55"/>
      <c r="Q904" s="55"/>
      <c r="R904" s="55"/>
      <c r="S904" s="55"/>
      <c r="T904" s="55"/>
      <c r="U904" s="55"/>
      <c r="V904" s="55"/>
      <c r="W904" s="55"/>
    </row>
    <row r="905">
      <c r="A905" s="61"/>
      <c r="B905" s="202"/>
      <c r="C905" s="61"/>
      <c r="D905" s="202"/>
      <c r="E905" s="61"/>
      <c r="F905" s="202"/>
      <c r="G905" s="61"/>
      <c r="H905" s="202"/>
      <c r="I905" s="18"/>
      <c r="J905" s="202"/>
      <c r="K905" s="55"/>
      <c r="L905" s="55"/>
      <c r="M905" s="55"/>
      <c r="N905" s="55"/>
      <c r="O905" s="55"/>
      <c r="P905" s="55"/>
      <c r="Q905" s="55"/>
      <c r="R905" s="55"/>
      <c r="S905" s="55"/>
      <c r="T905" s="55"/>
      <c r="U905" s="55"/>
      <c r="V905" s="55"/>
      <c r="W905" s="55"/>
    </row>
    <row r="906">
      <c r="A906" s="61"/>
      <c r="B906" s="202"/>
      <c r="C906" s="61"/>
      <c r="D906" s="202"/>
      <c r="E906" s="61"/>
      <c r="F906" s="202"/>
      <c r="G906" s="61"/>
      <c r="H906" s="202"/>
      <c r="I906" s="18"/>
      <c r="J906" s="202"/>
      <c r="K906" s="55"/>
      <c r="L906" s="55"/>
      <c r="M906" s="55"/>
      <c r="N906" s="55"/>
      <c r="O906" s="55"/>
      <c r="P906" s="55"/>
      <c r="Q906" s="55"/>
      <c r="R906" s="55"/>
      <c r="S906" s="55"/>
      <c r="T906" s="55"/>
      <c r="U906" s="55"/>
      <c r="V906" s="55"/>
      <c r="W906" s="55"/>
    </row>
    <row r="907">
      <c r="A907" s="61"/>
      <c r="B907" s="202"/>
      <c r="C907" s="61"/>
      <c r="D907" s="202"/>
      <c r="E907" s="61"/>
      <c r="F907" s="202"/>
      <c r="G907" s="61"/>
      <c r="H907" s="202"/>
      <c r="I907" s="18"/>
      <c r="J907" s="202"/>
      <c r="K907" s="55"/>
      <c r="L907" s="55"/>
      <c r="M907" s="55"/>
      <c r="N907" s="55"/>
      <c r="O907" s="55"/>
      <c r="P907" s="55"/>
      <c r="Q907" s="55"/>
      <c r="R907" s="55"/>
      <c r="S907" s="55"/>
      <c r="T907" s="55"/>
      <c r="U907" s="55"/>
      <c r="V907" s="55"/>
      <c r="W907" s="55"/>
    </row>
    <row r="908">
      <c r="A908" s="61"/>
      <c r="B908" s="202"/>
      <c r="C908" s="61"/>
      <c r="D908" s="202"/>
      <c r="E908" s="61"/>
      <c r="F908" s="202"/>
      <c r="G908" s="61"/>
      <c r="H908" s="202"/>
      <c r="I908" s="18"/>
      <c r="J908" s="202"/>
      <c r="K908" s="55"/>
      <c r="L908" s="55"/>
      <c r="M908" s="55"/>
      <c r="N908" s="55"/>
      <c r="O908" s="55"/>
      <c r="P908" s="55"/>
      <c r="Q908" s="55"/>
      <c r="R908" s="55"/>
      <c r="S908" s="55"/>
      <c r="T908" s="55"/>
      <c r="U908" s="55"/>
      <c r="V908" s="55"/>
      <c r="W908" s="55"/>
    </row>
    <row r="909">
      <c r="A909" s="61"/>
      <c r="B909" s="202"/>
      <c r="C909" s="61"/>
      <c r="D909" s="202"/>
      <c r="E909" s="61"/>
      <c r="F909" s="202"/>
      <c r="G909" s="61"/>
      <c r="H909" s="202"/>
      <c r="I909" s="18"/>
      <c r="J909" s="202"/>
      <c r="K909" s="55"/>
      <c r="L909" s="55"/>
      <c r="M909" s="55"/>
      <c r="N909" s="55"/>
      <c r="O909" s="55"/>
      <c r="P909" s="55"/>
      <c r="Q909" s="55"/>
      <c r="R909" s="55"/>
      <c r="S909" s="55"/>
      <c r="T909" s="55"/>
      <c r="U909" s="55"/>
      <c r="V909" s="55"/>
      <c r="W909" s="55"/>
    </row>
    <row r="910">
      <c r="A910" s="61"/>
      <c r="B910" s="202"/>
      <c r="C910" s="61"/>
      <c r="D910" s="202"/>
      <c r="E910" s="61"/>
      <c r="F910" s="202"/>
      <c r="G910" s="61"/>
      <c r="H910" s="202"/>
      <c r="I910" s="18"/>
      <c r="J910" s="202"/>
      <c r="K910" s="55"/>
      <c r="L910" s="55"/>
      <c r="M910" s="55"/>
      <c r="N910" s="55"/>
      <c r="O910" s="55"/>
      <c r="P910" s="55"/>
      <c r="Q910" s="55"/>
      <c r="R910" s="55"/>
      <c r="S910" s="55"/>
      <c r="T910" s="55"/>
      <c r="U910" s="55"/>
      <c r="V910" s="55"/>
      <c r="W910" s="55"/>
    </row>
    <row r="911">
      <c r="A911" s="61"/>
      <c r="B911" s="202"/>
      <c r="C911" s="61"/>
      <c r="D911" s="202"/>
      <c r="E911" s="61"/>
      <c r="F911" s="202"/>
      <c r="G911" s="61"/>
      <c r="H911" s="202"/>
      <c r="I911" s="18"/>
      <c r="J911" s="202"/>
      <c r="K911" s="55"/>
      <c r="L911" s="55"/>
      <c r="M911" s="55"/>
      <c r="N911" s="55"/>
      <c r="O911" s="55"/>
      <c r="P911" s="55"/>
      <c r="Q911" s="55"/>
      <c r="R911" s="55"/>
      <c r="S911" s="55"/>
      <c r="T911" s="55"/>
      <c r="U911" s="55"/>
      <c r="V911" s="55"/>
      <c r="W911" s="55"/>
    </row>
    <row r="912">
      <c r="A912" s="61"/>
      <c r="B912" s="202"/>
      <c r="C912" s="61"/>
      <c r="D912" s="202"/>
      <c r="E912" s="61"/>
      <c r="F912" s="202"/>
      <c r="G912" s="61"/>
      <c r="H912" s="202"/>
      <c r="I912" s="18"/>
      <c r="J912" s="202"/>
      <c r="K912" s="55"/>
      <c r="L912" s="55"/>
      <c r="M912" s="55"/>
      <c r="N912" s="55"/>
      <c r="O912" s="55"/>
      <c r="P912" s="55"/>
      <c r="Q912" s="55"/>
      <c r="R912" s="55"/>
      <c r="S912" s="55"/>
      <c r="T912" s="55"/>
      <c r="U912" s="55"/>
      <c r="V912" s="55"/>
      <c r="W912" s="55"/>
    </row>
    <row r="913">
      <c r="A913" s="61"/>
      <c r="B913" s="202"/>
      <c r="C913" s="61"/>
      <c r="D913" s="202"/>
      <c r="E913" s="61"/>
      <c r="F913" s="202"/>
      <c r="G913" s="61"/>
      <c r="H913" s="202"/>
      <c r="I913" s="18"/>
      <c r="J913" s="202"/>
      <c r="K913" s="55"/>
      <c r="L913" s="55"/>
      <c r="M913" s="55"/>
      <c r="N913" s="55"/>
      <c r="O913" s="55"/>
      <c r="P913" s="55"/>
      <c r="Q913" s="55"/>
      <c r="R913" s="55"/>
      <c r="S913" s="55"/>
      <c r="T913" s="55"/>
      <c r="U913" s="55"/>
      <c r="V913" s="55"/>
      <c r="W913" s="55"/>
    </row>
    <row r="914">
      <c r="A914" s="61"/>
      <c r="B914" s="202"/>
      <c r="C914" s="61"/>
      <c r="D914" s="202"/>
      <c r="E914" s="61"/>
      <c r="F914" s="202"/>
      <c r="G914" s="61"/>
      <c r="H914" s="202"/>
      <c r="I914" s="18"/>
      <c r="J914" s="202"/>
      <c r="K914" s="55"/>
      <c r="L914" s="55"/>
      <c r="M914" s="55"/>
      <c r="N914" s="55"/>
      <c r="O914" s="55"/>
      <c r="P914" s="55"/>
      <c r="Q914" s="55"/>
      <c r="R914" s="55"/>
      <c r="S914" s="55"/>
      <c r="T914" s="55"/>
      <c r="U914" s="55"/>
      <c r="V914" s="55"/>
      <c r="W914" s="55"/>
    </row>
    <row r="915">
      <c r="A915" s="61"/>
      <c r="B915" s="202"/>
      <c r="C915" s="61"/>
      <c r="D915" s="202"/>
      <c r="E915" s="61"/>
      <c r="F915" s="202"/>
      <c r="G915" s="61"/>
      <c r="H915" s="202"/>
      <c r="I915" s="18"/>
      <c r="J915" s="202"/>
      <c r="K915" s="55"/>
      <c r="L915" s="55"/>
      <c r="M915" s="55"/>
      <c r="N915" s="55"/>
      <c r="O915" s="55"/>
      <c r="P915" s="55"/>
      <c r="Q915" s="55"/>
      <c r="R915" s="55"/>
      <c r="S915" s="55"/>
      <c r="T915" s="55"/>
      <c r="U915" s="55"/>
      <c r="V915" s="55"/>
      <c r="W915" s="55"/>
    </row>
    <row r="916">
      <c r="A916" s="61"/>
      <c r="B916" s="202"/>
      <c r="C916" s="61"/>
      <c r="D916" s="202"/>
      <c r="E916" s="61"/>
      <c r="F916" s="202"/>
      <c r="G916" s="61"/>
      <c r="H916" s="202"/>
      <c r="I916" s="18"/>
      <c r="J916" s="202"/>
      <c r="K916" s="55"/>
      <c r="L916" s="55"/>
      <c r="M916" s="55"/>
      <c r="N916" s="55"/>
      <c r="O916" s="55"/>
      <c r="P916" s="55"/>
      <c r="Q916" s="55"/>
      <c r="R916" s="55"/>
      <c r="S916" s="55"/>
      <c r="T916" s="55"/>
      <c r="U916" s="55"/>
      <c r="V916" s="55"/>
      <c r="W916" s="55"/>
    </row>
    <row r="917">
      <c r="A917" s="61"/>
      <c r="B917" s="202"/>
      <c r="C917" s="61"/>
      <c r="D917" s="202"/>
      <c r="E917" s="61"/>
      <c r="F917" s="202"/>
      <c r="G917" s="61"/>
      <c r="H917" s="202"/>
      <c r="I917" s="18"/>
      <c r="J917" s="202"/>
      <c r="K917" s="55"/>
      <c r="L917" s="55"/>
      <c r="M917" s="55"/>
      <c r="N917" s="55"/>
      <c r="O917" s="55"/>
      <c r="P917" s="55"/>
      <c r="Q917" s="55"/>
      <c r="R917" s="55"/>
      <c r="S917" s="55"/>
      <c r="T917" s="55"/>
      <c r="U917" s="55"/>
      <c r="V917" s="55"/>
      <c r="W917" s="55"/>
    </row>
    <row r="918">
      <c r="A918" s="61"/>
      <c r="B918" s="202"/>
      <c r="C918" s="61"/>
      <c r="D918" s="202"/>
      <c r="E918" s="61"/>
      <c r="F918" s="202"/>
      <c r="G918" s="61"/>
      <c r="H918" s="202"/>
      <c r="I918" s="18"/>
      <c r="J918" s="202"/>
      <c r="K918" s="55"/>
      <c r="L918" s="55"/>
      <c r="M918" s="55"/>
      <c r="N918" s="55"/>
      <c r="O918" s="55"/>
      <c r="P918" s="55"/>
      <c r="Q918" s="55"/>
      <c r="R918" s="55"/>
      <c r="S918" s="55"/>
      <c r="T918" s="55"/>
      <c r="U918" s="55"/>
      <c r="V918" s="55"/>
      <c r="W918" s="55"/>
    </row>
    <row r="919">
      <c r="A919" s="61"/>
      <c r="B919" s="202"/>
      <c r="C919" s="61"/>
      <c r="D919" s="202"/>
      <c r="E919" s="61"/>
      <c r="F919" s="202"/>
      <c r="G919" s="61"/>
      <c r="H919" s="202"/>
      <c r="I919" s="18"/>
      <c r="J919" s="202"/>
      <c r="K919" s="55"/>
      <c r="L919" s="55"/>
      <c r="M919" s="55"/>
      <c r="N919" s="55"/>
      <c r="O919" s="55"/>
      <c r="P919" s="55"/>
      <c r="Q919" s="55"/>
      <c r="R919" s="55"/>
      <c r="S919" s="55"/>
      <c r="T919" s="55"/>
      <c r="U919" s="55"/>
      <c r="V919" s="55"/>
      <c r="W919" s="55"/>
    </row>
    <row r="920">
      <c r="A920" s="61"/>
      <c r="B920" s="202"/>
      <c r="C920" s="61"/>
      <c r="D920" s="202"/>
      <c r="E920" s="61"/>
      <c r="F920" s="202"/>
      <c r="G920" s="61"/>
      <c r="H920" s="202"/>
      <c r="I920" s="18"/>
      <c r="J920" s="202"/>
      <c r="K920" s="55"/>
      <c r="L920" s="55"/>
      <c r="M920" s="55"/>
      <c r="N920" s="55"/>
      <c r="O920" s="55"/>
      <c r="P920" s="55"/>
      <c r="Q920" s="55"/>
      <c r="R920" s="55"/>
      <c r="S920" s="55"/>
      <c r="T920" s="55"/>
      <c r="U920" s="55"/>
      <c r="V920" s="55"/>
      <c r="W920" s="55"/>
    </row>
    <row r="921">
      <c r="A921" s="61"/>
      <c r="B921" s="202"/>
      <c r="C921" s="61"/>
      <c r="D921" s="202"/>
      <c r="E921" s="61"/>
      <c r="F921" s="202"/>
      <c r="G921" s="61"/>
      <c r="H921" s="202"/>
      <c r="I921" s="18"/>
      <c r="J921" s="202"/>
      <c r="K921" s="55"/>
      <c r="L921" s="55"/>
      <c r="M921" s="55"/>
      <c r="N921" s="55"/>
      <c r="O921" s="55"/>
      <c r="P921" s="55"/>
      <c r="Q921" s="55"/>
      <c r="R921" s="55"/>
      <c r="S921" s="55"/>
      <c r="T921" s="55"/>
      <c r="U921" s="55"/>
      <c r="V921" s="55"/>
      <c r="W921" s="55"/>
    </row>
    <row r="922">
      <c r="A922" s="61"/>
      <c r="B922" s="202"/>
      <c r="C922" s="61"/>
      <c r="D922" s="202"/>
      <c r="E922" s="61"/>
      <c r="F922" s="202"/>
      <c r="G922" s="61"/>
      <c r="H922" s="202"/>
      <c r="I922" s="18"/>
      <c r="J922" s="202"/>
      <c r="K922" s="55"/>
      <c r="L922" s="55"/>
      <c r="M922" s="55"/>
      <c r="N922" s="55"/>
      <c r="O922" s="55"/>
      <c r="P922" s="55"/>
      <c r="Q922" s="55"/>
      <c r="R922" s="55"/>
      <c r="S922" s="55"/>
      <c r="T922" s="55"/>
      <c r="U922" s="55"/>
      <c r="V922" s="55"/>
      <c r="W922" s="55"/>
    </row>
    <row r="923">
      <c r="A923" s="61"/>
      <c r="B923" s="202"/>
      <c r="C923" s="61"/>
      <c r="D923" s="202"/>
      <c r="E923" s="61"/>
      <c r="F923" s="202"/>
      <c r="G923" s="61"/>
      <c r="H923" s="202"/>
      <c r="I923" s="18"/>
      <c r="J923" s="202"/>
      <c r="K923" s="55"/>
      <c r="L923" s="55"/>
      <c r="M923" s="55"/>
      <c r="N923" s="55"/>
      <c r="O923" s="55"/>
      <c r="P923" s="55"/>
      <c r="Q923" s="55"/>
      <c r="R923" s="55"/>
      <c r="S923" s="55"/>
      <c r="T923" s="55"/>
      <c r="U923" s="55"/>
      <c r="V923" s="55"/>
      <c r="W923" s="55"/>
    </row>
    <row r="924">
      <c r="A924" s="61"/>
      <c r="B924" s="202"/>
      <c r="C924" s="61"/>
      <c r="D924" s="202"/>
      <c r="E924" s="61"/>
      <c r="F924" s="202"/>
      <c r="G924" s="61"/>
      <c r="H924" s="202"/>
      <c r="I924" s="18"/>
      <c r="J924" s="202"/>
      <c r="K924" s="55"/>
      <c r="L924" s="55"/>
      <c r="M924" s="55"/>
      <c r="N924" s="55"/>
      <c r="O924" s="55"/>
      <c r="P924" s="55"/>
      <c r="Q924" s="55"/>
      <c r="R924" s="55"/>
      <c r="S924" s="55"/>
      <c r="T924" s="55"/>
      <c r="U924" s="55"/>
      <c r="V924" s="55"/>
      <c r="W924" s="55"/>
    </row>
    <row r="925">
      <c r="A925" s="61"/>
      <c r="B925" s="202"/>
      <c r="C925" s="61"/>
      <c r="D925" s="202"/>
      <c r="E925" s="61"/>
      <c r="F925" s="202"/>
      <c r="G925" s="61"/>
      <c r="H925" s="202"/>
      <c r="I925" s="18"/>
      <c r="J925" s="202"/>
      <c r="K925" s="55"/>
      <c r="L925" s="55"/>
      <c r="M925" s="55"/>
      <c r="N925" s="55"/>
      <c r="O925" s="55"/>
      <c r="P925" s="55"/>
      <c r="Q925" s="55"/>
      <c r="R925" s="55"/>
      <c r="S925" s="55"/>
      <c r="T925" s="55"/>
      <c r="U925" s="55"/>
      <c r="V925" s="55"/>
      <c r="W925" s="55"/>
    </row>
    <row r="926">
      <c r="A926" s="61"/>
      <c r="B926" s="202"/>
      <c r="C926" s="61"/>
      <c r="D926" s="202"/>
      <c r="E926" s="61"/>
      <c r="F926" s="202"/>
      <c r="G926" s="61"/>
      <c r="H926" s="202"/>
      <c r="I926" s="18"/>
      <c r="J926" s="202"/>
      <c r="K926" s="55"/>
      <c r="L926" s="55"/>
      <c r="M926" s="55"/>
      <c r="N926" s="55"/>
      <c r="O926" s="55"/>
      <c r="P926" s="55"/>
      <c r="Q926" s="55"/>
      <c r="R926" s="55"/>
      <c r="S926" s="55"/>
      <c r="T926" s="55"/>
      <c r="U926" s="55"/>
      <c r="V926" s="55"/>
      <c r="W926" s="55"/>
    </row>
    <row r="927">
      <c r="A927" s="61"/>
      <c r="B927" s="202"/>
      <c r="C927" s="61"/>
      <c r="D927" s="202"/>
      <c r="E927" s="61"/>
      <c r="F927" s="202"/>
      <c r="G927" s="61"/>
      <c r="H927" s="202"/>
      <c r="I927" s="18"/>
      <c r="J927" s="202"/>
      <c r="K927" s="55"/>
      <c r="L927" s="55"/>
      <c r="M927" s="55"/>
      <c r="N927" s="55"/>
      <c r="O927" s="55"/>
      <c r="P927" s="55"/>
      <c r="Q927" s="55"/>
      <c r="R927" s="55"/>
      <c r="S927" s="55"/>
      <c r="T927" s="55"/>
      <c r="U927" s="55"/>
      <c r="V927" s="55"/>
      <c r="W927" s="55"/>
    </row>
    <row r="928">
      <c r="A928" s="61"/>
      <c r="B928" s="202"/>
      <c r="C928" s="61"/>
      <c r="D928" s="202"/>
      <c r="E928" s="61"/>
      <c r="F928" s="202"/>
      <c r="G928" s="61"/>
      <c r="H928" s="202"/>
      <c r="I928" s="18"/>
      <c r="J928" s="202"/>
      <c r="K928" s="55"/>
      <c r="L928" s="55"/>
      <c r="M928" s="55"/>
      <c r="N928" s="55"/>
      <c r="O928" s="55"/>
      <c r="P928" s="55"/>
      <c r="Q928" s="55"/>
      <c r="R928" s="55"/>
      <c r="S928" s="55"/>
      <c r="T928" s="55"/>
      <c r="U928" s="55"/>
      <c r="V928" s="55"/>
      <c r="W928" s="55"/>
    </row>
    <row r="929">
      <c r="A929" s="61"/>
      <c r="B929" s="202"/>
      <c r="C929" s="61"/>
      <c r="D929" s="202"/>
      <c r="E929" s="61"/>
      <c r="F929" s="202"/>
      <c r="G929" s="61"/>
      <c r="H929" s="202"/>
      <c r="I929" s="18"/>
      <c r="J929" s="202"/>
      <c r="K929" s="55"/>
      <c r="L929" s="55"/>
      <c r="M929" s="55"/>
      <c r="N929" s="55"/>
      <c r="O929" s="55"/>
      <c r="P929" s="55"/>
      <c r="Q929" s="55"/>
      <c r="R929" s="55"/>
      <c r="S929" s="55"/>
      <c r="T929" s="55"/>
      <c r="U929" s="55"/>
      <c r="V929" s="55"/>
      <c r="W929" s="55"/>
    </row>
    <row r="930">
      <c r="A930" s="61"/>
      <c r="B930" s="202"/>
      <c r="C930" s="61"/>
      <c r="D930" s="202"/>
      <c r="E930" s="61"/>
      <c r="F930" s="202"/>
      <c r="G930" s="61"/>
      <c r="H930" s="202"/>
      <c r="I930" s="18"/>
      <c r="J930" s="202"/>
      <c r="K930" s="55"/>
      <c r="L930" s="55"/>
      <c r="M930" s="55"/>
      <c r="N930" s="55"/>
      <c r="O930" s="55"/>
      <c r="P930" s="55"/>
      <c r="Q930" s="55"/>
      <c r="R930" s="55"/>
      <c r="S930" s="55"/>
      <c r="T930" s="55"/>
      <c r="U930" s="55"/>
      <c r="V930" s="55"/>
      <c r="W930" s="55"/>
    </row>
    <row r="931">
      <c r="A931" s="61"/>
      <c r="B931" s="202"/>
      <c r="C931" s="61"/>
      <c r="D931" s="202"/>
      <c r="E931" s="61"/>
      <c r="F931" s="202"/>
      <c r="G931" s="61"/>
      <c r="H931" s="202"/>
      <c r="I931" s="18"/>
      <c r="J931" s="202"/>
      <c r="K931" s="55"/>
      <c r="L931" s="55"/>
      <c r="M931" s="55"/>
      <c r="N931" s="55"/>
      <c r="O931" s="55"/>
      <c r="P931" s="55"/>
      <c r="Q931" s="55"/>
      <c r="R931" s="55"/>
      <c r="S931" s="55"/>
      <c r="T931" s="55"/>
      <c r="U931" s="55"/>
      <c r="V931" s="55"/>
      <c r="W931" s="55"/>
    </row>
    <row r="932">
      <c r="A932" s="61"/>
      <c r="B932" s="202"/>
      <c r="C932" s="61"/>
      <c r="D932" s="202"/>
      <c r="E932" s="61"/>
      <c r="F932" s="202"/>
      <c r="G932" s="61"/>
      <c r="H932" s="202"/>
      <c r="I932" s="18"/>
      <c r="J932" s="202"/>
      <c r="K932" s="55"/>
      <c r="L932" s="55"/>
      <c r="M932" s="55"/>
      <c r="N932" s="55"/>
      <c r="O932" s="55"/>
      <c r="P932" s="55"/>
      <c r="Q932" s="55"/>
      <c r="R932" s="55"/>
      <c r="S932" s="55"/>
      <c r="T932" s="55"/>
      <c r="U932" s="55"/>
      <c r="V932" s="55"/>
      <c r="W932" s="55"/>
    </row>
    <row r="933">
      <c r="A933" s="61"/>
      <c r="B933" s="202"/>
      <c r="C933" s="61"/>
      <c r="D933" s="202"/>
      <c r="E933" s="61"/>
      <c r="F933" s="202"/>
      <c r="G933" s="61"/>
      <c r="H933" s="202"/>
      <c r="I933" s="18"/>
      <c r="J933" s="202"/>
      <c r="K933" s="55"/>
      <c r="L933" s="55"/>
      <c r="M933" s="55"/>
      <c r="N933" s="55"/>
      <c r="O933" s="55"/>
      <c r="P933" s="55"/>
      <c r="Q933" s="55"/>
      <c r="R933" s="55"/>
      <c r="S933" s="55"/>
      <c r="T933" s="55"/>
      <c r="U933" s="55"/>
      <c r="V933" s="55"/>
      <c r="W933" s="55"/>
    </row>
    <row r="934">
      <c r="A934" s="61"/>
      <c r="B934" s="202"/>
      <c r="C934" s="61"/>
      <c r="D934" s="202"/>
      <c r="E934" s="61"/>
      <c r="F934" s="202"/>
      <c r="G934" s="61"/>
      <c r="H934" s="202"/>
      <c r="I934" s="18"/>
      <c r="J934" s="202"/>
      <c r="K934" s="55"/>
      <c r="L934" s="55"/>
      <c r="M934" s="55"/>
      <c r="N934" s="55"/>
      <c r="O934" s="55"/>
      <c r="P934" s="55"/>
      <c r="Q934" s="55"/>
      <c r="R934" s="55"/>
      <c r="S934" s="55"/>
      <c r="T934" s="55"/>
      <c r="U934" s="55"/>
      <c r="V934" s="55"/>
      <c r="W934" s="55"/>
    </row>
    <row r="935">
      <c r="A935" s="61"/>
      <c r="B935" s="202"/>
      <c r="C935" s="61"/>
      <c r="D935" s="202"/>
      <c r="E935" s="61"/>
      <c r="F935" s="202"/>
      <c r="G935" s="61"/>
      <c r="H935" s="202"/>
      <c r="I935" s="18"/>
      <c r="J935" s="202"/>
      <c r="K935" s="55"/>
      <c r="L935" s="55"/>
      <c r="M935" s="55"/>
      <c r="N935" s="55"/>
      <c r="O935" s="55"/>
      <c r="P935" s="55"/>
      <c r="Q935" s="55"/>
      <c r="R935" s="55"/>
      <c r="S935" s="55"/>
      <c r="T935" s="55"/>
      <c r="U935" s="55"/>
      <c r="V935" s="55"/>
      <c r="W935" s="55"/>
    </row>
    <row r="936">
      <c r="A936" s="61"/>
      <c r="B936" s="202"/>
      <c r="C936" s="61"/>
      <c r="D936" s="202"/>
      <c r="E936" s="61"/>
      <c r="F936" s="202"/>
      <c r="G936" s="61"/>
      <c r="H936" s="202"/>
      <c r="I936" s="18"/>
      <c r="J936" s="202"/>
      <c r="K936" s="55"/>
      <c r="L936" s="55"/>
      <c r="M936" s="55"/>
      <c r="N936" s="55"/>
      <c r="O936" s="55"/>
      <c r="P936" s="55"/>
      <c r="Q936" s="55"/>
      <c r="R936" s="55"/>
      <c r="S936" s="55"/>
      <c r="T936" s="55"/>
      <c r="U936" s="55"/>
      <c r="V936" s="55"/>
      <c r="W936" s="55"/>
    </row>
    <row r="937">
      <c r="A937" s="61"/>
      <c r="B937" s="202"/>
      <c r="C937" s="61"/>
      <c r="D937" s="202"/>
      <c r="E937" s="61"/>
      <c r="F937" s="202"/>
      <c r="G937" s="61"/>
      <c r="H937" s="202"/>
      <c r="I937" s="18"/>
      <c r="J937" s="202"/>
      <c r="K937" s="55"/>
      <c r="L937" s="55"/>
      <c r="M937" s="55"/>
      <c r="N937" s="55"/>
      <c r="O937" s="55"/>
      <c r="P937" s="55"/>
      <c r="Q937" s="55"/>
      <c r="R937" s="55"/>
      <c r="S937" s="55"/>
      <c r="T937" s="55"/>
      <c r="U937" s="55"/>
      <c r="V937" s="55"/>
      <c r="W937" s="55"/>
    </row>
    <row r="938">
      <c r="A938" s="61"/>
      <c r="B938" s="202"/>
      <c r="C938" s="61"/>
      <c r="D938" s="202"/>
      <c r="E938" s="61"/>
      <c r="F938" s="202"/>
      <c r="G938" s="61"/>
      <c r="H938" s="202"/>
      <c r="I938" s="18"/>
      <c r="J938" s="202"/>
      <c r="K938" s="55"/>
      <c r="L938" s="55"/>
      <c r="M938" s="55"/>
      <c r="N938" s="55"/>
      <c r="O938" s="55"/>
      <c r="P938" s="55"/>
      <c r="Q938" s="55"/>
      <c r="R938" s="55"/>
      <c r="S938" s="55"/>
      <c r="T938" s="55"/>
      <c r="U938" s="55"/>
      <c r="V938" s="55"/>
      <c r="W938" s="55"/>
    </row>
    <row r="939">
      <c r="A939" s="61"/>
      <c r="B939" s="202"/>
      <c r="C939" s="61"/>
      <c r="D939" s="202"/>
      <c r="E939" s="61"/>
      <c r="F939" s="202"/>
      <c r="G939" s="61"/>
      <c r="H939" s="202"/>
      <c r="I939" s="18"/>
      <c r="J939" s="202"/>
      <c r="K939" s="55"/>
      <c r="L939" s="55"/>
      <c r="M939" s="55"/>
      <c r="N939" s="55"/>
      <c r="O939" s="55"/>
      <c r="P939" s="55"/>
      <c r="Q939" s="55"/>
      <c r="R939" s="55"/>
      <c r="S939" s="55"/>
      <c r="T939" s="55"/>
      <c r="U939" s="55"/>
      <c r="V939" s="55"/>
      <c r="W939" s="55"/>
    </row>
    <row r="940">
      <c r="A940" s="61"/>
      <c r="B940" s="202"/>
      <c r="C940" s="61"/>
      <c r="D940" s="202"/>
      <c r="E940" s="61"/>
      <c r="F940" s="202"/>
      <c r="G940" s="61"/>
      <c r="H940" s="202"/>
      <c r="I940" s="18"/>
      <c r="J940" s="202"/>
      <c r="K940" s="55"/>
      <c r="L940" s="55"/>
      <c r="M940" s="55"/>
      <c r="N940" s="55"/>
      <c r="O940" s="55"/>
      <c r="P940" s="55"/>
      <c r="Q940" s="55"/>
      <c r="R940" s="55"/>
      <c r="S940" s="55"/>
      <c r="T940" s="55"/>
      <c r="U940" s="55"/>
      <c r="V940" s="55"/>
      <c r="W940" s="55"/>
    </row>
    <row r="941">
      <c r="A941" s="61"/>
      <c r="B941" s="202"/>
      <c r="C941" s="61"/>
      <c r="D941" s="202"/>
      <c r="E941" s="61"/>
      <c r="F941" s="202"/>
      <c r="G941" s="61"/>
      <c r="H941" s="202"/>
      <c r="I941" s="18"/>
      <c r="J941" s="202"/>
      <c r="K941" s="55"/>
      <c r="L941" s="55"/>
      <c r="M941" s="55"/>
      <c r="N941" s="55"/>
      <c r="O941" s="55"/>
      <c r="P941" s="55"/>
      <c r="Q941" s="55"/>
      <c r="R941" s="55"/>
      <c r="S941" s="55"/>
      <c r="T941" s="55"/>
      <c r="U941" s="55"/>
      <c r="V941" s="55"/>
      <c r="W941" s="55"/>
    </row>
    <row r="942">
      <c r="A942" s="61"/>
      <c r="B942" s="202"/>
      <c r="C942" s="61"/>
      <c r="D942" s="202"/>
      <c r="E942" s="61"/>
      <c r="F942" s="202"/>
      <c r="G942" s="61"/>
      <c r="H942" s="202"/>
      <c r="I942" s="18"/>
      <c r="J942" s="202"/>
      <c r="K942" s="55"/>
      <c r="L942" s="55"/>
      <c r="M942" s="55"/>
      <c r="N942" s="55"/>
      <c r="O942" s="55"/>
      <c r="P942" s="55"/>
      <c r="Q942" s="55"/>
      <c r="R942" s="55"/>
      <c r="S942" s="55"/>
      <c r="T942" s="55"/>
      <c r="U942" s="55"/>
      <c r="V942" s="55"/>
      <c r="W942" s="55"/>
    </row>
    <row r="943">
      <c r="A943" s="61"/>
      <c r="B943" s="202"/>
      <c r="C943" s="61"/>
      <c r="D943" s="202"/>
      <c r="E943" s="61"/>
      <c r="F943" s="202"/>
      <c r="G943" s="61"/>
      <c r="H943" s="202"/>
      <c r="I943" s="18"/>
      <c r="J943" s="202"/>
      <c r="K943" s="55"/>
      <c r="L943" s="55"/>
      <c r="M943" s="55"/>
      <c r="N943" s="55"/>
      <c r="O943" s="55"/>
      <c r="P943" s="55"/>
      <c r="Q943" s="55"/>
      <c r="R943" s="55"/>
      <c r="S943" s="55"/>
      <c r="T943" s="55"/>
      <c r="U943" s="55"/>
      <c r="V943" s="55"/>
      <c r="W943" s="55"/>
    </row>
    <row r="944">
      <c r="A944" s="61"/>
      <c r="B944" s="202"/>
      <c r="C944" s="61"/>
      <c r="D944" s="202"/>
      <c r="E944" s="61"/>
      <c r="F944" s="202"/>
      <c r="G944" s="61"/>
      <c r="H944" s="202"/>
      <c r="I944" s="18"/>
      <c r="J944" s="202"/>
      <c r="K944" s="55"/>
      <c r="L944" s="55"/>
      <c r="M944" s="55"/>
      <c r="N944" s="55"/>
      <c r="O944" s="55"/>
      <c r="P944" s="55"/>
      <c r="Q944" s="55"/>
      <c r="R944" s="55"/>
      <c r="S944" s="55"/>
      <c r="T944" s="55"/>
      <c r="U944" s="55"/>
      <c r="V944" s="55"/>
      <c r="W944" s="55"/>
    </row>
    <row r="945">
      <c r="A945" s="61"/>
      <c r="B945" s="202"/>
      <c r="C945" s="61"/>
      <c r="D945" s="202"/>
      <c r="E945" s="61"/>
      <c r="F945" s="202"/>
      <c r="G945" s="61"/>
      <c r="H945" s="202"/>
      <c r="I945" s="18"/>
      <c r="J945" s="202"/>
      <c r="K945" s="55"/>
      <c r="L945" s="55"/>
      <c r="M945" s="55"/>
      <c r="N945" s="55"/>
      <c r="O945" s="55"/>
      <c r="P945" s="55"/>
      <c r="Q945" s="55"/>
      <c r="R945" s="55"/>
      <c r="S945" s="55"/>
      <c r="T945" s="55"/>
      <c r="U945" s="55"/>
      <c r="V945" s="55"/>
      <c r="W945" s="55"/>
    </row>
    <row r="946">
      <c r="A946" s="61"/>
      <c r="B946" s="202"/>
      <c r="C946" s="61"/>
      <c r="D946" s="202"/>
      <c r="E946" s="61"/>
      <c r="F946" s="202"/>
      <c r="G946" s="61"/>
      <c r="H946" s="202"/>
      <c r="I946" s="18"/>
      <c r="J946" s="202"/>
      <c r="K946" s="55"/>
      <c r="L946" s="55"/>
      <c r="M946" s="55"/>
      <c r="N946" s="55"/>
      <c r="O946" s="55"/>
      <c r="P946" s="55"/>
      <c r="Q946" s="55"/>
      <c r="R946" s="55"/>
      <c r="S946" s="55"/>
      <c r="T946" s="55"/>
      <c r="U946" s="55"/>
      <c r="V946" s="55"/>
      <c r="W946" s="55"/>
    </row>
    <row r="947">
      <c r="A947" s="61"/>
      <c r="B947" s="202"/>
      <c r="C947" s="61"/>
      <c r="D947" s="202"/>
      <c r="E947" s="61"/>
      <c r="F947" s="202"/>
      <c r="G947" s="61"/>
      <c r="H947" s="202"/>
      <c r="I947" s="18"/>
      <c r="J947" s="202"/>
      <c r="K947" s="55"/>
      <c r="L947" s="55"/>
      <c r="M947" s="55"/>
      <c r="N947" s="55"/>
      <c r="O947" s="55"/>
      <c r="P947" s="55"/>
      <c r="Q947" s="55"/>
      <c r="R947" s="55"/>
      <c r="S947" s="55"/>
      <c r="T947" s="55"/>
      <c r="U947" s="55"/>
      <c r="V947" s="55"/>
      <c r="W947" s="55"/>
    </row>
    <row r="948">
      <c r="A948" s="61"/>
      <c r="B948" s="202"/>
      <c r="C948" s="61"/>
      <c r="D948" s="202"/>
      <c r="E948" s="61"/>
      <c r="F948" s="202"/>
      <c r="G948" s="61"/>
      <c r="H948" s="202"/>
      <c r="I948" s="18"/>
      <c r="J948" s="202"/>
      <c r="K948" s="55"/>
      <c r="L948" s="55"/>
      <c r="M948" s="55"/>
      <c r="N948" s="55"/>
      <c r="O948" s="55"/>
      <c r="P948" s="55"/>
      <c r="Q948" s="55"/>
      <c r="R948" s="55"/>
      <c r="S948" s="55"/>
      <c r="T948" s="55"/>
      <c r="U948" s="55"/>
      <c r="V948" s="55"/>
      <c r="W948" s="55"/>
    </row>
    <row r="949">
      <c r="A949" s="61"/>
      <c r="B949" s="202"/>
      <c r="C949" s="61"/>
      <c r="D949" s="202"/>
      <c r="E949" s="61"/>
      <c r="F949" s="202"/>
      <c r="G949" s="61"/>
      <c r="H949" s="202"/>
      <c r="I949" s="18"/>
      <c r="J949" s="202"/>
      <c r="K949" s="55"/>
      <c r="L949" s="55"/>
      <c r="M949" s="55"/>
      <c r="N949" s="55"/>
      <c r="O949" s="55"/>
      <c r="P949" s="55"/>
      <c r="Q949" s="55"/>
      <c r="R949" s="55"/>
      <c r="S949" s="55"/>
      <c r="T949" s="55"/>
      <c r="U949" s="55"/>
      <c r="V949" s="55"/>
      <c r="W949" s="55"/>
    </row>
    <row r="950">
      <c r="A950" s="61"/>
      <c r="B950" s="202"/>
      <c r="C950" s="61"/>
      <c r="D950" s="202"/>
      <c r="E950" s="61"/>
      <c r="F950" s="202"/>
      <c r="G950" s="61"/>
      <c r="H950" s="202"/>
      <c r="I950" s="18"/>
      <c r="J950" s="202"/>
      <c r="K950" s="55"/>
      <c r="L950" s="55"/>
      <c r="M950" s="55"/>
      <c r="N950" s="55"/>
      <c r="O950" s="55"/>
      <c r="P950" s="55"/>
      <c r="Q950" s="55"/>
      <c r="R950" s="55"/>
      <c r="S950" s="55"/>
      <c r="T950" s="55"/>
      <c r="U950" s="55"/>
      <c r="V950" s="55"/>
      <c r="W950" s="55"/>
    </row>
    <row r="951">
      <c r="A951" s="61"/>
      <c r="B951" s="202"/>
      <c r="C951" s="61"/>
      <c r="D951" s="202"/>
      <c r="E951" s="61"/>
      <c r="F951" s="202"/>
      <c r="G951" s="61"/>
      <c r="H951" s="202"/>
      <c r="I951" s="18"/>
      <c r="J951" s="202"/>
      <c r="K951" s="55"/>
      <c r="L951" s="55"/>
      <c r="M951" s="55"/>
      <c r="N951" s="55"/>
      <c r="O951" s="55"/>
      <c r="P951" s="55"/>
      <c r="Q951" s="55"/>
      <c r="R951" s="55"/>
      <c r="S951" s="55"/>
      <c r="T951" s="55"/>
      <c r="U951" s="55"/>
      <c r="V951" s="55"/>
      <c r="W951" s="55"/>
    </row>
    <row r="952">
      <c r="A952" s="61"/>
      <c r="B952" s="202"/>
      <c r="C952" s="61"/>
      <c r="D952" s="202"/>
      <c r="E952" s="61"/>
      <c r="F952" s="202"/>
      <c r="G952" s="61"/>
      <c r="H952" s="202"/>
      <c r="I952" s="18"/>
      <c r="J952" s="202"/>
      <c r="K952" s="55"/>
      <c r="L952" s="55"/>
      <c r="M952" s="55"/>
      <c r="N952" s="55"/>
      <c r="O952" s="55"/>
      <c r="P952" s="55"/>
      <c r="Q952" s="55"/>
      <c r="R952" s="55"/>
      <c r="S952" s="55"/>
      <c r="T952" s="55"/>
      <c r="U952" s="55"/>
      <c r="V952" s="55"/>
      <c r="W952" s="55"/>
    </row>
    <row r="953">
      <c r="A953" s="61"/>
      <c r="B953" s="202"/>
      <c r="C953" s="61"/>
      <c r="D953" s="202"/>
      <c r="E953" s="61"/>
      <c r="F953" s="202"/>
      <c r="G953" s="61"/>
      <c r="H953" s="202"/>
      <c r="I953" s="18"/>
      <c r="J953" s="202"/>
      <c r="K953" s="55"/>
      <c r="L953" s="55"/>
      <c r="M953" s="55"/>
      <c r="N953" s="55"/>
      <c r="O953" s="55"/>
      <c r="P953" s="55"/>
      <c r="Q953" s="55"/>
      <c r="R953" s="55"/>
      <c r="S953" s="55"/>
      <c r="T953" s="55"/>
      <c r="U953" s="55"/>
      <c r="V953" s="55"/>
      <c r="W953" s="55"/>
    </row>
    <row r="954">
      <c r="A954" s="61"/>
      <c r="B954" s="202"/>
      <c r="C954" s="61"/>
      <c r="D954" s="202"/>
      <c r="E954" s="61"/>
      <c r="F954" s="202"/>
      <c r="G954" s="61"/>
      <c r="H954" s="202"/>
      <c r="I954" s="18"/>
      <c r="J954" s="202"/>
      <c r="K954" s="55"/>
      <c r="L954" s="55"/>
      <c r="M954" s="55"/>
      <c r="N954" s="55"/>
      <c r="O954" s="55"/>
      <c r="P954" s="55"/>
      <c r="Q954" s="55"/>
      <c r="R954" s="55"/>
      <c r="S954" s="55"/>
      <c r="T954" s="55"/>
      <c r="U954" s="55"/>
      <c r="V954" s="55"/>
      <c r="W954" s="55"/>
    </row>
    <row r="955">
      <c r="A955" s="61"/>
      <c r="B955" s="202"/>
      <c r="C955" s="61"/>
      <c r="D955" s="202"/>
      <c r="E955" s="61"/>
      <c r="F955" s="202"/>
      <c r="G955" s="61"/>
      <c r="H955" s="202"/>
      <c r="I955" s="18"/>
      <c r="J955" s="202"/>
      <c r="K955" s="55"/>
      <c r="L955" s="55"/>
      <c r="M955" s="55"/>
      <c r="N955" s="55"/>
      <c r="O955" s="55"/>
      <c r="P955" s="55"/>
      <c r="Q955" s="55"/>
      <c r="R955" s="55"/>
      <c r="S955" s="55"/>
      <c r="T955" s="55"/>
      <c r="U955" s="55"/>
      <c r="V955" s="55"/>
      <c r="W955" s="55"/>
    </row>
    <row r="956">
      <c r="A956" s="61"/>
      <c r="B956" s="202"/>
      <c r="C956" s="61"/>
      <c r="D956" s="202"/>
      <c r="E956" s="61"/>
      <c r="F956" s="202"/>
      <c r="G956" s="61"/>
      <c r="H956" s="202"/>
      <c r="I956" s="18"/>
      <c r="J956" s="202"/>
      <c r="K956" s="55"/>
      <c r="L956" s="55"/>
      <c r="M956" s="55"/>
      <c r="N956" s="55"/>
      <c r="O956" s="55"/>
      <c r="P956" s="55"/>
      <c r="Q956" s="55"/>
      <c r="R956" s="55"/>
      <c r="S956" s="55"/>
      <c r="T956" s="55"/>
      <c r="U956" s="55"/>
      <c r="V956" s="55"/>
      <c r="W956" s="55"/>
    </row>
    <row r="957">
      <c r="A957" s="61"/>
      <c r="B957" s="202"/>
      <c r="C957" s="61"/>
      <c r="D957" s="202"/>
      <c r="E957" s="61"/>
      <c r="F957" s="202"/>
      <c r="G957" s="61"/>
      <c r="H957" s="202"/>
      <c r="I957" s="18"/>
      <c r="J957" s="202"/>
      <c r="K957" s="55"/>
      <c r="L957" s="55"/>
      <c r="M957" s="55"/>
      <c r="N957" s="55"/>
      <c r="O957" s="55"/>
      <c r="P957" s="55"/>
      <c r="Q957" s="55"/>
      <c r="R957" s="55"/>
      <c r="S957" s="55"/>
      <c r="T957" s="55"/>
      <c r="U957" s="55"/>
      <c r="V957" s="55"/>
      <c r="W957" s="55"/>
    </row>
    <row r="958">
      <c r="A958" s="61"/>
      <c r="B958" s="202"/>
      <c r="C958" s="61"/>
      <c r="D958" s="202"/>
      <c r="E958" s="61"/>
      <c r="F958" s="202"/>
      <c r="G958" s="61"/>
      <c r="H958" s="202"/>
      <c r="I958" s="18"/>
      <c r="J958" s="202"/>
      <c r="K958" s="55"/>
      <c r="L958" s="55"/>
      <c r="M958" s="55"/>
      <c r="N958" s="55"/>
      <c r="O958" s="55"/>
      <c r="P958" s="55"/>
      <c r="Q958" s="55"/>
      <c r="R958" s="55"/>
      <c r="S958" s="55"/>
      <c r="T958" s="55"/>
      <c r="U958" s="55"/>
      <c r="V958" s="55"/>
      <c r="W958" s="55"/>
    </row>
    <row r="959">
      <c r="A959" s="61"/>
      <c r="B959" s="202"/>
      <c r="C959" s="61"/>
      <c r="D959" s="202"/>
      <c r="E959" s="61"/>
      <c r="F959" s="202"/>
      <c r="G959" s="61"/>
      <c r="H959" s="202"/>
      <c r="I959" s="18"/>
      <c r="J959" s="202"/>
      <c r="K959" s="55"/>
      <c r="L959" s="55"/>
      <c r="M959" s="55"/>
      <c r="N959" s="55"/>
      <c r="O959" s="55"/>
      <c r="P959" s="55"/>
      <c r="Q959" s="55"/>
      <c r="R959" s="55"/>
      <c r="S959" s="55"/>
      <c r="T959" s="55"/>
      <c r="U959" s="55"/>
      <c r="V959" s="55"/>
      <c r="W959" s="55"/>
    </row>
    <row r="960">
      <c r="A960" s="61"/>
      <c r="B960" s="202"/>
      <c r="C960" s="61"/>
      <c r="D960" s="202"/>
      <c r="E960" s="61"/>
      <c r="F960" s="202"/>
      <c r="G960" s="61"/>
      <c r="H960" s="202"/>
      <c r="I960" s="18"/>
      <c r="J960" s="202"/>
      <c r="K960" s="55"/>
      <c r="L960" s="55"/>
      <c r="M960" s="55"/>
      <c r="N960" s="55"/>
      <c r="O960" s="55"/>
      <c r="P960" s="55"/>
      <c r="Q960" s="55"/>
      <c r="R960" s="55"/>
      <c r="S960" s="55"/>
      <c r="T960" s="55"/>
      <c r="U960" s="55"/>
      <c r="V960" s="55"/>
      <c r="W960" s="55"/>
    </row>
    <row r="961">
      <c r="A961" s="61"/>
      <c r="B961" s="202"/>
      <c r="C961" s="61"/>
      <c r="D961" s="202"/>
      <c r="E961" s="61"/>
      <c r="F961" s="202"/>
      <c r="G961" s="61"/>
      <c r="H961" s="202"/>
      <c r="I961" s="18"/>
      <c r="J961" s="202"/>
      <c r="K961" s="55"/>
      <c r="L961" s="55"/>
      <c r="M961" s="55"/>
      <c r="N961" s="55"/>
      <c r="O961" s="55"/>
      <c r="P961" s="55"/>
      <c r="Q961" s="55"/>
      <c r="R961" s="55"/>
      <c r="S961" s="55"/>
      <c r="T961" s="55"/>
      <c r="U961" s="55"/>
      <c r="V961" s="55"/>
      <c r="W961" s="55"/>
    </row>
    <row r="962">
      <c r="A962" s="61"/>
      <c r="B962" s="202"/>
      <c r="C962" s="61"/>
      <c r="D962" s="202"/>
      <c r="E962" s="61"/>
      <c r="F962" s="202"/>
      <c r="G962" s="61"/>
      <c r="H962" s="202"/>
      <c r="I962" s="18"/>
      <c r="J962" s="202"/>
      <c r="K962" s="55"/>
      <c r="L962" s="55"/>
      <c r="M962" s="55"/>
      <c r="N962" s="55"/>
      <c r="O962" s="55"/>
      <c r="P962" s="55"/>
      <c r="Q962" s="55"/>
      <c r="R962" s="55"/>
      <c r="S962" s="55"/>
      <c r="T962" s="55"/>
      <c r="U962" s="55"/>
      <c r="V962" s="55"/>
      <c r="W962" s="55"/>
    </row>
    <row r="963">
      <c r="A963" s="61"/>
      <c r="B963" s="202"/>
      <c r="C963" s="61"/>
      <c r="D963" s="202"/>
      <c r="E963" s="61"/>
      <c r="F963" s="202"/>
      <c r="G963" s="61"/>
      <c r="H963" s="202"/>
      <c r="I963" s="18"/>
      <c r="J963" s="202"/>
      <c r="K963" s="55"/>
      <c r="L963" s="55"/>
      <c r="M963" s="55"/>
      <c r="N963" s="55"/>
      <c r="O963" s="55"/>
      <c r="P963" s="55"/>
      <c r="Q963" s="55"/>
      <c r="R963" s="55"/>
      <c r="S963" s="55"/>
      <c r="T963" s="55"/>
      <c r="U963" s="55"/>
      <c r="V963" s="55"/>
      <c r="W963" s="55"/>
    </row>
    <row r="964">
      <c r="A964" s="61"/>
      <c r="B964" s="202"/>
      <c r="C964" s="61"/>
      <c r="D964" s="202"/>
      <c r="E964" s="61"/>
      <c r="F964" s="202"/>
      <c r="G964" s="61"/>
      <c r="H964" s="202"/>
      <c r="I964" s="18"/>
      <c r="J964" s="202"/>
      <c r="K964" s="55"/>
      <c r="L964" s="55"/>
      <c r="M964" s="55"/>
      <c r="N964" s="55"/>
      <c r="O964" s="55"/>
      <c r="P964" s="55"/>
      <c r="Q964" s="55"/>
      <c r="R964" s="55"/>
      <c r="S964" s="55"/>
      <c r="T964" s="55"/>
      <c r="U964" s="55"/>
      <c r="V964" s="55"/>
      <c r="W964" s="55"/>
    </row>
    <row r="965">
      <c r="A965" s="61"/>
      <c r="B965" s="202"/>
      <c r="C965" s="61"/>
      <c r="D965" s="202"/>
      <c r="E965" s="61"/>
      <c r="F965" s="202"/>
      <c r="G965" s="61"/>
      <c r="H965" s="202"/>
      <c r="I965" s="18"/>
      <c r="J965" s="202"/>
      <c r="K965" s="55"/>
      <c r="L965" s="55"/>
      <c r="M965" s="55"/>
      <c r="N965" s="55"/>
      <c r="O965" s="55"/>
      <c r="P965" s="55"/>
      <c r="Q965" s="55"/>
      <c r="R965" s="55"/>
      <c r="S965" s="55"/>
      <c r="T965" s="55"/>
      <c r="U965" s="55"/>
      <c r="V965" s="55"/>
      <c r="W965" s="55"/>
    </row>
    <row r="966">
      <c r="A966" s="61"/>
      <c r="B966" s="202"/>
      <c r="C966" s="61"/>
      <c r="D966" s="202"/>
      <c r="E966" s="61"/>
      <c r="F966" s="202"/>
      <c r="G966" s="61"/>
      <c r="H966" s="202"/>
      <c r="I966" s="18"/>
      <c r="J966" s="202"/>
      <c r="K966" s="55"/>
      <c r="L966" s="55"/>
      <c r="M966" s="55"/>
      <c r="N966" s="55"/>
      <c r="O966" s="55"/>
      <c r="P966" s="55"/>
      <c r="Q966" s="55"/>
      <c r="R966" s="55"/>
      <c r="S966" s="55"/>
      <c r="T966" s="55"/>
      <c r="U966" s="55"/>
      <c r="V966" s="55"/>
      <c r="W966" s="55"/>
    </row>
    <row r="967">
      <c r="A967" s="61"/>
      <c r="B967" s="202"/>
      <c r="C967" s="61"/>
      <c r="D967" s="202"/>
      <c r="E967" s="61"/>
      <c r="F967" s="202"/>
      <c r="G967" s="61"/>
      <c r="H967" s="202"/>
      <c r="I967" s="18"/>
      <c r="J967" s="202"/>
      <c r="K967" s="55"/>
      <c r="L967" s="55"/>
      <c r="M967" s="55"/>
      <c r="N967" s="55"/>
      <c r="O967" s="55"/>
      <c r="P967" s="55"/>
      <c r="Q967" s="55"/>
      <c r="R967" s="55"/>
      <c r="S967" s="55"/>
      <c r="T967" s="55"/>
      <c r="U967" s="55"/>
      <c r="V967" s="55"/>
      <c r="W967" s="55"/>
    </row>
    <row r="968">
      <c r="A968" s="61"/>
      <c r="B968" s="202"/>
      <c r="C968" s="61"/>
      <c r="D968" s="202"/>
      <c r="E968" s="61"/>
      <c r="F968" s="202"/>
      <c r="G968" s="61"/>
      <c r="H968" s="202"/>
      <c r="I968" s="18"/>
      <c r="J968" s="202"/>
      <c r="K968" s="55"/>
      <c r="L968" s="55"/>
      <c r="M968" s="55"/>
      <c r="N968" s="55"/>
      <c r="O968" s="55"/>
      <c r="P968" s="55"/>
      <c r="Q968" s="55"/>
      <c r="R968" s="55"/>
      <c r="S968" s="55"/>
      <c r="T968" s="55"/>
      <c r="U968" s="55"/>
      <c r="V968" s="55"/>
      <c r="W968" s="55"/>
    </row>
    <row r="969">
      <c r="A969" s="61"/>
      <c r="B969" s="202"/>
      <c r="C969" s="61"/>
      <c r="D969" s="202"/>
      <c r="E969" s="61"/>
      <c r="F969" s="202"/>
      <c r="G969" s="61"/>
      <c r="H969" s="202"/>
      <c r="I969" s="18"/>
      <c r="J969" s="202"/>
      <c r="K969" s="55"/>
      <c r="L969" s="55"/>
      <c r="M969" s="55"/>
      <c r="N969" s="55"/>
      <c r="O969" s="55"/>
      <c r="P969" s="55"/>
      <c r="Q969" s="55"/>
      <c r="R969" s="55"/>
      <c r="S969" s="55"/>
      <c r="T969" s="55"/>
      <c r="U969" s="55"/>
      <c r="V969" s="55"/>
      <c r="W969" s="55"/>
    </row>
    <row r="970">
      <c r="A970" s="61"/>
      <c r="B970" s="202"/>
      <c r="C970" s="61"/>
      <c r="D970" s="202"/>
      <c r="E970" s="61"/>
      <c r="F970" s="202"/>
      <c r="G970" s="61"/>
      <c r="H970" s="202"/>
      <c r="I970" s="18"/>
      <c r="J970" s="202"/>
      <c r="K970" s="55"/>
      <c r="L970" s="55"/>
      <c r="M970" s="55"/>
      <c r="N970" s="55"/>
      <c r="O970" s="55"/>
      <c r="P970" s="55"/>
      <c r="Q970" s="55"/>
      <c r="R970" s="55"/>
      <c r="S970" s="55"/>
      <c r="T970" s="55"/>
      <c r="U970" s="55"/>
      <c r="V970" s="55"/>
      <c r="W970" s="55"/>
    </row>
    <row r="971">
      <c r="A971" s="61"/>
      <c r="B971" s="202"/>
      <c r="C971" s="61"/>
      <c r="D971" s="202"/>
      <c r="E971" s="61"/>
      <c r="F971" s="202"/>
      <c r="G971" s="61"/>
      <c r="H971" s="202"/>
      <c r="I971" s="18"/>
      <c r="J971" s="202"/>
      <c r="K971" s="55"/>
      <c r="L971" s="55"/>
      <c r="M971" s="55"/>
      <c r="N971" s="55"/>
      <c r="O971" s="55"/>
      <c r="P971" s="55"/>
      <c r="Q971" s="55"/>
      <c r="R971" s="55"/>
      <c r="S971" s="55"/>
      <c r="T971" s="55"/>
      <c r="U971" s="55"/>
      <c r="V971" s="55"/>
      <c r="W971" s="55"/>
    </row>
    <row r="972">
      <c r="A972" s="61"/>
      <c r="B972" s="202"/>
      <c r="C972" s="61"/>
      <c r="D972" s="202"/>
      <c r="E972" s="61"/>
      <c r="F972" s="202"/>
      <c r="G972" s="61"/>
      <c r="H972" s="202"/>
      <c r="I972" s="18"/>
      <c r="J972" s="202"/>
      <c r="K972" s="55"/>
      <c r="L972" s="55"/>
      <c r="M972" s="55"/>
      <c r="N972" s="55"/>
      <c r="O972" s="55"/>
      <c r="P972" s="55"/>
      <c r="Q972" s="55"/>
      <c r="R972" s="55"/>
      <c r="S972" s="55"/>
      <c r="T972" s="55"/>
      <c r="U972" s="55"/>
      <c r="V972" s="55"/>
      <c r="W972" s="55"/>
    </row>
    <row r="973">
      <c r="A973" s="61"/>
      <c r="B973" s="202"/>
      <c r="C973" s="61"/>
      <c r="D973" s="202"/>
      <c r="E973" s="61"/>
      <c r="F973" s="202"/>
      <c r="G973" s="61"/>
      <c r="H973" s="202"/>
      <c r="I973" s="18"/>
      <c r="J973" s="202"/>
      <c r="K973" s="55"/>
      <c r="L973" s="55"/>
      <c r="M973" s="55"/>
      <c r="N973" s="55"/>
      <c r="O973" s="55"/>
      <c r="P973" s="55"/>
      <c r="Q973" s="55"/>
      <c r="R973" s="55"/>
      <c r="S973" s="55"/>
      <c r="T973" s="55"/>
      <c r="U973" s="55"/>
      <c r="V973" s="55"/>
      <c r="W973" s="55"/>
    </row>
    <row r="974">
      <c r="A974" s="61"/>
      <c r="B974" s="202"/>
      <c r="C974" s="61"/>
      <c r="D974" s="202"/>
      <c r="E974" s="61"/>
      <c r="F974" s="202"/>
      <c r="G974" s="61"/>
      <c r="H974" s="202"/>
      <c r="I974" s="18"/>
      <c r="J974" s="202"/>
      <c r="K974" s="55"/>
      <c r="L974" s="55"/>
      <c r="M974" s="55"/>
      <c r="N974" s="55"/>
      <c r="O974" s="55"/>
      <c r="P974" s="55"/>
      <c r="Q974" s="55"/>
      <c r="R974" s="55"/>
      <c r="S974" s="55"/>
      <c r="T974" s="55"/>
      <c r="U974" s="55"/>
      <c r="V974" s="55"/>
      <c r="W974" s="55"/>
    </row>
    <row r="975">
      <c r="A975" s="61"/>
      <c r="B975" s="202"/>
      <c r="C975" s="61"/>
      <c r="D975" s="202"/>
      <c r="E975" s="61"/>
      <c r="F975" s="202"/>
      <c r="G975" s="61"/>
      <c r="H975" s="202"/>
      <c r="I975" s="18"/>
      <c r="J975" s="202"/>
      <c r="K975" s="55"/>
      <c r="L975" s="55"/>
      <c r="M975" s="55"/>
      <c r="N975" s="55"/>
      <c r="O975" s="55"/>
      <c r="P975" s="55"/>
      <c r="Q975" s="55"/>
      <c r="R975" s="55"/>
      <c r="S975" s="55"/>
      <c r="T975" s="55"/>
      <c r="U975" s="55"/>
      <c r="V975" s="55"/>
      <c r="W975" s="55"/>
    </row>
    <row r="976">
      <c r="A976" s="61"/>
      <c r="B976" s="202"/>
      <c r="C976" s="61"/>
      <c r="D976" s="202"/>
      <c r="E976" s="61"/>
      <c r="F976" s="202"/>
      <c r="G976" s="61"/>
      <c r="H976" s="202"/>
      <c r="I976" s="18"/>
      <c r="J976" s="202"/>
      <c r="K976" s="55"/>
      <c r="L976" s="55"/>
      <c r="M976" s="55"/>
      <c r="N976" s="55"/>
      <c r="O976" s="55"/>
      <c r="P976" s="55"/>
      <c r="Q976" s="55"/>
      <c r="R976" s="55"/>
      <c r="S976" s="55"/>
      <c r="T976" s="55"/>
      <c r="U976" s="55"/>
      <c r="V976" s="55"/>
      <c r="W976" s="55"/>
    </row>
    <row r="977">
      <c r="A977" s="61"/>
      <c r="B977" s="202"/>
      <c r="C977" s="61"/>
      <c r="D977" s="202"/>
      <c r="E977" s="61"/>
      <c r="F977" s="202"/>
      <c r="G977" s="61"/>
      <c r="H977" s="202"/>
      <c r="I977" s="18"/>
      <c r="J977" s="202"/>
      <c r="K977" s="55"/>
      <c r="L977" s="55"/>
      <c r="M977" s="55"/>
      <c r="N977" s="55"/>
      <c r="O977" s="55"/>
      <c r="P977" s="55"/>
      <c r="Q977" s="55"/>
      <c r="R977" s="55"/>
      <c r="S977" s="55"/>
      <c r="T977" s="55"/>
      <c r="U977" s="55"/>
      <c r="V977" s="55"/>
      <c r="W977" s="55"/>
    </row>
    <row r="978">
      <c r="A978" s="61"/>
      <c r="B978" s="202"/>
      <c r="C978" s="61"/>
      <c r="D978" s="202"/>
      <c r="E978" s="61"/>
      <c r="F978" s="202"/>
      <c r="G978" s="61"/>
      <c r="H978" s="202"/>
      <c r="I978" s="18"/>
      <c r="J978" s="202"/>
      <c r="K978" s="55"/>
      <c r="L978" s="55"/>
      <c r="M978" s="55"/>
      <c r="N978" s="55"/>
      <c r="O978" s="55"/>
      <c r="P978" s="55"/>
      <c r="Q978" s="55"/>
      <c r="R978" s="55"/>
      <c r="S978" s="55"/>
      <c r="T978" s="55"/>
      <c r="U978" s="55"/>
      <c r="V978" s="55"/>
      <c r="W978" s="55"/>
    </row>
    <row r="979">
      <c r="A979" s="61"/>
      <c r="B979" s="202"/>
      <c r="C979" s="61"/>
      <c r="D979" s="202"/>
      <c r="E979" s="61"/>
      <c r="F979" s="202"/>
      <c r="G979" s="61"/>
      <c r="H979" s="202"/>
      <c r="I979" s="18"/>
      <c r="J979" s="202"/>
      <c r="K979" s="55"/>
      <c r="L979" s="55"/>
      <c r="M979" s="55"/>
      <c r="N979" s="55"/>
      <c r="O979" s="55"/>
      <c r="P979" s="55"/>
      <c r="Q979" s="55"/>
      <c r="R979" s="55"/>
      <c r="S979" s="55"/>
      <c r="T979" s="55"/>
      <c r="U979" s="55"/>
      <c r="V979" s="55"/>
      <c r="W979" s="55"/>
    </row>
    <row r="980">
      <c r="A980" s="61"/>
      <c r="B980" s="202"/>
      <c r="C980" s="61"/>
      <c r="D980" s="202"/>
      <c r="E980" s="61"/>
      <c r="F980" s="202"/>
      <c r="G980" s="61"/>
      <c r="H980" s="202"/>
      <c r="I980" s="18"/>
      <c r="J980" s="202"/>
      <c r="K980" s="55"/>
      <c r="L980" s="55"/>
      <c r="M980" s="55"/>
      <c r="N980" s="55"/>
      <c r="O980" s="55"/>
      <c r="P980" s="55"/>
      <c r="Q980" s="55"/>
      <c r="R980" s="55"/>
      <c r="S980" s="55"/>
      <c r="T980" s="55"/>
      <c r="U980" s="55"/>
      <c r="V980" s="55"/>
      <c r="W980" s="55"/>
    </row>
    <row r="981">
      <c r="A981" s="61"/>
      <c r="B981" s="202"/>
      <c r="C981" s="61"/>
      <c r="D981" s="202"/>
      <c r="E981" s="61"/>
      <c r="F981" s="202"/>
      <c r="G981" s="61"/>
      <c r="H981" s="202"/>
      <c r="I981" s="18"/>
      <c r="J981" s="202"/>
      <c r="K981" s="55"/>
      <c r="L981" s="55"/>
      <c r="M981" s="55"/>
      <c r="N981" s="55"/>
      <c r="O981" s="55"/>
      <c r="P981" s="55"/>
      <c r="Q981" s="55"/>
      <c r="R981" s="55"/>
      <c r="S981" s="55"/>
      <c r="T981" s="55"/>
      <c r="U981" s="55"/>
      <c r="V981" s="55"/>
      <c r="W981" s="55"/>
    </row>
    <row r="982">
      <c r="A982" s="61"/>
      <c r="B982" s="202"/>
      <c r="C982" s="61"/>
      <c r="D982" s="202"/>
      <c r="E982" s="61"/>
      <c r="F982" s="202"/>
      <c r="G982" s="61"/>
      <c r="H982" s="202"/>
      <c r="I982" s="18"/>
      <c r="J982" s="202"/>
      <c r="K982" s="55"/>
      <c r="L982" s="55"/>
      <c r="M982" s="55"/>
      <c r="N982" s="55"/>
      <c r="O982" s="55"/>
      <c r="P982" s="55"/>
      <c r="Q982" s="55"/>
      <c r="R982" s="55"/>
      <c r="S982" s="55"/>
      <c r="T982" s="55"/>
      <c r="U982" s="55"/>
      <c r="V982" s="55"/>
      <c r="W982" s="55"/>
    </row>
    <row r="983">
      <c r="A983" s="61"/>
      <c r="B983" s="202"/>
      <c r="C983" s="61"/>
      <c r="D983" s="202"/>
      <c r="E983" s="61"/>
      <c r="F983" s="202"/>
      <c r="G983" s="61"/>
      <c r="H983" s="202"/>
      <c r="I983" s="18"/>
      <c r="J983" s="202"/>
      <c r="K983" s="55"/>
      <c r="L983" s="55"/>
      <c r="M983" s="55"/>
      <c r="N983" s="55"/>
      <c r="O983" s="55"/>
      <c r="P983" s="55"/>
      <c r="Q983" s="55"/>
      <c r="R983" s="55"/>
      <c r="S983" s="55"/>
      <c r="T983" s="55"/>
      <c r="U983" s="55"/>
      <c r="V983" s="55"/>
      <c r="W983" s="55"/>
    </row>
    <row r="984">
      <c r="A984" s="61"/>
      <c r="B984" s="202"/>
      <c r="C984" s="61"/>
      <c r="D984" s="202"/>
      <c r="E984" s="61"/>
      <c r="F984" s="202"/>
      <c r="G984" s="61"/>
      <c r="H984" s="202"/>
      <c r="I984" s="18"/>
      <c r="J984" s="202"/>
      <c r="K984" s="55"/>
      <c r="L984" s="55"/>
      <c r="M984" s="55"/>
      <c r="N984" s="55"/>
      <c r="O984" s="55"/>
      <c r="P984" s="55"/>
      <c r="Q984" s="55"/>
      <c r="R984" s="55"/>
      <c r="S984" s="55"/>
      <c r="T984" s="55"/>
      <c r="U984" s="55"/>
      <c r="V984" s="55"/>
      <c r="W984" s="55"/>
    </row>
    <row r="985">
      <c r="A985" s="61"/>
      <c r="B985" s="202"/>
      <c r="C985" s="61"/>
      <c r="D985" s="202"/>
      <c r="E985" s="61"/>
      <c r="F985" s="202"/>
      <c r="G985" s="61"/>
      <c r="H985" s="202"/>
      <c r="I985" s="18"/>
      <c r="J985" s="202"/>
      <c r="K985" s="55"/>
      <c r="L985" s="55"/>
      <c r="M985" s="55"/>
      <c r="N985" s="55"/>
      <c r="O985" s="55"/>
      <c r="P985" s="55"/>
      <c r="Q985" s="55"/>
      <c r="R985" s="55"/>
      <c r="S985" s="55"/>
      <c r="T985" s="55"/>
      <c r="U985" s="55"/>
      <c r="V985" s="55"/>
      <c r="W985" s="55"/>
    </row>
    <row r="986">
      <c r="A986" s="61"/>
      <c r="B986" s="202"/>
      <c r="C986" s="61"/>
      <c r="D986" s="202"/>
      <c r="E986" s="61"/>
      <c r="F986" s="202"/>
      <c r="G986" s="61"/>
      <c r="H986" s="202"/>
      <c r="I986" s="18"/>
      <c r="J986" s="202"/>
      <c r="K986" s="55"/>
      <c r="L986" s="55"/>
      <c r="M986" s="55"/>
      <c r="N986" s="55"/>
      <c r="O986" s="55"/>
      <c r="P986" s="55"/>
      <c r="Q986" s="55"/>
      <c r="R986" s="55"/>
      <c r="S986" s="55"/>
      <c r="T986" s="55"/>
      <c r="U986" s="55"/>
      <c r="V986" s="55"/>
      <c r="W986" s="55"/>
    </row>
    <row r="987">
      <c r="A987" s="61"/>
      <c r="B987" s="202"/>
      <c r="C987" s="61"/>
      <c r="D987" s="202"/>
      <c r="E987" s="61"/>
      <c r="F987" s="202"/>
      <c r="G987" s="61"/>
      <c r="H987" s="202"/>
      <c r="I987" s="18"/>
      <c r="J987" s="202"/>
      <c r="K987" s="55"/>
      <c r="L987" s="55"/>
      <c r="M987" s="55"/>
      <c r="N987" s="55"/>
      <c r="O987" s="55"/>
      <c r="P987" s="55"/>
      <c r="Q987" s="55"/>
      <c r="R987" s="55"/>
      <c r="S987" s="55"/>
      <c r="T987" s="55"/>
      <c r="U987" s="55"/>
      <c r="V987" s="55"/>
      <c r="W987" s="55"/>
    </row>
    <row r="988">
      <c r="A988" s="61"/>
      <c r="B988" s="202"/>
      <c r="C988" s="61"/>
      <c r="D988" s="202"/>
      <c r="E988" s="61"/>
      <c r="F988" s="202"/>
      <c r="G988" s="61"/>
      <c r="H988" s="202"/>
      <c r="I988" s="18"/>
      <c r="J988" s="202"/>
      <c r="K988" s="55"/>
      <c r="L988" s="55"/>
      <c r="M988" s="55"/>
      <c r="N988" s="55"/>
      <c r="O988" s="55"/>
      <c r="P988" s="55"/>
      <c r="Q988" s="55"/>
      <c r="R988" s="55"/>
      <c r="S988" s="55"/>
      <c r="T988" s="55"/>
      <c r="U988" s="55"/>
      <c r="V988" s="55"/>
      <c r="W988" s="55"/>
    </row>
    <row r="989">
      <c r="A989" s="61"/>
      <c r="B989" s="202"/>
      <c r="C989" s="61"/>
      <c r="D989" s="202"/>
      <c r="E989" s="61"/>
      <c r="F989" s="202"/>
      <c r="G989" s="61"/>
      <c r="H989" s="202"/>
      <c r="I989" s="18"/>
      <c r="J989" s="202"/>
      <c r="K989" s="55"/>
      <c r="L989" s="55"/>
      <c r="M989" s="55"/>
      <c r="N989" s="55"/>
      <c r="O989" s="55"/>
      <c r="P989" s="55"/>
      <c r="Q989" s="55"/>
      <c r="R989" s="55"/>
      <c r="S989" s="55"/>
      <c r="T989" s="55"/>
      <c r="U989" s="55"/>
      <c r="V989" s="55"/>
      <c r="W989" s="55"/>
    </row>
    <row r="990">
      <c r="A990" s="61"/>
      <c r="B990" s="202"/>
      <c r="C990" s="61"/>
      <c r="D990" s="202"/>
      <c r="E990" s="61"/>
      <c r="F990" s="202"/>
      <c r="G990" s="61"/>
      <c r="H990" s="202"/>
      <c r="I990" s="18"/>
      <c r="J990" s="202"/>
      <c r="K990" s="55"/>
      <c r="L990" s="55"/>
      <c r="M990" s="55"/>
      <c r="N990" s="55"/>
      <c r="O990" s="55"/>
      <c r="P990" s="55"/>
      <c r="Q990" s="55"/>
      <c r="R990" s="55"/>
      <c r="S990" s="55"/>
      <c r="T990" s="55"/>
      <c r="U990" s="55"/>
      <c r="V990" s="55"/>
      <c r="W990" s="55"/>
    </row>
    <row r="991">
      <c r="A991" s="61"/>
      <c r="B991" s="202"/>
      <c r="C991" s="61"/>
      <c r="D991" s="202"/>
      <c r="E991" s="61"/>
      <c r="F991" s="202"/>
      <c r="G991" s="61"/>
      <c r="H991" s="202"/>
      <c r="I991" s="18"/>
      <c r="J991" s="202"/>
      <c r="K991" s="55"/>
      <c r="L991" s="55"/>
      <c r="M991" s="55"/>
      <c r="N991" s="55"/>
      <c r="O991" s="55"/>
      <c r="P991" s="55"/>
      <c r="Q991" s="55"/>
      <c r="R991" s="55"/>
      <c r="S991" s="55"/>
      <c r="T991" s="55"/>
      <c r="U991" s="55"/>
      <c r="V991" s="55"/>
      <c r="W991" s="55"/>
    </row>
    <row r="992">
      <c r="A992" s="61"/>
      <c r="B992" s="202"/>
      <c r="C992" s="61"/>
      <c r="D992" s="202"/>
      <c r="E992" s="61"/>
      <c r="F992" s="202"/>
      <c r="G992" s="61"/>
      <c r="H992" s="202"/>
      <c r="I992" s="18"/>
      <c r="J992" s="202"/>
      <c r="K992" s="55"/>
      <c r="L992" s="55"/>
      <c r="M992" s="55"/>
      <c r="N992" s="55"/>
      <c r="O992" s="55"/>
      <c r="P992" s="55"/>
      <c r="Q992" s="55"/>
      <c r="R992" s="55"/>
      <c r="S992" s="55"/>
      <c r="T992" s="55"/>
      <c r="U992" s="55"/>
      <c r="V992" s="55"/>
      <c r="W992" s="55"/>
    </row>
    <row r="993">
      <c r="A993" s="61"/>
      <c r="B993" s="202"/>
      <c r="C993" s="61"/>
      <c r="D993" s="202"/>
      <c r="E993" s="61"/>
      <c r="F993" s="202"/>
      <c r="G993" s="61"/>
      <c r="H993" s="202"/>
      <c r="I993" s="18"/>
      <c r="J993" s="202"/>
      <c r="K993" s="55"/>
      <c r="L993" s="55"/>
      <c r="M993" s="55"/>
      <c r="N993" s="55"/>
      <c r="O993" s="55"/>
      <c r="P993" s="55"/>
      <c r="Q993" s="55"/>
      <c r="R993" s="55"/>
      <c r="S993" s="55"/>
      <c r="T993" s="55"/>
      <c r="U993" s="55"/>
      <c r="V993" s="55"/>
      <c r="W993" s="55"/>
    </row>
    <row r="994">
      <c r="A994" s="61"/>
      <c r="B994" s="202"/>
      <c r="C994" s="61"/>
      <c r="D994" s="202"/>
      <c r="E994" s="61"/>
      <c r="F994" s="202"/>
      <c r="G994" s="61"/>
      <c r="H994" s="202"/>
      <c r="I994" s="18"/>
      <c r="J994" s="202"/>
      <c r="K994" s="55"/>
      <c r="L994" s="55"/>
      <c r="M994" s="55"/>
      <c r="N994" s="55"/>
      <c r="O994" s="55"/>
      <c r="P994" s="55"/>
      <c r="Q994" s="55"/>
      <c r="R994" s="55"/>
      <c r="S994" s="55"/>
      <c r="T994" s="55"/>
      <c r="U994" s="55"/>
      <c r="V994" s="55"/>
      <c r="W994" s="55"/>
    </row>
    <row r="995">
      <c r="A995" s="61"/>
      <c r="B995" s="202"/>
      <c r="C995" s="61"/>
      <c r="D995" s="202"/>
      <c r="E995" s="61"/>
      <c r="F995" s="202"/>
      <c r="G995" s="61"/>
      <c r="H995" s="202"/>
      <c r="I995" s="18"/>
      <c r="J995" s="202"/>
      <c r="K995" s="55"/>
      <c r="L995" s="55"/>
      <c r="M995" s="55"/>
      <c r="N995" s="55"/>
      <c r="O995" s="55"/>
      <c r="P995" s="55"/>
      <c r="Q995" s="55"/>
      <c r="R995" s="55"/>
      <c r="S995" s="55"/>
      <c r="T995" s="55"/>
      <c r="U995" s="55"/>
      <c r="V995" s="55"/>
      <c r="W995" s="55"/>
    </row>
    <row r="996">
      <c r="A996" s="61"/>
      <c r="B996" s="202"/>
      <c r="C996" s="61"/>
      <c r="D996" s="202"/>
      <c r="E996" s="61"/>
      <c r="F996" s="202"/>
      <c r="G996" s="61"/>
      <c r="H996" s="202"/>
      <c r="I996" s="18"/>
      <c r="J996" s="202"/>
      <c r="K996" s="55"/>
      <c r="L996" s="55"/>
      <c r="M996" s="55"/>
      <c r="N996" s="55"/>
      <c r="O996" s="55"/>
      <c r="P996" s="55"/>
      <c r="Q996" s="55"/>
      <c r="R996" s="55"/>
      <c r="S996" s="55"/>
      <c r="T996" s="55"/>
      <c r="U996" s="55"/>
      <c r="V996" s="55"/>
      <c r="W996" s="55"/>
    </row>
    <row r="997">
      <c r="A997" s="61"/>
      <c r="B997" s="202"/>
      <c r="C997" s="61"/>
      <c r="D997" s="202"/>
      <c r="E997" s="61"/>
      <c r="F997" s="202"/>
      <c r="G997" s="61"/>
      <c r="H997" s="202"/>
      <c r="I997" s="61"/>
      <c r="J997" s="202"/>
      <c r="K997" s="55"/>
      <c r="L997" s="55"/>
      <c r="M997" s="55"/>
      <c r="N997" s="55"/>
      <c r="O997" s="55"/>
      <c r="P997" s="55"/>
      <c r="Q997" s="55"/>
      <c r="R997" s="55"/>
      <c r="S997" s="55"/>
      <c r="T997" s="55"/>
      <c r="U997" s="55"/>
      <c r="V997" s="55"/>
      <c r="W997" s="55"/>
    </row>
    <row r="998">
      <c r="A998" s="61"/>
      <c r="B998" s="202"/>
      <c r="C998" s="61"/>
      <c r="D998" s="202"/>
      <c r="E998" s="61"/>
      <c r="F998" s="202"/>
      <c r="G998" s="61"/>
      <c r="H998" s="202"/>
      <c r="I998" s="61"/>
      <c r="J998" s="202"/>
      <c r="K998" s="55"/>
      <c r="L998" s="55"/>
      <c r="M998" s="55"/>
      <c r="N998" s="55"/>
      <c r="O998" s="55"/>
      <c r="P998" s="55"/>
      <c r="Q998" s="55"/>
      <c r="R998" s="55"/>
      <c r="S998" s="55"/>
      <c r="T998" s="55"/>
      <c r="U998" s="55"/>
      <c r="V998" s="55"/>
      <c r="W998" s="55"/>
    </row>
    <row r="999">
      <c r="A999" s="61"/>
      <c r="B999" s="202"/>
      <c r="C999" s="61"/>
      <c r="D999" s="202"/>
      <c r="E999" s="61"/>
      <c r="F999" s="202"/>
      <c r="G999" s="61"/>
      <c r="H999" s="202"/>
      <c r="I999" s="61"/>
      <c r="J999" s="202"/>
      <c r="K999" s="55"/>
      <c r="L999" s="55"/>
      <c r="M999" s="55"/>
      <c r="N999" s="55"/>
      <c r="O999" s="55"/>
      <c r="P999" s="55"/>
      <c r="Q999" s="55"/>
      <c r="R999" s="55"/>
      <c r="S999" s="55"/>
      <c r="T999" s="55"/>
      <c r="U999" s="55"/>
      <c r="V999" s="55"/>
      <c r="W999" s="55"/>
    </row>
    <row r="1000">
      <c r="A1000" s="61"/>
      <c r="B1000" s="202"/>
      <c r="C1000" s="61"/>
      <c r="D1000" s="202"/>
      <c r="E1000" s="61"/>
      <c r="F1000" s="202"/>
      <c r="G1000" s="61"/>
      <c r="H1000" s="202"/>
      <c r="I1000" s="61"/>
      <c r="J1000" s="202"/>
      <c r="K1000" s="55"/>
      <c r="L1000" s="55"/>
      <c r="M1000" s="55"/>
      <c r="N1000" s="55"/>
      <c r="O1000" s="55"/>
      <c r="P1000" s="55"/>
      <c r="Q1000" s="55"/>
      <c r="R1000" s="55"/>
      <c r="S1000" s="55"/>
      <c r="T1000" s="55"/>
      <c r="U1000" s="55"/>
      <c r="V1000" s="55"/>
      <c r="W1000" s="55"/>
    </row>
    <row r="1001">
      <c r="A1001" s="61"/>
      <c r="B1001" s="202"/>
      <c r="C1001" s="61"/>
      <c r="D1001" s="202"/>
      <c r="E1001" s="61"/>
      <c r="F1001" s="202"/>
      <c r="G1001" s="61"/>
      <c r="H1001" s="202"/>
      <c r="I1001" s="61"/>
      <c r="J1001" s="202"/>
      <c r="K1001" s="55"/>
      <c r="L1001" s="55"/>
      <c r="M1001" s="55"/>
      <c r="N1001" s="55"/>
      <c r="O1001" s="55"/>
      <c r="P1001" s="55"/>
      <c r="Q1001" s="55"/>
      <c r="R1001" s="55"/>
      <c r="S1001" s="55"/>
      <c r="T1001" s="55"/>
      <c r="U1001" s="55"/>
      <c r="V1001" s="55"/>
      <c r="W1001" s="55"/>
    </row>
    <row r="1002">
      <c r="A1002" s="61"/>
      <c r="B1002" s="202"/>
      <c r="C1002" s="61"/>
      <c r="D1002" s="202"/>
      <c r="E1002" s="61"/>
      <c r="F1002" s="202"/>
      <c r="G1002" s="61"/>
      <c r="H1002" s="202"/>
      <c r="I1002" s="61"/>
      <c r="J1002" s="202"/>
      <c r="K1002" s="55"/>
      <c r="L1002" s="55"/>
      <c r="M1002" s="55"/>
      <c r="N1002" s="55"/>
      <c r="O1002" s="55"/>
      <c r="P1002" s="55"/>
      <c r="Q1002" s="55"/>
      <c r="R1002" s="55"/>
      <c r="S1002" s="55"/>
      <c r="T1002" s="55"/>
      <c r="U1002" s="55"/>
      <c r="V1002" s="55"/>
      <c r="W1002" s="55"/>
    </row>
    <row r="1003">
      <c r="A1003" s="61"/>
      <c r="B1003" s="202"/>
      <c r="C1003" s="61"/>
      <c r="D1003" s="202"/>
      <c r="E1003" s="61"/>
      <c r="F1003" s="202"/>
      <c r="G1003" s="61"/>
      <c r="H1003" s="202"/>
      <c r="I1003" s="61"/>
      <c r="J1003" s="202"/>
      <c r="K1003" s="55"/>
      <c r="L1003" s="55"/>
      <c r="M1003" s="55"/>
      <c r="N1003" s="55"/>
      <c r="O1003" s="55"/>
      <c r="P1003" s="55"/>
      <c r="Q1003" s="55"/>
      <c r="R1003" s="55"/>
      <c r="S1003" s="55"/>
      <c r="T1003" s="55"/>
      <c r="U1003" s="55"/>
      <c r="V1003" s="55"/>
      <c r="W1003" s="55"/>
    </row>
    <row r="1004">
      <c r="A1004" s="61"/>
      <c r="B1004" s="202"/>
      <c r="C1004" s="61"/>
      <c r="D1004" s="202"/>
      <c r="E1004" s="61"/>
      <c r="F1004" s="202"/>
      <c r="G1004" s="61"/>
      <c r="H1004" s="202"/>
      <c r="I1004" s="61"/>
      <c r="J1004" s="202"/>
      <c r="K1004" s="55"/>
      <c r="L1004" s="55"/>
      <c r="M1004" s="55"/>
      <c r="N1004" s="55"/>
      <c r="O1004" s="55"/>
      <c r="P1004" s="55"/>
      <c r="Q1004" s="55"/>
      <c r="R1004" s="55"/>
      <c r="S1004" s="55"/>
      <c r="T1004" s="55"/>
      <c r="U1004" s="55"/>
      <c r="V1004" s="55"/>
      <c r="W1004" s="55"/>
    </row>
    <row r="1005">
      <c r="A1005" s="61"/>
      <c r="B1005" s="202"/>
      <c r="C1005" s="61"/>
      <c r="D1005" s="202"/>
      <c r="E1005" s="61"/>
      <c r="F1005" s="202"/>
      <c r="G1005" s="61"/>
      <c r="H1005" s="202"/>
      <c r="I1005" s="61"/>
      <c r="J1005" s="202"/>
      <c r="K1005" s="55"/>
      <c r="L1005" s="55"/>
      <c r="M1005" s="55"/>
      <c r="N1005" s="55"/>
      <c r="O1005" s="55"/>
      <c r="P1005" s="55"/>
      <c r="Q1005" s="55"/>
      <c r="R1005" s="55"/>
      <c r="S1005" s="55"/>
      <c r="T1005" s="55"/>
      <c r="U1005" s="55"/>
      <c r="V1005" s="55"/>
      <c r="W1005" s="55"/>
    </row>
    <row r="1006">
      <c r="A1006" s="61"/>
      <c r="B1006" s="202"/>
      <c r="C1006" s="61"/>
      <c r="D1006" s="202"/>
      <c r="E1006" s="61"/>
      <c r="F1006" s="202"/>
      <c r="G1006" s="61"/>
      <c r="H1006" s="202"/>
      <c r="I1006" s="61"/>
      <c r="J1006" s="202"/>
      <c r="K1006" s="55"/>
      <c r="L1006" s="55"/>
      <c r="M1006" s="55"/>
      <c r="N1006" s="55"/>
      <c r="O1006" s="55"/>
      <c r="P1006" s="55"/>
      <c r="Q1006" s="55"/>
      <c r="R1006" s="55"/>
      <c r="S1006" s="55"/>
      <c r="T1006" s="55"/>
      <c r="U1006" s="55"/>
      <c r="V1006" s="55"/>
      <c r="W1006" s="55"/>
    </row>
    <row r="1007">
      <c r="A1007" s="61"/>
      <c r="B1007" s="202"/>
      <c r="C1007" s="61"/>
      <c r="D1007" s="202"/>
      <c r="E1007" s="61"/>
      <c r="F1007" s="202"/>
      <c r="G1007" s="61"/>
      <c r="H1007" s="202"/>
      <c r="I1007" s="61"/>
      <c r="J1007" s="202"/>
      <c r="K1007" s="55"/>
      <c r="L1007" s="55"/>
      <c r="M1007" s="55"/>
      <c r="N1007" s="55"/>
      <c r="O1007" s="55"/>
      <c r="P1007" s="55"/>
      <c r="Q1007" s="55"/>
      <c r="R1007" s="55"/>
      <c r="S1007" s="55"/>
      <c r="T1007" s="55"/>
      <c r="U1007" s="55"/>
      <c r="V1007" s="55"/>
      <c r="W1007" s="55"/>
    </row>
    <row r="1008">
      <c r="A1008" s="61"/>
      <c r="B1008" s="202"/>
      <c r="C1008" s="61"/>
      <c r="D1008" s="202"/>
      <c r="E1008" s="61"/>
      <c r="F1008" s="202"/>
      <c r="G1008" s="61"/>
      <c r="H1008" s="202"/>
      <c r="I1008" s="61"/>
      <c r="J1008" s="202"/>
      <c r="K1008" s="55"/>
      <c r="L1008" s="55"/>
      <c r="M1008" s="55"/>
      <c r="N1008" s="55"/>
      <c r="O1008" s="55"/>
      <c r="P1008" s="55"/>
      <c r="Q1008" s="55"/>
      <c r="R1008" s="55"/>
      <c r="S1008" s="55"/>
      <c r="T1008" s="55"/>
      <c r="U1008" s="55"/>
      <c r="V1008" s="55"/>
      <c r="W1008" s="55"/>
    </row>
    <row r="1009">
      <c r="A1009" s="61"/>
      <c r="B1009" s="202"/>
      <c r="C1009" s="61"/>
      <c r="D1009" s="202"/>
      <c r="E1009" s="61"/>
      <c r="F1009" s="202"/>
      <c r="G1009" s="61"/>
      <c r="H1009" s="202"/>
      <c r="I1009" s="61"/>
      <c r="J1009" s="202"/>
      <c r="K1009" s="55"/>
      <c r="L1009" s="55"/>
      <c r="M1009" s="55"/>
      <c r="N1009" s="55"/>
      <c r="O1009" s="55"/>
      <c r="P1009" s="55"/>
      <c r="Q1009" s="55"/>
      <c r="R1009" s="55"/>
      <c r="S1009" s="55"/>
      <c r="T1009" s="55"/>
      <c r="U1009" s="55"/>
      <c r="V1009" s="55"/>
      <c r="W1009" s="55"/>
    </row>
    <row r="1010">
      <c r="A1010" s="61"/>
      <c r="B1010" s="202"/>
      <c r="C1010" s="61"/>
      <c r="D1010" s="202"/>
      <c r="E1010" s="61"/>
      <c r="F1010" s="202"/>
      <c r="G1010" s="61"/>
      <c r="H1010" s="202"/>
      <c r="I1010" s="61"/>
      <c r="J1010" s="202"/>
      <c r="K1010" s="55"/>
      <c r="L1010" s="55"/>
      <c r="M1010" s="55"/>
      <c r="N1010" s="55"/>
      <c r="O1010" s="55"/>
      <c r="P1010" s="55"/>
      <c r="Q1010" s="55"/>
      <c r="R1010" s="55"/>
      <c r="S1010" s="55"/>
      <c r="T1010" s="55"/>
      <c r="U1010" s="55"/>
      <c r="V1010" s="55"/>
      <c r="W1010" s="55"/>
    </row>
    <row r="1011">
      <c r="A1011" s="61"/>
      <c r="B1011" s="202"/>
      <c r="C1011" s="61"/>
      <c r="D1011" s="202"/>
      <c r="E1011" s="61"/>
      <c r="F1011" s="202"/>
      <c r="G1011" s="61"/>
      <c r="H1011" s="202"/>
      <c r="I1011" s="61"/>
      <c r="J1011" s="202"/>
      <c r="K1011" s="55"/>
      <c r="L1011" s="55"/>
      <c r="M1011" s="55"/>
      <c r="N1011" s="55"/>
      <c r="O1011" s="55"/>
      <c r="P1011" s="55"/>
      <c r="Q1011" s="55"/>
      <c r="R1011" s="55"/>
      <c r="S1011" s="55"/>
      <c r="T1011" s="55"/>
      <c r="U1011" s="55"/>
      <c r="V1011" s="55"/>
      <c r="W1011" s="55"/>
    </row>
    <row r="1012">
      <c r="A1012" s="61"/>
      <c r="B1012" s="202"/>
      <c r="C1012" s="61"/>
      <c r="D1012" s="202"/>
      <c r="E1012" s="61"/>
      <c r="F1012" s="202"/>
      <c r="G1012" s="61"/>
      <c r="H1012" s="202"/>
      <c r="I1012" s="61"/>
      <c r="J1012" s="202"/>
      <c r="K1012" s="55"/>
      <c r="L1012" s="55"/>
      <c r="M1012" s="55"/>
      <c r="N1012" s="55"/>
      <c r="O1012" s="55"/>
      <c r="P1012" s="55"/>
      <c r="Q1012" s="55"/>
      <c r="R1012" s="55"/>
      <c r="S1012" s="55"/>
      <c r="T1012" s="55"/>
      <c r="U1012" s="55"/>
      <c r="V1012" s="55"/>
      <c r="W1012" s="55"/>
    </row>
    <row r="1013">
      <c r="A1013" s="61"/>
      <c r="B1013" s="202"/>
      <c r="C1013" s="61"/>
      <c r="D1013" s="202"/>
      <c r="E1013" s="61"/>
      <c r="F1013" s="202"/>
      <c r="G1013" s="61"/>
      <c r="H1013" s="202"/>
      <c r="I1013" s="61"/>
      <c r="J1013" s="202"/>
      <c r="K1013" s="55"/>
      <c r="L1013" s="55"/>
      <c r="M1013" s="55"/>
      <c r="N1013" s="55"/>
      <c r="O1013" s="55"/>
      <c r="P1013" s="55"/>
      <c r="Q1013" s="55"/>
      <c r="R1013" s="55"/>
      <c r="S1013" s="55"/>
      <c r="T1013" s="55"/>
      <c r="U1013" s="55"/>
      <c r="V1013" s="55"/>
      <c r="W1013" s="55"/>
    </row>
    <row r="1014">
      <c r="A1014" s="61"/>
      <c r="B1014" s="202"/>
      <c r="C1014" s="61"/>
      <c r="D1014" s="202"/>
      <c r="E1014" s="61"/>
      <c r="F1014" s="202"/>
      <c r="G1014" s="61"/>
      <c r="H1014" s="202"/>
      <c r="I1014" s="61"/>
      <c r="J1014" s="202"/>
      <c r="K1014" s="55"/>
      <c r="L1014" s="55"/>
      <c r="M1014" s="55"/>
      <c r="N1014" s="55"/>
      <c r="O1014" s="55"/>
      <c r="P1014" s="55"/>
      <c r="Q1014" s="55"/>
      <c r="R1014" s="55"/>
      <c r="S1014" s="55"/>
      <c r="T1014" s="55"/>
      <c r="U1014" s="55"/>
      <c r="V1014" s="55"/>
      <c r="W1014" s="55"/>
    </row>
    <row r="1015">
      <c r="A1015" s="61"/>
      <c r="B1015" s="202"/>
      <c r="C1015" s="61"/>
      <c r="D1015" s="202"/>
      <c r="E1015" s="61"/>
      <c r="F1015" s="202"/>
      <c r="G1015" s="61"/>
      <c r="H1015" s="202"/>
      <c r="I1015" s="61"/>
      <c r="J1015" s="202"/>
      <c r="K1015" s="55"/>
      <c r="L1015" s="55"/>
      <c r="M1015" s="55"/>
      <c r="N1015" s="55"/>
      <c r="O1015" s="55"/>
      <c r="P1015" s="55"/>
      <c r="Q1015" s="55"/>
      <c r="R1015" s="55"/>
      <c r="S1015" s="55"/>
      <c r="T1015" s="55"/>
      <c r="U1015" s="55"/>
      <c r="V1015" s="55"/>
      <c r="W1015" s="55"/>
    </row>
    <row r="1016">
      <c r="A1016" s="61"/>
      <c r="B1016" s="202"/>
      <c r="C1016" s="61"/>
      <c r="D1016" s="202"/>
      <c r="E1016" s="61"/>
      <c r="F1016" s="202"/>
      <c r="G1016" s="61"/>
      <c r="H1016" s="202"/>
      <c r="I1016" s="61"/>
      <c r="J1016" s="202"/>
      <c r="K1016" s="55"/>
      <c r="L1016" s="55"/>
      <c r="M1016" s="55"/>
      <c r="N1016" s="55"/>
      <c r="O1016" s="55"/>
      <c r="P1016" s="55"/>
      <c r="Q1016" s="55"/>
      <c r="R1016" s="55"/>
      <c r="S1016" s="55"/>
      <c r="T1016" s="55"/>
      <c r="U1016" s="55"/>
      <c r="V1016" s="55"/>
      <c r="W1016" s="55"/>
    </row>
    <row r="1017">
      <c r="A1017" s="61"/>
      <c r="B1017" s="202"/>
      <c r="C1017" s="61"/>
      <c r="D1017" s="202"/>
      <c r="E1017" s="61"/>
      <c r="F1017" s="202"/>
      <c r="G1017" s="61"/>
      <c r="H1017" s="202"/>
      <c r="I1017" s="61"/>
      <c r="J1017" s="202"/>
      <c r="K1017" s="55"/>
      <c r="L1017" s="55"/>
      <c r="M1017" s="55"/>
      <c r="N1017" s="55"/>
      <c r="O1017" s="55"/>
      <c r="P1017" s="55"/>
      <c r="Q1017" s="55"/>
      <c r="R1017" s="55"/>
      <c r="S1017" s="55"/>
      <c r="T1017" s="55"/>
      <c r="U1017" s="55"/>
      <c r="V1017" s="55"/>
      <c r="W1017" s="55"/>
    </row>
    <row r="1018">
      <c r="A1018" s="61"/>
      <c r="B1018" s="202"/>
      <c r="C1018" s="61"/>
      <c r="D1018" s="202"/>
      <c r="E1018" s="61"/>
      <c r="F1018" s="202"/>
      <c r="G1018" s="61"/>
      <c r="H1018" s="202"/>
      <c r="I1018" s="61"/>
      <c r="J1018" s="202"/>
      <c r="K1018" s="55"/>
      <c r="L1018" s="55"/>
      <c r="M1018" s="55"/>
      <c r="N1018" s="55"/>
      <c r="O1018" s="55"/>
      <c r="P1018" s="55"/>
      <c r="Q1018" s="55"/>
      <c r="R1018" s="55"/>
      <c r="S1018" s="55"/>
      <c r="T1018" s="55"/>
      <c r="U1018" s="55"/>
      <c r="V1018" s="55"/>
      <c r="W1018" s="55"/>
    </row>
    <row r="1019">
      <c r="A1019" s="61"/>
      <c r="B1019" s="202"/>
      <c r="C1019" s="61"/>
      <c r="D1019" s="202"/>
      <c r="E1019" s="61"/>
      <c r="F1019" s="202"/>
      <c r="G1019" s="61"/>
      <c r="H1019" s="202"/>
      <c r="I1019" s="61"/>
      <c r="J1019" s="202"/>
      <c r="K1019" s="55"/>
      <c r="L1019" s="55"/>
      <c r="M1019" s="55"/>
      <c r="N1019" s="55"/>
      <c r="O1019" s="55"/>
      <c r="P1019" s="55"/>
      <c r="Q1019" s="55"/>
      <c r="R1019" s="55"/>
      <c r="S1019" s="55"/>
      <c r="T1019" s="55"/>
      <c r="U1019" s="55"/>
      <c r="V1019" s="55"/>
      <c r="W1019" s="55"/>
    </row>
    <row r="1020">
      <c r="A1020" s="61"/>
      <c r="B1020" s="202"/>
      <c r="C1020" s="61"/>
      <c r="D1020" s="202"/>
      <c r="E1020" s="61"/>
      <c r="F1020" s="202"/>
      <c r="G1020" s="61"/>
      <c r="H1020" s="202"/>
      <c r="I1020" s="61"/>
      <c r="J1020" s="202"/>
      <c r="K1020" s="55"/>
      <c r="L1020" s="55"/>
      <c r="M1020" s="55"/>
      <c r="N1020" s="55"/>
      <c r="O1020" s="55"/>
      <c r="P1020" s="55"/>
      <c r="Q1020" s="55"/>
      <c r="R1020" s="55"/>
      <c r="S1020" s="55"/>
      <c r="T1020" s="55"/>
      <c r="U1020" s="55"/>
      <c r="V1020" s="55"/>
      <c r="W1020" s="55"/>
    </row>
    <row r="1021">
      <c r="A1021" s="61"/>
      <c r="B1021" s="202"/>
      <c r="C1021" s="61"/>
      <c r="D1021" s="202"/>
      <c r="E1021" s="61"/>
      <c r="F1021" s="202"/>
      <c r="G1021" s="61"/>
      <c r="H1021" s="202"/>
      <c r="I1021" s="61"/>
      <c r="J1021" s="202"/>
      <c r="K1021" s="55"/>
      <c r="L1021" s="55"/>
      <c r="M1021" s="55"/>
      <c r="N1021" s="55"/>
      <c r="O1021" s="55"/>
      <c r="P1021" s="55"/>
      <c r="Q1021" s="55"/>
      <c r="R1021" s="55"/>
      <c r="S1021" s="55"/>
      <c r="T1021" s="55"/>
      <c r="U1021" s="55"/>
      <c r="V1021" s="55"/>
      <c r="W1021" s="55"/>
    </row>
    <row r="1022">
      <c r="A1022" s="61"/>
      <c r="B1022" s="202"/>
      <c r="C1022" s="61"/>
      <c r="D1022" s="202"/>
      <c r="E1022" s="61"/>
      <c r="F1022" s="202"/>
      <c r="G1022" s="61"/>
      <c r="H1022" s="202"/>
      <c r="I1022" s="61"/>
      <c r="J1022" s="202"/>
      <c r="K1022" s="55"/>
      <c r="L1022" s="55"/>
      <c r="M1022" s="55"/>
      <c r="N1022" s="55"/>
      <c r="O1022" s="55"/>
      <c r="P1022" s="55"/>
      <c r="Q1022" s="55"/>
      <c r="R1022" s="55"/>
      <c r="S1022" s="55"/>
      <c r="T1022" s="55"/>
      <c r="U1022" s="55"/>
      <c r="V1022" s="55"/>
      <c r="W1022" s="55"/>
    </row>
    <row r="1023">
      <c r="A1023" s="61"/>
      <c r="B1023" s="202"/>
      <c r="C1023" s="61"/>
      <c r="D1023" s="202"/>
      <c r="E1023" s="61"/>
      <c r="F1023" s="202"/>
      <c r="G1023" s="61"/>
      <c r="H1023" s="202"/>
      <c r="I1023" s="61"/>
      <c r="J1023" s="202"/>
      <c r="K1023" s="55"/>
      <c r="L1023" s="55"/>
      <c r="M1023" s="55"/>
      <c r="N1023" s="55"/>
      <c r="O1023" s="55"/>
      <c r="P1023" s="55"/>
      <c r="Q1023" s="55"/>
      <c r="R1023" s="55"/>
      <c r="S1023" s="55"/>
      <c r="T1023" s="55"/>
      <c r="U1023" s="55"/>
      <c r="V1023" s="55"/>
      <c r="W1023" s="55"/>
    </row>
    <row r="1024">
      <c r="A1024" s="61"/>
      <c r="B1024" s="202"/>
      <c r="C1024" s="61"/>
      <c r="D1024" s="202"/>
      <c r="E1024" s="61"/>
      <c r="F1024" s="202"/>
      <c r="G1024" s="61"/>
      <c r="H1024" s="202"/>
      <c r="I1024" s="61"/>
      <c r="J1024" s="202"/>
      <c r="K1024" s="55"/>
      <c r="L1024" s="55"/>
      <c r="M1024" s="55"/>
      <c r="N1024" s="55"/>
      <c r="O1024" s="55"/>
      <c r="P1024" s="55"/>
      <c r="Q1024" s="55"/>
      <c r="R1024" s="55"/>
      <c r="S1024" s="55"/>
      <c r="T1024" s="55"/>
      <c r="U1024" s="55"/>
      <c r="V1024" s="55"/>
      <c r="W1024" s="55"/>
    </row>
    <row r="1025">
      <c r="A1025" s="61"/>
      <c r="B1025" s="202"/>
      <c r="C1025" s="61"/>
      <c r="D1025" s="202"/>
      <c r="E1025" s="61"/>
      <c r="F1025" s="202"/>
      <c r="G1025" s="61"/>
      <c r="H1025" s="202"/>
      <c r="I1025" s="61"/>
      <c r="J1025" s="202"/>
      <c r="K1025" s="55"/>
      <c r="L1025" s="55"/>
      <c r="M1025" s="55"/>
      <c r="N1025" s="55"/>
      <c r="O1025" s="55"/>
      <c r="P1025" s="55"/>
      <c r="Q1025" s="55"/>
      <c r="R1025" s="55"/>
      <c r="S1025" s="55"/>
      <c r="T1025" s="55"/>
      <c r="U1025" s="55"/>
      <c r="V1025" s="55"/>
      <c r="W1025" s="55"/>
    </row>
    <row r="1026">
      <c r="A1026" s="61"/>
      <c r="B1026" s="202"/>
      <c r="C1026" s="61"/>
      <c r="D1026" s="202"/>
      <c r="E1026" s="61"/>
      <c r="F1026" s="202"/>
      <c r="G1026" s="61"/>
      <c r="H1026" s="202"/>
      <c r="I1026" s="61"/>
      <c r="J1026" s="202"/>
      <c r="K1026" s="55"/>
      <c r="L1026" s="55"/>
      <c r="M1026" s="55"/>
      <c r="N1026" s="55"/>
      <c r="O1026" s="55"/>
      <c r="P1026" s="55"/>
      <c r="Q1026" s="55"/>
      <c r="R1026" s="55"/>
      <c r="S1026" s="55"/>
      <c r="T1026" s="55"/>
      <c r="U1026" s="55"/>
      <c r="V1026" s="55"/>
      <c r="W1026" s="55"/>
    </row>
    <row r="1027">
      <c r="A1027" s="61"/>
      <c r="B1027" s="202"/>
      <c r="C1027" s="61"/>
      <c r="D1027" s="202"/>
      <c r="E1027" s="61"/>
      <c r="F1027" s="202"/>
      <c r="G1027" s="61"/>
      <c r="H1027" s="202"/>
      <c r="I1027" s="61"/>
      <c r="J1027" s="202"/>
      <c r="K1027" s="55"/>
      <c r="L1027" s="55"/>
      <c r="M1027" s="55"/>
      <c r="N1027" s="55"/>
      <c r="O1027" s="55"/>
      <c r="P1027" s="55"/>
      <c r="Q1027" s="55"/>
      <c r="R1027" s="55"/>
      <c r="S1027" s="55"/>
      <c r="T1027" s="55"/>
      <c r="U1027" s="55"/>
      <c r="V1027" s="55"/>
      <c r="W1027" s="55"/>
    </row>
    <row r="1028">
      <c r="A1028" s="61"/>
      <c r="B1028" s="202"/>
      <c r="C1028" s="61"/>
      <c r="D1028" s="202"/>
      <c r="E1028" s="61"/>
      <c r="F1028" s="202"/>
      <c r="G1028" s="61"/>
      <c r="H1028" s="202"/>
      <c r="I1028" s="61"/>
      <c r="J1028" s="202"/>
      <c r="K1028" s="55"/>
      <c r="L1028" s="55"/>
      <c r="M1028" s="55"/>
      <c r="N1028" s="55"/>
      <c r="O1028" s="55"/>
      <c r="P1028" s="55"/>
      <c r="Q1028" s="55"/>
      <c r="R1028" s="55"/>
      <c r="S1028" s="55"/>
      <c r="T1028" s="55"/>
      <c r="U1028" s="55"/>
      <c r="V1028" s="55"/>
      <c r="W1028" s="55"/>
    </row>
    <row r="1029">
      <c r="A1029" s="61"/>
      <c r="B1029" s="202"/>
      <c r="C1029" s="61"/>
      <c r="D1029" s="202"/>
      <c r="E1029" s="61"/>
      <c r="F1029" s="202"/>
      <c r="G1029" s="61"/>
      <c r="H1029" s="202"/>
      <c r="I1029" s="61"/>
      <c r="J1029" s="202"/>
      <c r="K1029" s="55"/>
      <c r="L1029" s="55"/>
      <c r="M1029" s="55"/>
      <c r="N1029" s="55"/>
      <c r="O1029" s="55"/>
      <c r="P1029" s="55"/>
      <c r="Q1029" s="55"/>
      <c r="R1029" s="55"/>
      <c r="S1029" s="55"/>
      <c r="T1029" s="55"/>
      <c r="U1029" s="55"/>
      <c r="V1029" s="55"/>
      <c r="W1029" s="55"/>
    </row>
    <row r="1030">
      <c r="A1030" s="61"/>
      <c r="B1030" s="202"/>
      <c r="C1030" s="61"/>
      <c r="D1030" s="202"/>
      <c r="E1030" s="61"/>
      <c r="F1030" s="202"/>
      <c r="G1030" s="61"/>
      <c r="H1030" s="202"/>
      <c r="I1030" s="61"/>
      <c r="J1030" s="202"/>
      <c r="K1030" s="55"/>
      <c r="L1030" s="55"/>
      <c r="M1030" s="55"/>
      <c r="N1030" s="55"/>
      <c r="O1030" s="55"/>
      <c r="P1030" s="55"/>
      <c r="Q1030" s="55"/>
      <c r="R1030" s="55"/>
      <c r="S1030" s="55"/>
      <c r="T1030" s="55"/>
      <c r="U1030" s="55"/>
      <c r="V1030" s="55"/>
      <c r="W1030" s="55"/>
    </row>
    <row r="1031">
      <c r="A1031" s="61"/>
      <c r="B1031" s="202"/>
      <c r="C1031" s="61"/>
      <c r="D1031" s="202"/>
      <c r="E1031" s="55"/>
      <c r="F1031" s="55"/>
      <c r="G1031" s="55"/>
      <c r="H1031" s="55"/>
      <c r="I1031" s="55"/>
      <c r="J1031" s="202"/>
      <c r="K1031" s="55"/>
      <c r="L1031" s="55"/>
      <c r="M1031" s="55"/>
      <c r="N1031" s="55"/>
      <c r="O1031" s="55"/>
      <c r="P1031" s="55"/>
      <c r="Q1031" s="55"/>
      <c r="R1031" s="55"/>
      <c r="S1031" s="55"/>
      <c r="T1031" s="55"/>
      <c r="U1031" s="55"/>
      <c r="V1031" s="55"/>
      <c r="W1031" s="55"/>
    </row>
    <row r="1032">
      <c r="A1032" s="61"/>
      <c r="B1032" s="202"/>
      <c r="C1032" s="61"/>
      <c r="D1032" s="202"/>
      <c r="E1032" s="55"/>
      <c r="F1032" s="55"/>
      <c r="G1032" s="55"/>
      <c r="H1032" s="55"/>
      <c r="I1032" s="55"/>
      <c r="J1032" s="202"/>
      <c r="K1032" s="55"/>
      <c r="L1032" s="55"/>
      <c r="M1032" s="55"/>
      <c r="N1032" s="55"/>
      <c r="O1032" s="55"/>
      <c r="P1032" s="55"/>
      <c r="Q1032" s="55"/>
      <c r="R1032" s="55"/>
      <c r="S1032" s="55"/>
      <c r="T1032" s="55"/>
      <c r="U1032" s="55"/>
      <c r="V1032" s="55"/>
      <c r="W1032" s="55"/>
    </row>
    <row r="1033">
      <c r="A1033" s="61"/>
      <c r="B1033" s="202"/>
      <c r="C1033" s="61"/>
      <c r="D1033" s="202"/>
      <c r="E1033" s="55"/>
      <c r="F1033" s="55"/>
      <c r="G1033" s="55"/>
      <c r="H1033" s="55"/>
      <c r="I1033" s="55"/>
      <c r="J1033" s="202"/>
      <c r="K1033" s="55"/>
      <c r="L1033" s="55"/>
      <c r="M1033" s="55"/>
      <c r="N1033" s="55"/>
      <c r="O1033" s="55"/>
      <c r="P1033" s="55"/>
      <c r="Q1033" s="55"/>
      <c r="R1033" s="55"/>
      <c r="S1033" s="55"/>
      <c r="T1033" s="55"/>
      <c r="U1033" s="55"/>
      <c r="V1033" s="55"/>
      <c r="W1033" s="55"/>
    </row>
    <row r="1034">
      <c r="A1034" s="61"/>
      <c r="B1034" s="202"/>
      <c r="C1034" s="61"/>
      <c r="D1034" s="202"/>
      <c r="E1034" s="55"/>
      <c r="F1034" s="55"/>
      <c r="G1034" s="55"/>
      <c r="H1034" s="55"/>
      <c r="I1034" s="55"/>
      <c r="J1034" s="202"/>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7" t="s">
        <v>41</v>
      </c>
      <c r="E1" s="208"/>
      <c r="F1" s="207" t="s">
        <v>4314</v>
      </c>
      <c r="I1" s="208"/>
      <c r="J1" s="207" t="s">
        <v>4315</v>
      </c>
      <c r="M1" s="208"/>
      <c r="N1" s="207" t="s">
        <v>4316</v>
      </c>
      <c r="R1" s="208"/>
      <c r="S1" s="209"/>
      <c r="T1" s="210"/>
      <c r="U1" s="210"/>
      <c r="V1" s="211"/>
      <c r="W1" s="15"/>
      <c r="X1" s="15"/>
      <c r="Y1" s="15"/>
      <c r="Z1" s="15"/>
      <c r="AA1" s="15"/>
      <c r="AB1" s="15"/>
    </row>
    <row r="2" ht="26.25" customHeight="1">
      <c r="A2" s="212"/>
      <c r="B2" s="212"/>
      <c r="C2" s="212"/>
      <c r="D2" s="212"/>
      <c r="E2" s="213"/>
      <c r="F2" s="212"/>
      <c r="G2" s="212"/>
      <c r="H2" s="212"/>
      <c r="I2" s="213"/>
      <c r="J2" s="212"/>
      <c r="K2" s="212"/>
      <c r="L2" s="212"/>
      <c r="M2" s="213"/>
      <c r="N2" s="212"/>
      <c r="O2" s="212"/>
      <c r="P2" s="212"/>
      <c r="Q2" s="212"/>
      <c r="R2" s="213"/>
      <c r="S2" s="214"/>
      <c r="T2" s="212"/>
      <c r="U2" s="212"/>
      <c r="V2" s="213"/>
      <c r="W2" s="15"/>
      <c r="X2" s="15"/>
      <c r="Y2" s="15"/>
      <c r="Z2" s="15"/>
      <c r="AA2" s="15"/>
      <c r="AB2" s="15"/>
    </row>
    <row r="3" ht="22.5" customHeight="1">
      <c r="A3" s="215" t="s">
        <v>4317</v>
      </c>
      <c r="B3" s="210"/>
      <c r="C3" s="210"/>
      <c r="D3" s="210"/>
      <c r="E3" s="211"/>
      <c r="F3" s="21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0"/>
      <c r="H3" s="210"/>
      <c r="I3" s="211"/>
      <c r="J3" s="21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0"/>
      <c r="L3" s="210"/>
      <c r="M3" s="211"/>
      <c r="N3" s="215" t="s">
        <v>4318</v>
      </c>
      <c r="O3" s="210"/>
      <c r="P3" s="210"/>
      <c r="Q3" s="210"/>
      <c r="R3" s="211"/>
      <c r="S3" s="216"/>
      <c r="T3" s="210"/>
      <c r="U3" s="210"/>
      <c r="V3" s="211"/>
      <c r="W3" s="217"/>
      <c r="X3" s="217"/>
      <c r="Y3" s="217"/>
      <c r="Z3" s="217"/>
      <c r="AA3" s="217"/>
      <c r="AB3" s="217"/>
    </row>
    <row r="4" ht="22.5" customHeight="1">
      <c r="A4" s="214"/>
      <c r="B4" s="212"/>
      <c r="C4" s="212"/>
      <c r="D4" s="212"/>
      <c r="E4" s="213"/>
      <c r="F4" s="214"/>
      <c r="G4" s="212"/>
      <c r="H4" s="212"/>
      <c r="I4" s="213"/>
      <c r="J4" s="214"/>
      <c r="K4" s="212"/>
      <c r="L4" s="212"/>
      <c r="M4" s="213"/>
      <c r="N4" s="214"/>
      <c r="O4" s="212"/>
      <c r="P4" s="212"/>
      <c r="Q4" s="212"/>
      <c r="R4" s="213"/>
      <c r="S4" s="214"/>
      <c r="T4" s="212"/>
      <c r="U4" s="212"/>
      <c r="V4" s="213"/>
      <c r="W4" s="217"/>
      <c r="X4" s="217"/>
      <c r="Y4" s="217"/>
      <c r="Z4" s="217"/>
      <c r="AA4" s="217"/>
      <c r="AB4" s="217"/>
    </row>
    <row r="5">
      <c r="A5" s="218" t="s">
        <v>4319</v>
      </c>
      <c r="B5" s="219"/>
      <c r="C5" s="219"/>
      <c r="D5" s="219"/>
      <c r="E5" s="220"/>
      <c r="F5" s="218" t="str">
        <f>IFERROR(__xludf.DUMMYFUNCTION("GOOGLETRANSLATE(A5,""zh-tw"",""ja"")"),"荒野地域")</f>
        <v>荒野地域</v>
      </c>
      <c r="G5" s="219"/>
      <c r="H5" s="219"/>
      <c r="I5" s="220"/>
      <c r="J5" s="218" t="s">
        <v>4320</v>
      </c>
      <c r="K5" s="219"/>
      <c r="L5" s="219"/>
      <c r="M5" s="220"/>
      <c r="N5" s="221" t="s">
        <v>4321</v>
      </c>
      <c r="O5" s="219"/>
      <c r="P5" s="219"/>
      <c r="Q5" s="219"/>
      <c r="R5" s="220"/>
      <c r="S5" s="222"/>
      <c r="T5" s="219"/>
      <c r="U5" s="219"/>
      <c r="V5" s="220"/>
      <c r="W5" s="223"/>
      <c r="X5" s="223"/>
      <c r="Y5" s="223"/>
      <c r="Z5" s="223"/>
      <c r="AA5" s="223"/>
      <c r="AB5" s="223"/>
    </row>
    <row r="6" ht="53.25" customHeight="1">
      <c r="A6" s="224" t="s">
        <v>792</v>
      </c>
      <c r="B6" s="224" t="s">
        <v>792</v>
      </c>
      <c r="C6" s="224" t="s">
        <v>792</v>
      </c>
      <c r="D6" s="224" t="s">
        <v>792</v>
      </c>
      <c r="E6" s="225" t="s">
        <v>4322</v>
      </c>
      <c r="F6" s="226" t="s">
        <v>792</v>
      </c>
      <c r="G6" s="227" t="s">
        <v>792</v>
      </c>
      <c r="H6" s="228" t="s">
        <v>4323</v>
      </c>
      <c r="I6" s="226" t="s">
        <v>792</v>
      </c>
      <c r="J6" s="229" t="s">
        <v>792</v>
      </c>
      <c r="K6" s="230" t="s">
        <v>792</v>
      </c>
      <c r="L6" s="229" t="s">
        <v>792</v>
      </c>
      <c r="M6" s="231" t="s">
        <v>4324</v>
      </c>
      <c r="N6" s="232" t="s">
        <v>792</v>
      </c>
      <c r="O6" s="232" t="s">
        <v>792</v>
      </c>
      <c r="P6" s="233" t="s">
        <v>792</v>
      </c>
      <c r="Q6" s="233" t="s">
        <v>792</v>
      </c>
      <c r="R6" s="234" t="s">
        <v>4325</v>
      </c>
      <c r="S6" s="235"/>
      <c r="T6" s="236"/>
      <c r="U6" s="236"/>
      <c r="V6" s="237"/>
      <c r="W6" s="238"/>
      <c r="X6" s="238"/>
      <c r="Y6" s="238"/>
      <c r="Z6" s="238"/>
      <c r="AA6" s="238"/>
      <c r="AB6" s="239"/>
    </row>
    <row r="7" ht="75.0" customHeight="1">
      <c r="A7" s="224" t="s">
        <v>792</v>
      </c>
      <c r="B7" s="224" t="s">
        <v>792</v>
      </c>
      <c r="C7" s="224" t="s">
        <v>4326</v>
      </c>
      <c r="D7" s="240" t="s">
        <v>4327</v>
      </c>
      <c r="E7" s="241" t="s">
        <v>4328</v>
      </c>
      <c r="F7" s="226" t="str">
        <f>IFERROR(__xludf.DUMMYFUNCTION("GOOGLETRANSLATE(B7,""zh-tw"",""ja"")"),"-")</f>
        <v>-</v>
      </c>
      <c r="G7" s="227" t="s">
        <v>4329</v>
      </c>
      <c r="H7" s="242" t="s">
        <v>4330</v>
      </c>
      <c r="I7" s="226" t="str">
        <f>IFERROR(__xludf.DUMMYFUNCTION("GOOGLETRANSLATE(#REF!,""zh-tw"",""ja"")"),"#REF!")</f>
        <v>#REF!</v>
      </c>
      <c r="J7" s="229" t="str">
        <f>IFERROR(__xludf.DUMMYFUNCTION("GOOGLETRANSLATE(B7,""zh-tw"",""en"")"),"-")</f>
        <v>-</v>
      </c>
      <c r="K7" s="230" t="s">
        <v>4331</v>
      </c>
      <c r="L7" s="229" t="str">
        <f>IFERROR(__xludf.DUMMYFUNCTION("GOOGLETRANSLATE(D7,""zh-tw"",""en"")"),"Development Zone (Mine Pit) -2")</f>
        <v>Development Zone (Mine Pit) -2</v>
      </c>
      <c r="M7" s="243" t="s">
        <v>4332</v>
      </c>
      <c r="N7" s="232" t="s">
        <v>792</v>
      </c>
      <c r="O7" s="232" t="str">
        <f>IFERROR(__xludf.DUMMYFUNCTION("GOOGLETRANSLATE(B7,""zh-tw"",""zh"")"),"-")</f>
        <v>-</v>
      </c>
      <c r="P7" s="233" t="s">
        <v>4333</v>
      </c>
      <c r="Q7" s="244" t="s">
        <v>792</v>
      </c>
      <c r="R7" s="245" t="s">
        <v>4334</v>
      </c>
      <c r="S7" s="235"/>
      <c r="T7" s="236"/>
      <c r="U7" s="236"/>
      <c r="V7" s="246"/>
      <c r="W7" s="238"/>
      <c r="X7" s="238"/>
      <c r="Y7" s="238"/>
      <c r="Z7" s="238"/>
      <c r="AA7" s="238"/>
      <c r="AB7" s="239"/>
    </row>
    <row r="8">
      <c r="A8" s="224" t="s">
        <v>792</v>
      </c>
      <c r="B8" s="225" t="s">
        <v>4335</v>
      </c>
      <c r="C8" s="225" t="s">
        <v>4336</v>
      </c>
      <c r="D8" s="225" t="s">
        <v>4337</v>
      </c>
      <c r="E8" s="224" t="s">
        <v>4338</v>
      </c>
      <c r="F8" s="228" t="s">
        <v>4339</v>
      </c>
      <c r="G8" s="228" t="s">
        <v>4340</v>
      </c>
      <c r="H8" s="226" t="s">
        <v>4341</v>
      </c>
      <c r="I8" s="226" t="str">
        <f>IFERROR(__xludf.DUMMYFUNCTION("GOOGLETRANSLATE(#REF!,""zh-tw"",""ja"")"),"#REF!")</f>
        <v>#REF!</v>
      </c>
      <c r="J8" s="231" t="s">
        <v>4342</v>
      </c>
      <c r="K8" s="231" t="s">
        <v>4343</v>
      </c>
      <c r="L8" s="229" t="s">
        <v>4344</v>
      </c>
      <c r="M8" s="229" t="s">
        <v>4344</v>
      </c>
      <c r="N8" s="232" t="s">
        <v>792</v>
      </c>
      <c r="O8" s="234" t="s">
        <v>4345</v>
      </c>
      <c r="P8" s="234" t="s">
        <v>4346</v>
      </c>
      <c r="Q8" s="234" t="s">
        <v>4347</v>
      </c>
      <c r="R8" s="232" t="s">
        <v>4348</v>
      </c>
      <c r="S8" s="247"/>
      <c r="T8" s="236"/>
      <c r="U8" s="236"/>
      <c r="V8" s="236"/>
      <c r="W8" s="238"/>
      <c r="X8" s="238"/>
      <c r="Y8" s="238"/>
      <c r="Z8" s="238"/>
      <c r="AA8" s="238"/>
      <c r="AB8" s="239"/>
    </row>
    <row r="9">
      <c r="A9" s="224" t="s">
        <v>792</v>
      </c>
      <c r="B9" s="225" t="s">
        <v>4349</v>
      </c>
      <c r="C9" s="225" t="s">
        <v>4350</v>
      </c>
      <c r="D9" s="240" t="s">
        <v>792</v>
      </c>
      <c r="E9" s="248" t="s">
        <v>4351</v>
      </c>
      <c r="F9" s="228" t="s">
        <v>4352</v>
      </c>
      <c r="G9" s="228" t="s">
        <v>4353</v>
      </c>
      <c r="H9" s="228" t="s">
        <v>4354</v>
      </c>
      <c r="I9" s="226" t="s">
        <v>792</v>
      </c>
      <c r="J9" s="231" t="s">
        <v>4355</v>
      </c>
      <c r="K9" s="231" t="s">
        <v>4356</v>
      </c>
      <c r="L9" s="230" t="s">
        <v>792</v>
      </c>
      <c r="M9" s="231" t="s">
        <v>4357</v>
      </c>
      <c r="N9" s="232" t="s">
        <v>792</v>
      </c>
      <c r="O9" s="234" t="s">
        <v>4358</v>
      </c>
      <c r="P9" s="234" t="s">
        <v>4359</v>
      </c>
      <c r="Q9" s="233" t="s">
        <v>792</v>
      </c>
      <c r="R9" s="234" t="s">
        <v>4360</v>
      </c>
      <c r="S9" s="235"/>
      <c r="T9" s="236"/>
      <c r="U9" s="236"/>
      <c r="V9" s="236"/>
      <c r="W9" s="238"/>
      <c r="X9" s="238"/>
      <c r="Y9" s="238"/>
      <c r="Z9" s="238"/>
      <c r="AA9" s="238"/>
      <c r="AB9" s="239"/>
    </row>
    <row r="10" ht="60.0" customHeight="1">
      <c r="A10" s="224" t="s">
        <v>792</v>
      </c>
      <c r="B10" s="225" t="s">
        <v>4361</v>
      </c>
      <c r="C10" s="249" t="s">
        <v>4362</v>
      </c>
      <c r="D10" s="225" t="s">
        <v>4363</v>
      </c>
      <c r="E10" s="225" t="s">
        <v>4364</v>
      </c>
      <c r="F10" s="228" t="s">
        <v>4365</v>
      </c>
      <c r="G10" s="250" t="s">
        <v>4366</v>
      </c>
      <c r="H10" s="228" t="s">
        <v>4367</v>
      </c>
      <c r="I10" s="227" t="s">
        <v>792</v>
      </c>
      <c r="J10" s="231" t="s">
        <v>4368</v>
      </c>
      <c r="K10" s="251" t="s">
        <v>4369</v>
      </c>
      <c r="L10" s="231" t="s">
        <v>4370</v>
      </c>
      <c r="M10" s="231" t="s">
        <v>4371</v>
      </c>
      <c r="N10" s="232" t="s">
        <v>792</v>
      </c>
      <c r="O10" s="252" t="s">
        <v>4372</v>
      </c>
      <c r="P10" s="253" t="s">
        <v>4373</v>
      </c>
      <c r="Q10" s="234" t="s">
        <v>4374</v>
      </c>
      <c r="R10" s="254" t="s">
        <v>4375</v>
      </c>
      <c r="S10" s="235"/>
      <c r="T10" s="236"/>
      <c r="U10" s="236"/>
      <c r="V10" s="236"/>
      <c r="W10" s="255"/>
      <c r="X10" s="255"/>
      <c r="Y10" s="255"/>
      <c r="Z10" s="255"/>
      <c r="AA10" s="255"/>
      <c r="AB10" s="239"/>
    </row>
    <row r="11" ht="65.25" customHeight="1">
      <c r="A11" s="224" t="s">
        <v>792</v>
      </c>
      <c r="B11" s="225" t="s">
        <v>4376</v>
      </c>
      <c r="C11" s="256"/>
      <c r="D11" s="241" t="s">
        <v>4377</v>
      </c>
      <c r="E11" s="241" t="s">
        <v>4378</v>
      </c>
      <c r="F11" s="228" t="s">
        <v>4379</v>
      </c>
      <c r="G11" s="256"/>
      <c r="H11" s="228" t="s">
        <v>4380</v>
      </c>
      <c r="I11" s="228" t="s">
        <v>4381</v>
      </c>
      <c r="J11" s="231" t="s">
        <v>4382</v>
      </c>
      <c r="K11" s="256"/>
      <c r="L11" s="231" t="s">
        <v>4383</v>
      </c>
      <c r="M11" s="231" t="s">
        <v>4384</v>
      </c>
      <c r="N11" s="232" t="s">
        <v>792</v>
      </c>
      <c r="O11" s="234" t="s">
        <v>4385</v>
      </c>
      <c r="P11" s="256"/>
      <c r="Q11" s="234" t="s">
        <v>4386</v>
      </c>
      <c r="R11" s="234" t="s">
        <v>4387</v>
      </c>
      <c r="S11" s="235"/>
      <c r="T11" s="236"/>
      <c r="U11" s="236"/>
      <c r="V11" s="236"/>
      <c r="W11" s="257"/>
      <c r="X11" s="257"/>
      <c r="Y11" s="257"/>
      <c r="Z11" s="257"/>
      <c r="AA11" s="257"/>
      <c r="AB11" s="239"/>
    </row>
    <row r="12">
      <c r="A12" s="224" t="s">
        <v>792</v>
      </c>
      <c r="B12" s="225" t="s">
        <v>4388</v>
      </c>
      <c r="C12" s="224" t="s">
        <v>4389</v>
      </c>
      <c r="D12" s="225" t="s">
        <v>4390</v>
      </c>
      <c r="E12" s="241" t="s">
        <v>4391</v>
      </c>
      <c r="F12" s="228" t="s">
        <v>4392</v>
      </c>
      <c r="G12" s="226" t="s">
        <v>4393</v>
      </c>
      <c r="H12" s="226" t="str">
        <f>IFERROR(__xludf.DUMMYFUNCTION("GOOGLETRANSLATE(D12,""zh-tw"",""ja"")"),"▲ ハンターズロッジ R69
▼")</f>
        <v>▲ ハンターズロッジ R69
▼</v>
      </c>
      <c r="I12" s="226" t="str">
        <f>IFERROR(__xludf.DUMMYFUNCTION("GOOGLETRANSLATE(#REF!,""zh-tw"",""ja"")"),"#REF!")</f>
        <v>#REF!</v>
      </c>
      <c r="J12" s="231" t="s">
        <v>4394</v>
      </c>
      <c r="K12" s="229" t="s">
        <v>4395</v>
      </c>
      <c r="L12" s="229" t="s">
        <v>4396</v>
      </c>
      <c r="M12" s="231" t="s">
        <v>4397</v>
      </c>
      <c r="N12" s="232" t="s">
        <v>792</v>
      </c>
      <c r="O12" s="234" t="s">
        <v>4398</v>
      </c>
      <c r="P12" s="232" t="str">
        <f>IFERROR(__xludf.DUMMYFUNCTION("GOOGLETRANSLATE(C12,""zh-tw"",""zh"")"),"提前回家
R1")</f>
        <v>提前回家
R1</v>
      </c>
      <c r="Q12" s="234" t="s">
        <v>4399</v>
      </c>
      <c r="R12" s="234" t="s">
        <v>4400</v>
      </c>
      <c r="S12" s="235"/>
      <c r="T12" s="236"/>
      <c r="U12" s="236"/>
      <c r="V12" s="236"/>
      <c r="W12" s="238"/>
      <c r="X12" s="238"/>
      <c r="Y12" s="238"/>
      <c r="Z12" s="238"/>
      <c r="AA12" s="238"/>
      <c r="AB12" s="239"/>
    </row>
    <row r="13">
      <c r="A13" s="224" t="s">
        <v>792</v>
      </c>
      <c r="B13" s="225" t="s">
        <v>4401</v>
      </c>
      <c r="C13" s="224" t="s">
        <v>4402</v>
      </c>
      <c r="D13" s="225" t="s">
        <v>4403</v>
      </c>
      <c r="E13" s="224" t="s">
        <v>792</v>
      </c>
      <c r="F13" s="227"/>
      <c r="G13" s="226"/>
      <c r="H13" s="226"/>
      <c r="I13" s="226"/>
      <c r="J13" s="231" t="s">
        <v>4404</v>
      </c>
      <c r="K13" s="229" t="s">
        <v>4405</v>
      </c>
      <c r="L13" s="229" t="s">
        <v>4406</v>
      </c>
      <c r="M13" s="229"/>
      <c r="N13" s="232" t="s">
        <v>792</v>
      </c>
      <c r="O13" s="234" t="s">
        <v>4407</v>
      </c>
      <c r="P13" s="232" t="s">
        <v>4408</v>
      </c>
      <c r="Q13" s="234" t="s">
        <v>4409</v>
      </c>
      <c r="R13" s="232" t="s">
        <v>792</v>
      </c>
      <c r="S13" s="235"/>
      <c r="T13" s="236"/>
      <c r="U13" s="236"/>
      <c r="V13" s="258"/>
      <c r="W13" s="238"/>
      <c r="X13" s="238"/>
      <c r="Y13" s="238"/>
      <c r="Z13" s="238"/>
      <c r="AA13" s="238"/>
      <c r="AB13" s="239"/>
    </row>
    <row r="14">
      <c r="A14" s="224" t="s">
        <v>792</v>
      </c>
      <c r="B14" s="225" t="s">
        <v>4410</v>
      </c>
      <c r="C14" s="224" t="s">
        <v>3150</v>
      </c>
      <c r="D14" s="224" t="s">
        <v>792</v>
      </c>
      <c r="E14" s="224" t="s">
        <v>792</v>
      </c>
      <c r="F14" s="227"/>
      <c r="G14" s="226"/>
      <c r="H14" s="226"/>
      <c r="I14" s="226"/>
      <c r="J14" s="231" t="s">
        <v>4411</v>
      </c>
      <c r="K14" s="229" t="s">
        <v>3156</v>
      </c>
      <c r="L14" s="229"/>
      <c r="M14" s="229"/>
      <c r="N14" s="232" t="s">
        <v>792</v>
      </c>
      <c r="O14" s="234" t="s">
        <v>4412</v>
      </c>
      <c r="P14" s="232" t="s">
        <v>4413</v>
      </c>
      <c r="Q14" s="232" t="s">
        <v>792</v>
      </c>
      <c r="R14" s="232" t="s">
        <v>792</v>
      </c>
      <c r="S14" s="259"/>
      <c r="T14" s="236"/>
      <c r="U14" s="258"/>
      <c r="V14" s="258"/>
      <c r="W14" s="238"/>
      <c r="X14" s="238"/>
      <c r="Y14" s="238"/>
      <c r="Z14" s="238"/>
      <c r="AA14" s="238"/>
      <c r="AB14" s="239"/>
    </row>
    <row r="15">
      <c r="A15" s="224" t="s">
        <v>4414</v>
      </c>
      <c r="B15" s="225" t="s">
        <v>4415</v>
      </c>
      <c r="C15" s="224" t="s">
        <v>4416</v>
      </c>
      <c r="D15" s="224" t="s">
        <v>792</v>
      </c>
      <c r="E15" s="224" t="s">
        <v>792</v>
      </c>
      <c r="F15" s="227"/>
      <c r="G15" s="226"/>
      <c r="H15" s="226"/>
      <c r="I15" s="226"/>
      <c r="J15" s="231" t="s">
        <v>4417</v>
      </c>
      <c r="K15" s="229" t="s">
        <v>4418</v>
      </c>
      <c r="L15" s="229"/>
      <c r="M15" s="229"/>
      <c r="N15" s="232" t="s">
        <v>4419</v>
      </c>
      <c r="O15" s="234" t="s">
        <v>4420</v>
      </c>
      <c r="P15" s="232" t="s">
        <v>4419</v>
      </c>
      <c r="Q15" s="232" t="s">
        <v>792</v>
      </c>
      <c r="R15" s="232" t="s">
        <v>792</v>
      </c>
      <c r="S15" s="235"/>
      <c r="T15" s="236"/>
      <c r="U15" s="258"/>
      <c r="V15" s="258"/>
      <c r="W15" s="238"/>
      <c r="X15" s="238"/>
      <c r="Y15" s="238"/>
      <c r="Z15" s="238"/>
      <c r="AA15" s="238"/>
      <c r="AB15" s="239"/>
    </row>
    <row r="16">
      <c r="A16" s="218" t="s">
        <v>4326</v>
      </c>
      <c r="B16" s="219"/>
      <c r="C16" s="219"/>
      <c r="D16" s="219"/>
      <c r="E16" s="220"/>
      <c r="F16" s="218" t="str">
        <f>IFERROR(__xludf.DUMMYFUNCTION("GOOGLETRANSLATE(A16,""zh-tw"",""ja"")"),"遺跡エリア")</f>
        <v>遺跡エリア</v>
      </c>
      <c r="G16" s="219"/>
      <c r="H16" s="219"/>
      <c r="I16" s="220"/>
      <c r="J16" s="218" t="s">
        <v>4421</v>
      </c>
      <c r="K16" s="219"/>
      <c r="L16" s="219"/>
      <c r="M16" s="220"/>
      <c r="N16" s="218" t="s">
        <v>4333</v>
      </c>
      <c r="O16" s="219"/>
      <c r="P16" s="219"/>
      <c r="Q16" s="219"/>
      <c r="R16" s="220"/>
      <c r="S16" s="260"/>
      <c r="T16" s="212"/>
      <c r="U16" s="212"/>
      <c r="V16" s="213"/>
      <c r="W16" s="261"/>
      <c r="X16" s="261"/>
      <c r="Y16" s="261"/>
      <c r="Z16" s="261"/>
      <c r="AA16" s="261"/>
      <c r="AB16" s="261"/>
    </row>
    <row r="17">
      <c r="A17" s="224" t="s">
        <v>792</v>
      </c>
      <c r="B17" s="224" t="s">
        <v>792</v>
      </c>
      <c r="C17" s="225" t="s">
        <v>4422</v>
      </c>
      <c r="D17" s="224" t="s">
        <v>792</v>
      </c>
      <c r="E17" s="224" t="s">
        <v>792</v>
      </c>
      <c r="F17" s="226"/>
      <c r="G17" s="262" t="s">
        <v>4423</v>
      </c>
      <c r="H17" s="263"/>
      <c r="I17" s="263"/>
      <c r="J17" s="264"/>
      <c r="K17" s="265" t="s">
        <v>4424</v>
      </c>
      <c r="L17" s="264"/>
      <c r="M17" s="264"/>
      <c r="N17" s="266" t="s">
        <v>792</v>
      </c>
      <c r="O17" s="266" t="s">
        <v>792</v>
      </c>
      <c r="P17" s="267" t="s">
        <v>4425</v>
      </c>
      <c r="Q17" s="266" t="s">
        <v>792</v>
      </c>
      <c r="R17" s="266" t="s">
        <v>792</v>
      </c>
      <c r="S17" s="268"/>
      <c r="T17" s="269"/>
      <c r="U17" s="258"/>
      <c r="V17" s="258"/>
      <c r="W17" s="270"/>
      <c r="X17" s="270"/>
      <c r="Y17" s="270"/>
      <c r="Z17" s="270"/>
      <c r="AA17" s="270"/>
      <c r="AB17" s="270"/>
    </row>
    <row r="18">
      <c r="A18" s="224" t="s">
        <v>792</v>
      </c>
      <c r="B18" s="225" t="s">
        <v>4426</v>
      </c>
      <c r="C18" s="225" t="s">
        <v>4427</v>
      </c>
      <c r="D18" s="224" t="s">
        <v>792</v>
      </c>
      <c r="E18" s="224" t="s">
        <v>792</v>
      </c>
      <c r="F18" s="228" t="s">
        <v>4428</v>
      </c>
      <c r="G18" s="228" t="s">
        <v>4429</v>
      </c>
      <c r="H18" s="263"/>
      <c r="I18" s="263"/>
      <c r="J18" s="271" t="s">
        <v>4430</v>
      </c>
      <c r="K18" s="272" t="s">
        <v>4431</v>
      </c>
      <c r="L18" s="264"/>
      <c r="M18" s="264"/>
      <c r="N18" s="266" t="s">
        <v>792</v>
      </c>
      <c r="O18" s="273" t="s">
        <v>4432</v>
      </c>
      <c r="P18" s="273" t="s">
        <v>4433</v>
      </c>
      <c r="Q18" s="266" t="s">
        <v>792</v>
      </c>
      <c r="R18" s="266" t="s">
        <v>792</v>
      </c>
      <c r="S18" s="247"/>
      <c r="T18" s="236"/>
      <c r="U18" s="258"/>
      <c r="V18" s="258"/>
      <c r="W18" s="270"/>
      <c r="X18" s="270"/>
      <c r="Y18" s="270"/>
      <c r="Z18" s="270"/>
      <c r="AA18" s="270"/>
      <c r="AB18" s="270"/>
    </row>
    <row r="19">
      <c r="A19" s="224" t="s">
        <v>792</v>
      </c>
      <c r="B19" s="224" t="s">
        <v>792</v>
      </c>
      <c r="C19" s="274" t="s">
        <v>4434</v>
      </c>
      <c r="D19" s="224" t="s">
        <v>4435</v>
      </c>
      <c r="E19" s="224" t="s">
        <v>792</v>
      </c>
      <c r="F19" s="226"/>
      <c r="G19" s="275" t="s">
        <v>4436</v>
      </c>
      <c r="H19" s="263"/>
      <c r="I19" s="263"/>
      <c r="J19" s="264"/>
      <c r="K19" s="276" t="s">
        <v>4437</v>
      </c>
      <c r="L19" s="264"/>
      <c r="M19" s="264"/>
      <c r="N19" s="266" t="s">
        <v>792</v>
      </c>
      <c r="O19" s="266" t="s">
        <v>792</v>
      </c>
      <c r="P19" s="277" t="s">
        <v>4438</v>
      </c>
      <c r="Q19" s="266" t="s">
        <v>4439</v>
      </c>
      <c r="R19" s="266" t="s">
        <v>792</v>
      </c>
      <c r="S19" s="268"/>
      <c r="T19" s="246"/>
      <c r="U19" s="258"/>
      <c r="V19" s="258"/>
      <c r="W19" s="270"/>
      <c r="X19" s="270"/>
      <c r="Y19" s="270"/>
      <c r="Z19" s="270"/>
      <c r="AA19" s="270"/>
      <c r="AB19" s="270"/>
    </row>
    <row r="20">
      <c r="A20" s="224" t="s">
        <v>792</v>
      </c>
      <c r="B20" s="224" t="s">
        <v>792</v>
      </c>
      <c r="C20" s="274" t="s">
        <v>4440</v>
      </c>
      <c r="D20" s="225" t="s">
        <v>4441</v>
      </c>
      <c r="E20" s="224" t="s">
        <v>792</v>
      </c>
      <c r="F20" s="226"/>
      <c r="G20" s="275" t="s">
        <v>4442</v>
      </c>
      <c r="H20" s="228" t="s">
        <v>4443</v>
      </c>
      <c r="I20" s="263"/>
      <c r="J20" s="264"/>
      <c r="K20" s="278" t="s">
        <v>4444</v>
      </c>
      <c r="L20" s="231" t="s">
        <v>4445</v>
      </c>
      <c r="M20" s="264"/>
      <c r="N20" s="266" t="s">
        <v>792</v>
      </c>
      <c r="O20" s="266" t="s">
        <v>792</v>
      </c>
      <c r="P20" s="279" t="s">
        <v>4446</v>
      </c>
      <c r="Q20" s="273" t="s">
        <v>4447</v>
      </c>
      <c r="R20" s="266" t="s">
        <v>792</v>
      </c>
      <c r="S20" s="268"/>
      <c r="T20" s="236"/>
      <c r="U20" s="237"/>
      <c r="V20" s="258"/>
      <c r="W20" s="270"/>
      <c r="X20" s="270"/>
      <c r="Y20" s="270"/>
      <c r="Z20" s="270"/>
      <c r="AA20" s="270"/>
      <c r="AB20" s="270"/>
    </row>
    <row r="21">
      <c r="A21" s="280" t="s">
        <v>792</v>
      </c>
      <c r="B21" s="280" t="s">
        <v>792</v>
      </c>
      <c r="C21" s="225" t="s">
        <v>4448</v>
      </c>
      <c r="D21" s="224" t="s">
        <v>792</v>
      </c>
      <c r="E21" s="224" t="s">
        <v>792</v>
      </c>
      <c r="F21" s="226"/>
      <c r="G21" s="228" t="s">
        <v>4449</v>
      </c>
      <c r="H21" s="263"/>
      <c r="I21" s="263"/>
      <c r="J21" s="264"/>
      <c r="K21" s="272" t="s">
        <v>4450</v>
      </c>
      <c r="L21" s="264"/>
      <c r="M21" s="264"/>
      <c r="N21" s="266" t="s">
        <v>792</v>
      </c>
      <c r="O21" s="266" t="s">
        <v>792</v>
      </c>
      <c r="P21" s="273" t="s">
        <v>4451</v>
      </c>
      <c r="Q21" s="266" t="s">
        <v>792</v>
      </c>
      <c r="R21" s="266" t="s">
        <v>792</v>
      </c>
      <c r="S21" s="268"/>
      <c r="T21" s="237"/>
      <c r="U21" s="258"/>
      <c r="V21" s="258"/>
      <c r="W21" s="270"/>
      <c r="X21" s="270"/>
      <c r="Y21" s="270"/>
      <c r="Z21" s="270"/>
      <c r="AA21" s="270"/>
      <c r="AB21" s="270"/>
    </row>
    <row r="22">
      <c r="A22" s="281"/>
      <c r="B22" s="281"/>
      <c r="C22" s="281"/>
      <c r="D22" s="281"/>
      <c r="E22" s="281"/>
      <c r="F22" s="281"/>
      <c r="G22" s="281"/>
      <c r="H22" s="20"/>
      <c r="I22" s="20"/>
      <c r="J22" s="20"/>
      <c r="K22" s="281"/>
      <c r="L22" s="281"/>
      <c r="M22" s="281"/>
      <c r="N22" s="20"/>
      <c r="O22" s="20"/>
      <c r="P22" s="281"/>
      <c r="Q22" s="281"/>
      <c r="R22" s="281"/>
      <c r="S22" s="84"/>
      <c r="T22" s="84"/>
      <c r="U22" s="84"/>
      <c r="V22" s="84"/>
      <c r="W22" s="281"/>
      <c r="X22" s="281"/>
      <c r="Y22" s="281"/>
      <c r="Z22" s="281"/>
      <c r="AA22" s="281"/>
      <c r="AB22" s="281"/>
    </row>
    <row r="23">
      <c r="A23" s="281"/>
      <c r="B23" s="281"/>
      <c r="C23" s="281"/>
      <c r="D23" s="282"/>
      <c r="E23" s="282"/>
      <c r="F23" s="281"/>
      <c r="G23" s="281"/>
      <c r="H23" s="20"/>
      <c r="I23" s="20"/>
      <c r="J23" s="20"/>
      <c r="K23" s="281"/>
      <c r="L23" s="281"/>
      <c r="M23" s="281"/>
      <c r="N23" s="20"/>
      <c r="O23" s="20"/>
      <c r="P23" s="281"/>
      <c r="Q23" s="281"/>
      <c r="R23" s="281"/>
      <c r="S23" s="84"/>
      <c r="T23" s="84"/>
      <c r="U23" s="84"/>
      <c r="V23" s="84"/>
      <c r="W23" s="281"/>
      <c r="X23" s="281"/>
      <c r="Y23" s="281"/>
      <c r="Z23" s="281"/>
      <c r="AA23" s="281"/>
      <c r="AB23" s="281"/>
    </row>
    <row r="24">
      <c r="A24" s="281"/>
      <c r="B24" s="281"/>
      <c r="C24" s="281"/>
      <c r="D24" s="281"/>
      <c r="E24" s="281"/>
      <c r="F24" s="281"/>
      <c r="G24" s="281"/>
      <c r="H24" s="20"/>
      <c r="I24" s="20"/>
      <c r="J24" s="20"/>
      <c r="K24" s="281"/>
      <c r="L24" s="281"/>
      <c r="M24" s="281"/>
      <c r="N24" s="20"/>
      <c r="O24" s="20"/>
      <c r="P24" s="281"/>
      <c r="Q24" s="281"/>
      <c r="R24" s="281"/>
      <c r="S24" s="84"/>
      <c r="T24" s="84"/>
      <c r="U24" s="84"/>
      <c r="V24" s="84"/>
      <c r="W24" s="281"/>
      <c r="X24" s="281"/>
      <c r="Y24" s="281"/>
      <c r="Z24" s="281"/>
      <c r="AA24" s="281"/>
      <c r="AB24" s="281"/>
    </row>
    <row r="25">
      <c r="A25" s="281"/>
      <c r="B25" s="281"/>
      <c r="C25" s="281"/>
      <c r="D25" s="20"/>
      <c r="E25" s="281"/>
      <c r="F25" s="281"/>
      <c r="G25" s="281"/>
      <c r="H25" s="20"/>
      <c r="I25" s="20"/>
      <c r="J25" s="20"/>
      <c r="K25" s="281"/>
      <c r="L25" s="281"/>
      <c r="M25" s="281"/>
      <c r="N25" s="20"/>
      <c r="O25" s="20"/>
      <c r="P25" s="281"/>
      <c r="Q25" s="281"/>
      <c r="R25" s="281"/>
      <c r="S25" s="84"/>
      <c r="T25" s="84"/>
      <c r="U25" s="84"/>
      <c r="V25" s="84"/>
      <c r="W25" s="281"/>
      <c r="X25" s="281"/>
      <c r="Y25" s="281"/>
      <c r="Z25" s="281"/>
      <c r="AA25" s="281"/>
      <c r="AB25" s="281"/>
    </row>
    <row r="26">
      <c r="A26" s="281"/>
      <c r="B26" s="281"/>
      <c r="C26" s="20"/>
      <c r="D26" s="20"/>
      <c r="E26" s="281"/>
      <c r="F26" s="281"/>
      <c r="G26" s="281"/>
      <c r="H26" s="20"/>
      <c r="I26" s="20"/>
      <c r="J26" s="20"/>
      <c r="K26" s="281"/>
      <c r="L26" s="281"/>
      <c r="M26" s="281"/>
      <c r="N26" s="20"/>
      <c r="O26" s="20"/>
      <c r="P26" s="281"/>
      <c r="Q26" s="281"/>
      <c r="R26" s="281"/>
      <c r="S26" s="84"/>
      <c r="T26" s="84"/>
      <c r="U26" s="84"/>
      <c r="V26" s="84"/>
      <c r="W26" s="281"/>
      <c r="X26" s="281"/>
      <c r="Y26" s="281"/>
      <c r="Z26" s="281"/>
      <c r="AA26" s="281"/>
      <c r="AB26" s="281"/>
    </row>
    <row r="27">
      <c r="A27" s="281"/>
      <c r="B27" s="281"/>
      <c r="C27" s="20"/>
      <c r="D27" s="20"/>
      <c r="E27" s="281"/>
      <c r="F27" s="281"/>
      <c r="G27" s="281"/>
      <c r="H27" s="20"/>
      <c r="I27" s="20"/>
      <c r="J27" s="20"/>
      <c r="K27" s="281"/>
      <c r="L27" s="281"/>
      <c r="M27" s="281"/>
      <c r="N27" s="20"/>
      <c r="O27" s="20"/>
      <c r="P27" s="281"/>
      <c r="Q27" s="281"/>
      <c r="R27" s="281"/>
      <c r="S27" s="84"/>
      <c r="T27" s="84"/>
      <c r="U27" s="84"/>
      <c r="V27" s="84"/>
      <c r="W27" s="281"/>
      <c r="X27" s="281"/>
      <c r="Y27" s="281"/>
      <c r="Z27" s="281"/>
      <c r="AA27" s="281"/>
      <c r="AB27" s="281"/>
    </row>
    <row r="28">
      <c r="A28" s="281"/>
      <c r="B28" s="281"/>
      <c r="C28" s="20"/>
      <c r="D28" s="20"/>
      <c r="E28" s="281"/>
      <c r="F28" s="281"/>
      <c r="G28" s="281"/>
      <c r="H28" s="20"/>
      <c r="I28" s="20"/>
      <c r="J28" s="20"/>
      <c r="K28" s="281"/>
      <c r="L28" s="281"/>
      <c r="M28" s="281"/>
      <c r="N28" s="20"/>
      <c r="O28" s="20"/>
      <c r="P28" s="281"/>
      <c r="Q28" s="281"/>
      <c r="R28" s="281"/>
      <c r="S28" s="84"/>
      <c r="T28" s="84"/>
      <c r="U28" s="84"/>
      <c r="V28" s="84"/>
      <c r="W28" s="281"/>
      <c r="X28" s="281"/>
      <c r="Y28" s="281"/>
      <c r="Z28" s="281"/>
      <c r="AA28" s="281"/>
      <c r="AB28" s="281"/>
    </row>
    <row r="29">
      <c r="A29" s="281"/>
      <c r="B29" s="281"/>
      <c r="C29" s="20"/>
      <c r="D29" s="20"/>
      <c r="E29" s="281"/>
      <c r="F29" s="281"/>
      <c r="G29" s="281"/>
      <c r="H29" s="20"/>
      <c r="I29" s="20"/>
      <c r="J29" s="20"/>
      <c r="K29" s="281"/>
      <c r="L29" s="281"/>
      <c r="M29" s="281"/>
      <c r="N29" s="20"/>
      <c r="O29" s="20"/>
      <c r="P29" s="281"/>
      <c r="Q29" s="281"/>
      <c r="R29" s="281"/>
      <c r="S29" s="84"/>
      <c r="T29" s="84"/>
      <c r="U29" s="84"/>
      <c r="V29" s="84"/>
      <c r="W29" s="281"/>
      <c r="X29" s="281"/>
      <c r="Y29" s="281"/>
      <c r="Z29" s="281"/>
      <c r="AA29" s="281"/>
      <c r="AB29" s="281"/>
    </row>
    <row r="30">
      <c r="A30" s="281"/>
      <c r="B30" s="281"/>
      <c r="C30" s="20"/>
      <c r="D30" s="20"/>
      <c r="E30" s="281"/>
      <c r="F30" s="281"/>
      <c r="G30" s="281"/>
      <c r="H30" s="20"/>
      <c r="I30" s="20"/>
      <c r="J30" s="20"/>
      <c r="K30" s="281"/>
      <c r="L30" s="281"/>
      <c r="M30" s="281"/>
      <c r="N30" s="20"/>
      <c r="O30" s="20"/>
      <c r="P30" s="281"/>
      <c r="Q30" s="281"/>
      <c r="R30" s="281"/>
      <c r="S30" s="84"/>
      <c r="T30" s="84"/>
      <c r="U30" s="84"/>
      <c r="V30" s="84"/>
      <c r="W30" s="281"/>
      <c r="X30" s="281"/>
      <c r="Y30" s="281"/>
      <c r="Z30" s="281"/>
      <c r="AA30" s="281"/>
      <c r="AB30" s="281"/>
    </row>
    <row r="31">
      <c r="A31" s="20"/>
      <c r="B31" s="20"/>
      <c r="C31" s="20"/>
      <c r="D31" s="20"/>
      <c r="E31" s="20"/>
      <c r="F31" s="282"/>
      <c r="G31" s="20"/>
      <c r="H31" s="20"/>
      <c r="I31" s="20"/>
      <c r="J31" s="20"/>
      <c r="K31" s="20"/>
      <c r="L31" s="20"/>
      <c r="M31" s="20"/>
      <c r="N31" s="20"/>
      <c r="O31" s="20"/>
      <c r="P31" s="20"/>
      <c r="Q31" s="20"/>
      <c r="R31" s="20"/>
      <c r="S31" s="188"/>
      <c r="T31" s="188"/>
      <c r="U31" s="188"/>
      <c r="V31" s="188"/>
      <c r="W31" s="20"/>
      <c r="X31" s="20"/>
      <c r="Y31" s="20"/>
      <c r="Z31" s="20"/>
      <c r="AA31" s="20"/>
      <c r="AB31" s="20"/>
    </row>
    <row r="32">
      <c r="A32" s="20"/>
      <c r="B32" s="20"/>
      <c r="C32" s="20"/>
      <c r="D32" s="20"/>
      <c r="E32" s="20"/>
      <c r="F32" s="282"/>
      <c r="G32" s="20"/>
      <c r="H32" s="20"/>
      <c r="I32" s="20"/>
      <c r="J32" s="20"/>
      <c r="K32" s="20"/>
      <c r="L32" s="20"/>
      <c r="M32" s="20"/>
      <c r="N32" s="20"/>
      <c r="O32" s="20"/>
      <c r="P32" s="20"/>
      <c r="Q32" s="20"/>
      <c r="R32" s="20"/>
      <c r="S32" s="188"/>
      <c r="T32" s="188"/>
      <c r="U32" s="188"/>
      <c r="V32" s="188"/>
      <c r="W32" s="20"/>
      <c r="X32" s="20"/>
      <c r="Y32" s="20"/>
      <c r="Z32" s="20"/>
      <c r="AA32" s="20"/>
      <c r="AB32" s="20"/>
    </row>
    <row r="33">
      <c r="A33" s="20"/>
      <c r="B33" s="20"/>
      <c r="C33" s="20"/>
      <c r="D33" s="20"/>
      <c r="E33" s="20"/>
      <c r="F33" s="282"/>
      <c r="G33" s="20"/>
      <c r="H33" s="20"/>
      <c r="I33" s="20"/>
      <c r="J33" s="20"/>
      <c r="K33" s="20"/>
      <c r="L33" s="20"/>
      <c r="M33" s="20"/>
      <c r="N33" s="20"/>
      <c r="O33" s="20"/>
      <c r="P33" s="20"/>
      <c r="Q33" s="20"/>
      <c r="R33" s="20"/>
      <c r="S33" s="188"/>
      <c r="T33" s="188"/>
      <c r="U33" s="188"/>
      <c r="V33" s="188"/>
      <c r="W33" s="20"/>
      <c r="X33" s="20"/>
      <c r="Y33" s="20"/>
      <c r="Z33" s="20"/>
      <c r="AA33" s="20"/>
      <c r="AB33" s="20"/>
    </row>
    <row r="34">
      <c r="A34" s="20"/>
      <c r="B34" s="20"/>
      <c r="C34" s="20"/>
      <c r="D34" s="20"/>
      <c r="E34" s="20"/>
      <c r="F34" s="282"/>
      <c r="G34" s="20"/>
      <c r="H34" s="20"/>
      <c r="I34" s="20"/>
      <c r="J34" s="20"/>
      <c r="K34" s="20"/>
      <c r="L34" s="20"/>
      <c r="M34" s="20"/>
      <c r="N34" s="20"/>
      <c r="O34" s="20"/>
      <c r="P34" s="20"/>
      <c r="Q34" s="20"/>
      <c r="R34" s="20"/>
      <c r="S34" s="188"/>
      <c r="T34" s="188"/>
      <c r="U34" s="188"/>
      <c r="V34" s="188"/>
      <c r="W34" s="20"/>
      <c r="X34" s="20"/>
      <c r="Y34" s="20"/>
      <c r="Z34" s="20"/>
      <c r="AA34" s="20"/>
      <c r="AB34" s="20"/>
    </row>
    <row r="35">
      <c r="A35" s="20"/>
      <c r="B35" s="20"/>
      <c r="C35" s="20"/>
      <c r="D35" s="20"/>
      <c r="E35" s="20"/>
      <c r="F35" s="282"/>
      <c r="G35" s="20"/>
      <c r="H35" s="20"/>
      <c r="I35" s="20"/>
      <c r="J35" s="20"/>
      <c r="K35" s="20"/>
      <c r="L35" s="20"/>
      <c r="M35" s="20"/>
      <c r="N35" s="20"/>
      <c r="O35" s="20"/>
      <c r="P35" s="20"/>
      <c r="Q35" s="20"/>
      <c r="R35" s="20"/>
      <c r="S35" s="188"/>
      <c r="T35" s="188"/>
      <c r="U35" s="188"/>
      <c r="V35" s="188"/>
      <c r="W35" s="20"/>
      <c r="X35" s="20"/>
      <c r="Y35" s="20"/>
      <c r="Z35" s="20"/>
      <c r="AA35" s="20"/>
      <c r="AB35" s="20"/>
    </row>
    <row r="36">
      <c r="A36" s="20"/>
      <c r="B36" s="20"/>
      <c r="C36" s="20"/>
      <c r="D36" s="20"/>
      <c r="E36" s="20"/>
      <c r="F36" s="282"/>
      <c r="G36" s="20"/>
      <c r="H36" s="20"/>
      <c r="I36" s="20"/>
      <c r="J36" s="20"/>
      <c r="K36" s="20"/>
      <c r="L36" s="20"/>
      <c r="M36" s="20"/>
      <c r="N36" s="20"/>
      <c r="O36" s="20"/>
      <c r="P36" s="20"/>
      <c r="Q36" s="20"/>
      <c r="R36" s="20"/>
      <c r="S36" s="188"/>
      <c r="T36" s="188"/>
      <c r="U36" s="188"/>
      <c r="V36" s="188"/>
      <c r="W36" s="20"/>
      <c r="X36" s="20"/>
      <c r="Y36" s="20"/>
      <c r="Z36" s="20"/>
      <c r="AA36" s="20"/>
      <c r="AB36" s="20"/>
    </row>
    <row r="37">
      <c r="A37" s="20"/>
      <c r="B37" s="20"/>
      <c r="C37" s="20"/>
      <c r="D37" s="20"/>
      <c r="E37" s="20"/>
      <c r="F37" s="282"/>
      <c r="G37" s="20"/>
      <c r="H37" s="20"/>
      <c r="I37" s="20"/>
      <c r="J37" s="20"/>
      <c r="K37" s="20"/>
      <c r="L37" s="20"/>
      <c r="M37" s="20"/>
      <c r="N37" s="20"/>
      <c r="O37" s="20"/>
      <c r="P37" s="20"/>
      <c r="Q37" s="20"/>
      <c r="R37" s="20"/>
      <c r="S37" s="188"/>
      <c r="T37" s="188"/>
      <c r="U37" s="188"/>
      <c r="V37" s="188"/>
      <c r="W37" s="20"/>
      <c r="X37" s="20"/>
      <c r="Y37" s="20"/>
      <c r="Z37" s="20"/>
      <c r="AA37" s="20"/>
      <c r="AB37" s="20"/>
    </row>
    <row r="38">
      <c r="A38" s="20"/>
      <c r="B38" s="20"/>
      <c r="C38" s="20"/>
      <c r="D38" s="20"/>
      <c r="E38" s="20"/>
      <c r="F38" s="282"/>
      <c r="G38" s="20"/>
      <c r="H38" s="20"/>
      <c r="I38" s="20"/>
      <c r="J38" s="20"/>
      <c r="K38" s="20"/>
      <c r="L38" s="20"/>
      <c r="M38" s="20"/>
      <c r="N38" s="20"/>
      <c r="O38" s="20"/>
      <c r="P38" s="20"/>
      <c r="Q38" s="20"/>
      <c r="R38" s="20"/>
      <c r="S38" s="188"/>
      <c r="T38" s="188"/>
      <c r="U38" s="188"/>
      <c r="V38" s="188"/>
      <c r="W38" s="20"/>
      <c r="X38" s="20"/>
      <c r="Y38" s="20"/>
      <c r="Z38" s="20"/>
      <c r="AA38" s="20"/>
      <c r="AB38" s="20"/>
    </row>
    <row r="39">
      <c r="A39" s="20"/>
      <c r="B39" s="20"/>
      <c r="C39" s="20"/>
      <c r="D39" s="20"/>
      <c r="E39" s="20"/>
      <c r="F39" s="282"/>
      <c r="G39" s="20"/>
      <c r="H39" s="20"/>
      <c r="I39" s="20"/>
      <c r="J39" s="20"/>
      <c r="K39" s="20"/>
      <c r="L39" s="20"/>
      <c r="M39" s="20"/>
      <c r="N39" s="20"/>
      <c r="O39" s="20"/>
      <c r="P39" s="20"/>
      <c r="Q39" s="20"/>
      <c r="R39" s="20"/>
      <c r="S39" s="188"/>
      <c r="T39" s="188"/>
      <c r="U39" s="188"/>
      <c r="V39" s="188"/>
      <c r="W39" s="20"/>
      <c r="X39" s="20"/>
      <c r="Y39" s="20"/>
      <c r="Z39" s="20"/>
      <c r="AA39" s="20"/>
      <c r="AB39" s="20"/>
    </row>
    <row r="40">
      <c r="A40" s="20"/>
      <c r="B40" s="20"/>
      <c r="C40" s="20"/>
      <c r="D40" s="20"/>
      <c r="E40" s="20"/>
      <c r="F40" s="282"/>
      <c r="G40" s="20"/>
      <c r="H40" s="20"/>
      <c r="I40" s="20"/>
      <c r="J40" s="20"/>
      <c r="K40" s="20"/>
      <c r="L40" s="20"/>
      <c r="M40" s="20"/>
      <c r="N40" s="20"/>
      <c r="O40" s="20"/>
      <c r="P40" s="20"/>
      <c r="Q40" s="20"/>
      <c r="R40" s="20"/>
      <c r="S40" s="188"/>
      <c r="T40" s="188"/>
      <c r="U40" s="188"/>
      <c r="V40" s="188"/>
      <c r="W40" s="20"/>
      <c r="X40" s="20"/>
      <c r="Y40" s="20"/>
      <c r="Z40" s="20"/>
      <c r="AA40" s="20"/>
      <c r="AB40" s="20"/>
    </row>
    <row r="41">
      <c r="A41" s="20"/>
      <c r="B41" s="20"/>
      <c r="C41" s="20"/>
      <c r="D41" s="20"/>
      <c r="E41" s="20"/>
      <c r="F41" s="282"/>
      <c r="G41" s="20"/>
      <c r="H41" s="20"/>
      <c r="I41" s="20"/>
      <c r="J41" s="20"/>
      <c r="K41" s="20"/>
      <c r="L41" s="20"/>
      <c r="M41" s="20"/>
      <c r="N41" s="20"/>
      <c r="O41" s="20"/>
      <c r="P41" s="20"/>
      <c r="Q41" s="20"/>
      <c r="R41" s="20"/>
      <c r="S41" s="188"/>
      <c r="T41" s="188"/>
      <c r="U41" s="188"/>
      <c r="V41" s="188"/>
      <c r="W41" s="20"/>
      <c r="X41" s="20"/>
      <c r="Y41" s="20"/>
      <c r="Z41" s="20"/>
      <c r="AA41" s="20"/>
      <c r="AB41" s="20"/>
    </row>
    <row r="42">
      <c r="A42" s="20"/>
      <c r="B42" s="20"/>
      <c r="C42" s="20"/>
      <c r="D42" s="20"/>
      <c r="E42" s="20"/>
      <c r="F42" s="282"/>
      <c r="G42" s="20"/>
      <c r="H42" s="20"/>
      <c r="I42" s="20"/>
      <c r="J42" s="20"/>
      <c r="K42" s="20"/>
      <c r="L42" s="20"/>
      <c r="M42" s="20"/>
      <c r="N42" s="20"/>
      <c r="O42" s="20"/>
      <c r="P42" s="20"/>
      <c r="Q42" s="20"/>
      <c r="R42" s="20"/>
      <c r="S42" s="188"/>
      <c r="T42" s="188"/>
      <c r="U42" s="188"/>
      <c r="V42" s="188"/>
      <c r="W42" s="20"/>
      <c r="X42" s="20"/>
      <c r="Y42" s="20"/>
      <c r="Z42" s="20"/>
      <c r="AA42" s="20"/>
      <c r="AB42" s="20"/>
    </row>
    <row r="43">
      <c r="A43" s="20"/>
      <c r="B43" s="20"/>
      <c r="C43" s="20"/>
      <c r="D43" s="20"/>
      <c r="E43" s="20"/>
      <c r="F43" s="282"/>
      <c r="G43" s="20"/>
      <c r="H43" s="20"/>
      <c r="I43" s="20"/>
      <c r="J43" s="20"/>
      <c r="K43" s="20"/>
      <c r="L43" s="20"/>
      <c r="M43" s="20"/>
      <c r="N43" s="20"/>
      <c r="O43" s="20"/>
      <c r="P43" s="20"/>
      <c r="Q43" s="20"/>
      <c r="R43" s="20"/>
      <c r="S43" s="188"/>
      <c r="T43" s="188"/>
      <c r="U43" s="188"/>
      <c r="V43" s="188"/>
      <c r="W43" s="20"/>
      <c r="X43" s="20"/>
      <c r="Y43" s="20"/>
      <c r="Z43" s="20"/>
      <c r="AA43" s="20"/>
      <c r="AB43" s="20"/>
    </row>
    <row r="44">
      <c r="A44" s="20"/>
      <c r="B44" s="20"/>
      <c r="C44" s="20"/>
      <c r="D44" s="20"/>
      <c r="E44" s="20"/>
      <c r="F44" s="282"/>
      <c r="G44" s="20"/>
      <c r="H44" s="20"/>
      <c r="I44" s="20"/>
      <c r="J44" s="20"/>
      <c r="K44" s="20"/>
      <c r="L44" s="20"/>
      <c r="M44" s="20"/>
      <c r="N44" s="20"/>
      <c r="O44" s="20"/>
      <c r="P44" s="20"/>
      <c r="Q44" s="20"/>
      <c r="R44" s="20"/>
      <c r="S44" s="188"/>
      <c r="T44" s="188"/>
      <c r="U44" s="188"/>
      <c r="V44" s="188"/>
      <c r="W44" s="20"/>
      <c r="X44" s="20"/>
      <c r="Y44" s="20"/>
      <c r="Z44" s="20"/>
      <c r="AA44" s="20"/>
      <c r="AB44" s="20"/>
    </row>
    <row r="45">
      <c r="A45" s="20"/>
      <c r="B45" s="20"/>
      <c r="C45" s="20"/>
      <c r="D45" s="20"/>
      <c r="E45" s="20"/>
      <c r="F45" s="282"/>
      <c r="G45" s="20"/>
      <c r="H45" s="20"/>
      <c r="I45" s="20"/>
      <c r="J45" s="20"/>
      <c r="K45" s="20"/>
      <c r="L45" s="20"/>
      <c r="M45" s="20"/>
      <c r="N45" s="20"/>
      <c r="O45" s="20"/>
      <c r="P45" s="20"/>
      <c r="Q45" s="20"/>
      <c r="R45" s="20"/>
      <c r="S45" s="188"/>
      <c r="T45" s="188"/>
      <c r="U45" s="188"/>
      <c r="V45" s="188"/>
      <c r="W45" s="20"/>
      <c r="X45" s="20"/>
      <c r="Y45" s="20"/>
      <c r="Z45" s="20"/>
      <c r="AA45" s="20"/>
      <c r="AB45" s="20"/>
    </row>
    <row r="46">
      <c r="A46" s="20"/>
      <c r="B46" s="20"/>
      <c r="C46" s="20"/>
      <c r="D46" s="20"/>
      <c r="E46" s="20"/>
      <c r="F46" s="282"/>
      <c r="G46" s="20"/>
      <c r="H46" s="20"/>
      <c r="I46" s="20"/>
      <c r="J46" s="20"/>
      <c r="K46" s="20"/>
      <c r="L46" s="20"/>
      <c r="M46" s="20"/>
      <c r="N46" s="20"/>
      <c r="O46" s="20"/>
      <c r="P46" s="20"/>
      <c r="Q46" s="20"/>
      <c r="R46" s="20"/>
      <c r="S46" s="188"/>
      <c r="T46" s="188"/>
      <c r="U46" s="188"/>
      <c r="V46" s="188"/>
      <c r="W46" s="20"/>
      <c r="X46" s="20"/>
      <c r="Y46" s="20"/>
      <c r="Z46" s="20"/>
      <c r="AA46" s="20"/>
      <c r="AB46" s="20"/>
    </row>
    <row r="47">
      <c r="A47" s="20"/>
      <c r="B47" s="20"/>
      <c r="C47" s="20"/>
      <c r="D47" s="20"/>
      <c r="E47" s="20"/>
      <c r="F47" s="282"/>
      <c r="G47" s="20"/>
      <c r="H47" s="20"/>
      <c r="I47" s="20"/>
      <c r="J47" s="20"/>
      <c r="K47" s="20"/>
      <c r="L47" s="20"/>
      <c r="M47" s="20"/>
      <c r="N47" s="20"/>
      <c r="O47" s="20"/>
      <c r="P47" s="20"/>
      <c r="Q47" s="20"/>
      <c r="R47" s="20"/>
      <c r="S47" s="188"/>
      <c r="T47" s="188"/>
      <c r="U47" s="188"/>
      <c r="V47" s="188"/>
      <c r="W47" s="20"/>
      <c r="X47" s="20"/>
      <c r="Y47" s="20"/>
      <c r="Z47" s="20"/>
      <c r="AA47" s="20"/>
      <c r="AB47" s="20"/>
    </row>
    <row r="48">
      <c r="A48" s="20"/>
      <c r="B48" s="20"/>
      <c r="C48" s="20"/>
      <c r="D48" s="20"/>
      <c r="E48" s="20"/>
      <c r="F48" s="282"/>
      <c r="G48" s="20"/>
      <c r="H48" s="20"/>
      <c r="I48" s="20"/>
      <c r="J48" s="20"/>
      <c r="K48" s="20"/>
      <c r="L48" s="20"/>
      <c r="M48" s="20"/>
      <c r="N48" s="20"/>
      <c r="O48" s="20"/>
      <c r="P48" s="20"/>
      <c r="Q48" s="20"/>
      <c r="R48" s="20"/>
      <c r="S48" s="188"/>
      <c r="T48" s="188"/>
      <c r="U48" s="188"/>
      <c r="V48" s="188"/>
      <c r="W48" s="20"/>
      <c r="X48" s="20"/>
      <c r="Y48" s="20"/>
      <c r="Z48" s="20"/>
      <c r="AA48" s="20"/>
      <c r="AB48" s="20"/>
    </row>
    <row r="49">
      <c r="A49" s="20"/>
      <c r="B49" s="20"/>
      <c r="C49" s="20"/>
      <c r="D49" s="20"/>
      <c r="E49" s="20"/>
      <c r="F49" s="282"/>
      <c r="G49" s="20"/>
      <c r="H49" s="20"/>
      <c r="I49" s="20"/>
      <c r="J49" s="20"/>
      <c r="K49" s="20"/>
      <c r="L49" s="20"/>
      <c r="M49" s="20"/>
      <c r="N49" s="20"/>
      <c r="O49" s="20"/>
      <c r="P49" s="20"/>
      <c r="Q49" s="20"/>
      <c r="R49" s="20"/>
      <c r="S49" s="188"/>
      <c r="T49" s="188"/>
      <c r="U49" s="188"/>
      <c r="V49" s="188"/>
      <c r="W49" s="20"/>
      <c r="X49" s="20"/>
      <c r="Y49" s="20"/>
      <c r="Z49" s="20"/>
      <c r="AA49" s="20"/>
      <c r="AB49" s="20"/>
    </row>
    <row r="50">
      <c r="A50" s="20"/>
      <c r="B50" s="20"/>
      <c r="C50" s="20"/>
      <c r="D50" s="20"/>
      <c r="E50" s="20"/>
      <c r="F50" s="282"/>
      <c r="G50" s="20"/>
      <c r="H50" s="20"/>
      <c r="I50" s="20"/>
      <c r="J50" s="20"/>
      <c r="K50" s="20"/>
      <c r="L50" s="20"/>
      <c r="M50" s="20"/>
      <c r="N50" s="20"/>
      <c r="O50" s="20"/>
      <c r="P50" s="20"/>
      <c r="Q50" s="20"/>
      <c r="R50" s="20"/>
      <c r="S50" s="188"/>
      <c r="T50" s="188"/>
      <c r="U50" s="188"/>
      <c r="V50" s="188"/>
      <c r="W50" s="20"/>
      <c r="X50" s="20"/>
      <c r="Y50" s="20"/>
      <c r="Z50" s="20"/>
      <c r="AA50" s="20"/>
      <c r="AB50" s="20"/>
    </row>
    <row r="51">
      <c r="A51" s="20"/>
      <c r="B51" s="20"/>
      <c r="C51" s="20"/>
      <c r="D51" s="20"/>
      <c r="E51" s="20"/>
      <c r="F51" s="282"/>
      <c r="G51" s="20"/>
      <c r="H51" s="20"/>
      <c r="I51" s="20"/>
      <c r="J51" s="20"/>
      <c r="K51" s="20"/>
      <c r="L51" s="20"/>
      <c r="M51" s="20"/>
      <c r="N51" s="20"/>
      <c r="O51" s="20"/>
      <c r="P51" s="20"/>
      <c r="Q51" s="20"/>
      <c r="R51" s="20"/>
      <c r="S51" s="188"/>
      <c r="T51" s="188"/>
      <c r="U51" s="188"/>
      <c r="V51" s="188"/>
      <c r="W51" s="20"/>
      <c r="X51" s="20"/>
      <c r="Y51" s="20"/>
      <c r="Z51" s="20"/>
      <c r="AA51" s="20"/>
      <c r="AB51" s="20"/>
    </row>
    <row r="52">
      <c r="A52" s="20"/>
      <c r="B52" s="20"/>
      <c r="C52" s="20"/>
      <c r="D52" s="20"/>
      <c r="E52" s="20"/>
      <c r="F52" s="282"/>
      <c r="G52" s="20"/>
      <c r="H52" s="20"/>
      <c r="I52" s="20"/>
      <c r="J52" s="20"/>
      <c r="K52" s="20"/>
      <c r="L52" s="20"/>
      <c r="M52" s="20"/>
      <c r="N52" s="20"/>
      <c r="O52" s="20"/>
      <c r="P52" s="20"/>
      <c r="Q52" s="20"/>
      <c r="R52" s="20"/>
      <c r="S52" s="188"/>
      <c r="T52" s="188"/>
      <c r="U52" s="188"/>
      <c r="V52" s="188"/>
      <c r="W52" s="20"/>
      <c r="X52" s="20"/>
      <c r="Y52" s="20"/>
      <c r="Z52" s="20"/>
      <c r="AA52" s="20"/>
      <c r="AB52" s="20"/>
    </row>
    <row r="53">
      <c r="A53" s="20"/>
      <c r="B53" s="20"/>
      <c r="C53" s="20"/>
      <c r="D53" s="20"/>
      <c r="E53" s="20"/>
      <c r="F53" s="282"/>
      <c r="G53" s="20"/>
      <c r="H53" s="20"/>
      <c r="I53" s="20"/>
      <c r="J53" s="20"/>
      <c r="K53" s="20"/>
      <c r="L53" s="20"/>
      <c r="M53" s="20"/>
      <c r="N53" s="20"/>
      <c r="O53" s="20"/>
      <c r="P53" s="20"/>
      <c r="Q53" s="20"/>
      <c r="R53" s="20"/>
      <c r="S53" s="188"/>
      <c r="T53" s="188"/>
      <c r="U53" s="188"/>
      <c r="V53" s="188"/>
      <c r="W53" s="20"/>
      <c r="X53" s="20"/>
      <c r="Y53" s="20"/>
      <c r="Z53" s="20"/>
      <c r="AA53" s="20"/>
      <c r="AB53" s="20"/>
    </row>
    <row r="54">
      <c r="A54" s="20"/>
      <c r="B54" s="20"/>
      <c r="C54" s="20"/>
      <c r="D54" s="20"/>
      <c r="E54" s="20"/>
      <c r="F54" s="282"/>
      <c r="G54" s="20"/>
      <c r="H54" s="20"/>
      <c r="I54" s="20"/>
      <c r="J54" s="20"/>
      <c r="K54" s="20"/>
      <c r="L54" s="20"/>
      <c r="M54" s="20"/>
      <c r="N54" s="20"/>
      <c r="O54" s="20"/>
      <c r="P54" s="20"/>
      <c r="Q54" s="20"/>
      <c r="R54" s="20"/>
      <c r="S54" s="188"/>
      <c r="T54" s="188"/>
      <c r="U54" s="188"/>
      <c r="V54" s="188"/>
      <c r="W54" s="20"/>
      <c r="X54" s="20"/>
      <c r="Y54" s="20"/>
      <c r="Z54" s="20"/>
      <c r="AA54" s="20"/>
      <c r="AB54" s="20"/>
    </row>
    <row r="55">
      <c r="A55" s="20"/>
      <c r="B55" s="20"/>
      <c r="C55" s="20"/>
      <c r="D55" s="20"/>
      <c r="E55" s="20"/>
      <c r="F55" s="282"/>
      <c r="G55" s="20"/>
      <c r="H55" s="20"/>
      <c r="I55" s="20"/>
      <c r="J55" s="20"/>
      <c r="K55" s="20"/>
      <c r="L55" s="20"/>
      <c r="M55" s="20"/>
      <c r="N55" s="20"/>
      <c r="O55" s="20"/>
      <c r="P55" s="20"/>
      <c r="Q55" s="20"/>
      <c r="R55" s="20"/>
      <c r="S55" s="188"/>
      <c r="T55" s="188"/>
      <c r="U55" s="188"/>
      <c r="V55" s="188"/>
      <c r="W55" s="20"/>
      <c r="X55" s="20"/>
      <c r="Y55" s="20"/>
      <c r="Z55" s="20"/>
      <c r="AA55" s="20"/>
      <c r="AB55" s="20"/>
    </row>
    <row r="56">
      <c r="A56" s="20"/>
      <c r="B56" s="20"/>
      <c r="C56" s="20"/>
      <c r="D56" s="20"/>
      <c r="E56" s="20"/>
      <c r="F56" s="282"/>
      <c r="G56" s="20"/>
      <c r="H56" s="20"/>
      <c r="I56" s="20"/>
      <c r="J56" s="20"/>
      <c r="K56" s="20"/>
      <c r="L56" s="20"/>
      <c r="M56" s="20"/>
      <c r="N56" s="20"/>
      <c r="O56" s="20"/>
      <c r="P56" s="20"/>
      <c r="Q56" s="20"/>
      <c r="R56" s="20"/>
      <c r="S56" s="188"/>
      <c r="T56" s="188"/>
      <c r="U56" s="188"/>
      <c r="V56" s="188"/>
      <c r="W56" s="20"/>
      <c r="X56" s="20"/>
      <c r="Y56" s="20"/>
      <c r="Z56" s="20"/>
      <c r="AA56" s="20"/>
      <c r="AB56" s="20"/>
    </row>
    <row r="57">
      <c r="A57" s="20"/>
      <c r="B57" s="20"/>
      <c r="C57" s="20"/>
      <c r="D57" s="20"/>
      <c r="E57" s="20"/>
      <c r="F57" s="282"/>
      <c r="G57" s="20"/>
      <c r="H57" s="20"/>
      <c r="I57" s="20"/>
      <c r="J57" s="20"/>
      <c r="K57" s="20"/>
      <c r="L57" s="20"/>
      <c r="M57" s="20"/>
      <c r="N57" s="20"/>
      <c r="O57" s="20"/>
      <c r="P57" s="20"/>
      <c r="Q57" s="20"/>
      <c r="R57" s="20"/>
      <c r="S57" s="188"/>
      <c r="T57" s="188"/>
      <c r="U57" s="188"/>
      <c r="V57" s="188"/>
      <c r="W57" s="20"/>
      <c r="X57" s="20"/>
      <c r="Y57" s="20"/>
      <c r="Z57" s="20"/>
      <c r="AA57" s="20"/>
      <c r="AB57" s="20"/>
    </row>
    <row r="58">
      <c r="A58" s="20"/>
      <c r="B58" s="20"/>
      <c r="C58" s="20"/>
      <c r="D58" s="20"/>
      <c r="E58" s="20"/>
      <c r="F58" s="282"/>
      <c r="G58" s="20"/>
      <c r="H58" s="20"/>
      <c r="I58" s="20"/>
      <c r="J58" s="20"/>
      <c r="K58" s="20"/>
      <c r="L58" s="20"/>
      <c r="M58" s="20"/>
      <c r="N58" s="20"/>
      <c r="O58" s="20"/>
      <c r="P58" s="20"/>
      <c r="Q58" s="20"/>
      <c r="R58" s="20"/>
      <c r="S58" s="188"/>
      <c r="T58" s="188"/>
      <c r="U58" s="188"/>
      <c r="V58" s="188"/>
      <c r="W58" s="20"/>
      <c r="X58" s="20"/>
      <c r="Y58" s="20"/>
      <c r="Z58" s="20"/>
      <c r="AA58" s="20"/>
      <c r="AB58" s="20"/>
    </row>
    <row r="59">
      <c r="A59" s="20"/>
      <c r="B59" s="20"/>
      <c r="C59" s="20"/>
      <c r="D59" s="20"/>
      <c r="E59" s="20"/>
      <c r="F59" s="282"/>
      <c r="G59" s="20"/>
      <c r="H59" s="20"/>
      <c r="I59" s="20"/>
      <c r="J59" s="20"/>
      <c r="K59" s="20"/>
      <c r="L59" s="20"/>
      <c r="M59" s="20"/>
      <c r="N59" s="20"/>
      <c r="O59" s="20"/>
      <c r="P59" s="20"/>
      <c r="Q59" s="20"/>
      <c r="R59" s="20"/>
      <c r="S59" s="188"/>
      <c r="T59" s="188"/>
      <c r="U59" s="188"/>
      <c r="V59" s="188"/>
      <c r="W59" s="20"/>
      <c r="X59" s="20"/>
      <c r="Y59" s="20"/>
      <c r="Z59" s="20"/>
      <c r="AA59" s="20"/>
      <c r="AB59" s="20"/>
    </row>
    <row r="60">
      <c r="A60" s="20"/>
      <c r="B60" s="20"/>
      <c r="C60" s="20"/>
      <c r="D60" s="20"/>
      <c r="E60" s="20"/>
      <c r="F60" s="282"/>
      <c r="G60" s="20"/>
      <c r="H60" s="20"/>
      <c r="I60" s="20"/>
      <c r="J60" s="20"/>
      <c r="K60" s="20"/>
      <c r="L60" s="20"/>
      <c r="M60" s="20"/>
      <c r="N60" s="20"/>
      <c r="O60" s="20"/>
      <c r="P60" s="20"/>
      <c r="Q60" s="20"/>
      <c r="R60" s="20"/>
      <c r="S60" s="188"/>
      <c r="T60" s="188"/>
      <c r="U60" s="188"/>
      <c r="V60" s="188"/>
      <c r="W60" s="20"/>
      <c r="X60" s="20"/>
      <c r="Y60" s="20"/>
      <c r="Z60" s="20"/>
      <c r="AA60" s="20"/>
      <c r="AB60" s="20"/>
    </row>
    <row r="61">
      <c r="A61" s="20"/>
      <c r="B61" s="20"/>
      <c r="C61" s="20"/>
      <c r="D61" s="20"/>
      <c r="E61" s="20"/>
      <c r="F61" s="282"/>
      <c r="G61" s="20"/>
      <c r="H61" s="20"/>
      <c r="I61" s="20"/>
      <c r="J61" s="20"/>
      <c r="K61" s="20"/>
      <c r="L61" s="20"/>
      <c r="M61" s="20"/>
      <c r="N61" s="20"/>
      <c r="O61" s="20"/>
      <c r="P61" s="20"/>
      <c r="Q61" s="20"/>
      <c r="R61" s="20"/>
      <c r="S61" s="188"/>
      <c r="T61" s="188"/>
      <c r="U61" s="188"/>
      <c r="V61" s="188"/>
      <c r="W61" s="20"/>
      <c r="X61" s="20"/>
      <c r="Y61" s="20"/>
      <c r="Z61" s="20"/>
      <c r="AA61" s="20"/>
      <c r="AB61" s="20"/>
    </row>
    <row r="62">
      <c r="A62" s="20"/>
      <c r="B62" s="20"/>
      <c r="C62" s="20"/>
      <c r="D62" s="20"/>
      <c r="E62" s="20"/>
      <c r="F62" s="282"/>
      <c r="G62" s="20"/>
      <c r="H62" s="20"/>
      <c r="I62" s="20"/>
      <c r="J62" s="20"/>
      <c r="K62" s="20"/>
      <c r="L62" s="20"/>
      <c r="M62" s="20"/>
      <c r="N62" s="20"/>
      <c r="O62" s="20"/>
      <c r="P62" s="20"/>
      <c r="Q62" s="20"/>
      <c r="R62" s="20"/>
      <c r="S62" s="188"/>
      <c r="T62" s="188"/>
      <c r="U62" s="188"/>
      <c r="V62" s="188"/>
      <c r="W62" s="20"/>
      <c r="X62" s="20"/>
      <c r="Y62" s="20"/>
      <c r="Z62" s="20"/>
      <c r="AA62" s="20"/>
      <c r="AB62" s="20"/>
    </row>
    <row r="63">
      <c r="A63" s="20"/>
      <c r="B63" s="20"/>
      <c r="C63" s="20"/>
      <c r="D63" s="20"/>
      <c r="E63" s="20"/>
      <c r="F63" s="282"/>
      <c r="G63" s="20"/>
      <c r="H63" s="20"/>
      <c r="I63" s="20"/>
      <c r="J63" s="20"/>
      <c r="K63" s="20"/>
      <c r="L63" s="20"/>
      <c r="M63" s="20"/>
      <c r="N63" s="20"/>
      <c r="O63" s="20"/>
      <c r="P63" s="20"/>
      <c r="Q63" s="20"/>
      <c r="R63" s="20"/>
      <c r="S63" s="188"/>
      <c r="T63" s="188"/>
      <c r="U63" s="188"/>
      <c r="V63" s="188"/>
      <c r="W63" s="20"/>
      <c r="X63" s="20"/>
      <c r="Y63" s="20"/>
      <c r="Z63" s="20"/>
      <c r="AA63" s="20"/>
      <c r="AB63" s="20"/>
    </row>
    <row r="64">
      <c r="A64" s="20"/>
      <c r="B64" s="20"/>
      <c r="C64" s="20"/>
      <c r="D64" s="20"/>
      <c r="E64" s="20"/>
      <c r="F64" s="282"/>
      <c r="G64" s="20"/>
      <c r="H64" s="20"/>
      <c r="I64" s="20"/>
      <c r="J64" s="20"/>
      <c r="K64" s="20"/>
      <c r="L64" s="20"/>
      <c r="M64" s="20"/>
      <c r="N64" s="20"/>
      <c r="O64" s="20"/>
      <c r="P64" s="20"/>
      <c r="Q64" s="20"/>
      <c r="R64" s="20"/>
      <c r="S64" s="188"/>
      <c r="T64" s="188"/>
      <c r="U64" s="188"/>
      <c r="V64" s="188"/>
      <c r="W64" s="20"/>
      <c r="X64" s="20"/>
      <c r="Y64" s="20"/>
      <c r="Z64" s="20"/>
      <c r="AA64" s="20"/>
      <c r="AB64" s="20"/>
    </row>
    <row r="65">
      <c r="A65" s="20"/>
      <c r="B65" s="20"/>
      <c r="C65" s="20"/>
      <c r="D65" s="20"/>
      <c r="E65" s="20"/>
      <c r="F65" s="282"/>
      <c r="G65" s="20"/>
      <c r="H65" s="20"/>
      <c r="I65" s="20"/>
      <c r="J65" s="20"/>
      <c r="K65" s="20"/>
      <c r="L65" s="20"/>
      <c r="M65" s="20"/>
      <c r="N65" s="20"/>
      <c r="O65" s="20"/>
      <c r="P65" s="20"/>
      <c r="Q65" s="20"/>
      <c r="R65" s="20"/>
      <c r="S65" s="188"/>
      <c r="T65" s="188"/>
      <c r="U65" s="188"/>
      <c r="V65" s="188"/>
      <c r="W65" s="20"/>
      <c r="X65" s="20"/>
      <c r="Y65" s="20"/>
      <c r="Z65" s="20"/>
      <c r="AA65" s="20"/>
      <c r="AB65" s="20"/>
    </row>
    <row r="66">
      <c r="A66" s="20"/>
      <c r="B66" s="20"/>
      <c r="C66" s="20"/>
      <c r="D66" s="20"/>
      <c r="E66" s="20"/>
      <c r="F66" s="282"/>
      <c r="G66" s="20"/>
      <c r="H66" s="20"/>
      <c r="I66" s="20"/>
      <c r="J66" s="20"/>
      <c r="K66" s="20"/>
      <c r="L66" s="20"/>
      <c r="M66" s="20"/>
      <c r="N66" s="20"/>
      <c r="O66" s="20"/>
      <c r="P66" s="20"/>
      <c r="Q66" s="20"/>
      <c r="R66" s="20"/>
      <c r="S66" s="188"/>
      <c r="T66" s="188"/>
      <c r="U66" s="188"/>
      <c r="V66" s="188"/>
      <c r="W66" s="20"/>
      <c r="X66" s="20"/>
      <c r="Y66" s="20"/>
      <c r="Z66" s="20"/>
      <c r="AA66" s="20"/>
      <c r="AB66" s="20"/>
    </row>
    <row r="67">
      <c r="A67" s="20"/>
      <c r="B67" s="20"/>
      <c r="C67" s="20"/>
      <c r="D67" s="20"/>
      <c r="E67" s="20"/>
      <c r="F67" s="282"/>
      <c r="G67" s="20"/>
      <c r="H67" s="20"/>
      <c r="I67" s="20"/>
      <c r="J67" s="20"/>
      <c r="K67" s="20"/>
      <c r="L67" s="20"/>
      <c r="M67" s="20"/>
      <c r="N67" s="20"/>
      <c r="O67" s="20"/>
      <c r="P67" s="20"/>
      <c r="Q67" s="20"/>
      <c r="R67" s="20"/>
      <c r="S67" s="188"/>
      <c r="T67" s="188"/>
      <c r="U67" s="188"/>
      <c r="V67" s="188"/>
      <c r="W67" s="20"/>
      <c r="X67" s="20"/>
      <c r="Y67" s="20"/>
      <c r="Z67" s="20"/>
      <c r="AA67" s="20"/>
      <c r="AB67" s="20"/>
    </row>
    <row r="68">
      <c r="A68" s="20"/>
      <c r="B68" s="20"/>
      <c r="C68" s="20"/>
      <c r="D68" s="20"/>
      <c r="E68" s="20"/>
      <c r="F68" s="282"/>
      <c r="G68" s="20"/>
      <c r="H68" s="20"/>
      <c r="I68" s="20"/>
      <c r="J68" s="20"/>
      <c r="K68" s="20"/>
      <c r="L68" s="20"/>
      <c r="M68" s="20"/>
      <c r="N68" s="20"/>
      <c r="O68" s="20"/>
      <c r="P68" s="20"/>
      <c r="Q68" s="20"/>
      <c r="R68" s="20"/>
      <c r="S68" s="188"/>
      <c r="T68" s="188"/>
      <c r="U68" s="188"/>
      <c r="V68" s="188"/>
      <c r="W68" s="20"/>
      <c r="X68" s="20"/>
      <c r="Y68" s="20"/>
      <c r="Z68" s="20"/>
      <c r="AA68" s="20"/>
      <c r="AB68" s="20"/>
    </row>
    <row r="69">
      <c r="A69" s="20"/>
      <c r="B69" s="20"/>
      <c r="C69" s="20"/>
      <c r="D69" s="20"/>
      <c r="E69" s="20"/>
      <c r="F69" s="282"/>
      <c r="G69" s="20"/>
      <c r="H69" s="20"/>
      <c r="I69" s="20"/>
      <c r="J69" s="20"/>
      <c r="K69" s="20"/>
      <c r="L69" s="20"/>
      <c r="M69" s="20"/>
      <c r="N69" s="20"/>
      <c r="O69" s="20"/>
      <c r="P69" s="20"/>
      <c r="Q69" s="20"/>
      <c r="R69" s="20"/>
      <c r="S69" s="188"/>
      <c r="T69" s="188"/>
      <c r="U69" s="188"/>
      <c r="V69" s="188"/>
      <c r="W69" s="20"/>
      <c r="X69" s="20"/>
      <c r="Y69" s="20"/>
      <c r="Z69" s="20"/>
      <c r="AA69" s="20"/>
      <c r="AB69" s="20"/>
    </row>
    <row r="70">
      <c r="A70" s="20"/>
      <c r="B70" s="20"/>
      <c r="C70" s="20"/>
      <c r="D70" s="20"/>
      <c r="E70" s="20"/>
      <c r="F70" s="282"/>
      <c r="G70" s="20"/>
      <c r="H70" s="20"/>
      <c r="I70" s="20"/>
      <c r="J70" s="20"/>
      <c r="K70" s="20"/>
      <c r="L70" s="20"/>
      <c r="M70" s="20"/>
      <c r="N70" s="20"/>
      <c r="O70" s="20"/>
      <c r="P70" s="20"/>
      <c r="Q70" s="20"/>
      <c r="R70" s="20"/>
      <c r="S70" s="188"/>
      <c r="T70" s="188"/>
      <c r="U70" s="188"/>
      <c r="V70" s="188"/>
      <c r="W70" s="20"/>
      <c r="X70" s="20"/>
      <c r="Y70" s="20"/>
      <c r="Z70" s="20"/>
      <c r="AA70" s="20"/>
      <c r="AB70" s="20"/>
    </row>
    <row r="71">
      <c r="A71" s="20"/>
      <c r="B71" s="20"/>
      <c r="C71" s="20"/>
      <c r="D71" s="20"/>
      <c r="E71" s="20"/>
      <c r="F71" s="282"/>
      <c r="G71" s="20"/>
      <c r="H71" s="20"/>
      <c r="I71" s="20"/>
      <c r="J71" s="20"/>
      <c r="K71" s="20"/>
      <c r="L71" s="20"/>
      <c r="M71" s="20"/>
      <c r="N71" s="20"/>
      <c r="O71" s="20"/>
      <c r="P71" s="20"/>
      <c r="Q71" s="20"/>
      <c r="R71" s="20"/>
      <c r="S71" s="188"/>
      <c r="T71" s="188"/>
      <c r="U71" s="188"/>
      <c r="V71" s="188"/>
      <c r="W71" s="20"/>
      <c r="X71" s="20"/>
      <c r="Y71" s="20"/>
      <c r="Z71" s="20"/>
      <c r="AA71" s="20"/>
      <c r="AB71" s="20"/>
    </row>
    <row r="72">
      <c r="A72" s="20"/>
      <c r="B72" s="20"/>
      <c r="C72" s="20"/>
      <c r="D72" s="20"/>
      <c r="E72" s="20"/>
      <c r="F72" s="282"/>
      <c r="G72" s="20"/>
      <c r="H72" s="20"/>
      <c r="I72" s="20"/>
      <c r="J72" s="20"/>
      <c r="K72" s="20"/>
      <c r="L72" s="20"/>
      <c r="M72" s="20"/>
      <c r="N72" s="20"/>
      <c r="O72" s="20"/>
      <c r="P72" s="20"/>
      <c r="Q72" s="20"/>
      <c r="R72" s="20"/>
      <c r="S72" s="188"/>
      <c r="T72" s="188"/>
      <c r="U72" s="188"/>
      <c r="V72" s="188"/>
      <c r="W72" s="20"/>
      <c r="X72" s="20"/>
      <c r="Y72" s="20"/>
      <c r="Z72" s="20"/>
      <c r="AA72" s="20"/>
      <c r="AB72" s="20"/>
    </row>
    <row r="73">
      <c r="A73" s="20"/>
      <c r="B73" s="20"/>
      <c r="C73" s="20"/>
      <c r="D73" s="20"/>
      <c r="E73" s="20"/>
      <c r="F73" s="282"/>
      <c r="G73" s="20"/>
      <c r="H73" s="20"/>
      <c r="I73" s="20"/>
      <c r="J73" s="20"/>
      <c r="K73" s="20"/>
      <c r="L73" s="20"/>
      <c r="M73" s="20"/>
      <c r="N73" s="20"/>
      <c r="O73" s="20"/>
      <c r="P73" s="20"/>
      <c r="Q73" s="20"/>
      <c r="R73" s="20"/>
      <c r="S73" s="188"/>
      <c r="T73" s="188"/>
      <c r="U73" s="188"/>
      <c r="V73" s="188"/>
      <c r="W73" s="20"/>
      <c r="X73" s="20"/>
      <c r="Y73" s="20"/>
      <c r="Z73" s="20"/>
      <c r="AA73" s="20"/>
      <c r="AB73" s="20"/>
    </row>
    <row r="74">
      <c r="A74" s="20"/>
      <c r="B74" s="20"/>
      <c r="C74" s="20"/>
      <c r="D74" s="20"/>
      <c r="E74" s="20"/>
      <c r="F74" s="282"/>
      <c r="G74" s="20"/>
      <c r="H74" s="20"/>
      <c r="I74" s="20"/>
      <c r="J74" s="20"/>
      <c r="K74" s="20"/>
      <c r="L74" s="20"/>
      <c r="M74" s="20"/>
      <c r="N74" s="20"/>
      <c r="O74" s="20"/>
      <c r="P74" s="20"/>
      <c r="Q74" s="20"/>
      <c r="R74" s="20"/>
      <c r="S74" s="188"/>
      <c r="T74" s="188"/>
      <c r="U74" s="188"/>
      <c r="V74" s="188"/>
      <c r="W74" s="20"/>
      <c r="X74" s="20"/>
      <c r="Y74" s="20"/>
      <c r="Z74" s="20"/>
      <c r="AA74" s="20"/>
      <c r="AB74" s="20"/>
    </row>
    <row r="75">
      <c r="A75" s="20"/>
      <c r="B75" s="20"/>
      <c r="C75" s="20"/>
      <c r="D75" s="20"/>
      <c r="E75" s="20"/>
      <c r="F75" s="282"/>
      <c r="G75" s="20"/>
      <c r="H75" s="20"/>
      <c r="I75" s="20"/>
      <c r="J75" s="20"/>
      <c r="K75" s="20"/>
      <c r="L75" s="20"/>
      <c r="M75" s="20"/>
      <c r="N75" s="20"/>
      <c r="O75" s="20"/>
      <c r="P75" s="20"/>
      <c r="Q75" s="20"/>
      <c r="R75" s="20"/>
      <c r="S75" s="188"/>
      <c r="T75" s="188"/>
      <c r="U75" s="188"/>
      <c r="V75" s="188"/>
      <c r="W75" s="20"/>
      <c r="X75" s="20"/>
      <c r="Y75" s="20"/>
      <c r="Z75" s="20"/>
      <c r="AA75" s="20"/>
      <c r="AB75" s="20"/>
    </row>
    <row r="76">
      <c r="A76" s="20"/>
      <c r="B76" s="20"/>
      <c r="C76" s="20"/>
      <c r="D76" s="20"/>
      <c r="E76" s="20"/>
      <c r="F76" s="282"/>
      <c r="G76" s="20"/>
      <c r="H76" s="20"/>
      <c r="I76" s="20"/>
      <c r="J76" s="20"/>
      <c r="K76" s="20"/>
      <c r="L76" s="20"/>
      <c r="M76" s="20"/>
      <c r="N76" s="20"/>
      <c r="O76" s="20"/>
      <c r="P76" s="20"/>
      <c r="Q76" s="20"/>
      <c r="R76" s="20"/>
      <c r="S76" s="188"/>
      <c r="T76" s="188"/>
      <c r="U76" s="188"/>
      <c r="V76" s="188"/>
      <c r="W76" s="20"/>
      <c r="X76" s="20"/>
      <c r="Y76" s="20"/>
      <c r="Z76" s="20"/>
      <c r="AA76" s="20"/>
      <c r="AB76" s="20"/>
    </row>
    <row r="77">
      <c r="A77" s="20"/>
      <c r="B77" s="20"/>
      <c r="C77" s="20"/>
      <c r="D77" s="20"/>
      <c r="E77" s="20"/>
      <c r="F77" s="282"/>
      <c r="G77" s="20"/>
      <c r="H77" s="20"/>
      <c r="I77" s="20"/>
      <c r="J77" s="20"/>
      <c r="K77" s="20"/>
      <c r="L77" s="20"/>
      <c r="M77" s="20"/>
      <c r="N77" s="20"/>
      <c r="O77" s="20"/>
      <c r="P77" s="20"/>
      <c r="Q77" s="20"/>
      <c r="R77" s="20"/>
      <c r="S77" s="188"/>
      <c r="T77" s="188"/>
      <c r="U77" s="188"/>
      <c r="V77" s="188"/>
      <c r="W77" s="20"/>
      <c r="X77" s="20"/>
      <c r="Y77" s="20"/>
      <c r="Z77" s="20"/>
      <c r="AA77" s="20"/>
      <c r="AB77" s="20"/>
    </row>
    <row r="78">
      <c r="A78" s="20"/>
      <c r="B78" s="20"/>
      <c r="C78" s="20"/>
      <c r="D78" s="20"/>
      <c r="E78" s="20"/>
      <c r="F78" s="282"/>
      <c r="G78" s="20"/>
      <c r="H78" s="20"/>
      <c r="I78" s="20"/>
      <c r="J78" s="20"/>
      <c r="K78" s="20"/>
      <c r="L78" s="20"/>
      <c r="M78" s="20"/>
      <c r="N78" s="20"/>
      <c r="O78" s="20"/>
      <c r="P78" s="20"/>
      <c r="Q78" s="20"/>
      <c r="R78" s="20"/>
      <c r="S78" s="188"/>
      <c r="T78" s="188"/>
      <c r="U78" s="188"/>
      <c r="V78" s="188"/>
      <c r="W78" s="20"/>
      <c r="X78" s="20"/>
      <c r="Y78" s="20"/>
      <c r="Z78" s="20"/>
      <c r="AA78" s="20"/>
      <c r="AB78" s="20"/>
    </row>
    <row r="79">
      <c r="A79" s="20"/>
      <c r="B79" s="20"/>
      <c r="C79" s="20"/>
      <c r="D79" s="20"/>
      <c r="E79" s="20"/>
      <c r="F79" s="282"/>
      <c r="G79" s="20"/>
      <c r="H79" s="20"/>
      <c r="I79" s="20"/>
      <c r="J79" s="20"/>
      <c r="K79" s="20"/>
      <c r="L79" s="20"/>
      <c r="M79" s="20"/>
      <c r="N79" s="20"/>
      <c r="O79" s="20"/>
      <c r="P79" s="20"/>
      <c r="Q79" s="20"/>
      <c r="R79" s="20"/>
      <c r="S79" s="188"/>
      <c r="T79" s="188"/>
      <c r="U79" s="188"/>
      <c r="V79" s="188"/>
      <c r="W79" s="20"/>
      <c r="X79" s="20"/>
      <c r="Y79" s="20"/>
      <c r="Z79" s="20"/>
      <c r="AA79" s="20"/>
      <c r="AB79" s="20"/>
    </row>
    <row r="80">
      <c r="A80" s="20"/>
      <c r="B80" s="20"/>
      <c r="C80" s="20"/>
      <c r="D80" s="20"/>
      <c r="E80" s="20"/>
      <c r="F80" s="282"/>
      <c r="G80" s="20"/>
      <c r="H80" s="20"/>
      <c r="I80" s="20"/>
      <c r="J80" s="20"/>
      <c r="K80" s="20"/>
      <c r="L80" s="20"/>
      <c r="M80" s="20"/>
      <c r="N80" s="20"/>
      <c r="O80" s="20"/>
      <c r="P80" s="20"/>
      <c r="Q80" s="20"/>
      <c r="R80" s="20"/>
      <c r="S80" s="188"/>
      <c r="T80" s="188"/>
      <c r="U80" s="188"/>
      <c r="V80" s="188"/>
      <c r="W80" s="20"/>
      <c r="X80" s="20"/>
      <c r="Y80" s="20"/>
      <c r="Z80" s="20"/>
      <c r="AA80" s="20"/>
      <c r="AB80" s="20"/>
    </row>
    <row r="81">
      <c r="A81" s="20"/>
      <c r="B81" s="20"/>
      <c r="C81" s="20"/>
      <c r="D81" s="20"/>
      <c r="E81" s="20"/>
      <c r="F81" s="282"/>
      <c r="G81" s="20"/>
      <c r="H81" s="20"/>
      <c r="I81" s="20"/>
      <c r="J81" s="20"/>
      <c r="K81" s="20"/>
      <c r="L81" s="20"/>
      <c r="M81" s="20"/>
      <c r="N81" s="20"/>
      <c r="O81" s="20"/>
      <c r="P81" s="20"/>
      <c r="Q81" s="20"/>
      <c r="R81" s="20"/>
      <c r="S81" s="188"/>
      <c r="T81" s="188"/>
      <c r="U81" s="188"/>
      <c r="V81" s="188"/>
      <c r="W81" s="20"/>
      <c r="X81" s="20"/>
      <c r="Y81" s="20"/>
      <c r="Z81" s="20"/>
      <c r="AA81" s="20"/>
      <c r="AB81" s="20"/>
    </row>
    <row r="82">
      <c r="A82" s="20"/>
      <c r="B82" s="20"/>
      <c r="C82" s="20"/>
      <c r="D82" s="20"/>
      <c r="E82" s="20"/>
      <c r="F82" s="282"/>
      <c r="G82" s="20"/>
      <c r="H82" s="20"/>
      <c r="I82" s="20"/>
      <c r="J82" s="20"/>
      <c r="K82" s="20"/>
      <c r="L82" s="20"/>
      <c r="M82" s="20"/>
      <c r="N82" s="20"/>
      <c r="O82" s="20"/>
      <c r="P82" s="20"/>
      <c r="Q82" s="20"/>
      <c r="R82" s="20"/>
      <c r="S82" s="188"/>
      <c r="T82" s="188"/>
      <c r="U82" s="188"/>
      <c r="V82" s="188"/>
      <c r="W82" s="20"/>
      <c r="X82" s="20"/>
      <c r="Y82" s="20"/>
      <c r="Z82" s="20"/>
      <c r="AA82" s="20"/>
      <c r="AB82" s="20"/>
    </row>
    <row r="83">
      <c r="A83" s="20"/>
      <c r="B83" s="20"/>
      <c r="C83" s="20"/>
      <c r="D83" s="20"/>
      <c r="E83" s="20"/>
      <c r="F83" s="282"/>
      <c r="G83" s="20"/>
      <c r="H83" s="20"/>
      <c r="I83" s="20"/>
      <c r="J83" s="20"/>
      <c r="K83" s="20"/>
      <c r="L83" s="20"/>
      <c r="M83" s="20"/>
      <c r="N83" s="20"/>
      <c r="O83" s="20"/>
      <c r="P83" s="20"/>
      <c r="Q83" s="20"/>
      <c r="R83" s="20"/>
      <c r="S83" s="188"/>
      <c r="T83" s="188"/>
      <c r="U83" s="188"/>
      <c r="V83" s="188"/>
      <c r="W83" s="20"/>
      <c r="X83" s="20"/>
      <c r="Y83" s="20"/>
      <c r="Z83" s="20"/>
      <c r="AA83" s="20"/>
      <c r="AB83" s="20"/>
    </row>
    <row r="84">
      <c r="A84" s="20"/>
      <c r="B84" s="20"/>
      <c r="C84" s="20"/>
      <c r="D84" s="20"/>
      <c r="E84" s="20"/>
      <c r="F84" s="282"/>
      <c r="G84" s="20"/>
      <c r="H84" s="20"/>
      <c r="I84" s="20"/>
      <c r="J84" s="20"/>
      <c r="K84" s="20"/>
      <c r="L84" s="20"/>
      <c r="M84" s="20"/>
      <c r="N84" s="20"/>
      <c r="O84" s="20"/>
      <c r="P84" s="20"/>
      <c r="Q84" s="20"/>
      <c r="R84" s="20"/>
      <c r="S84" s="188"/>
      <c r="T84" s="188"/>
      <c r="U84" s="188"/>
      <c r="V84" s="188"/>
      <c r="W84" s="20"/>
      <c r="X84" s="20"/>
      <c r="Y84" s="20"/>
      <c r="Z84" s="20"/>
      <c r="AA84" s="20"/>
      <c r="AB84" s="20"/>
    </row>
    <row r="85">
      <c r="A85" s="20"/>
      <c r="B85" s="20"/>
      <c r="C85" s="20"/>
      <c r="D85" s="20"/>
      <c r="E85" s="20"/>
      <c r="F85" s="282"/>
      <c r="G85" s="20"/>
      <c r="H85" s="20"/>
      <c r="I85" s="20"/>
      <c r="J85" s="20"/>
      <c r="K85" s="20"/>
      <c r="L85" s="20"/>
      <c r="M85" s="20"/>
      <c r="N85" s="20"/>
      <c r="O85" s="20"/>
      <c r="P85" s="20"/>
      <c r="Q85" s="20"/>
      <c r="R85" s="20"/>
      <c r="S85" s="188"/>
      <c r="T85" s="188"/>
      <c r="U85" s="188"/>
      <c r="V85" s="188"/>
      <c r="W85" s="20"/>
      <c r="X85" s="20"/>
      <c r="Y85" s="20"/>
      <c r="Z85" s="20"/>
      <c r="AA85" s="20"/>
      <c r="AB85" s="20"/>
    </row>
    <row r="86">
      <c r="A86" s="20"/>
      <c r="B86" s="20"/>
      <c r="C86" s="20"/>
      <c r="D86" s="20"/>
      <c r="E86" s="20"/>
      <c r="F86" s="282"/>
      <c r="G86" s="20"/>
      <c r="H86" s="20"/>
      <c r="I86" s="20"/>
      <c r="J86" s="20"/>
      <c r="K86" s="20"/>
      <c r="L86" s="20"/>
      <c r="M86" s="20"/>
      <c r="N86" s="20"/>
      <c r="O86" s="20"/>
      <c r="P86" s="20"/>
      <c r="Q86" s="20"/>
      <c r="R86" s="20"/>
      <c r="S86" s="188"/>
      <c r="T86" s="188"/>
      <c r="U86" s="188"/>
      <c r="V86" s="188"/>
      <c r="W86" s="20"/>
      <c r="X86" s="20"/>
      <c r="Y86" s="20"/>
      <c r="Z86" s="20"/>
      <c r="AA86" s="20"/>
      <c r="AB86" s="20"/>
    </row>
    <row r="87">
      <c r="A87" s="20"/>
      <c r="B87" s="20"/>
      <c r="C87" s="20"/>
      <c r="D87" s="20"/>
      <c r="E87" s="20"/>
      <c r="F87" s="282"/>
      <c r="G87" s="20"/>
      <c r="H87" s="20"/>
      <c r="I87" s="20"/>
      <c r="J87" s="20"/>
      <c r="K87" s="20"/>
      <c r="L87" s="20"/>
      <c r="M87" s="20"/>
      <c r="N87" s="20"/>
      <c r="O87" s="20"/>
      <c r="P87" s="20"/>
      <c r="Q87" s="20"/>
      <c r="R87" s="20"/>
      <c r="S87" s="188"/>
      <c r="T87" s="188"/>
      <c r="U87" s="188"/>
      <c r="V87" s="188"/>
      <c r="W87" s="20"/>
      <c r="X87" s="20"/>
      <c r="Y87" s="20"/>
      <c r="Z87" s="20"/>
      <c r="AA87" s="20"/>
      <c r="AB87" s="20"/>
    </row>
    <row r="88">
      <c r="A88" s="20"/>
      <c r="B88" s="20"/>
      <c r="C88" s="20"/>
      <c r="D88" s="20"/>
      <c r="E88" s="20"/>
      <c r="F88" s="282"/>
      <c r="G88" s="20"/>
      <c r="H88" s="20"/>
      <c r="I88" s="20"/>
      <c r="J88" s="20"/>
      <c r="K88" s="20"/>
      <c r="L88" s="20"/>
      <c r="M88" s="20"/>
      <c r="N88" s="20"/>
      <c r="O88" s="20"/>
      <c r="P88" s="20"/>
      <c r="Q88" s="20"/>
      <c r="R88" s="20"/>
      <c r="S88" s="188"/>
      <c r="T88" s="188"/>
      <c r="U88" s="188"/>
      <c r="V88" s="188"/>
      <c r="W88" s="20"/>
      <c r="X88" s="20"/>
      <c r="Y88" s="20"/>
      <c r="Z88" s="20"/>
      <c r="AA88" s="20"/>
      <c r="AB88" s="20"/>
    </row>
    <row r="89">
      <c r="A89" s="20"/>
      <c r="B89" s="20"/>
      <c r="C89" s="20"/>
      <c r="D89" s="20"/>
      <c r="E89" s="20"/>
      <c r="F89" s="282"/>
      <c r="G89" s="20"/>
      <c r="H89" s="20"/>
      <c r="I89" s="20"/>
      <c r="J89" s="20"/>
      <c r="K89" s="20"/>
      <c r="L89" s="20"/>
      <c r="M89" s="20"/>
      <c r="N89" s="20"/>
      <c r="O89" s="20"/>
      <c r="P89" s="20"/>
      <c r="Q89" s="20"/>
      <c r="R89" s="20"/>
      <c r="S89" s="188"/>
      <c r="T89" s="188"/>
      <c r="U89" s="188"/>
      <c r="V89" s="188"/>
      <c r="W89" s="20"/>
      <c r="X89" s="20"/>
      <c r="Y89" s="20"/>
      <c r="Z89" s="20"/>
      <c r="AA89" s="20"/>
      <c r="AB89" s="20"/>
    </row>
    <row r="90">
      <c r="A90" s="20"/>
      <c r="B90" s="20"/>
      <c r="C90" s="20"/>
      <c r="D90" s="20"/>
      <c r="E90" s="20"/>
      <c r="F90" s="282"/>
      <c r="G90" s="20"/>
      <c r="H90" s="20"/>
      <c r="I90" s="20"/>
      <c r="J90" s="20"/>
      <c r="K90" s="20"/>
      <c r="L90" s="20"/>
      <c r="M90" s="20"/>
      <c r="N90" s="20"/>
      <c r="O90" s="20"/>
      <c r="P90" s="20"/>
      <c r="Q90" s="20"/>
      <c r="R90" s="20"/>
      <c r="S90" s="188"/>
      <c r="T90" s="188"/>
      <c r="U90" s="188"/>
      <c r="V90" s="188"/>
      <c r="W90" s="20"/>
      <c r="X90" s="20"/>
      <c r="Y90" s="20"/>
      <c r="Z90" s="20"/>
      <c r="AA90" s="20"/>
      <c r="AB90" s="20"/>
    </row>
    <row r="91">
      <c r="A91" s="20"/>
      <c r="B91" s="20"/>
      <c r="C91" s="20"/>
      <c r="D91" s="20"/>
      <c r="E91" s="20"/>
      <c r="F91" s="282"/>
      <c r="G91" s="20"/>
      <c r="H91" s="20"/>
      <c r="I91" s="20"/>
      <c r="J91" s="20"/>
      <c r="K91" s="20"/>
      <c r="L91" s="20"/>
      <c r="M91" s="20"/>
      <c r="N91" s="20"/>
      <c r="O91" s="20"/>
      <c r="P91" s="20"/>
      <c r="Q91" s="20"/>
      <c r="R91" s="20"/>
      <c r="S91" s="188"/>
      <c r="T91" s="188"/>
      <c r="U91" s="188"/>
      <c r="V91" s="188"/>
      <c r="W91" s="20"/>
      <c r="X91" s="20"/>
      <c r="Y91" s="20"/>
      <c r="Z91" s="20"/>
      <c r="AA91" s="20"/>
      <c r="AB91" s="20"/>
    </row>
    <row r="92">
      <c r="A92" s="20"/>
      <c r="B92" s="20"/>
      <c r="C92" s="20"/>
      <c r="D92" s="20"/>
      <c r="E92" s="20"/>
      <c r="F92" s="282"/>
      <c r="G92" s="20"/>
      <c r="H92" s="20"/>
      <c r="I92" s="20"/>
      <c r="J92" s="20"/>
      <c r="K92" s="20"/>
      <c r="L92" s="20"/>
      <c r="M92" s="20"/>
      <c r="N92" s="20"/>
      <c r="O92" s="20"/>
      <c r="P92" s="20"/>
      <c r="Q92" s="20"/>
      <c r="R92" s="20"/>
      <c r="S92" s="188"/>
      <c r="T92" s="188"/>
      <c r="U92" s="188"/>
      <c r="V92" s="188"/>
      <c r="W92" s="20"/>
      <c r="X92" s="20"/>
      <c r="Y92" s="20"/>
      <c r="Z92" s="20"/>
      <c r="AA92" s="20"/>
      <c r="AB92" s="20"/>
    </row>
    <row r="93">
      <c r="A93" s="20"/>
      <c r="B93" s="20"/>
      <c r="C93" s="20"/>
      <c r="D93" s="20"/>
      <c r="E93" s="20"/>
      <c r="F93" s="282"/>
      <c r="G93" s="20"/>
      <c r="H93" s="20"/>
      <c r="I93" s="20"/>
      <c r="J93" s="20"/>
      <c r="K93" s="20"/>
      <c r="L93" s="20"/>
      <c r="M93" s="20"/>
      <c r="N93" s="20"/>
      <c r="O93" s="20"/>
      <c r="P93" s="20"/>
      <c r="Q93" s="20"/>
      <c r="R93" s="20"/>
      <c r="S93" s="188"/>
      <c r="T93" s="188"/>
      <c r="U93" s="188"/>
      <c r="V93" s="188"/>
      <c r="W93" s="20"/>
      <c r="X93" s="20"/>
      <c r="Y93" s="20"/>
      <c r="Z93" s="20"/>
      <c r="AA93" s="20"/>
      <c r="AB93" s="20"/>
    </row>
    <row r="94">
      <c r="A94" s="20"/>
      <c r="B94" s="20"/>
      <c r="C94" s="20"/>
      <c r="D94" s="20"/>
      <c r="E94" s="20"/>
      <c r="F94" s="282"/>
      <c r="G94" s="20"/>
      <c r="H94" s="20"/>
      <c r="I94" s="20"/>
      <c r="J94" s="20"/>
      <c r="K94" s="20"/>
      <c r="L94" s="20"/>
      <c r="M94" s="20"/>
      <c r="N94" s="20"/>
      <c r="O94" s="20"/>
      <c r="P94" s="20"/>
      <c r="Q94" s="20"/>
      <c r="R94" s="20"/>
      <c r="S94" s="188"/>
      <c r="T94" s="188"/>
      <c r="U94" s="188"/>
      <c r="V94" s="188"/>
      <c r="W94" s="20"/>
      <c r="X94" s="20"/>
      <c r="Y94" s="20"/>
      <c r="Z94" s="20"/>
      <c r="AA94" s="20"/>
      <c r="AB94" s="20"/>
    </row>
    <row r="95">
      <c r="A95" s="20"/>
      <c r="B95" s="20"/>
      <c r="C95" s="20"/>
      <c r="D95" s="20"/>
      <c r="E95" s="20"/>
      <c r="F95" s="282"/>
      <c r="G95" s="20"/>
      <c r="H95" s="20"/>
      <c r="I95" s="20"/>
      <c r="J95" s="20"/>
      <c r="K95" s="20"/>
      <c r="L95" s="20"/>
      <c r="M95" s="20"/>
      <c r="N95" s="20"/>
      <c r="O95" s="20"/>
      <c r="P95" s="20"/>
      <c r="Q95" s="20"/>
      <c r="R95" s="20"/>
      <c r="S95" s="188"/>
      <c r="T95" s="188"/>
      <c r="U95" s="188"/>
      <c r="V95" s="188"/>
      <c r="W95" s="20"/>
      <c r="X95" s="20"/>
      <c r="Y95" s="20"/>
      <c r="Z95" s="20"/>
      <c r="AA95" s="20"/>
      <c r="AB95" s="20"/>
    </row>
    <row r="96">
      <c r="A96" s="20"/>
      <c r="B96" s="20"/>
      <c r="C96" s="20"/>
      <c r="D96" s="20"/>
      <c r="E96" s="20"/>
      <c r="F96" s="282"/>
      <c r="G96" s="20"/>
      <c r="H96" s="20"/>
      <c r="I96" s="20"/>
      <c r="J96" s="20"/>
      <c r="K96" s="20"/>
      <c r="L96" s="20"/>
      <c r="M96" s="20"/>
      <c r="N96" s="20"/>
      <c r="O96" s="20"/>
      <c r="P96" s="20"/>
      <c r="Q96" s="20"/>
      <c r="R96" s="20"/>
      <c r="S96" s="188"/>
      <c r="T96" s="188"/>
      <c r="U96" s="188"/>
      <c r="V96" s="188"/>
      <c r="W96" s="20"/>
      <c r="X96" s="20"/>
      <c r="Y96" s="20"/>
      <c r="Z96" s="20"/>
      <c r="AA96" s="20"/>
      <c r="AB96" s="20"/>
    </row>
    <row r="97">
      <c r="A97" s="20"/>
      <c r="B97" s="20"/>
      <c r="C97" s="20"/>
      <c r="D97" s="20"/>
      <c r="E97" s="20"/>
      <c r="F97" s="282"/>
      <c r="G97" s="20"/>
      <c r="H97" s="20"/>
      <c r="I97" s="20"/>
      <c r="J97" s="20"/>
      <c r="K97" s="20"/>
      <c r="L97" s="20"/>
      <c r="M97" s="20"/>
      <c r="N97" s="20"/>
      <c r="O97" s="20"/>
      <c r="P97" s="20"/>
      <c r="Q97" s="20"/>
      <c r="R97" s="20"/>
      <c r="S97" s="188"/>
      <c r="T97" s="188"/>
      <c r="U97" s="188"/>
      <c r="V97" s="188"/>
      <c r="W97" s="20"/>
      <c r="X97" s="20"/>
      <c r="Y97" s="20"/>
      <c r="Z97" s="20"/>
      <c r="AA97" s="20"/>
      <c r="AB97" s="20"/>
    </row>
    <row r="98">
      <c r="A98" s="20"/>
      <c r="B98" s="20"/>
      <c r="C98" s="20"/>
      <c r="D98" s="20"/>
      <c r="E98" s="20"/>
      <c r="F98" s="282"/>
      <c r="G98" s="20"/>
      <c r="H98" s="20"/>
      <c r="I98" s="20"/>
      <c r="J98" s="20"/>
      <c r="K98" s="20"/>
      <c r="L98" s="20"/>
      <c r="M98" s="20"/>
      <c r="N98" s="20"/>
      <c r="O98" s="20"/>
      <c r="P98" s="20"/>
      <c r="Q98" s="20"/>
      <c r="R98" s="20"/>
      <c r="S98" s="188"/>
      <c r="T98" s="188"/>
      <c r="U98" s="188"/>
      <c r="V98" s="188"/>
      <c r="W98" s="20"/>
      <c r="X98" s="20"/>
      <c r="Y98" s="20"/>
      <c r="Z98" s="20"/>
      <c r="AA98" s="20"/>
      <c r="AB98" s="20"/>
    </row>
    <row r="99">
      <c r="A99" s="20"/>
      <c r="B99" s="20"/>
      <c r="C99" s="20"/>
      <c r="D99" s="20"/>
      <c r="E99" s="20"/>
      <c r="F99" s="282"/>
      <c r="G99" s="20"/>
      <c r="H99" s="20"/>
      <c r="I99" s="20"/>
      <c r="J99" s="20"/>
      <c r="K99" s="20"/>
      <c r="L99" s="20"/>
      <c r="M99" s="20"/>
      <c r="N99" s="20"/>
      <c r="O99" s="20"/>
      <c r="P99" s="20"/>
      <c r="Q99" s="20"/>
      <c r="R99" s="20"/>
      <c r="S99" s="188"/>
      <c r="T99" s="188"/>
      <c r="U99" s="188"/>
      <c r="V99" s="188"/>
      <c r="W99" s="20"/>
      <c r="X99" s="20"/>
      <c r="Y99" s="20"/>
      <c r="Z99" s="20"/>
      <c r="AA99" s="20"/>
      <c r="AB99" s="20"/>
    </row>
    <row r="100">
      <c r="A100" s="20"/>
      <c r="B100" s="20"/>
      <c r="C100" s="20"/>
      <c r="D100" s="20"/>
      <c r="E100" s="20"/>
      <c r="F100" s="282"/>
      <c r="G100" s="20"/>
      <c r="H100" s="20"/>
      <c r="I100" s="20"/>
      <c r="J100" s="20"/>
      <c r="K100" s="20"/>
      <c r="L100" s="20"/>
      <c r="M100" s="20"/>
      <c r="N100" s="20"/>
      <c r="O100" s="20"/>
      <c r="P100" s="20"/>
      <c r="Q100" s="20"/>
      <c r="R100" s="20"/>
      <c r="S100" s="188"/>
      <c r="T100" s="188"/>
      <c r="U100" s="188"/>
      <c r="V100" s="188"/>
      <c r="W100" s="20"/>
      <c r="X100" s="20"/>
      <c r="Y100" s="20"/>
      <c r="Z100" s="20"/>
      <c r="AA100" s="20"/>
      <c r="AB100" s="20"/>
    </row>
    <row r="101">
      <c r="A101" s="20"/>
      <c r="B101" s="20"/>
      <c r="C101" s="20"/>
      <c r="D101" s="20"/>
      <c r="E101" s="20"/>
      <c r="F101" s="282"/>
      <c r="G101" s="20"/>
      <c r="H101" s="20"/>
      <c r="I101" s="20"/>
      <c r="J101" s="20"/>
      <c r="K101" s="20"/>
      <c r="L101" s="20"/>
      <c r="M101" s="20"/>
      <c r="N101" s="20"/>
      <c r="O101" s="20"/>
      <c r="P101" s="20"/>
      <c r="Q101" s="20"/>
      <c r="R101" s="20"/>
      <c r="S101" s="188"/>
      <c r="T101" s="188"/>
      <c r="U101" s="188"/>
      <c r="V101" s="188"/>
      <c r="W101" s="20"/>
      <c r="X101" s="20"/>
      <c r="Y101" s="20"/>
      <c r="Z101" s="20"/>
      <c r="AA101" s="20"/>
      <c r="AB101" s="20"/>
    </row>
    <row r="102">
      <c r="A102" s="20"/>
      <c r="B102" s="20"/>
      <c r="C102" s="20"/>
      <c r="D102" s="20"/>
      <c r="E102" s="20"/>
      <c r="F102" s="282"/>
      <c r="G102" s="20"/>
      <c r="H102" s="20"/>
      <c r="I102" s="20"/>
      <c r="J102" s="20"/>
      <c r="K102" s="20"/>
      <c r="L102" s="20"/>
      <c r="M102" s="20"/>
      <c r="N102" s="20"/>
      <c r="O102" s="20"/>
      <c r="P102" s="20"/>
      <c r="Q102" s="20"/>
      <c r="R102" s="20"/>
      <c r="S102" s="188"/>
      <c r="T102" s="188"/>
      <c r="U102" s="188"/>
      <c r="V102" s="188"/>
      <c r="W102" s="20"/>
      <c r="X102" s="20"/>
      <c r="Y102" s="20"/>
      <c r="Z102" s="20"/>
      <c r="AA102" s="20"/>
      <c r="AB102" s="20"/>
    </row>
    <row r="103">
      <c r="A103" s="20"/>
      <c r="B103" s="20"/>
      <c r="C103" s="20"/>
      <c r="D103" s="20"/>
      <c r="E103" s="20"/>
      <c r="F103" s="282"/>
      <c r="G103" s="20"/>
      <c r="H103" s="20"/>
      <c r="I103" s="20"/>
      <c r="J103" s="20"/>
      <c r="K103" s="20"/>
      <c r="L103" s="20"/>
      <c r="M103" s="20"/>
      <c r="N103" s="20"/>
      <c r="O103" s="20"/>
      <c r="P103" s="20"/>
      <c r="Q103" s="20"/>
      <c r="R103" s="20"/>
      <c r="S103" s="188"/>
      <c r="T103" s="188"/>
      <c r="U103" s="188"/>
      <c r="V103" s="188"/>
      <c r="W103" s="20"/>
      <c r="X103" s="20"/>
      <c r="Y103" s="20"/>
      <c r="Z103" s="20"/>
      <c r="AA103" s="20"/>
      <c r="AB103" s="20"/>
    </row>
    <row r="104">
      <c r="A104" s="20"/>
      <c r="B104" s="20"/>
      <c r="C104" s="20"/>
      <c r="D104" s="20"/>
      <c r="E104" s="20"/>
      <c r="F104" s="282"/>
      <c r="G104" s="20"/>
      <c r="H104" s="20"/>
      <c r="I104" s="20"/>
      <c r="J104" s="20"/>
      <c r="K104" s="20"/>
      <c r="L104" s="20"/>
      <c r="M104" s="20"/>
      <c r="N104" s="20"/>
      <c r="O104" s="20"/>
      <c r="P104" s="20"/>
      <c r="Q104" s="20"/>
      <c r="R104" s="20"/>
      <c r="S104" s="188"/>
      <c r="T104" s="188"/>
      <c r="U104" s="188"/>
      <c r="V104" s="188"/>
      <c r="W104" s="20"/>
      <c r="X104" s="20"/>
      <c r="Y104" s="20"/>
      <c r="Z104" s="20"/>
      <c r="AA104" s="20"/>
      <c r="AB104" s="20"/>
    </row>
    <row r="105">
      <c r="A105" s="20"/>
      <c r="B105" s="20"/>
      <c r="C105" s="20"/>
      <c r="D105" s="20"/>
      <c r="E105" s="20"/>
      <c r="F105" s="282"/>
      <c r="G105" s="20"/>
      <c r="H105" s="20"/>
      <c r="I105" s="20"/>
      <c r="J105" s="20"/>
      <c r="K105" s="20"/>
      <c r="L105" s="20"/>
      <c r="M105" s="20"/>
      <c r="N105" s="20"/>
      <c r="O105" s="20"/>
      <c r="P105" s="20"/>
      <c r="Q105" s="20"/>
      <c r="R105" s="20"/>
      <c r="S105" s="188"/>
      <c r="T105" s="188"/>
      <c r="U105" s="188"/>
      <c r="V105" s="188"/>
      <c r="W105" s="20"/>
      <c r="X105" s="20"/>
      <c r="Y105" s="20"/>
      <c r="Z105" s="20"/>
      <c r="AA105" s="20"/>
      <c r="AB105" s="20"/>
    </row>
    <row r="106">
      <c r="A106" s="20"/>
      <c r="B106" s="20"/>
      <c r="C106" s="20"/>
      <c r="D106" s="20"/>
      <c r="E106" s="20"/>
      <c r="F106" s="282"/>
      <c r="G106" s="20"/>
      <c r="H106" s="20"/>
      <c r="I106" s="20"/>
      <c r="J106" s="20"/>
      <c r="K106" s="20"/>
      <c r="L106" s="20"/>
      <c r="M106" s="20"/>
      <c r="N106" s="20"/>
      <c r="O106" s="20"/>
      <c r="P106" s="20"/>
      <c r="Q106" s="20"/>
      <c r="R106" s="20"/>
      <c r="S106" s="188"/>
      <c r="T106" s="188"/>
      <c r="U106" s="188"/>
      <c r="V106" s="188"/>
      <c r="W106" s="20"/>
      <c r="X106" s="20"/>
      <c r="Y106" s="20"/>
      <c r="Z106" s="20"/>
      <c r="AA106" s="20"/>
      <c r="AB106" s="20"/>
    </row>
    <row r="107">
      <c r="A107" s="20"/>
      <c r="B107" s="20"/>
      <c r="C107" s="20"/>
      <c r="D107" s="20"/>
      <c r="E107" s="20"/>
      <c r="F107" s="282"/>
      <c r="G107" s="20"/>
      <c r="H107" s="20"/>
      <c r="I107" s="20"/>
      <c r="J107" s="20"/>
      <c r="K107" s="20"/>
      <c r="L107" s="20"/>
      <c r="M107" s="20"/>
      <c r="N107" s="20"/>
      <c r="O107" s="20"/>
      <c r="P107" s="20"/>
      <c r="Q107" s="20"/>
      <c r="R107" s="20"/>
      <c r="S107" s="188"/>
      <c r="T107" s="188"/>
      <c r="U107" s="188"/>
      <c r="V107" s="188"/>
      <c r="W107" s="20"/>
      <c r="X107" s="20"/>
      <c r="Y107" s="20"/>
      <c r="Z107" s="20"/>
      <c r="AA107" s="20"/>
      <c r="AB107" s="20"/>
    </row>
    <row r="108">
      <c r="A108" s="20"/>
      <c r="B108" s="20"/>
      <c r="C108" s="20"/>
      <c r="D108" s="20"/>
      <c r="E108" s="20"/>
      <c r="F108" s="282"/>
      <c r="G108" s="20"/>
      <c r="H108" s="20"/>
      <c r="I108" s="20"/>
      <c r="J108" s="20"/>
      <c r="K108" s="20"/>
      <c r="L108" s="20"/>
      <c r="M108" s="20"/>
      <c r="N108" s="20"/>
      <c r="O108" s="20"/>
      <c r="P108" s="20"/>
      <c r="Q108" s="20"/>
      <c r="R108" s="20"/>
      <c r="S108" s="188"/>
      <c r="T108" s="188"/>
      <c r="U108" s="188"/>
      <c r="V108" s="188"/>
      <c r="W108" s="20"/>
      <c r="X108" s="20"/>
      <c r="Y108" s="20"/>
      <c r="Z108" s="20"/>
      <c r="AA108" s="20"/>
      <c r="AB108" s="20"/>
    </row>
    <row r="109">
      <c r="A109" s="20"/>
      <c r="B109" s="20"/>
      <c r="C109" s="20"/>
      <c r="D109" s="20"/>
      <c r="E109" s="20"/>
      <c r="F109" s="282"/>
      <c r="G109" s="20"/>
      <c r="H109" s="20"/>
      <c r="I109" s="20"/>
      <c r="J109" s="20"/>
      <c r="K109" s="20"/>
      <c r="L109" s="20"/>
      <c r="M109" s="20"/>
      <c r="N109" s="20"/>
      <c r="O109" s="20"/>
      <c r="P109" s="20"/>
      <c r="Q109" s="20"/>
      <c r="R109" s="20"/>
      <c r="S109" s="188"/>
      <c r="T109" s="188"/>
      <c r="U109" s="188"/>
      <c r="V109" s="188"/>
      <c r="W109" s="20"/>
      <c r="X109" s="20"/>
      <c r="Y109" s="20"/>
      <c r="Z109" s="20"/>
      <c r="AA109" s="20"/>
      <c r="AB109" s="20"/>
    </row>
    <row r="110">
      <c r="A110" s="20"/>
      <c r="B110" s="20"/>
      <c r="C110" s="20"/>
      <c r="D110" s="20"/>
      <c r="E110" s="20"/>
      <c r="F110" s="282"/>
      <c r="G110" s="20"/>
      <c r="H110" s="20"/>
      <c r="I110" s="20"/>
      <c r="J110" s="20"/>
      <c r="K110" s="20"/>
      <c r="L110" s="20"/>
      <c r="M110" s="20"/>
      <c r="N110" s="20"/>
      <c r="O110" s="20"/>
      <c r="P110" s="20"/>
      <c r="Q110" s="20"/>
      <c r="R110" s="20"/>
      <c r="S110" s="188"/>
      <c r="T110" s="188"/>
      <c r="U110" s="188"/>
      <c r="V110" s="188"/>
      <c r="W110" s="20"/>
      <c r="X110" s="20"/>
      <c r="Y110" s="20"/>
      <c r="Z110" s="20"/>
      <c r="AA110" s="20"/>
      <c r="AB110" s="20"/>
    </row>
    <row r="111">
      <c r="A111" s="20"/>
      <c r="B111" s="20"/>
      <c r="C111" s="20"/>
      <c r="D111" s="20"/>
      <c r="E111" s="20"/>
      <c r="F111" s="282"/>
      <c r="G111" s="20"/>
      <c r="H111" s="20"/>
      <c r="I111" s="20"/>
      <c r="J111" s="20"/>
      <c r="K111" s="20"/>
      <c r="L111" s="20"/>
      <c r="M111" s="20"/>
      <c r="N111" s="20"/>
      <c r="O111" s="20"/>
      <c r="P111" s="20"/>
      <c r="Q111" s="20"/>
      <c r="R111" s="20"/>
      <c r="S111" s="188"/>
      <c r="T111" s="188"/>
      <c r="U111" s="188"/>
      <c r="V111" s="188"/>
      <c r="W111" s="20"/>
      <c r="X111" s="20"/>
      <c r="Y111" s="20"/>
      <c r="Z111" s="20"/>
      <c r="AA111" s="20"/>
      <c r="AB111" s="20"/>
    </row>
    <row r="112">
      <c r="A112" s="20"/>
      <c r="B112" s="20"/>
      <c r="C112" s="20"/>
      <c r="D112" s="20"/>
      <c r="E112" s="20"/>
      <c r="F112" s="282"/>
      <c r="G112" s="20"/>
      <c r="H112" s="20"/>
      <c r="I112" s="20"/>
      <c r="J112" s="20"/>
      <c r="K112" s="20"/>
      <c r="L112" s="20"/>
      <c r="M112" s="20"/>
      <c r="N112" s="20"/>
      <c r="O112" s="20"/>
      <c r="P112" s="20"/>
      <c r="Q112" s="20"/>
      <c r="R112" s="20"/>
      <c r="S112" s="188"/>
      <c r="T112" s="188"/>
      <c r="U112" s="188"/>
      <c r="V112" s="188"/>
      <c r="W112" s="20"/>
      <c r="X112" s="20"/>
      <c r="Y112" s="20"/>
      <c r="Z112" s="20"/>
      <c r="AA112" s="20"/>
      <c r="AB112" s="20"/>
    </row>
    <row r="113">
      <c r="A113" s="20"/>
      <c r="B113" s="20"/>
      <c r="C113" s="20"/>
      <c r="D113" s="20"/>
      <c r="E113" s="20"/>
      <c r="F113" s="282"/>
      <c r="G113" s="20"/>
      <c r="H113" s="20"/>
      <c r="I113" s="20"/>
      <c r="J113" s="20"/>
      <c r="K113" s="20"/>
      <c r="L113" s="20"/>
      <c r="M113" s="20"/>
      <c r="N113" s="20"/>
      <c r="O113" s="20"/>
      <c r="P113" s="20"/>
      <c r="Q113" s="20"/>
      <c r="R113" s="20"/>
      <c r="S113" s="188"/>
      <c r="T113" s="188"/>
      <c r="U113" s="188"/>
      <c r="V113" s="188"/>
      <c r="W113" s="20"/>
      <c r="X113" s="20"/>
      <c r="Y113" s="20"/>
      <c r="Z113" s="20"/>
      <c r="AA113" s="20"/>
      <c r="AB113" s="20"/>
    </row>
    <row r="114">
      <c r="A114" s="20"/>
      <c r="B114" s="20"/>
      <c r="C114" s="20"/>
      <c r="D114" s="20"/>
      <c r="E114" s="20"/>
      <c r="F114" s="282"/>
      <c r="G114" s="20"/>
      <c r="H114" s="20"/>
      <c r="I114" s="20"/>
      <c r="J114" s="20"/>
      <c r="K114" s="20"/>
      <c r="L114" s="20"/>
      <c r="M114" s="20"/>
      <c r="N114" s="20"/>
      <c r="O114" s="20"/>
      <c r="P114" s="20"/>
      <c r="Q114" s="20"/>
      <c r="R114" s="20"/>
      <c r="S114" s="188"/>
      <c r="T114" s="188"/>
      <c r="U114" s="188"/>
      <c r="V114" s="188"/>
      <c r="W114" s="20"/>
      <c r="X114" s="20"/>
      <c r="Y114" s="20"/>
      <c r="Z114" s="20"/>
      <c r="AA114" s="20"/>
      <c r="AB114" s="20"/>
    </row>
    <row r="115">
      <c r="A115" s="20"/>
      <c r="B115" s="20"/>
      <c r="C115" s="20"/>
      <c r="D115" s="20"/>
      <c r="E115" s="20"/>
      <c r="F115" s="282"/>
      <c r="G115" s="20"/>
      <c r="H115" s="20"/>
      <c r="I115" s="20"/>
      <c r="J115" s="20"/>
      <c r="K115" s="20"/>
      <c r="L115" s="20"/>
      <c r="M115" s="20"/>
      <c r="N115" s="20"/>
      <c r="O115" s="20"/>
      <c r="P115" s="20"/>
      <c r="Q115" s="20"/>
      <c r="R115" s="20"/>
      <c r="S115" s="188"/>
      <c r="T115" s="188"/>
      <c r="U115" s="188"/>
      <c r="V115" s="188"/>
      <c r="W115" s="20"/>
      <c r="X115" s="20"/>
      <c r="Y115" s="20"/>
      <c r="Z115" s="20"/>
      <c r="AA115" s="20"/>
      <c r="AB115" s="20"/>
    </row>
    <row r="116">
      <c r="A116" s="20"/>
      <c r="B116" s="20"/>
      <c r="C116" s="20"/>
      <c r="D116" s="20"/>
      <c r="E116" s="20"/>
      <c r="F116" s="282"/>
      <c r="G116" s="20"/>
      <c r="H116" s="20"/>
      <c r="I116" s="20"/>
      <c r="J116" s="20"/>
      <c r="K116" s="20"/>
      <c r="L116" s="20"/>
      <c r="M116" s="20"/>
      <c r="N116" s="20"/>
      <c r="O116" s="20"/>
      <c r="P116" s="20"/>
      <c r="Q116" s="20"/>
      <c r="R116" s="20"/>
      <c r="S116" s="188"/>
      <c r="T116" s="188"/>
      <c r="U116" s="188"/>
      <c r="V116" s="188"/>
      <c r="W116" s="20"/>
      <c r="X116" s="20"/>
      <c r="Y116" s="20"/>
      <c r="Z116" s="20"/>
      <c r="AA116" s="20"/>
      <c r="AB116" s="20"/>
    </row>
    <row r="117">
      <c r="A117" s="20"/>
      <c r="B117" s="20"/>
      <c r="C117" s="20"/>
      <c r="D117" s="20"/>
      <c r="E117" s="20"/>
      <c r="F117" s="282"/>
      <c r="G117" s="20"/>
      <c r="H117" s="20"/>
      <c r="I117" s="20"/>
      <c r="J117" s="20"/>
      <c r="K117" s="20"/>
      <c r="L117" s="20"/>
      <c r="M117" s="20"/>
      <c r="N117" s="20"/>
      <c r="O117" s="20"/>
      <c r="P117" s="20"/>
      <c r="Q117" s="20"/>
      <c r="R117" s="20"/>
      <c r="S117" s="188"/>
      <c r="T117" s="188"/>
      <c r="U117" s="188"/>
      <c r="V117" s="188"/>
      <c r="W117" s="20"/>
      <c r="X117" s="20"/>
      <c r="Y117" s="20"/>
      <c r="Z117" s="20"/>
      <c r="AA117" s="20"/>
      <c r="AB117" s="20"/>
    </row>
    <row r="118">
      <c r="A118" s="20"/>
      <c r="B118" s="20"/>
      <c r="C118" s="20"/>
      <c r="D118" s="20"/>
      <c r="E118" s="20"/>
      <c r="F118" s="282"/>
      <c r="G118" s="20"/>
      <c r="H118" s="20"/>
      <c r="I118" s="20"/>
      <c r="J118" s="20"/>
      <c r="K118" s="20"/>
      <c r="L118" s="20"/>
      <c r="M118" s="20"/>
      <c r="N118" s="20"/>
      <c r="O118" s="20"/>
      <c r="P118" s="20"/>
      <c r="Q118" s="20"/>
      <c r="R118" s="20"/>
      <c r="S118" s="188"/>
      <c r="T118" s="188"/>
      <c r="U118" s="188"/>
      <c r="V118" s="188"/>
      <c r="W118" s="20"/>
      <c r="X118" s="20"/>
      <c r="Y118" s="20"/>
      <c r="Z118" s="20"/>
      <c r="AA118" s="20"/>
      <c r="AB118" s="20"/>
    </row>
    <row r="119">
      <c r="A119" s="20"/>
      <c r="B119" s="20"/>
      <c r="C119" s="20"/>
      <c r="D119" s="20"/>
      <c r="E119" s="20"/>
      <c r="F119" s="282"/>
      <c r="G119" s="20"/>
      <c r="H119" s="20"/>
      <c r="I119" s="20"/>
      <c r="J119" s="20"/>
      <c r="K119" s="20"/>
      <c r="L119" s="20"/>
      <c r="M119" s="20"/>
      <c r="N119" s="20"/>
      <c r="O119" s="20"/>
      <c r="P119" s="20"/>
      <c r="Q119" s="20"/>
      <c r="R119" s="20"/>
      <c r="S119" s="188"/>
      <c r="T119" s="188"/>
      <c r="U119" s="188"/>
      <c r="V119" s="188"/>
      <c r="W119" s="20"/>
      <c r="X119" s="20"/>
      <c r="Y119" s="20"/>
      <c r="Z119" s="20"/>
      <c r="AA119" s="20"/>
      <c r="AB119" s="20"/>
    </row>
    <row r="120">
      <c r="A120" s="20"/>
      <c r="B120" s="20"/>
      <c r="C120" s="20"/>
      <c r="D120" s="20"/>
      <c r="E120" s="20"/>
      <c r="F120" s="282"/>
      <c r="G120" s="20"/>
      <c r="H120" s="20"/>
      <c r="I120" s="20"/>
      <c r="J120" s="20"/>
      <c r="K120" s="20"/>
      <c r="L120" s="20"/>
      <c r="M120" s="20"/>
      <c r="N120" s="20"/>
      <c r="O120" s="20"/>
      <c r="P120" s="20"/>
      <c r="Q120" s="20"/>
      <c r="R120" s="20"/>
      <c r="S120" s="188"/>
      <c r="T120" s="188"/>
      <c r="U120" s="188"/>
      <c r="V120" s="188"/>
      <c r="W120" s="20"/>
      <c r="X120" s="20"/>
      <c r="Y120" s="20"/>
      <c r="Z120" s="20"/>
      <c r="AA120" s="20"/>
      <c r="AB120" s="20"/>
    </row>
    <row r="121">
      <c r="A121" s="20"/>
      <c r="B121" s="20"/>
      <c r="C121" s="20"/>
      <c r="D121" s="20"/>
      <c r="E121" s="20"/>
      <c r="F121" s="282"/>
      <c r="G121" s="20"/>
      <c r="H121" s="20"/>
      <c r="I121" s="20"/>
      <c r="J121" s="20"/>
      <c r="K121" s="20"/>
      <c r="L121" s="20"/>
      <c r="M121" s="20"/>
      <c r="N121" s="20"/>
      <c r="O121" s="20"/>
      <c r="P121" s="20"/>
      <c r="Q121" s="20"/>
      <c r="R121" s="20"/>
      <c r="S121" s="188"/>
      <c r="T121" s="188"/>
      <c r="U121" s="188"/>
      <c r="V121" s="188"/>
      <c r="W121" s="20"/>
      <c r="X121" s="20"/>
      <c r="Y121" s="20"/>
      <c r="Z121" s="20"/>
      <c r="AA121" s="20"/>
      <c r="AB121" s="20"/>
    </row>
    <row r="122">
      <c r="A122" s="20"/>
      <c r="B122" s="20"/>
      <c r="C122" s="20"/>
      <c r="D122" s="20"/>
      <c r="E122" s="20"/>
      <c r="F122" s="282"/>
      <c r="G122" s="20"/>
      <c r="H122" s="20"/>
      <c r="I122" s="20"/>
      <c r="J122" s="20"/>
      <c r="K122" s="20"/>
      <c r="L122" s="20"/>
      <c r="M122" s="20"/>
      <c r="N122" s="20"/>
      <c r="O122" s="20"/>
      <c r="P122" s="20"/>
      <c r="Q122" s="20"/>
      <c r="R122" s="20"/>
      <c r="S122" s="188"/>
      <c r="T122" s="188"/>
      <c r="U122" s="188"/>
      <c r="V122" s="188"/>
      <c r="W122" s="20"/>
      <c r="X122" s="20"/>
      <c r="Y122" s="20"/>
      <c r="Z122" s="20"/>
      <c r="AA122" s="20"/>
      <c r="AB122" s="20"/>
    </row>
    <row r="123">
      <c r="A123" s="20"/>
      <c r="B123" s="20"/>
      <c r="C123" s="20"/>
      <c r="D123" s="20"/>
      <c r="E123" s="20"/>
      <c r="F123" s="282"/>
      <c r="G123" s="20"/>
      <c r="H123" s="20"/>
      <c r="I123" s="20"/>
      <c r="J123" s="20"/>
      <c r="K123" s="20"/>
      <c r="L123" s="20"/>
      <c r="M123" s="20"/>
      <c r="N123" s="20"/>
      <c r="O123" s="20"/>
      <c r="P123" s="20"/>
      <c r="Q123" s="20"/>
      <c r="R123" s="20"/>
      <c r="S123" s="188"/>
      <c r="T123" s="188"/>
      <c r="U123" s="188"/>
      <c r="V123" s="188"/>
      <c r="W123" s="20"/>
      <c r="X123" s="20"/>
      <c r="Y123" s="20"/>
      <c r="Z123" s="20"/>
      <c r="AA123" s="20"/>
      <c r="AB123" s="20"/>
    </row>
    <row r="124">
      <c r="A124" s="20"/>
      <c r="B124" s="20"/>
      <c r="C124" s="20"/>
      <c r="D124" s="20"/>
      <c r="E124" s="20"/>
      <c r="F124" s="282"/>
      <c r="G124" s="20"/>
      <c r="H124" s="20"/>
      <c r="I124" s="20"/>
      <c r="J124" s="20"/>
      <c r="K124" s="20"/>
      <c r="L124" s="20"/>
      <c r="M124" s="20"/>
      <c r="N124" s="20"/>
      <c r="O124" s="20"/>
      <c r="P124" s="20"/>
      <c r="Q124" s="20"/>
      <c r="R124" s="20"/>
      <c r="S124" s="188"/>
      <c r="T124" s="188"/>
      <c r="U124" s="188"/>
      <c r="V124" s="188"/>
      <c r="W124" s="20"/>
      <c r="X124" s="20"/>
      <c r="Y124" s="20"/>
      <c r="Z124" s="20"/>
      <c r="AA124" s="20"/>
      <c r="AB124" s="20"/>
    </row>
    <row r="125">
      <c r="A125" s="20"/>
      <c r="B125" s="20"/>
      <c r="C125" s="20"/>
      <c r="D125" s="20"/>
      <c r="E125" s="20"/>
      <c r="F125" s="282"/>
      <c r="G125" s="20"/>
      <c r="H125" s="20"/>
      <c r="I125" s="20"/>
      <c r="J125" s="20"/>
      <c r="K125" s="20"/>
      <c r="L125" s="20"/>
      <c r="M125" s="20"/>
      <c r="N125" s="20"/>
      <c r="O125" s="20"/>
      <c r="P125" s="20"/>
      <c r="Q125" s="20"/>
      <c r="R125" s="20"/>
      <c r="S125" s="188"/>
      <c r="T125" s="188"/>
      <c r="U125" s="188"/>
      <c r="V125" s="188"/>
      <c r="W125" s="20"/>
      <c r="X125" s="20"/>
      <c r="Y125" s="20"/>
      <c r="Z125" s="20"/>
      <c r="AA125" s="20"/>
      <c r="AB125" s="20"/>
    </row>
    <row r="126">
      <c r="A126" s="20"/>
      <c r="B126" s="20"/>
      <c r="C126" s="20"/>
      <c r="D126" s="20"/>
      <c r="E126" s="20"/>
      <c r="F126" s="282"/>
      <c r="G126" s="20"/>
      <c r="H126" s="20"/>
      <c r="I126" s="20"/>
      <c r="J126" s="20"/>
      <c r="K126" s="20"/>
      <c r="L126" s="20"/>
      <c r="M126" s="20"/>
      <c r="N126" s="20"/>
      <c r="O126" s="20"/>
      <c r="P126" s="20"/>
      <c r="Q126" s="20"/>
      <c r="R126" s="20"/>
      <c r="S126" s="188"/>
      <c r="T126" s="188"/>
      <c r="U126" s="188"/>
      <c r="V126" s="188"/>
      <c r="W126" s="20"/>
      <c r="X126" s="20"/>
      <c r="Y126" s="20"/>
      <c r="Z126" s="20"/>
      <c r="AA126" s="20"/>
      <c r="AB126" s="20"/>
    </row>
    <row r="127">
      <c r="A127" s="20"/>
      <c r="B127" s="20"/>
      <c r="C127" s="20"/>
      <c r="D127" s="20"/>
      <c r="E127" s="20"/>
      <c r="F127" s="282"/>
      <c r="G127" s="20"/>
      <c r="H127" s="20"/>
      <c r="I127" s="20"/>
      <c r="J127" s="20"/>
      <c r="K127" s="20"/>
      <c r="L127" s="20"/>
      <c r="M127" s="20"/>
      <c r="N127" s="20"/>
      <c r="O127" s="20"/>
      <c r="P127" s="20"/>
      <c r="Q127" s="20"/>
      <c r="R127" s="20"/>
      <c r="S127" s="188"/>
      <c r="T127" s="188"/>
      <c r="U127" s="188"/>
      <c r="V127" s="188"/>
      <c r="W127" s="20"/>
      <c r="X127" s="20"/>
      <c r="Y127" s="20"/>
      <c r="Z127" s="20"/>
      <c r="AA127" s="20"/>
      <c r="AB127" s="20"/>
    </row>
    <row r="128">
      <c r="A128" s="20"/>
      <c r="B128" s="20"/>
      <c r="C128" s="20"/>
      <c r="D128" s="20"/>
      <c r="E128" s="20"/>
      <c r="F128" s="282"/>
      <c r="G128" s="20"/>
      <c r="H128" s="20"/>
      <c r="I128" s="20"/>
      <c r="J128" s="20"/>
      <c r="K128" s="20"/>
      <c r="L128" s="20"/>
      <c r="M128" s="20"/>
      <c r="N128" s="20"/>
      <c r="O128" s="20"/>
      <c r="P128" s="20"/>
      <c r="Q128" s="20"/>
      <c r="R128" s="20"/>
      <c r="S128" s="188"/>
      <c r="T128" s="188"/>
      <c r="U128" s="188"/>
      <c r="V128" s="188"/>
      <c r="W128" s="20"/>
      <c r="X128" s="20"/>
      <c r="Y128" s="20"/>
      <c r="Z128" s="20"/>
      <c r="AA128" s="20"/>
      <c r="AB128" s="20"/>
    </row>
    <row r="129">
      <c r="A129" s="20"/>
      <c r="B129" s="20"/>
      <c r="C129" s="20"/>
      <c r="D129" s="20"/>
      <c r="E129" s="20"/>
      <c r="F129" s="282"/>
      <c r="G129" s="20"/>
      <c r="H129" s="20"/>
      <c r="I129" s="20"/>
      <c r="J129" s="20"/>
      <c r="K129" s="20"/>
      <c r="L129" s="20"/>
      <c r="M129" s="20"/>
      <c r="N129" s="20"/>
      <c r="O129" s="20"/>
      <c r="P129" s="20"/>
      <c r="Q129" s="20"/>
      <c r="R129" s="20"/>
      <c r="S129" s="188"/>
      <c r="T129" s="188"/>
      <c r="U129" s="188"/>
      <c r="V129" s="188"/>
      <c r="W129" s="20"/>
      <c r="X129" s="20"/>
      <c r="Y129" s="20"/>
      <c r="Z129" s="20"/>
      <c r="AA129" s="20"/>
      <c r="AB129" s="20"/>
    </row>
    <row r="130">
      <c r="A130" s="20"/>
      <c r="B130" s="20"/>
      <c r="C130" s="20"/>
      <c r="D130" s="20"/>
      <c r="E130" s="20"/>
      <c r="F130" s="282"/>
      <c r="G130" s="20"/>
      <c r="H130" s="20"/>
      <c r="I130" s="20"/>
      <c r="J130" s="20"/>
      <c r="K130" s="20"/>
      <c r="L130" s="20"/>
      <c r="M130" s="20"/>
      <c r="N130" s="20"/>
      <c r="O130" s="20"/>
      <c r="P130" s="20"/>
      <c r="Q130" s="20"/>
      <c r="R130" s="20"/>
      <c r="S130" s="188"/>
      <c r="T130" s="188"/>
      <c r="U130" s="188"/>
      <c r="V130" s="188"/>
      <c r="W130" s="20"/>
      <c r="X130" s="20"/>
      <c r="Y130" s="20"/>
      <c r="Z130" s="20"/>
      <c r="AA130" s="20"/>
      <c r="AB130" s="20"/>
    </row>
    <row r="131">
      <c r="A131" s="20"/>
      <c r="B131" s="20"/>
      <c r="C131" s="20"/>
      <c r="D131" s="20"/>
      <c r="E131" s="20"/>
      <c r="F131" s="282"/>
      <c r="G131" s="20"/>
      <c r="H131" s="20"/>
      <c r="I131" s="20"/>
      <c r="J131" s="20"/>
      <c r="K131" s="20"/>
      <c r="L131" s="20"/>
      <c r="M131" s="20"/>
      <c r="N131" s="20"/>
      <c r="O131" s="20"/>
      <c r="P131" s="20"/>
      <c r="Q131" s="20"/>
      <c r="R131" s="20"/>
      <c r="S131" s="188"/>
      <c r="T131" s="188"/>
      <c r="U131" s="188"/>
      <c r="V131" s="188"/>
      <c r="W131" s="20"/>
      <c r="X131" s="20"/>
      <c r="Y131" s="20"/>
      <c r="Z131" s="20"/>
      <c r="AA131" s="20"/>
      <c r="AB131" s="20"/>
    </row>
    <row r="132">
      <c r="A132" s="20"/>
      <c r="B132" s="20"/>
      <c r="C132" s="20"/>
      <c r="D132" s="20"/>
      <c r="E132" s="20"/>
      <c r="F132" s="282"/>
      <c r="G132" s="20"/>
      <c r="H132" s="20"/>
      <c r="I132" s="20"/>
      <c r="J132" s="20"/>
      <c r="K132" s="20"/>
      <c r="L132" s="20"/>
      <c r="M132" s="20"/>
      <c r="N132" s="20"/>
      <c r="O132" s="20"/>
      <c r="P132" s="20"/>
      <c r="Q132" s="20"/>
      <c r="R132" s="20"/>
      <c r="S132" s="188"/>
      <c r="T132" s="188"/>
      <c r="U132" s="188"/>
      <c r="V132" s="188"/>
      <c r="W132" s="20"/>
      <c r="X132" s="20"/>
      <c r="Y132" s="20"/>
      <c r="Z132" s="20"/>
      <c r="AA132" s="20"/>
      <c r="AB132" s="20"/>
    </row>
    <row r="133">
      <c r="A133" s="20"/>
      <c r="B133" s="20"/>
      <c r="C133" s="20"/>
      <c r="D133" s="20"/>
      <c r="E133" s="20"/>
      <c r="F133" s="282"/>
      <c r="G133" s="20"/>
      <c r="H133" s="20"/>
      <c r="I133" s="20"/>
      <c r="J133" s="20"/>
      <c r="K133" s="20"/>
      <c r="L133" s="20"/>
      <c r="M133" s="20"/>
      <c r="N133" s="20"/>
      <c r="O133" s="20"/>
      <c r="P133" s="20"/>
      <c r="Q133" s="20"/>
      <c r="R133" s="20"/>
      <c r="S133" s="188"/>
      <c r="T133" s="188"/>
      <c r="U133" s="188"/>
      <c r="V133" s="188"/>
      <c r="W133" s="20"/>
      <c r="X133" s="20"/>
      <c r="Y133" s="20"/>
      <c r="Z133" s="20"/>
      <c r="AA133" s="20"/>
      <c r="AB133" s="20"/>
    </row>
    <row r="134">
      <c r="A134" s="20"/>
      <c r="B134" s="20"/>
      <c r="C134" s="20"/>
      <c r="D134" s="20"/>
      <c r="E134" s="20"/>
      <c r="F134" s="282"/>
      <c r="G134" s="20"/>
      <c r="H134" s="20"/>
      <c r="I134" s="20"/>
      <c r="J134" s="20"/>
      <c r="K134" s="20"/>
      <c r="L134" s="20"/>
      <c r="M134" s="20"/>
      <c r="N134" s="20"/>
      <c r="O134" s="20"/>
      <c r="P134" s="20"/>
      <c r="Q134" s="20"/>
      <c r="R134" s="20"/>
      <c r="S134" s="188"/>
      <c r="T134" s="188"/>
      <c r="U134" s="188"/>
      <c r="V134" s="188"/>
      <c r="W134" s="20"/>
      <c r="X134" s="20"/>
      <c r="Y134" s="20"/>
      <c r="Z134" s="20"/>
      <c r="AA134" s="20"/>
      <c r="AB134" s="20"/>
    </row>
    <row r="135">
      <c r="A135" s="20"/>
      <c r="B135" s="20"/>
      <c r="C135" s="20"/>
      <c r="D135" s="20"/>
      <c r="E135" s="20"/>
      <c r="F135" s="282"/>
      <c r="G135" s="20"/>
      <c r="H135" s="20"/>
      <c r="I135" s="20"/>
      <c r="J135" s="20"/>
      <c r="K135" s="20"/>
      <c r="L135" s="20"/>
      <c r="M135" s="20"/>
      <c r="N135" s="20"/>
      <c r="O135" s="20"/>
      <c r="P135" s="20"/>
      <c r="Q135" s="20"/>
      <c r="R135" s="20"/>
      <c r="S135" s="188"/>
      <c r="T135" s="188"/>
      <c r="U135" s="188"/>
      <c r="V135" s="188"/>
      <c r="W135" s="20"/>
      <c r="X135" s="20"/>
      <c r="Y135" s="20"/>
      <c r="Z135" s="20"/>
      <c r="AA135" s="20"/>
      <c r="AB135" s="20"/>
    </row>
    <row r="136">
      <c r="A136" s="20"/>
      <c r="B136" s="20"/>
      <c r="C136" s="20"/>
      <c r="D136" s="20"/>
      <c r="E136" s="20"/>
      <c r="F136" s="282"/>
      <c r="G136" s="20"/>
      <c r="H136" s="20"/>
      <c r="I136" s="20"/>
      <c r="J136" s="20"/>
      <c r="K136" s="20"/>
      <c r="L136" s="20"/>
      <c r="M136" s="20"/>
      <c r="N136" s="20"/>
      <c r="O136" s="20"/>
      <c r="P136" s="20"/>
      <c r="Q136" s="20"/>
      <c r="R136" s="20"/>
      <c r="S136" s="188"/>
      <c r="T136" s="188"/>
      <c r="U136" s="188"/>
      <c r="V136" s="188"/>
      <c r="W136" s="20"/>
      <c r="X136" s="20"/>
      <c r="Y136" s="20"/>
      <c r="Z136" s="20"/>
      <c r="AA136" s="20"/>
      <c r="AB136" s="20"/>
    </row>
    <row r="137">
      <c r="A137" s="20"/>
      <c r="B137" s="20"/>
      <c r="C137" s="20"/>
      <c r="D137" s="20"/>
      <c r="E137" s="20"/>
      <c r="F137" s="282"/>
      <c r="G137" s="20"/>
      <c r="H137" s="20"/>
      <c r="I137" s="20"/>
      <c r="J137" s="20"/>
      <c r="K137" s="20"/>
      <c r="L137" s="20"/>
      <c r="M137" s="20"/>
      <c r="N137" s="20"/>
      <c r="O137" s="20"/>
      <c r="P137" s="20"/>
      <c r="Q137" s="20"/>
      <c r="R137" s="20"/>
      <c r="S137" s="188"/>
      <c r="T137" s="188"/>
      <c r="U137" s="188"/>
      <c r="V137" s="188"/>
      <c r="W137" s="20"/>
      <c r="X137" s="20"/>
      <c r="Y137" s="20"/>
      <c r="Z137" s="20"/>
      <c r="AA137" s="20"/>
      <c r="AB137" s="20"/>
    </row>
    <row r="138">
      <c r="A138" s="20"/>
      <c r="B138" s="20"/>
      <c r="C138" s="20"/>
      <c r="D138" s="20"/>
      <c r="E138" s="20"/>
      <c r="F138" s="282"/>
      <c r="G138" s="20"/>
      <c r="H138" s="20"/>
      <c r="I138" s="20"/>
      <c r="J138" s="20"/>
      <c r="K138" s="20"/>
      <c r="L138" s="20"/>
      <c r="M138" s="20"/>
      <c r="N138" s="20"/>
      <c r="O138" s="20"/>
      <c r="P138" s="20"/>
      <c r="Q138" s="20"/>
      <c r="R138" s="20"/>
      <c r="S138" s="188"/>
      <c r="T138" s="188"/>
      <c r="U138" s="188"/>
      <c r="V138" s="188"/>
      <c r="W138" s="20"/>
      <c r="X138" s="20"/>
      <c r="Y138" s="20"/>
      <c r="Z138" s="20"/>
      <c r="AA138" s="20"/>
      <c r="AB138" s="20"/>
    </row>
    <row r="139">
      <c r="A139" s="20"/>
      <c r="B139" s="20"/>
      <c r="C139" s="20"/>
      <c r="D139" s="20"/>
      <c r="E139" s="20"/>
      <c r="F139" s="282"/>
      <c r="G139" s="20"/>
      <c r="H139" s="20"/>
      <c r="I139" s="20"/>
      <c r="J139" s="20"/>
      <c r="K139" s="20"/>
      <c r="L139" s="20"/>
      <c r="M139" s="20"/>
      <c r="N139" s="20"/>
      <c r="O139" s="20"/>
      <c r="P139" s="20"/>
      <c r="Q139" s="20"/>
      <c r="R139" s="20"/>
      <c r="S139" s="188"/>
      <c r="T139" s="188"/>
      <c r="U139" s="188"/>
      <c r="V139" s="188"/>
      <c r="W139" s="20"/>
      <c r="X139" s="20"/>
      <c r="Y139" s="20"/>
      <c r="Z139" s="20"/>
      <c r="AA139" s="20"/>
      <c r="AB139" s="20"/>
    </row>
    <row r="140">
      <c r="A140" s="20"/>
      <c r="B140" s="20"/>
      <c r="C140" s="20"/>
      <c r="D140" s="20"/>
      <c r="E140" s="20"/>
      <c r="F140" s="282"/>
      <c r="G140" s="20"/>
      <c r="H140" s="20"/>
      <c r="I140" s="20"/>
      <c r="J140" s="20"/>
      <c r="K140" s="20"/>
      <c r="L140" s="20"/>
      <c r="M140" s="20"/>
      <c r="N140" s="20"/>
      <c r="O140" s="20"/>
      <c r="P140" s="20"/>
      <c r="Q140" s="20"/>
      <c r="R140" s="20"/>
      <c r="S140" s="188"/>
      <c r="T140" s="188"/>
      <c r="U140" s="188"/>
      <c r="V140" s="188"/>
      <c r="W140" s="20"/>
      <c r="X140" s="20"/>
      <c r="Y140" s="20"/>
      <c r="Z140" s="20"/>
      <c r="AA140" s="20"/>
      <c r="AB140" s="20"/>
    </row>
    <row r="141">
      <c r="A141" s="20"/>
      <c r="B141" s="20"/>
      <c r="C141" s="20"/>
      <c r="D141" s="20"/>
      <c r="E141" s="20"/>
      <c r="F141" s="282"/>
      <c r="G141" s="20"/>
      <c r="H141" s="20"/>
      <c r="I141" s="20"/>
      <c r="J141" s="20"/>
      <c r="K141" s="20"/>
      <c r="L141" s="20"/>
      <c r="M141" s="20"/>
      <c r="N141" s="20"/>
      <c r="O141" s="20"/>
      <c r="P141" s="20"/>
      <c r="Q141" s="20"/>
      <c r="R141" s="20"/>
      <c r="S141" s="188"/>
      <c r="T141" s="188"/>
      <c r="U141" s="188"/>
      <c r="V141" s="188"/>
      <c r="W141" s="20"/>
      <c r="X141" s="20"/>
      <c r="Y141" s="20"/>
      <c r="Z141" s="20"/>
      <c r="AA141" s="20"/>
      <c r="AB141" s="20"/>
    </row>
    <row r="142">
      <c r="A142" s="20"/>
      <c r="B142" s="20"/>
      <c r="C142" s="20"/>
      <c r="D142" s="20"/>
      <c r="E142" s="20"/>
      <c r="F142" s="282"/>
      <c r="G142" s="20"/>
      <c r="H142" s="20"/>
      <c r="I142" s="20"/>
      <c r="J142" s="20"/>
      <c r="K142" s="20"/>
      <c r="L142" s="20"/>
      <c r="M142" s="20"/>
      <c r="N142" s="20"/>
      <c r="O142" s="20"/>
      <c r="P142" s="20"/>
      <c r="Q142" s="20"/>
      <c r="R142" s="20"/>
      <c r="S142" s="188"/>
      <c r="T142" s="188"/>
      <c r="U142" s="188"/>
      <c r="V142" s="188"/>
      <c r="W142" s="20"/>
      <c r="X142" s="20"/>
      <c r="Y142" s="20"/>
      <c r="Z142" s="20"/>
      <c r="AA142" s="20"/>
      <c r="AB142" s="20"/>
    </row>
    <row r="143">
      <c r="A143" s="20"/>
      <c r="B143" s="20"/>
      <c r="C143" s="20"/>
      <c r="D143" s="20"/>
      <c r="E143" s="20"/>
      <c r="F143" s="282"/>
      <c r="G143" s="20"/>
      <c r="H143" s="20"/>
      <c r="I143" s="20"/>
      <c r="J143" s="20"/>
      <c r="K143" s="20"/>
      <c r="L143" s="20"/>
      <c r="M143" s="20"/>
      <c r="N143" s="20"/>
      <c r="O143" s="20"/>
      <c r="P143" s="20"/>
      <c r="Q143" s="20"/>
      <c r="R143" s="20"/>
      <c r="S143" s="188"/>
      <c r="T143" s="188"/>
      <c r="U143" s="188"/>
      <c r="V143" s="188"/>
      <c r="W143" s="20"/>
      <c r="X143" s="20"/>
      <c r="Y143" s="20"/>
      <c r="Z143" s="20"/>
      <c r="AA143" s="20"/>
      <c r="AB143" s="20"/>
    </row>
    <row r="144">
      <c r="A144" s="20"/>
      <c r="B144" s="20"/>
      <c r="C144" s="20"/>
      <c r="D144" s="20"/>
      <c r="E144" s="20"/>
      <c r="F144" s="282"/>
      <c r="G144" s="20"/>
      <c r="H144" s="20"/>
      <c r="I144" s="20"/>
      <c r="J144" s="20"/>
      <c r="K144" s="20"/>
      <c r="L144" s="20"/>
      <c r="M144" s="20"/>
      <c r="N144" s="20"/>
      <c r="O144" s="20"/>
      <c r="P144" s="20"/>
      <c r="Q144" s="20"/>
      <c r="R144" s="20"/>
      <c r="S144" s="188"/>
      <c r="T144" s="188"/>
      <c r="U144" s="188"/>
      <c r="V144" s="188"/>
      <c r="W144" s="20"/>
      <c r="X144" s="20"/>
      <c r="Y144" s="20"/>
      <c r="Z144" s="20"/>
      <c r="AA144" s="20"/>
      <c r="AB144" s="20"/>
    </row>
    <row r="145">
      <c r="A145" s="20"/>
      <c r="B145" s="20"/>
      <c r="C145" s="20"/>
      <c r="D145" s="20"/>
      <c r="E145" s="20"/>
      <c r="F145" s="282"/>
      <c r="G145" s="20"/>
      <c r="H145" s="20"/>
      <c r="I145" s="20"/>
      <c r="J145" s="20"/>
      <c r="K145" s="20"/>
      <c r="L145" s="20"/>
      <c r="M145" s="20"/>
      <c r="N145" s="20"/>
      <c r="O145" s="20"/>
      <c r="P145" s="20"/>
      <c r="Q145" s="20"/>
      <c r="R145" s="20"/>
      <c r="S145" s="188"/>
      <c r="T145" s="188"/>
      <c r="U145" s="188"/>
      <c r="V145" s="188"/>
      <c r="W145" s="20"/>
      <c r="X145" s="20"/>
      <c r="Y145" s="20"/>
      <c r="Z145" s="20"/>
      <c r="AA145" s="20"/>
      <c r="AB145" s="20"/>
    </row>
    <row r="146">
      <c r="A146" s="20"/>
      <c r="B146" s="20"/>
      <c r="C146" s="20"/>
      <c r="D146" s="20"/>
      <c r="E146" s="20"/>
      <c r="F146" s="282"/>
      <c r="G146" s="20"/>
      <c r="H146" s="20"/>
      <c r="I146" s="20"/>
      <c r="J146" s="20"/>
      <c r="K146" s="20"/>
      <c r="L146" s="20"/>
      <c r="M146" s="20"/>
      <c r="N146" s="20"/>
      <c r="O146" s="20"/>
      <c r="P146" s="20"/>
      <c r="Q146" s="20"/>
      <c r="R146" s="20"/>
      <c r="S146" s="188"/>
      <c r="T146" s="188"/>
      <c r="U146" s="188"/>
      <c r="V146" s="188"/>
      <c r="W146" s="20"/>
      <c r="X146" s="20"/>
      <c r="Y146" s="20"/>
      <c r="Z146" s="20"/>
      <c r="AA146" s="20"/>
      <c r="AB146" s="20"/>
    </row>
    <row r="147">
      <c r="A147" s="20"/>
      <c r="B147" s="20"/>
      <c r="C147" s="20"/>
      <c r="D147" s="20"/>
      <c r="E147" s="20"/>
      <c r="F147" s="282"/>
      <c r="G147" s="20"/>
      <c r="H147" s="20"/>
      <c r="I147" s="20"/>
      <c r="J147" s="20"/>
      <c r="K147" s="20"/>
      <c r="L147" s="20"/>
      <c r="M147" s="20"/>
      <c r="N147" s="20"/>
      <c r="O147" s="20"/>
      <c r="P147" s="20"/>
      <c r="Q147" s="20"/>
      <c r="R147" s="20"/>
      <c r="S147" s="188"/>
      <c r="T147" s="188"/>
      <c r="U147" s="188"/>
      <c r="V147" s="188"/>
      <c r="W147" s="20"/>
      <c r="X147" s="20"/>
      <c r="Y147" s="20"/>
      <c r="Z147" s="20"/>
      <c r="AA147" s="20"/>
      <c r="AB147" s="20"/>
    </row>
    <row r="148">
      <c r="A148" s="20"/>
      <c r="B148" s="20"/>
      <c r="C148" s="20"/>
      <c r="D148" s="20"/>
      <c r="E148" s="20"/>
      <c r="F148" s="282"/>
      <c r="G148" s="20"/>
      <c r="H148" s="20"/>
      <c r="I148" s="20"/>
      <c r="J148" s="20"/>
      <c r="K148" s="20"/>
      <c r="L148" s="20"/>
      <c r="M148" s="20"/>
      <c r="N148" s="20"/>
      <c r="O148" s="20"/>
      <c r="P148" s="20"/>
      <c r="Q148" s="20"/>
      <c r="R148" s="20"/>
      <c r="S148" s="188"/>
      <c r="T148" s="188"/>
      <c r="U148" s="188"/>
      <c r="V148" s="188"/>
      <c r="W148" s="20"/>
      <c r="X148" s="20"/>
      <c r="Y148" s="20"/>
      <c r="Z148" s="20"/>
      <c r="AA148" s="20"/>
      <c r="AB148" s="20"/>
    </row>
    <row r="149">
      <c r="A149" s="20"/>
      <c r="B149" s="20"/>
      <c r="C149" s="20"/>
      <c r="D149" s="20"/>
      <c r="E149" s="20"/>
      <c r="F149" s="282"/>
      <c r="G149" s="20"/>
      <c r="H149" s="20"/>
      <c r="I149" s="20"/>
      <c r="J149" s="20"/>
      <c r="K149" s="20"/>
      <c r="L149" s="20"/>
      <c r="M149" s="20"/>
      <c r="N149" s="20"/>
      <c r="O149" s="20"/>
      <c r="P149" s="20"/>
      <c r="Q149" s="20"/>
      <c r="R149" s="20"/>
      <c r="S149" s="188"/>
      <c r="T149" s="188"/>
      <c r="U149" s="188"/>
      <c r="V149" s="188"/>
      <c r="W149" s="20"/>
      <c r="X149" s="20"/>
      <c r="Y149" s="20"/>
      <c r="Z149" s="20"/>
      <c r="AA149" s="20"/>
      <c r="AB149" s="20"/>
    </row>
    <row r="150">
      <c r="A150" s="20"/>
      <c r="B150" s="20"/>
      <c r="C150" s="20"/>
      <c r="D150" s="20"/>
      <c r="E150" s="20"/>
      <c r="F150" s="282"/>
      <c r="G150" s="20"/>
      <c r="H150" s="20"/>
      <c r="I150" s="20"/>
      <c r="J150" s="20"/>
      <c r="K150" s="20"/>
      <c r="L150" s="20"/>
      <c r="M150" s="20"/>
      <c r="N150" s="20"/>
      <c r="O150" s="20"/>
      <c r="P150" s="20"/>
      <c r="Q150" s="20"/>
      <c r="R150" s="20"/>
      <c r="S150" s="188"/>
      <c r="T150" s="188"/>
      <c r="U150" s="188"/>
      <c r="V150" s="188"/>
      <c r="W150" s="20"/>
      <c r="X150" s="20"/>
      <c r="Y150" s="20"/>
      <c r="Z150" s="20"/>
      <c r="AA150" s="20"/>
      <c r="AB150" s="20"/>
    </row>
    <row r="151">
      <c r="A151" s="20"/>
      <c r="B151" s="20"/>
      <c r="C151" s="20"/>
      <c r="D151" s="20"/>
      <c r="E151" s="20"/>
      <c r="F151" s="282"/>
      <c r="G151" s="20"/>
      <c r="H151" s="20"/>
      <c r="I151" s="20"/>
      <c r="J151" s="20"/>
      <c r="K151" s="20"/>
      <c r="L151" s="20"/>
      <c r="M151" s="20"/>
      <c r="N151" s="20"/>
      <c r="O151" s="20"/>
      <c r="P151" s="20"/>
      <c r="Q151" s="20"/>
      <c r="R151" s="20"/>
      <c r="S151" s="188"/>
      <c r="T151" s="188"/>
      <c r="U151" s="188"/>
      <c r="V151" s="188"/>
      <c r="W151" s="20"/>
      <c r="X151" s="20"/>
      <c r="Y151" s="20"/>
      <c r="Z151" s="20"/>
      <c r="AA151" s="20"/>
      <c r="AB151" s="20"/>
    </row>
    <row r="152">
      <c r="A152" s="20"/>
      <c r="B152" s="20"/>
      <c r="C152" s="20"/>
      <c r="D152" s="20"/>
      <c r="E152" s="20"/>
      <c r="F152" s="282"/>
      <c r="G152" s="20"/>
      <c r="H152" s="20"/>
      <c r="I152" s="20"/>
      <c r="J152" s="20"/>
      <c r="K152" s="20"/>
      <c r="L152" s="20"/>
      <c r="M152" s="20"/>
      <c r="N152" s="20"/>
      <c r="O152" s="20"/>
      <c r="P152" s="20"/>
      <c r="Q152" s="20"/>
      <c r="R152" s="20"/>
      <c r="S152" s="188"/>
      <c r="T152" s="188"/>
      <c r="U152" s="188"/>
      <c r="V152" s="188"/>
      <c r="W152" s="20"/>
      <c r="X152" s="20"/>
      <c r="Y152" s="20"/>
      <c r="Z152" s="20"/>
      <c r="AA152" s="20"/>
      <c r="AB152" s="20"/>
    </row>
    <row r="153">
      <c r="A153" s="20"/>
      <c r="B153" s="20"/>
      <c r="C153" s="20"/>
      <c r="D153" s="20"/>
      <c r="E153" s="20"/>
      <c r="F153" s="282"/>
      <c r="G153" s="20"/>
      <c r="H153" s="20"/>
      <c r="I153" s="20"/>
      <c r="J153" s="20"/>
      <c r="K153" s="20"/>
      <c r="L153" s="20"/>
      <c r="M153" s="20"/>
      <c r="N153" s="20"/>
      <c r="O153" s="20"/>
      <c r="P153" s="20"/>
      <c r="Q153" s="20"/>
      <c r="R153" s="20"/>
      <c r="S153" s="188"/>
      <c r="T153" s="188"/>
      <c r="U153" s="188"/>
      <c r="V153" s="188"/>
      <c r="W153" s="20"/>
      <c r="X153" s="20"/>
      <c r="Y153" s="20"/>
      <c r="Z153" s="20"/>
      <c r="AA153" s="20"/>
      <c r="AB153" s="20"/>
    </row>
    <row r="154">
      <c r="A154" s="20"/>
      <c r="B154" s="20"/>
      <c r="C154" s="20"/>
      <c r="D154" s="20"/>
      <c r="E154" s="20"/>
      <c r="F154" s="282"/>
      <c r="G154" s="20"/>
      <c r="H154" s="20"/>
      <c r="I154" s="20"/>
      <c r="J154" s="20"/>
      <c r="K154" s="20"/>
      <c r="L154" s="20"/>
      <c r="M154" s="20"/>
      <c r="N154" s="20"/>
      <c r="O154" s="20"/>
      <c r="P154" s="20"/>
      <c r="Q154" s="20"/>
      <c r="R154" s="20"/>
      <c r="S154" s="188"/>
      <c r="T154" s="188"/>
      <c r="U154" s="188"/>
      <c r="V154" s="188"/>
      <c r="W154" s="20"/>
      <c r="X154" s="20"/>
      <c r="Y154" s="20"/>
      <c r="Z154" s="20"/>
      <c r="AA154" s="20"/>
      <c r="AB154" s="20"/>
    </row>
    <row r="155">
      <c r="A155" s="20"/>
      <c r="B155" s="20"/>
      <c r="C155" s="20"/>
      <c r="D155" s="20"/>
      <c r="E155" s="20"/>
      <c r="F155" s="282"/>
      <c r="G155" s="20"/>
      <c r="H155" s="20"/>
      <c r="I155" s="20"/>
      <c r="J155" s="20"/>
      <c r="K155" s="20"/>
      <c r="L155" s="20"/>
      <c r="M155" s="20"/>
      <c r="N155" s="20"/>
      <c r="O155" s="20"/>
      <c r="P155" s="20"/>
      <c r="Q155" s="20"/>
      <c r="R155" s="20"/>
      <c r="S155" s="188"/>
      <c r="T155" s="188"/>
      <c r="U155" s="188"/>
      <c r="V155" s="188"/>
      <c r="W155" s="20"/>
      <c r="X155" s="20"/>
      <c r="Y155" s="20"/>
      <c r="Z155" s="20"/>
      <c r="AA155" s="20"/>
      <c r="AB155" s="20"/>
    </row>
    <row r="156">
      <c r="A156" s="20"/>
      <c r="B156" s="20"/>
      <c r="C156" s="20"/>
      <c r="D156" s="20"/>
      <c r="E156" s="20"/>
      <c r="F156" s="282"/>
      <c r="G156" s="20"/>
      <c r="H156" s="20"/>
      <c r="I156" s="20"/>
      <c r="J156" s="20"/>
      <c r="K156" s="20"/>
      <c r="L156" s="20"/>
      <c r="M156" s="20"/>
      <c r="N156" s="20"/>
      <c r="O156" s="20"/>
      <c r="P156" s="20"/>
      <c r="Q156" s="20"/>
      <c r="R156" s="20"/>
      <c r="S156" s="188"/>
      <c r="T156" s="188"/>
      <c r="U156" s="188"/>
      <c r="V156" s="188"/>
      <c r="W156" s="20"/>
      <c r="X156" s="20"/>
      <c r="Y156" s="20"/>
      <c r="Z156" s="20"/>
      <c r="AA156" s="20"/>
      <c r="AB156" s="20"/>
    </row>
    <row r="157">
      <c r="A157" s="20"/>
      <c r="B157" s="20"/>
      <c r="C157" s="20"/>
      <c r="D157" s="20"/>
      <c r="E157" s="20"/>
      <c r="F157" s="282"/>
      <c r="G157" s="20"/>
      <c r="H157" s="20"/>
      <c r="I157" s="20"/>
      <c r="J157" s="20"/>
      <c r="K157" s="20"/>
      <c r="L157" s="20"/>
      <c r="M157" s="20"/>
      <c r="N157" s="20"/>
      <c r="O157" s="20"/>
      <c r="P157" s="20"/>
      <c r="Q157" s="20"/>
      <c r="R157" s="20"/>
      <c r="S157" s="188"/>
      <c r="T157" s="188"/>
      <c r="U157" s="188"/>
      <c r="V157" s="188"/>
      <c r="W157" s="20"/>
      <c r="X157" s="20"/>
      <c r="Y157" s="20"/>
      <c r="Z157" s="20"/>
      <c r="AA157" s="20"/>
      <c r="AB157" s="20"/>
    </row>
    <row r="158">
      <c r="A158" s="20"/>
      <c r="B158" s="20"/>
      <c r="C158" s="20"/>
      <c r="D158" s="20"/>
      <c r="E158" s="20"/>
      <c r="F158" s="282"/>
      <c r="G158" s="20"/>
      <c r="H158" s="20"/>
      <c r="I158" s="20"/>
      <c r="J158" s="20"/>
      <c r="K158" s="20"/>
      <c r="L158" s="20"/>
      <c r="M158" s="20"/>
      <c r="N158" s="20"/>
      <c r="O158" s="20"/>
      <c r="P158" s="20"/>
      <c r="Q158" s="20"/>
      <c r="R158" s="20"/>
      <c r="S158" s="188"/>
      <c r="T158" s="188"/>
      <c r="U158" s="188"/>
      <c r="V158" s="188"/>
      <c r="W158" s="20"/>
      <c r="X158" s="20"/>
      <c r="Y158" s="20"/>
      <c r="Z158" s="20"/>
      <c r="AA158" s="20"/>
      <c r="AB158" s="20"/>
    </row>
    <row r="159">
      <c r="A159" s="20"/>
      <c r="B159" s="20"/>
      <c r="C159" s="20"/>
      <c r="D159" s="20"/>
      <c r="E159" s="20"/>
      <c r="F159" s="282"/>
      <c r="G159" s="20"/>
      <c r="H159" s="20"/>
      <c r="I159" s="20"/>
      <c r="J159" s="20"/>
      <c r="K159" s="20"/>
      <c r="L159" s="20"/>
      <c r="M159" s="20"/>
      <c r="N159" s="20"/>
      <c r="O159" s="20"/>
      <c r="P159" s="20"/>
      <c r="Q159" s="20"/>
      <c r="R159" s="20"/>
      <c r="S159" s="188"/>
      <c r="T159" s="188"/>
      <c r="U159" s="188"/>
      <c r="V159" s="188"/>
      <c r="W159" s="20"/>
      <c r="X159" s="20"/>
      <c r="Y159" s="20"/>
      <c r="Z159" s="20"/>
      <c r="AA159" s="20"/>
      <c r="AB159" s="20"/>
    </row>
    <row r="160">
      <c r="A160" s="20"/>
      <c r="B160" s="20"/>
      <c r="C160" s="20"/>
      <c r="D160" s="20"/>
      <c r="E160" s="20"/>
      <c r="F160" s="282"/>
      <c r="G160" s="20"/>
      <c r="H160" s="20"/>
      <c r="I160" s="20"/>
      <c r="J160" s="20"/>
      <c r="K160" s="20"/>
      <c r="L160" s="20"/>
      <c r="M160" s="20"/>
      <c r="N160" s="20"/>
      <c r="O160" s="20"/>
      <c r="P160" s="20"/>
      <c r="Q160" s="20"/>
      <c r="R160" s="20"/>
      <c r="S160" s="188"/>
      <c r="T160" s="188"/>
      <c r="U160" s="188"/>
      <c r="V160" s="188"/>
      <c r="W160" s="20"/>
      <c r="X160" s="20"/>
      <c r="Y160" s="20"/>
      <c r="Z160" s="20"/>
      <c r="AA160" s="20"/>
      <c r="AB160" s="20"/>
    </row>
    <row r="161">
      <c r="A161" s="20"/>
      <c r="B161" s="20"/>
      <c r="C161" s="20"/>
      <c r="D161" s="20"/>
      <c r="E161" s="20"/>
      <c r="F161" s="282"/>
      <c r="G161" s="20"/>
      <c r="H161" s="20"/>
      <c r="I161" s="20"/>
      <c r="J161" s="20"/>
      <c r="K161" s="20"/>
      <c r="L161" s="20"/>
      <c r="M161" s="20"/>
      <c r="N161" s="20"/>
      <c r="O161" s="20"/>
      <c r="P161" s="20"/>
      <c r="Q161" s="20"/>
      <c r="R161" s="20"/>
      <c r="S161" s="188"/>
      <c r="T161" s="188"/>
      <c r="U161" s="188"/>
      <c r="V161" s="188"/>
      <c r="W161" s="20"/>
      <c r="X161" s="20"/>
      <c r="Y161" s="20"/>
      <c r="Z161" s="20"/>
      <c r="AA161" s="20"/>
      <c r="AB161" s="20"/>
    </row>
    <row r="162">
      <c r="A162" s="20"/>
      <c r="B162" s="20"/>
      <c r="C162" s="20"/>
      <c r="D162" s="20"/>
      <c r="E162" s="20"/>
      <c r="F162" s="282"/>
      <c r="G162" s="20"/>
      <c r="H162" s="20"/>
      <c r="I162" s="20"/>
      <c r="J162" s="20"/>
      <c r="K162" s="20"/>
      <c r="L162" s="20"/>
      <c r="M162" s="20"/>
      <c r="N162" s="20"/>
      <c r="O162" s="20"/>
      <c r="P162" s="20"/>
      <c r="Q162" s="20"/>
      <c r="R162" s="20"/>
      <c r="S162" s="188"/>
      <c r="T162" s="188"/>
      <c r="U162" s="188"/>
      <c r="V162" s="188"/>
      <c r="W162" s="20"/>
      <c r="X162" s="20"/>
      <c r="Y162" s="20"/>
      <c r="Z162" s="20"/>
      <c r="AA162" s="20"/>
      <c r="AB162" s="20"/>
    </row>
    <row r="163">
      <c r="A163" s="20"/>
      <c r="B163" s="20"/>
      <c r="C163" s="20"/>
      <c r="D163" s="20"/>
      <c r="E163" s="20"/>
      <c r="F163" s="282"/>
      <c r="G163" s="20"/>
      <c r="H163" s="20"/>
      <c r="I163" s="20"/>
      <c r="J163" s="20"/>
      <c r="K163" s="20"/>
      <c r="L163" s="20"/>
      <c r="M163" s="20"/>
      <c r="N163" s="20"/>
      <c r="O163" s="20"/>
      <c r="P163" s="20"/>
      <c r="Q163" s="20"/>
      <c r="R163" s="20"/>
      <c r="S163" s="188"/>
      <c r="T163" s="188"/>
      <c r="U163" s="188"/>
      <c r="V163" s="188"/>
      <c r="W163" s="20"/>
      <c r="X163" s="20"/>
      <c r="Y163" s="20"/>
      <c r="Z163" s="20"/>
      <c r="AA163" s="20"/>
      <c r="AB163" s="20"/>
    </row>
    <row r="164">
      <c r="A164" s="20"/>
      <c r="B164" s="20"/>
      <c r="C164" s="20"/>
      <c r="D164" s="20"/>
      <c r="E164" s="20"/>
      <c r="F164" s="282"/>
      <c r="G164" s="20"/>
      <c r="H164" s="20"/>
      <c r="I164" s="20"/>
      <c r="J164" s="20"/>
      <c r="K164" s="20"/>
      <c r="L164" s="20"/>
      <c r="M164" s="20"/>
      <c r="N164" s="20"/>
      <c r="O164" s="20"/>
      <c r="P164" s="20"/>
      <c r="Q164" s="20"/>
      <c r="R164" s="20"/>
      <c r="S164" s="188"/>
      <c r="T164" s="188"/>
      <c r="U164" s="188"/>
      <c r="V164" s="188"/>
      <c r="W164" s="20"/>
      <c r="X164" s="20"/>
      <c r="Y164" s="20"/>
      <c r="Z164" s="20"/>
      <c r="AA164" s="20"/>
      <c r="AB164" s="20"/>
    </row>
    <row r="165">
      <c r="A165" s="20"/>
      <c r="B165" s="20"/>
      <c r="C165" s="20"/>
      <c r="D165" s="20"/>
      <c r="E165" s="20"/>
      <c r="F165" s="282"/>
      <c r="G165" s="20"/>
      <c r="H165" s="20"/>
      <c r="I165" s="20"/>
      <c r="J165" s="20"/>
      <c r="K165" s="20"/>
      <c r="L165" s="20"/>
      <c r="M165" s="20"/>
      <c r="N165" s="20"/>
      <c r="O165" s="20"/>
      <c r="P165" s="20"/>
      <c r="Q165" s="20"/>
      <c r="R165" s="20"/>
      <c r="S165" s="188"/>
      <c r="T165" s="188"/>
      <c r="U165" s="188"/>
      <c r="V165" s="188"/>
      <c r="W165" s="20"/>
      <c r="X165" s="20"/>
      <c r="Y165" s="20"/>
      <c r="Z165" s="20"/>
      <c r="AA165" s="20"/>
      <c r="AB165" s="20"/>
    </row>
    <row r="166">
      <c r="A166" s="20"/>
      <c r="B166" s="20"/>
      <c r="C166" s="20"/>
      <c r="D166" s="20"/>
      <c r="E166" s="20"/>
      <c r="F166" s="282"/>
      <c r="G166" s="20"/>
      <c r="H166" s="20"/>
      <c r="I166" s="20"/>
      <c r="J166" s="20"/>
      <c r="K166" s="20"/>
      <c r="L166" s="20"/>
      <c r="M166" s="20"/>
      <c r="N166" s="20"/>
      <c r="O166" s="20"/>
      <c r="P166" s="20"/>
      <c r="Q166" s="20"/>
      <c r="R166" s="20"/>
      <c r="S166" s="188"/>
      <c r="T166" s="188"/>
      <c r="U166" s="188"/>
      <c r="V166" s="188"/>
      <c r="W166" s="20"/>
      <c r="X166" s="20"/>
      <c r="Y166" s="20"/>
      <c r="Z166" s="20"/>
      <c r="AA166" s="20"/>
      <c r="AB166" s="20"/>
    </row>
    <row r="167">
      <c r="A167" s="20"/>
      <c r="B167" s="20"/>
      <c r="C167" s="20"/>
      <c r="D167" s="20"/>
      <c r="E167" s="20"/>
      <c r="F167" s="282"/>
      <c r="G167" s="20"/>
      <c r="H167" s="20"/>
      <c r="I167" s="20"/>
      <c r="J167" s="20"/>
      <c r="K167" s="20"/>
      <c r="L167" s="20"/>
      <c r="M167" s="20"/>
      <c r="N167" s="20"/>
      <c r="O167" s="20"/>
      <c r="P167" s="20"/>
      <c r="Q167" s="20"/>
      <c r="R167" s="20"/>
      <c r="S167" s="188"/>
      <c r="T167" s="188"/>
      <c r="U167" s="188"/>
      <c r="V167" s="188"/>
      <c r="W167" s="20"/>
      <c r="X167" s="20"/>
      <c r="Y167" s="20"/>
      <c r="Z167" s="20"/>
      <c r="AA167" s="20"/>
      <c r="AB167" s="20"/>
    </row>
    <row r="168">
      <c r="A168" s="20"/>
      <c r="B168" s="20"/>
      <c r="C168" s="20"/>
      <c r="D168" s="20"/>
      <c r="E168" s="20"/>
      <c r="F168" s="282"/>
      <c r="G168" s="20"/>
      <c r="H168" s="20"/>
      <c r="I168" s="20"/>
      <c r="J168" s="20"/>
      <c r="K168" s="20"/>
      <c r="L168" s="20"/>
      <c r="M168" s="20"/>
      <c r="N168" s="20"/>
      <c r="O168" s="20"/>
      <c r="P168" s="20"/>
      <c r="Q168" s="20"/>
      <c r="R168" s="20"/>
      <c r="S168" s="188"/>
      <c r="T168" s="188"/>
      <c r="U168" s="188"/>
      <c r="V168" s="188"/>
      <c r="W168" s="20"/>
      <c r="X168" s="20"/>
      <c r="Y168" s="20"/>
      <c r="Z168" s="20"/>
      <c r="AA168" s="20"/>
      <c r="AB168" s="20"/>
    </row>
    <row r="169">
      <c r="A169" s="20"/>
      <c r="B169" s="20"/>
      <c r="C169" s="20"/>
      <c r="D169" s="20"/>
      <c r="E169" s="20"/>
      <c r="F169" s="282"/>
      <c r="G169" s="20"/>
      <c r="H169" s="20"/>
      <c r="I169" s="20"/>
      <c r="J169" s="20"/>
      <c r="K169" s="20"/>
      <c r="L169" s="20"/>
      <c r="M169" s="20"/>
      <c r="N169" s="20"/>
      <c r="O169" s="20"/>
      <c r="P169" s="20"/>
      <c r="Q169" s="20"/>
      <c r="R169" s="20"/>
      <c r="S169" s="188"/>
      <c r="T169" s="188"/>
      <c r="U169" s="188"/>
      <c r="V169" s="188"/>
      <c r="W169" s="20"/>
      <c r="X169" s="20"/>
      <c r="Y169" s="20"/>
      <c r="Z169" s="20"/>
      <c r="AA169" s="20"/>
      <c r="AB169" s="20"/>
    </row>
    <row r="170">
      <c r="A170" s="20"/>
      <c r="B170" s="20"/>
      <c r="C170" s="20"/>
      <c r="D170" s="20"/>
      <c r="E170" s="20"/>
      <c r="F170" s="282"/>
      <c r="G170" s="20"/>
      <c r="H170" s="20"/>
      <c r="I170" s="20"/>
      <c r="J170" s="20"/>
      <c r="K170" s="20"/>
      <c r="L170" s="20"/>
      <c r="M170" s="20"/>
      <c r="N170" s="20"/>
      <c r="O170" s="20"/>
      <c r="P170" s="20"/>
      <c r="Q170" s="20"/>
      <c r="R170" s="20"/>
      <c r="S170" s="188"/>
      <c r="T170" s="188"/>
      <c r="U170" s="188"/>
      <c r="V170" s="188"/>
      <c r="W170" s="20"/>
      <c r="X170" s="20"/>
      <c r="Y170" s="20"/>
      <c r="Z170" s="20"/>
      <c r="AA170" s="20"/>
      <c r="AB170" s="20"/>
    </row>
    <row r="171">
      <c r="A171" s="20"/>
      <c r="B171" s="20"/>
      <c r="C171" s="20"/>
      <c r="D171" s="20"/>
      <c r="E171" s="20"/>
      <c r="F171" s="282"/>
      <c r="G171" s="20"/>
      <c r="H171" s="20"/>
      <c r="I171" s="20"/>
      <c r="J171" s="20"/>
      <c r="K171" s="20"/>
      <c r="L171" s="20"/>
      <c r="M171" s="20"/>
      <c r="N171" s="20"/>
      <c r="O171" s="20"/>
      <c r="P171" s="20"/>
      <c r="Q171" s="20"/>
      <c r="R171" s="20"/>
      <c r="S171" s="188"/>
      <c r="T171" s="188"/>
      <c r="U171" s="188"/>
      <c r="V171" s="188"/>
      <c r="W171" s="20"/>
      <c r="X171" s="20"/>
      <c r="Y171" s="20"/>
      <c r="Z171" s="20"/>
      <c r="AA171" s="20"/>
      <c r="AB171" s="20"/>
    </row>
    <row r="172">
      <c r="A172" s="20"/>
      <c r="B172" s="20"/>
      <c r="C172" s="20"/>
      <c r="D172" s="20"/>
      <c r="E172" s="20"/>
      <c r="F172" s="282"/>
      <c r="G172" s="20"/>
      <c r="H172" s="20"/>
      <c r="I172" s="20"/>
      <c r="J172" s="20"/>
      <c r="K172" s="20"/>
      <c r="L172" s="20"/>
      <c r="M172" s="20"/>
      <c r="N172" s="20"/>
      <c r="O172" s="20"/>
      <c r="P172" s="20"/>
      <c r="Q172" s="20"/>
      <c r="R172" s="20"/>
      <c r="S172" s="188"/>
      <c r="T172" s="188"/>
      <c r="U172" s="188"/>
      <c r="V172" s="188"/>
      <c r="W172" s="20"/>
      <c r="X172" s="20"/>
      <c r="Y172" s="20"/>
      <c r="Z172" s="20"/>
      <c r="AA172" s="20"/>
      <c r="AB172" s="20"/>
    </row>
    <row r="173">
      <c r="A173" s="20"/>
      <c r="B173" s="20"/>
      <c r="C173" s="20"/>
      <c r="D173" s="20"/>
      <c r="E173" s="20"/>
      <c r="F173" s="282"/>
      <c r="G173" s="20"/>
      <c r="H173" s="20"/>
      <c r="I173" s="20"/>
      <c r="J173" s="20"/>
      <c r="K173" s="20"/>
      <c r="L173" s="20"/>
      <c r="M173" s="20"/>
      <c r="N173" s="20"/>
      <c r="O173" s="20"/>
      <c r="P173" s="20"/>
      <c r="Q173" s="20"/>
      <c r="R173" s="20"/>
      <c r="S173" s="188"/>
      <c r="T173" s="188"/>
      <c r="U173" s="188"/>
      <c r="V173" s="188"/>
      <c r="W173" s="20"/>
      <c r="X173" s="20"/>
      <c r="Y173" s="20"/>
      <c r="Z173" s="20"/>
      <c r="AA173" s="20"/>
      <c r="AB173" s="20"/>
    </row>
    <row r="174">
      <c r="A174" s="20"/>
      <c r="B174" s="20"/>
      <c r="C174" s="20"/>
      <c r="D174" s="20"/>
      <c r="E174" s="20"/>
      <c r="F174" s="282"/>
      <c r="G174" s="20"/>
      <c r="H174" s="20"/>
      <c r="I174" s="20"/>
      <c r="J174" s="20"/>
      <c r="K174" s="20"/>
      <c r="L174" s="20"/>
      <c r="M174" s="20"/>
      <c r="N174" s="20"/>
      <c r="O174" s="20"/>
      <c r="P174" s="20"/>
      <c r="Q174" s="20"/>
      <c r="R174" s="20"/>
      <c r="S174" s="188"/>
      <c r="T174" s="188"/>
      <c r="U174" s="188"/>
      <c r="V174" s="188"/>
      <c r="W174" s="20"/>
      <c r="X174" s="20"/>
      <c r="Y174" s="20"/>
      <c r="Z174" s="20"/>
      <c r="AA174" s="20"/>
      <c r="AB174" s="20"/>
    </row>
    <row r="175">
      <c r="A175" s="20"/>
      <c r="B175" s="20"/>
      <c r="C175" s="20"/>
      <c r="D175" s="20"/>
      <c r="E175" s="20"/>
      <c r="F175" s="282"/>
      <c r="G175" s="20"/>
      <c r="H175" s="20"/>
      <c r="I175" s="20"/>
      <c r="J175" s="20"/>
      <c r="K175" s="20"/>
      <c r="L175" s="20"/>
      <c r="M175" s="20"/>
      <c r="N175" s="20"/>
      <c r="O175" s="20"/>
      <c r="P175" s="20"/>
      <c r="Q175" s="20"/>
      <c r="R175" s="20"/>
      <c r="S175" s="188"/>
      <c r="T175" s="188"/>
      <c r="U175" s="188"/>
      <c r="V175" s="188"/>
      <c r="W175" s="20"/>
      <c r="X175" s="20"/>
      <c r="Y175" s="20"/>
      <c r="Z175" s="20"/>
      <c r="AA175" s="20"/>
      <c r="AB175" s="20"/>
    </row>
    <row r="176">
      <c r="A176" s="20"/>
      <c r="B176" s="20"/>
      <c r="C176" s="20"/>
      <c r="D176" s="20"/>
      <c r="E176" s="20"/>
      <c r="F176" s="282"/>
      <c r="G176" s="20"/>
      <c r="H176" s="20"/>
      <c r="I176" s="20"/>
      <c r="J176" s="20"/>
      <c r="K176" s="20"/>
      <c r="L176" s="20"/>
      <c r="M176" s="20"/>
      <c r="N176" s="20"/>
      <c r="O176" s="20"/>
      <c r="P176" s="20"/>
      <c r="Q176" s="20"/>
      <c r="R176" s="20"/>
      <c r="S176" s="188"/>
      <c r="T176" s="188"/>
      <c r="U176" s="188"/>
      <c r="V176" s="188"/>
      <c r="W176" s="20"/>
      <c r="X176" s="20"/>
      <c r="Y176" s="20"/>
      <c r="Z176" s="20"/>
      <c r="AA176" s="20"/>
      <c r="AB176" s="20"/>
    </row>
    <row r="177">
      <c r="A177" s="20"/>
      <c r="B177" s="20"/>
      <c r="C177" s="20"/>
      <c r="D177" s="20"/>
      <c r="E177" s="20"/>
      <c r="F177" s="282"/>
      <c r="G177" s="20"/>
      <c r="H177" s="20"/>
      <c r="I177" s="20"/>
      <c r="J177" s="20"/>
      <c r="K177" s="20"/>
      <c r="L177" s="20"/>
      <c r="M177" s="20"/>
      <c r="N177" s="20"/>
      <c r="O177" s="20"/>
      <c r="P177" s="20"/>
      <c r="Q177" s="20"/>
      <c r="R177" s="20"/>
      <c r="S177" s="188"/>
      <c r="T177" s="188"/>
      <c r="U177" s="188"/>
      <c r="V177" s="188"/>
      <c r="W177" s="20"/>
      <c r="X177" s="20"/>
      <c r="Y177" s="20"/>
      <c r="Z177" s="20"/>
      <c r="AA177" s="20"/>
      <c r="AB177" s="20"/>
    </row>
    <row r="178">
      <c r="A178" s="20"/>
      <c r="B178" s="20"/>
      <c r="C178" s="20"/>
      <c r="D178" s="20"/>
      <c r="E178" s="20"/>
      <c r="F178" s="282"/>
      <c r="G178" s="20"/>
      <c r="H178" s="20"/>
      <c r="I178" s="20"/>
      <c r="J178" s="20"/>
      <c r="K178" s="20"/>
      <c r="L178" s="20"/>
      <c r="M178" s="20"/>
      <c r="N178" s="20"/>
      <c r="O178" s="20"/>
      <c r="P178" s="20"/>
      <c r="Q178" s="20"/>
      <c r="R178" s="20"/>
      <c r="S178" s="188"/>
      <c r="T178" s="188"/>
      <c r="U178" s="188"/>
      <c r="V178" s="188"/>
      <c r="W178" s="20"/>
      <c r="X178" s="20"/>
      <c r="Y178" s="20"/>
      <c r="Z178" s="20"/>
      <c r="AA178" s="20"/>
      <c r="AB178" s="20"/>
    </row>
    <row r="179">
      <c r="A179" s="20"/>
      <c r="B179" s="20"/>
      <c r="C179" s="20"/>
      <c r="D179" s="20"/>
      <c r="E179" s="20"/>
      <c r="F179" s="282"/>
      <c r="G179" s="20"/>
      <c r="H179" s="20"/>
      <c r="I179" s="20"/>
      <c r="J179" s="20"/>
      <c r="K179" s="20"/>
      <c r="L179" s="20"/>
      <c r="M179" s="20"/>
      <c r="N179" s="20"/>
      <c r="O179" s="20"/>
      <c r="P179" s="20"/>
      <c r="Q179" s="20"/>
      <c r="R179" s="20"/>
      <c r="S179" s="188"/>
      <c r="T179" s="188"/>
      <c r="U179" s="188"/>
      <c r="V179" s="188"/>
      <c r="W179" s="20"/>
      <c r="X179" s="20"/>
      <c r="Y179" s="20"/>
      <c r="Z179" s="20"/>
      <c r="AA179" s="20"/>
      <c r="AB179" s="20"/>
    </row>
    <row r="180">
      <c r="A180" s="20"/>
      <c r="B180" s="20"/>
      <c r="C180" s="20"/>
      <c r="D180" s="20"/>
      <c r="E180" s="20"/>
      <c r="F180" s="282"/>
      <c r="G180" s="20"/>
      <c r="H180" s="20"/>
      <c r="I180" s="20"/>
      <c r="J180" s="20"/>
      <c r="K180" s="20"/>
      <c r="L180" s="20"/>
      <c r="M180" s="20"/>
      <c r="N180" s="20"/>
      <c r="O180" s="20"/>
      <c r="P180" s="20"/>
      <c r="Q180" s="20"/>
      <c r="R180" s="20"/>
      <c r="S180" s="188"/>
      <c r="T180" s="188"/>
      <c r="U180" s="188"/>
      <c r="V180" s="188"/>
      <c r="W180" s="20"/>
      <c r="X180" s="20"/>
      <c r="Y180" s="20"/>
      <c r="Z180" s="20"/>
      <c r="AA180" s="20"/>
      <c r="AB180" s="20"/>
    </row>
    <row r="181">
      <c r="A181" s="20"/>
      <c r="B181" s="20"/>
      <c r="C181" s="20"/>
      <c r="D181" s="20"/>
      <c r="E181" s="20"/>
      <c r="F181" s="282"/>
      <c r="G181" s="20"/>
      <c r="H181" s="20"/>
      <c r="I181" s="20"/>
      <c r="J181" s="20"/>
      <c r="K181" s="20"/>
      <c r="L181" s="20"/>
      <c r="M181" s="20"/>
      <c r="N181" s="20"/>
      <c r="O181" s="20"/>
      <c r="P181" s="20"/>
      <c r="Q181" s="20"/>
      <c r="R181" s="20"/>
      <c r="S181" s="188"/>
      <c r="T181" s="188"/>
      <c r="U181" s="188"/>
      <c r="V181" s="188"/>
      <c r="W181" s="20"/>
      <c r="X181" s="20"/>
      <c r="Y181" s="20"/>
      <c r="Z181" s="20"/>
      <c r="AA181" s="20"/>
      <c r="AB181" s="20"/>
    </row>
    <row r="182">
      <c r="A182" s="20"/>
      <c r="B182" s="20"/>
      <c r="C182" s="20"/>
      <c r="D182" s="20"/>
      <c r="E182" s="20"/>
      <c r="F182" s="282"/>
      <c r="G182" s="20"/>
      <c r="H182" s="20"/>
      <c r="I182" s="20"/>
      <c r="J182" s="20"/>
      <c r="K182" s="20"/>
      <c r="L182" s="20"/>
      <c r="M182" s="20"/>
      <c r="N182" s="20"/>
      <c r="O182" s="20"/>
      <c r="P182" s="20"/>
      <c r="Q182" s="20"/>
      <c r="R182" s="20"/>
      <c r="S182" s="188"/>
      <c r="T182" s="188"/>
      <c r="U182" s="188"/>
      <c r="V182" s="188"/>
      <c r="W182" s="20"/>
      <c r="X182" s="20"/>
      <c r="Y182" s="20"/>
      <c r="Z182" s="20"/>
      <c r="AA182" s="20"/>
      <c r="AB182" s="20"/>
    </row>
    <row r="183">
      <c r="A183" s="20"/>
      <c r="B183" s="20"/>
      <c r="C183" s="20"/>
      <c r="D183" s="20"/>
      <c r="E183" s="20"/>
      <c r="F183" s="282"/>
      <c r="G183" s="20"/>
      <c r="H183" s="20"/>
      <c r="I183" s="20"/>
      <c r="J183" s="20"/>
      <c r="K183" s="20"/>
      <c r="L183" s="20"/>
      <c r="M183" s="20"/>
      <c r="N183" s="20"/>
      <c r="O183" s="20"/>
      <c r="P183" s="20"/>
      <c r="Q183" s="20"/>
      <c r="R183" s="20"/>
      <c r="S183" s="188"/>
      <c r="T183" s="188"/>
      <c r="U183" s="188"/>
      <c r="V183" s="188"/>
      <c r="W183" s="20"/>
      <c r="X183" s="20"/>
      <c r="Y183" s="20"/>
      <c r="Z183" s="20"/>
      <c r="AA183" s="20"/>
      <c r="AB183" s="20"/>
    </row>
    <row r="184">
      <c r="A184" s="20"/>
      <c r="B184" s="20"/>
      <c r="C184" s="20"/>
      <c r="D184" s="20"/>
      <c r="E184" s="20"/>
      <c r="F184" s="282"/>
      <c r="G184" s="20"/>
      <c r="H184" s="20"/>
      <c r="I184" s="20"/>
      <c r="J184" s="20"/>
      <c r="K184" s="20"/>
      <c r="L184" s="20"/>
      <c r="M184" s="20"/>
      <c r="N184" s="20"/>
      <c r="O184" s="20"/>
      <c r="P184" s="20"/>
      <c r="Q184" s="20"/>
      <c r="R184" s="20"/>
      <c r="S184" s="188"/>
      <c r="T184" s="188"/>
      <c r="U184" s="188"/>
      <c r="V184" s="188"/>
      <c r="W184" s="20"/>
      <c r="X184" s="20"/>
      <c r="Y184" s="20"/>
      <c r="Z184" s="20"/>
      <c r="AA184" s="20"/>
      <c r="AB184" s="20"/>
    </row>
    <row r="185">
      <c r="A185" s="20"/>
      <c r="B185" s="20"/>
      <c r="C185" s="20"/>
      <c r="D185" s="20"/>
      <c r="E185" s="20"/>
      <c r="F185" s="282"/>
      <c r="G185" s="20"/>
      <c r="H185" s="20"/>
      <c r="I185" s="20"/>
      <c r="J185" s="20"/>
      <c r="K185" s="20"/>
      <c r="L185" s="20"/>
      <c r="M185" s="20"/>
      <c r="N185" s="20"/>
      <c r="O185" s="20"/>
      <c r="P185" s="20"/>
      <c r="Q185" s="20"/>
      <c r="R185" s="20"/>
      <c r="S185" s="188"/>
      <c r="T185" s="188"/>
      <c r="U185" s="188"/>
      <c r="V185" s="188"/>
      <c r="W185" s="20"/>
      <c r="X185" s="20"/>
      <c r="Y185" s="20"/>
      <c r="Z185" s="20"/>
      <c r="AA185" s="20"/>
      <c r="AB185" s="20"/>
    </row>
    <row r="186">
      <c r="A186" s="20"/>
      <c r="B186" s="20"/>
      <c r="C186" s="20"/>
      <c r="D186" s="20"/>
      <c r="E186" s="20"/>
      <c r="F186" s="282"/>
      <c r="G186" s="20"/>
      <c r="H186" s="20"/>
      <c r="I186" s="20"/>
      <c r="J186" s="20"/>
      <c r="K186" s="20"/>
      <c r="L186" s="20"/>
      <c r="M186" s="20"/>
      <c r="N186" s="20"/>
      <c r="O186" s="20"/>
      <c r="P186" s="20"/>
      <c r="Q186" s="20"/>
      <c r="R186" s="20"/>
      <c r="S186" s="188"/>
      <c r="T186" s="188"/>
      <c r="U186" s="188"/>
      <c r="V186" s="188"/>
      <c r="W186" s="20"/>
      <c r="X186" s="20"/>
      <c r="Y186" s="20"/>
      <c r="Z186" s="20"/>
      <c r="AA186" s="20"/>
      <c r="AB186" s="20"/>
    </row>
    <row r="187">
      <c r="A187" s="20"/>
      <c r="B187" s="20"/>
      <c r="C187" s="20"/>
      <c r="D187" s="20"/>
      <c r="E187" s="20"/>
      <c r="F187" s="282"/>
      <c r="G187" s="20"/>
      <c r="H187" s="20"/>
      <c r="I187" s="20"/>
      <c r="J187" s="20"/>
      <c r="K187" s="20"/>
      <c r="L187" s="20"/>
      <c r="M187" s="20"/>
      <c r="N187" s="20"/>
      <c r="O187" s="20"/>
      <c r="P187" s="20"/>
      <c r="Q187" s="20"/>
      <c r="R187" s="20"/>
      <c r="S187" s="188"/>
      <c r="T187" s="188"/>
      <c r="U187" s="188"/>
      <c r="V187" s="188"/>
      <c r="W187" s="20"/>
      <c r="X187" s="20"/>
      <c r="Y187" s="20"/>
      <c r="Z187" s="20"/>
      <c r="AA187" s="20"/>
      <c r="AB187" s="20"/>
    </row>
    <row r="188">
      <c r="A188" s="20"/>
      <c r="B188" s="20"/>
      <c r="C188" s="20"/>
      <c r="D188" s="20"/>
      <c r="E188" s="20"/>
      <c r="F188" s="282"/>
      <c r="G188" s="20"/>
      <c r="H188" s="20"/>
      <c r="I188" s="20"/>
      <c r="J188" s="20"/>
      <c r="K188" s="20"/>
      <c r="L188" s="20"/>
      <c r="M188" s="20"/>
      <c r="N188" s="20"/>
      <c r="O188" s="20"/>
      <c r="P188" s="20"/>
      <c r="Q188" s="20"/>
      <c r="R188" s="20"/>
      <c r="S188" s="188"/>
      <c r="T188" s="188"/>
      <c r="U188" s="188"/>
      <c r="V188" s="188"/>
      <c r="W188" s="20"/>
      <c r="X188" s="20"/>
      <c r="Y188" s="20"/>
      <c r="Z188" s="20"/>
      <c r="AA188" s="20"/>
      <c r="AB188" s="20"/>
    </row>
    <row r="189">
      <c r="A189" s="20"/>
      <c r="B189" s="20"/>
      <c r="C189" s="20"/>
      <c r="D189" s="20"/>
      <c r="E189" s="20"/>
      <c r="F189" s="282"/>
      <c r="G189" s="20"/>
      <c r="H189" s="20"/>
      <c r="I189" s="20"/>
      <c r="J189" s="20"/>
      <c r="K189" s="20"/>
      <c r="L189" s="20"/>
      <c r="M189" s="20"/>
      <c r="N189" s="20"/>
      <c r="O189" s="20"/>
      <c r="P189" s="20"/>
      <c r="Q189" s="20"/>
      <c r="R189" s="20"/>
      <c r="S189" s="188"/>
      <c r="T189" s="188"/>
      <c r="U189" s="188"/>
      <c r="V189" s="188"/>
      <c r="W189" s="20"/>
      <c r="X189" s="20"/>
      <c r="Y189" s="20"/>
      <c r="Z189" s="20"/>
      <c r="AA189" s="20"/>
      <c r="AB189" s="20"/>
    </row>
    <row r="190">
      <c r="A190" s="20"/>
      <c r="B190" s="20"/>
      <c r="C190" s="20"/>
      <c r="D190" s="20"/>
      <c r="E190" s="20"/>
      <c r="F190" s="282"/>
      <c r="G190" s="20"/>
      <c r="H190" s="20"/>
      <c r="I190" s="20"/>
      <c r="J190" s="20"/>
      <c r="K190" s="20"/>
      <c r="L190" s="20"/>
      <c r="M190" s="20"/>
      <c r="N190" s="20"/>
      <c r="O190" s="20"/>
      <c r="P190" s="20"/>
      <c r="Q190" s="20"/>
      <c r="R190" s="20"/>
      <c r="S190" s="188"/>
      <c r="T190" s="188"/>
      <c r="U190" s="188"/>
      <c r="V190" s="188"/>
      <c r="W190" s="20"/>
      <c r="X190" s="20"/>
      <c r="Y190" s="20"/>
      <c r="Z190" s="20"/>
      <c r="AA190" s="20"/>
      <c r="AB190" s="20"/>
    </row>
    <row r="191">
      <c r="A191" s="20"/>
      <c r="B191" s="20"/>
      <c r="C191" s="20"/>
      <c r="D191" s="20"/>
      <c r="E191" s="20"/>
      <c r="F191" s="282"/>
      <c r="G191" s="20"/>
      <c r="H191" s="20"/>
      <c r="I191" s="20"/>
      <c r="J191" s="20"/>
      <c r="K191" s="20"/>
      <c r="L191" s="20"/>
      <c r="M191" s="20"/>
      <c r="N191" s="20"/>
      <c r="O191" s="20"/>
      <c r="P191" s="20"/>
      <c r="Q191" s="20"/>
      <c r="R191" s="20"/>
      <c r="S191" s="188"/>
      <c r="T191" s="188"/>
      <c r="U191" s="188"/>
      <c r="V191" s="188"/>
      <c r="W191" s="20"/>
      <c r="X191" s="20"/>
      <c r="Y191" s="20"/>
      <c r="Z191" s="20"/>
      <c r="AA191" s="20"/>
      <c r="AB191" s="20"/>
    </row>
    <row r="192">
      <c r="A192" s="20"/>
      <c r="B192" s="20"/>
      <c r="C192" s="20"/>
      <c r="D192" s="20"/>
      <c r="E192" s="20"/>
      <c r="F192" s="282"/>
      <c r="G192" s="20"/>
      <c r="H192" s="20"/>
      <c r="I192" s="20"/>
      <c r="J192" s="20"/>
      <c r="K192" s="20"/>
      <c r="L192" s="20"/>
      <c r="M192" s="20"/>
      <c r="N192" s="20"/>
      <c r="O192" s="20"/>
      <c r="P192" s="20"/>
      <c r="Q192" s="20"/>
      <c r="R192" s="20"/>
      <c r="S192" s="188"/>
      <c r="T192" s="188"/>
      <c r="U192" s="188"/>
      <c r="V192" s="188"/>
      <c r="W192" s="20"/>
      <c r="X192" s="20"/>
      <c r="Y192" s="20"/>
      <c r="Z192" s="20"/>
      <c r="AA192" s="20"/>
      <c r="AB192" s="20"/>
    </row>
    <row r="193">
      <c r="A193" s="20"/>
      <c r="B193" s="20"/>
      <c r="C193" s="20"/>
      <c r="D193" s="20"/>
      <c r="E193" s="20"/>
      <c r="F193" s="282"/>
      <c r="G193" s="20"/>
      <c r="H193" s="20"/>
      <c r="I193" s="20"/>
      <c r="J193" s="20"/>
      <c r="K193" s="20"/>
      <c r="L193" s="20"/>
      <c r="M193" s="20"/>
      <c r="N193" s="20"/>
      <c r="O193" s="20"/>
      <c r="P193" s="20"/>
      <c r="Q193" s="20"/>
      <c r="R193" s="20"/>
      <c r="S193" s="188"/>
      <c r="T193" s="188"/>
      <c r="U193" s="188"/>
      <c r="V193" s="188"/>
      <c r="W193" s="20"/>
      <c r="X193" s="20"/>
      <c r="Y193" s="20"/>
      <c r="Z193" s="20"/>
      <c r="AA193" s="20"/>
      <c r="AB193" s="20"/>
    </row>
    <row r="194">
      <c r="A194" s="20"/>
      <c r="B194" s="20"/>
      <c r="C194" s="20"/>
      <c r="D194" s="20"/>
      <c r="E194" s="20"/>
      <c r="F194" s="282"/>
      <c r="G194" s="20"/>
      <c r="H194" s="20"/>
      <c r="I194" s="20"/>
      <c r="J194" s="20"/>
      <c r="K194" s="20"/>
      <c r="L194" s="20"/>
      <c r="M194" s="20"/>
      <c r="N194" s="20"/>
      <c r="O194" s="20"/>
      <c r="P194" s="20"/>
      <c r="Q194" s="20"/>
      <c r="R194" s="20"/>
      <c r="S194" s="188"/>
      <c r="T194" s="188"/>
      <c r="U194" s="188"/>
      <c r="V194" s="188"/>
      <c r="W194" s="20"/>
      <c r="X194" s="20"/>
      <c r="Y194" s="20"/>
      <c r="Z194" s="20"/>
      <c r="AA194" s="20"/>
      <c r="AB194" s="20"/>
    </row>
    <row r="195">
      <c r="A195" s="20"/>
      <c r="B195" s="20"/>
      <c r="C195" s="20"/>
      <c r="D195" s="20"/>
      <c r="E195" s="20"/>
      <c r="F195" s="282"/>
      <c r="G195" s="20"/>
      <c r="H195" s="20"/>
      <c r="I195" s="20"/>
      <c r="J195" s="20"/>
      <c r="K195" s="20"/>
      <c r="L195" s="20"/>
      <c r="M195" s="20"/>
      <c r="N195" s="20"/>
      <c r="O195" s="20"/>
      <c r="P195" s="20"/>
      <c r="Q195" s="20"/>
      <c r="R195" s="20"/>
      <c r="S195" s="188"/>
      <c r="T195" s="188"/>
      <c r="U195" s="188"/>
      <c r="V195" s="188"/>
      <c r="W195" s="20"/>
      <c r="X195" s="20"/>
      <c r="Y195" s="20"/>
      <c r="Z195" s="20"/>
      <c r="AA195" s="20"/>
      <c r="AB195" s="20"/>
    </row>
    <row r="196">
      <c r="A196" s="20"/>
      <c r="B196" s="20"/>
      <c r="C196" s="20"/>
      <c r="D196" s="20"/>
      <c r="E196" s="20"/>
      <c r="F196" s="282"/>
      <c r="G196" s="20"/>
      <c r="H196" s="20"/>
      <c r="I196" s="20"/>
      <c r="J196" s="20"/>
      <c r="K196" s="20"/>
      <c r="L196" s="20"/>
      <c r="M196" s="20"/>
      <c r="N196" s="20"/>
      <c r="O196" s="20"/>
      <c r="P196" s="20"/>
      <c r="Q196" s="20"/>
      <c r="R196" s="20"/>
      <c r="S196" s="188"/>
      <c r="T196" s="188"/>
      <c r="U196" s="188"/>
      <c r="V196" s="188"/>
      <c r="W196" s="20"/>
      <c r="X196" s="20"/>
      <c r="Y196" s="20"/>
      <c r="Z196" s="20"/>
      <c r="AA196" s="20"/>
      <c r="AB196" s="20"/>
    </row>
    <row r="197">
      <c r="A197" s="20"/>
      <c r="B197" s="20"/>
      <c r="C197" s="20"/>
      <c r="D197" s="20"/>
      <c r="E197" s="20"/>
      <c r="F197" s="282"/>
      <c r="G197" s="20"/>
      <c r="H197" s="20"/>
      <c r="I197" s="20"/>
      <c r="J197" s="20"/>
      <c r="K197" s="20"/>
      <c r="L197" s="20"/>
      <c r="M197" s="20"/>
      <c r="N197" s="20"/>
      <c r="O197" s="20"/>
      <c r="P197" s="20"/>
      <c r="Q197" s="20"/>
      <c r="R197" s="20"/>
      <c r="S197" s="188"/>
      <c r="T197" s="188"/>
      <c r="U197" s="188"/>
      <c r="V197" s="188"/>
      <c r="W197" s="20"/>
      <c r="X197" s="20"/>
      <c r="Y197" s="20"/>
      <c r="Z197" s="20"/>
      <c r="AA197" s="20"/>
      <c r="AB197" s="20"/>
    </row>
    <row r="198">
      <c r="A198" s="20"/>
      <c r="B198" s="20"/>
      <c r="C198" s="20"/>
      <c r="D198" s="20"/>
      <c r="E198" s="20"/>
      <c r="F198" s="282"/>
      <c r="G198" s="20"/>
      <c r="H198" s="20"/>
      <c r="I198" s="20"/>
      <c r="J198" s="20"/>
      <c r="K198" s="20"/>
      <c r="L198" s="20"/>
      <c r="M198" s="20"/>
      <c r="N198" s="20"/>
      <c r="O198" s="20"/>
      <c r="P198" s="20"/>
      <c r="Q198" s="20"/>
      <c r="R198" s="20"/>
      <c r="S198" s="188"/>
      <c r="T198" s="188"/>
      <c r="U198" s="188"/>
      <c r="V198" s="188"/>
      <c r="W198" s="20"/>
      <c r="X198" s="20"/>
      <c r="Y198" s="20"/>
      <c r="Z198" s="20"/>
      <c r="AA198" s="20"/>
      <c r="AB198" s="20"/>
    </row>
    <row r="199">
      <c r="A199" s="20"/>
      <c r="B199" s="20"/>
      <c r="C199" s="20"/>
      <c r="D199" s="20"/>
      <c r="E199" s="20"/>
      <c r="F199" s="282"/>
      <c r="G199" s="20"/>
      <c r="H199" s="20"/>
      <c r="I199" s="20"/>
      <c r="J199" s="20"/>
      <c r="K199" s="20"/>
      <c r="L199" s="20"/>
      <c r="M199" s="20"/>
      <c r="N199" s="20"/>
      <c r="O199" s="20"/>
      <c r="P199" s="20"/>
      <c r="Q199" s="20"/>
      <c r="R199" s="20"/>
      <c r="S199" s="188"/>
      <c r="T199" s="188"/>
      <c r="U199" s="188"/>
      <c r="V199" s="188"/>
      <c r="W199" s="20"/>
      <c r="X199" s="20"/>
      <c r="Y199" s="20"/>
      <c r="Z199" s="20"/>
      <c r="AA199" s="20"/>
      <c r="AB199" s="20"/>
    </row>
    <row r="200">
      <c r="A200" s="20"/>
      <c r="B200" s="20"/>
      <c r="C200" s="20"/>
      <c r="D200" s="20"/>
      <c r="E200" s="20"/>
      <c r="F200" s="282"/>
      <c r="G200" s="20"/>
      <c r="H200" s="20"/>
      <c r="I200" s="20"/>
      <c r="J200" s="20"/>
      <c r="K200" s="20"/>
      <c r="L200" s="20"/>
      <c r="M200" s="20"/>
      <c r="N200" s="20"/>
      <c r="O200" s="20"/>
      <c r="P200" s="20"/>
      <c r="Q200" s="20"/>
      <c r="R200" s="20"/>
      <c r="S200" s="188"/>
      <c r="T200" s="188"/>
      <c r="U200" s="188"/>
      <c r="V200" s="188"/>
      <c r="W200" s="20"/>
      <c r="X200" s="20"/>
      <c r="Y200" s="20"/>
      <c r="Z200" s="20"/>
      <c r="AA200" s="20"/>
      <c r="AB200" s="20"/>
    </row>
    <row r="201">
      <c r="A201" s="20"/>
      <c r="B201" s="20"/>
      <c r="C201" s="20"/>
      <c r="D201" s="20"/>
      <c r="E201" s="20"/>
      <c r="F201" s="282"/>
      <c r="G201" s="20"/>
      <c r="H201" s="20"/>
      <c r="I201" s="20"/>
      <c r="J201" s="20"/>
      <c r="K201" s="20"/>
      <c r="L201" s="20"/>
      <c r="M201" s="20"/>
      <c r="N201" s="20"/>
      <c r="O201" s="20"/>
      <c r="P201" s="20"/>
      <c r="Q201" s="20"/>
      <c r="R201" s="20"/>
      <c r="S201" s="188"/>
      <c r="T201" s="188"/>
      <c r="U201" s="188"/>
      <c r="V201" s="188"/>
      <c r="W201" s="20"/>
      <c r="X201" s="20"/>
      <c r="Y201" s="20"/>
      <c r="Z201" s="20"/>
      <c r="AA201" s="20"/>
      <c r="AB201" s="20"/>
    </row>
    <row r="202">
      <c r="A202" s="20"/>
      <c r="B202" s="20"/>
      <c r="C202" s="20"/>
      <c r="D202" s="20"/>
      <c r="E202" s="20"/>
      <c r="F202" s="282"/>
      <c r="G202" s="20"/>
      <c r="H202" s="20"/>
      <c r="I202" s="20"/>
      <c r="J202" s="20"/>
      <c r="K202" s="20"/>
      <c r="L202" s="20"/>
      <c r="M202" s="20"/>
      <c r="N202" s="20"/>
      <c r="O202" s="20"/>
      <c r="P202" s="20"/>
      <c r="Q202" s="20"/>
      <c r="R202" s="20"/>
      <c r="S202" s="188"/>
      <c r="T202" s="188"/>
      <c r="U202" s="188"/>
      <c r="V202" s="188"/>
      <c r="W202" s="20"/>
      <c r="X202" s="20"/>
      <c r="Y202" s="20"/>
      <c r="Z202" s="20"/>
      <c r="AA202" s="20"/>
      <c r="AB202" s="20"/>
    </row>
    <row r="203">
      <c r="A203" s="20"/>
      <c r="B203" s="20"/>
      <c r="C203" s="20"/>
      <c r="D203" s="20"/>
      <c r="E203" s="20"/>
      <c r="F203" s="282"/>
      <c r="G203" s="20"/>
      <c r="H203" s="20"/>
      <c r="I203" s="20"/>
      <c r="J203" s="20"/>
      <c r="K203" s="20"/>
      <c r="L203" s="20"/>
      <c r="M203" s="20"/>
      <c r="N203" s="20"/>
      <c r="O203" s="20"/>
      <c r="P203" s="20"/>
      <c r="Q203" s="20"/>
      <c r="R203" s="20"/>
      <c r="S203" s="188"/>
      <c r="T203" s="188"/>
      <c r="U203" s="188"/>
      <c r="V203" s="188"/>
      <c r="W203" s="20"/>
      <c r="X203" s="20"/>
      <c r="Y203" s="20"/>
      <c r="Z203" s="20"/>
      <c r="AA203" s="20"/>
      <c r="AB203" s="20"/>
    </row>
    <row r="204">
      <c r="A204" s="20"/>
      <c r="B204" s="20"/>
      <c r="C204" s="20"/>
      <c r="D204" s="20"/>
      <c r="E204" s="20"/>
      <c r="F204" s="282"/>
      <c r="G204" s="20"/>
      <c r="H204" s="20"/>
      <c r="I204" s="20"/>
      <c r="J204" s="20"/>
      <c r="K204" s="20"/>
      <c r="L204" s="20"/>
      <c r="M204" s="20"/>
      <c r="N204" s="20"/>
      <c r="O204" s="20"/>
      <c r="P204" s="20"/>
      <c r="Q204" s="20"/>
      <c r="R204" s="20"/>
      <c r="S204" s="188"/>
      <c r="T204" s="188"/>
      <c r="U204" s="188"/>
      <c r="V204" s="188"/>
      <c r="W204" s="20"/>
      <c r="X204" s="20"/>
      <c r="Y204" s="20"/>
      <c r="Z204" s="20"/>
      <c r="AA204" s="20"/>
      <c r="AB204" s="20"/>
    </row>
    <row r="205">
      <c r="A205" s="20"/>
      <c r="B205" s="20"/>
      <c r="C205" s="20"/>
      <c r="D205" s="20"/>
      <c r="E205" s="20"/>
      <c r="F205" s="282"/>
      <c r="G205" s="20"/>
      <c r="H205" s="20"/>
      <c r="I205" s="20"/>
      <c r="J205" s="20"/>
      <c r="K205" s="20"/>
      <c r="L205" s="20"/>
      <c r="M205" s="20"/>
      <c r="N205" s="20"/>
      <c r="O205" s="20"/>
      <c r="P205" s="20"/>
      <c r="Q205" s="20"/>
      <c r="R205" s="20"/>
      <c r="S205" s="188"/>
      <c r="T205" s="188"/>
      <c r="U205" s="188"/>
      <c r="V205" s="188"/>
      <c r="W205" s="20"/>
      <c r="X205" s="20"/>
      <c r="Y205" s="20"/>
      <c r="Z205" s="20"/>
      <c r="AA205" s="20"/>
      <c r="AB205" s="20"/>
    </row>
    <row r="206">
      <c r="A206" s="20"/>
      <c r="B206" s="20"/>
      <c r="C206" s="20"/>
      <c r="D206" s="20"/>
      <c r="E206" s="20"/>
      <c r="F206" s="282"/>
      <c r="G206" s="20"/>
      <c r="H206" s="20"/>
      <c r="I206" s="20"/>
      <c r="J206" s="20"/>
      <c r="K206" s="20"/>
      <c r="L206" s="20"/>
      <c r="M206" s="20"/>
      <c r="N206" s="20"/>
      <c r="O206" s="20"/>
      <c r="P206" s="20"/>
      <c r="Q206" s="20"/>
      <c r="R206" s="20"/>
      <c r="S206" s="188"/>
      <c r="T206" s="188"/>
      <c r="U206" s="188"/>
      <c r="V206" s="188"/>
      <c r="W206" s="20"/>
      <c r="X206" s="20"/>
      <c r="Y206" s="20"/>
      <c r="Z206" s="20"/>
      <c r="AA206" s="20"/>
      <c r="AB206" s="20"/>
    </row>
    <row r="207">
      <c r="A207" s="20"/>
      <c r="B207" s="20"/>
      <c r="C207" s="20"/>
      <c r="D207" s="20"/>
      <c r="E207" s="20"/>
      <c r="F207" s="282"/>
      <c r="G207" s="20"/>
      <c r="H207" s="20"/>
      <c r="I207" s="20"/>
      <c r="J207" s="20"/>
      <c r="K207" s="20"/>
      <c r="L207" s="20"/>
      <c r="M207" s="20"/>
      <c r="N207" s="20"/>
      <c r="O207" s="20"/>
      <c r="P207" s="20"/>
      <c r="Q207" s="20"/>
      <c r="R207" s="20"/>
      <c r="S207" s="188"/>
      <c r="T207" s="188"/>
      <c r="U207" s="188"/>
      <c r="V207" s="188"/>
      <c r="W207" s="20"/>
      <c r="X207" s="20"/>
      <c r="Y207" s="20"/>
      <c r="Z207" s="20"/>
      <c r="AA207" s="20"/>
      <c r="AB207" s="20"/>
    </row>
    <row r="208">
      <c r="A208" s="20"/>
      <c r="B208" s="20"/>
      <c r="C208" s="20"/>
      <c r="D208" s="20"/>
      <c r="E208" s="20"/>
      <c r="F208" s="282"/>
      <c r="G208" s="20"/>
      <c r="H208" s="20"/>
      <c r="I208" s="20"/>
      <c r="J208" s="20"/>
      <c r="K208" s="20"/>
      <c r="L208" s="20"/>
      <c r="M208" s="20"/>
      <c r="N208" s="20"/>
      <c r="O208" s="20"/>
      <c r="P208" s="20"/>
      <c r="Q208" s="20"/>
      <c r="R208" s="20"/>
      <c r="S208" s="188"/>
      <c r="T208" s="188"/>
      <c r="U208" s="188"/>
      <c r="V208" s="188"/>
      <c r="W208" s="20"/>
      <c r="X208" s="20"/>
      <c r="Y208" s="20"/>
      <c r="Z208" s="20"/>
      <c r="AA208" s="20"/>
      <c r="AB208" s="20"/>
    </row>
    <row r="209">
      <c r="A209" s="20"/>
      <c r="B209" s="20"/>
      <c r="C209" s="20"/>
      <c r="D209" s="20"/>
      <c r="E209" s="20"/>
      <c r="F209" s="282"/>
      <c r="G209" s="20"/>
      <c r="H209" s="20"/>
      <c r="I209" s="20"/>
      <c r="J209" s="20"/>
      <c r="K209" s="20"/>
      <c r="L209" s="20"/>
      <c r="M209" s="20"/>
      <c r="N209" s="20"/>
      <c r="O209" s="20"/>
      <c r="P209" s="20"/>
      <c r="Q209" s="20"/>
      <c r="R209" s="20"/>
      <c r="S209" s="188"/>
      <c r="T209" s="188"/>
      <c r="U209" s="188"/>
      <c r="V209" s="188"/>
      <c r="W209" s="20"/>
      <c r="X209" s="20"/>
      <c r="Y209" s="20"/>
      <c r="Z209" s="20"/>
      <c r="AA209" s="20"/>
      <c r="AB209" s="20"/>
    </row>
    <row r="210">
      <c r="A210" s="20"/>
      <c r="B210" s="20"/>
      <c r="C210" s="20"/>
      <c r="D210" s="20"/>
      <c r="E210" s="20"/>
      <c r="F210" s="282"/>
      <c r="G210" s="20"/>
      <c r="H210" s="20"/>
      <c r="I210" s="20"/>
      <c r="J210" s="20"/>
      <c r="K210" s="20"/>
      <c r="L210" s="20"/>
      <c r="M210" s="20"/>
      <c r="N210" s="20"/>
      <c r="O210" s="20"/>
      <c r="P210" s="20"/>
      <c r="Q210" s="20"/>
      <c r="R210" s="20"/>
      <c r="S210" s="188"/>
      <c r="T210" s="188"/>
      <c r="U210" s="188"/>
      <c r="V210" s="188"/>
      <c r="W210" s="20"/>
      <c r="X210" s="20"/>
      <c r="Y210" s="20"/>
      <c r="Z210" s="20"/>
      <c r="AA210" s="20"/>
      <c r="AB210" s="20"/>
    </row>
    <row r="211">
      <c r="A211" s="20"/>
      <c r="B211" s="20"/>
      <c r="C211" s="20"/>
      <c r="D211" s="20"/>
      <c r="E211" s="20"/>
      <c r="F211" s="282"/>
      <c r="G211" s="20"/>
      <c r="H211" s="20"/>
      <c r="I211" s="20"/>
      <c r="J211" s="20"/>
      <c r="K211" s="20"/>
      <c r="L211" s="20"/>
      <c r="M211" s="20"/>
      <c r="N211" s="20"/>
      <c r="O211" s="20"/>
      <c r="P211" s="20"/>
      <c r="Q211" s="20"/>
      <c r="R211" s="20"/>
      <c r="S211" s="188"/>
      <c r="T211" s="188"/>
      <c r="U211" s="188"/>
      <c r="V211" s="188"/>
      <c r="W211" s="20"/>
      <c r="X211" s="20"/>
      <c r="Y211" s="20"/>
      <c r="Z211" s="20"/>
      <c r="AA211" s="20"/>
      <c r="AB211" s="20"/>
    </row>
    <row r="212">
      <c r="A212" s="20"/>
      <c r="B212" s="20"/>
      <c r="C212" s="20"/>
      <c r="D212" s="20"/>
      <c r="E212" s="20"/>
      <c r="F212" s="282"/>
      <c r="G212" s="20"/>
      <c r="H212" s="20"/>
      <c r="I212" s="20"/>
      <c r="J212" s="20"/>
      <c r="K212" s="20"/>
      <c r="L212" s="20"/>
      <c r="M212" s="20"/>
      <c r="N212" s="20"/>
      <c r="O212" s="20"/>
      <c r="P212" s="20"/>
      <c r="Q212" s="20"/>
      <c r="R212" s="20"/>
      <c r="S212" s="188"/>
      <c r="T212" s="188"/>
      <c r="U212" s="188"/>
      <c r="V212" s="188"/>
      <c r="W212" s="20"/>
      <c r="X212" s="20"/>
      <c r="Y212" s="20"/>
      <c r="Z212" s="20"/>
      <c r="AA212" s="20"/>
      <c r="AB212" s="20"/>
    </row>
    <row r="213">
      <c r="A213" s="20"/>
      <c r="B213" s="20"/>
      <c r="C213" s="20"/>
      <c r="D213" s="20"/>
      <c r="E213" s="20"/>
      <c r="F213" s="282"/>
      <c r="G213" s="20"/>
      <c r="H213" s="20"/>
      <c r="I213" s="20"/>
      <c r="J213" s="20"/>
      <c r="K213" s="20"/>
      <c r="L213" s="20"/>
      <c r="M213" s="20"/>
      <c r="N213" s="20"/>
      <c r="O213" s="20"/>
      <c r="P213" s="20"/>
      <c r="Q213" s="20"/>
      <c r="R213" s="20"/>
      <c r="S213" s="188"/>
      <c r="T213" s="188"/>
      <c r="U213" s="188"/>
      <c r="V213" s="188"/>
      <c r="W213" s="20"/>
      <c r="X213" s="20"/>
      <c r="Y213" s="20"/>
      <c r="Z213" s="20"/>
      <c r="AA213" s="20"/>
      <c r="AB213" s="20"/>
    </row>
    <row r="214">
      <c r="A214" s="20"/>
      <c r="B214" s="20"/>
      <c r="C214" s="20"/>
      <c r="D214" s="20"/>
      <c r="E214" s="20"/>
      <c r="F214" s="282"/>
      <c r="G214" s="20"/>
      <c r="H214" s="20"/>
      <c r="I214" s="20"/>
      <c r="J214" s="20"/>
      <c r="K214" s="20"/>
      <c r="L214" s="20"/>
      <c r="M214" s="20"/>
      <c r="N214" s="20"/>
      <c r="O214" s="20"/>
      <c r="P214" s="20"/>
      <c r="Q214" s="20"/>
      <c r="R214" s="20"/>
      <c r="S214" s="188"/>
      <c r="T214" s="188"/>
      <c r="U214" s="188"/>
      <c r="V214" s="188"/>
      <c r="W214" s="20"/>
      <c r="X214" s="20"/>
      <c r="Y214" s="20"/>
      <c r="Z214" s="20"/>
      <c r="AA214" s="20"/>
      <c r="AB214" s="20"/>
    </row>
    <row r="215">
      <c r="A215" s="20"/>
      <c r="B215" s="20"/>
      <c r="C215" s="20"/>
      <c r="D215" s="20"/>
      <c r="E215" s="20"/>
      <c r="F215" s="282"/>
      <c r="G215" s="20"/>
      <c r="H215" s="20"/>
      <c r="I215" s="20"/>
      <c r="J215" s="20"/>
      <c r="K215" s="20"/>
      <c r="L215" s="20"/>
      <c r="M215" s="20"/>
      <c r="N215" s="20"/>
      <c r="O215" s="20"/>
      <c r="P215" s="20"/>
      <c r="Q215" s="20"/>
      <c r="R215" s="20"/>
      <c r="S215" s="188"/>
      <c r="T215" s="188"/>
      <c r="U215" s="188"/>
      <c r="V215" s="188"/>
      <c r="W215" s="20"/>
      <c r="X215" s="20"/>
      <c r="Y215" s="20"/>
      <c r="Z215" s="20"/>
      <c r="AA215" s="20"/>
      <c r="AB215" s="20"/>
    </row>
    <row r="216">
      <c r="A216" s="20"/>
      <c r="B216" s="20"/>
      <c r="C216" s="20"/>
      <c r="D216" s="20"/>
      <c r="E216" s="20"/>
      <c r="F216" s="282"/>
      <c r="G216" s="20"/>
      <c r="H216" s="20"/>
      <c r="I216" s="20"/>
      <c r="J216" s="20"/>
      <c r="K216" s="20"/>
      <c r="L216" s="20"/>
      <c r="M216" s="20"/>
      <c r="N216" s="20"/>
      <c r="O216" s="20"/>
      <c r="P216" s="20"/>
      <c r="Q216" s="20"/>
      <c r="R216" s="20"/>
      <c r="S216" s="188"/>
      <c r="T216" s="188"/>
      <c r="U216" s="188"/>
      <c r="V216" s="188"/>
      <c r="W216" s="20"/>
      <c r="X216" s="20"/>
      <c r="Y216" s="20"/>
      <c r="Z216" s="20"/>
      <c r="AA216" s="20"/>
      <c r="AB216" s="20"/>
    </row>
    <row r="217">
      <c r="A217" s="20"/>
      <c r="B217" s="20"/>
      <c r="C217" s="20"/>
      <c r="D217" s="20"/>
      <c r="E217" s="20"/>
      <c r="F217" s="282"/>
      <c r="G217" s="20"/>
      <c r="H217" s="20"/>
      <c r="I217" s="20"/>
      <c r="J217" s="20"/>
      <c r="K217" s="20"/>
      <c r="L217" s="20"/>
      <c r="M217" s="20"/>
      <c r="N217" s="20"/>
      <c r="O217" s="20"/>
      <c r="P217" s="20"/>
      <c r="Q217" s="20"/>
      <c r="R217" s="20"/>
      <c r="S217" s="188"/>
      <c r="T217" s="188"/>
      <c r="U217" s="188"/>
      <c r="V217" s="188"/>
      <c r="W217" s="20"/>
      <c r="X217" s="20"/>
      <c r="Y217" s="20"/>
      <c r="Z217" s="20"/>
      <c r="AA217" s="20"/>
      <c r="AB217" s="20"/>
    </row>
    <row r="218">
      <c r="A218" s="20"/>
      <c r="B218" s="20"/>
      <c r="C218" s="20"/>
      <c r="D218" s="20"/>
      <c r="E218" s="20"/>
      <c r="F218" s="282"/>
      <c r="G218" s="20"/>
      <c r="H218" s="20"/>
      <c r="I218" s="20"/>
      <c r="J218" s="20"/>
      <c r="K218" s="20"/>
      <c r="L218" s="20"/>
      <c r="M218" s="20"/>
      <c r="N218" s="20"/>
      <c r="O218" s="20"/>
      <c r="P218" s="20"/>
      <c r="Q218" s="20"/>
      <c r="R218" s="20"/>
      <c r="S218" s="188"/>
      <c r="T218" s="188"/>
      <c r="U218" s="188"/>
      <c r="V218" s="188"/>
      <c r="W218" s="20"/>
      <c r="X218" s="20"/>
      <c r="Y218" s="20"/>
      <c r="Z218" s="20"/>
      <c r="AA218" s="20"/>
      <c r="AB218" s="20"/>
    </row>
    <row r="219">
      <c r="A219" s="20"/>
      <c r="B219" s="20"/>
      <c r="C219" s="20"/>
      <c r="D219" s="20"/>
      <c r="E219" s="20"/>
      <c r="F219" s="282"/>
      <c r="G219" s="20"/>
      <c r="H219" s="20"/>
      <c r="I219" s="20"/>
      <c r="J219" s="20"/>
      <c r="K219" s="20"/>
      <c r="L219" s="20"/>
      <c r="M219" s="20"/>
      <c r="N219" s="20"/>
      <c r="O219" s="20"/>
      <c r="P219" s="20"/>
      <c r="Q219" s="20"/>
      <c r="R219" s="20"/>
      <c r="S219" s="188"/>
      <c r="T219" s="188"/>
      <c r="U219" s="188"/>
      <c r="V219" s="188"/>
      <c r="W219" s="20"/>
      <c r="X219" s="20"/>
      <c r="Y219" s="20"/>
      <c r="Z219" s="20"/>
      <c r="AA219" s="20"/>
      <c r="AB219" s="20"/>
    </row>
    <row r="220">
      <c r="A220" s="20"/>
      <c r="B220" s="20"/>
      <c r="C220" s="20"/>
      <c r="D220" s="20"/>
      <c r="E220" s="20"/>
      <c r="F220" s="282"/>
      <c r="G220" s="20"/>
      <c r="H220" s="20"/>
      <c r="I220" s="20"/>
      <c r="J220" s="20"/>
      <c r="K220" s="20"/>
      <c r="L220" s="20"/>
      <c r="M220" s="20"/>
      <c r="N220" s="20"/>
      <c r="O220" s="20"/>
      <c r="P220" s="20"/>
      <c r="Q220" s="20"/>
      <c r="R220" s="20"/>
      <c r="S220" s="188"/>
      <c r="T220" s="188"/>
      <c r="U220" s="188"/>
      <c r="V220" s="188"/>
      <c r="W220" s="20"/>
      <c r="X220" s="20"/>
      <c r="Y220" s="20"/>
      <c r="Z220" s="20"/>
      <c r="AA220" s="20"/>
      <c r="AB220" s="20"/>
    </row>
    <row r="221">
      <c r="A221" s="20"/>
      <c r="B221" s="20"/>
      <c r="C221" s="20"/>
      <c r="D221" s="20"/>
      <c r="E221" s="20"/>
      <c r="F221" s="282"/>
      <c r="G221" s="20"/>
      <c r="H221" s="20"/>
      <c r="I221" s="20"/>
      <c r="J221" s="20"/>
      <c r="K221" s="20"/>
      <c r="L221" s="20"/>
      <c r="M221" s="20"/>
      <c r="N221" s="20"/>
      <c r="O221" s="20"/>
      <c r="P221" s="20"/>
      <c r="Q221" s="20"/>
      <c r="R221" s="20"/>
      <c r="S221" s="188"/>
      <c r="T221" s="188"/>
      <c r="U221" s="188"/>
      <c r="V221" s="188"/>
      <c r="W221" s="20"/>
      <c r="X221" s="20"/>
      <c r="Y221" s="20"/>
      <c r="Z221" s="20"/>
      <c r="AA221" s="20"/>
      <c r="AB221" s="20"/>
    </row>
    <row r="222">
      <c r="A222" s="20"/>
      <c r="B222" s="20"/>
      <c r="C222" s="20"/>
      <c r="D222" s="20"/>
      <c r="E222" s="20"/>
      <c r="F222" s="282"/>
      <c r="G222" s="20"/>
      <c r="H222" s="20"/>
      <c r="I222" s="20"/>
      <c r="J222" s="20"/>
      <c r="K222" s="20"/>
      <c r="L222" s="20"/>
      <c r="M222" s="20"/>
      <c r="N222" s="20"/>
      <c r="O222" s="20"/>
      <c r="P222" s="20"/>
      <c r="Q222" s="20"/>
      <c r="R222" s="20"/>
      <c r="S222" s="188"/>
      <c r="T222" s="188"/>
      <c r="U222" s="188"/>
      <c r="V222" s="188"/>
      <c r="W222" s="20"/>
      <c r="X222" s="20"/>
      <c r="Y222" s="20"/>
      <c r="Z222" s="20"/>
      <c r="AA222" s="20"/>
      <c r="AB222" s="20"/>
    </row>
    <row r="223">
      <c r="A223" s="20"/>
      <c r="B223" s="20"/>
      <c r="C223" s="20"/>
      <c r="D223" s="20"/>
      <c r="E223" s="20"/>
      <c r="F223" s="282"/>
      <c r="G223" s="20"/>
      <c r="H223" s="20"/>
      <c r="I223" s="20"/>
      <c r="J223" s="20"/>
      <c r="K223" s="20"/>
      <c r="L223" s="20"/>
      <c r="M223" s="20"/>
      <c r="N223" s="20"/>
      <c r="O223" s="20"/>
      <c r="P223" s="20"/>
      <c r="Q223" s="20"/>
      <c r="R223" s="20"/>
      <c r="S223" s="188"/>
      <c r="T223" s="188"/>
      <c r="U223" s="188"/>
      <c r="V223" s="188"/>
      <c r="W223" s="20"/>
      <c r="X223" s="20"/>
      <c r="Y223" s="20"/>
      <c r="Z223" s="20"/>
      <c r="AA223" s="20"/>
      <c r="AB223" s="20"/>
    </row>
    <row r="224">
      <c r="A224" s="20"/>
      <c r="B224" s="20"/>
      <c r="C224" s="20"/>
      <c r="D224" s="20"/>
      <c r="E224" s="20"/>
      <c r="F224" s="282"/>
      <c r="G224" s="20"/>
      <c r="H224" s="20"/>
      <c r="I224" s="20"/>
      <c r="J224" s="20"/>
      <c r="K224" s="20"/>
      <c r="L224" s="20"/>
      <c r="M224" s="20"/>
      <c r="N224" s="20"/>
      <c r="O224" s="20"/>
      <c r="P224" s="20"/>
      <c r="Q224" s="20"/>
      <c r="R224" s="20"/>
      <c r="S224" s="188"/>
      <c r="T224" s="188"/>
      <c r="U224" s="188"/>
      <c r="V224" s="188"/>
      <c r="W224" s="20"/>
      <c r="X224" s="20"/>
      <c r="Y224" s="20"/>
      <c r="Z224" s="20"/>
      <c r="AA224" s="20"/>
      <c r="AB224" s="20"/>
    </row>
    <row r="225">
      <c r="A225" s="20"/>
      <c r="B225" s="20"/>
      <c r="C225" s="20"/>
      <c r="D225" s="20"/>
      <c r="E225" s="20"/>
      <c r="F225" s="282"/>
      <c r="G225" s="20"/>
      <c r="H225" s="20"/>
      <c r="I225" s="20"/>
      <c r="J225" s="20"/>
      <c r="K225" s="20"/>
      <c r="L225" s="20"/>
      <c r="M225" s="20"/>
      <c r="N225" s="20"/>
      <c r="O225" s="20"/>
      <c r="P225" s="20"/>
      <c r="Q225" s="20"/>
      <c r="R225" s="20"/>
      <c r="S225" s="188"/>
      <c r="T225" s="188"/>
      <c r="U225" s="188"/>
      <c r="V225" s="188"/>
      <c r="W225" s="20"/>
      <c r="X225" s="20"/>
      <c r="Y225" s="20"/>
      <c r="Z225" s="20"/>
      <c r="AA225" s="20"/>
      <c r="AB225" s="20"/>
    </row>
    <row r="226">
      <c r="A226" s="20"/>
      <c r="B226" s="20"/>
      <c r="C226" s="20"/>
      <c r="D226" s="20"/>
      <c r="E226" s="20"/>
      <c r="F226" s="282"/>
      <c r="G226" s="20"/>
      <c r="H226" s="20"/>
      <c r="I226" s="20"/>
      <c r="J226" s="20"/>
      <c r="K226" s="20"/>
      <c r="L226" s="20"/>
      <c r="M226" s="20"/>
      <c r="N226" s="20"/>
      <c r="O226" s="20"/>
      <c r="P226" s="20"/>
      <c r="Q226" s="20"/>
      <c r="R226" s="20"/>
      <c r="S226" s="188"/>
      <c r="T226" s="188"/>
      <c r="U226" s="188"/>
      <c r="V226" s="188"/>
      <c r="W226" s="20"/>
      <c r="X226" s="20"/>
      <c r="Y226" s="20"/>
      <c r="Z226" s="20"/>
      <c r="AA226" s="20"/>
      <c r="AB226" s="20"/>
    </row>
    <row r="227">
      <c r="A227" s="20"/>
      <c r="B227" s="20"/>
      <c r="C227" s="20"/>
      <c r="D227" s="20"/>
      <c r="E227" s="20"/>
      <c r="F227" s="282"/>
      <c r="G227" s="20"/>
      <c r="H227" s="20"/>
      <c r="I227" s="20"/>
      <c r="J227" s="20"/>
      <c r="K227" s="20"/>
      <c r="L227" s="20"/>
      <c r="M227" s="20"/>
      <c r="N227" s="20"/>
      <c r="O227" s="20"/>
      <c r="P227" s="20"/>
      <c r="Q227" s="20"/>
      <c r="R227" s="20"/>
      <c r="S227" s="188"/>
      <c r="T227" s="188"/>
      <c r="U227" s="188"/>
      <c r="V227" s="188"/>
      <c r="W227" s="20"/>
      <c r="X227" s="20"/>
      <c r="Y227" s="20"/>
      <c r="Z227" s="20"/>
      <c r="AA227" s="20"/>
      <c r="AB227" s="20"/>
    </row>
    <row r="228">
      <c r="A228" s="20"/>
      <c r="B228" s="20"/>
      <c r="C228" s="20"/>
      <c r="D228" s="20"/>
      <c r="E228" s="20"/>
      <c r="F228" s="282"/>
      <c r="G228" s="20"/>
      <c r="H228" s="20"/>
      <c r="I228" s="20"/>
      <c r="J228" s="20"/>
      <c r="K228" s="20"/>
      <c r="L228" s="20"/>
      <c r="M228" s="20"/>
      <c r="N228" s="20"/>
      <c r="O228" s="20"/>
      <c r="P228" s="20"/>
      <c r="Q228" s="20"/>
      <c r="R228" s="20"/>
      <c r="S228" s="188"/>
      <c r="T228" s="188"/>
      <c r="U228" s="188"/>
      <c r="V228" s="188"/>
      <c r="W228" s="20"/>
      <c r="X228" s="20"/>
      <c r="Y228" s="20"/>
      <c r="Z228" s="20"/>
      <c r="AA228" s="20"/>
      <c r="AB228" s="20"/>
    </row>
    <row r="229">
      <c r="A229" s="20"/>
      <c r="B229" s="20"/>
      <c r="C229" s="20"/>
      <c r="D229" s="20"/>
      <c r="E229" s="20"/>
      <c r="F229" s="282"/>
      <c r="G229" s="20"/>
      <c r="H229" s="20"/>
      <c r="I229" s="20"/>
      <c r="J229" s="20"/>
      <c r="K229" s="20"/>
      <c r="L229" s="20"/>
      <c r="M229" s="20"/>
      <c r="N229" s="20"/>
      <c r="O229" s="20"/>
      <c r="P229" s="20"/>
      <c r="Q229" s="20"/>
      <c r="R229" s="20"/>
      <c r="S229" s="188"/>
      <c r="T229" s="188"/>
      <c r="U229" s="188"/>
      <c r="V229" s="188"/>
      <c r="W229" s="20"/>
      <c r="X229" s="20"/>
      <c r="Y229" s="20"/>
      <c r="Z229" s="20"/>
      <c r="AA229" s="20"/>
      <c r="AB229" s="20"/>
    </row>
    <row r="230">
      <c r="A230" s="20"/>
      <c r="B230" s="20"/>
      <c r="C230" s="20"/>
      <c r="D230" s="20"/>
      <c r="E230" s="20"/>
      <c r="F230" s="282"/>
      <c r="G230" s="20"/>
      <c r="H230" s="20"/>
      <c r="I230" s="20"/>
      <c r="J230" s="20"/>
      <c r="K230" s="20"/>
      <c r="L230" s="20"/>
      <c r="M230" s="20"/>
      <c r="N230" s="20"/>
      <c r="O230" s="20"/>
      <c r="P230" s="20"/>
      <c r="Q230" s="20"/>
      <c r="R230" s="20"/>
      <c r="S230" s="188"/>
      <c r="T230" s="188"/>
      <c r="U230" s="188"/>
      <c r="V230" s="188"/>
      <c r="W230" s="20"/>
      <c r="X230" s="20"/>
      <c r="Y230" s="20"/>
      <c r="Z230" s="20"/>
      <c r="AA230" s="20"/>
      <c r="AB230" s="20"/>
    </row>
    <row r="231">
      <c r="A231" s="20"/>
      <c r="B231" s="20"/>
      <c r="C231" s="20"/>
      <c r="D231" s="20"/>
      <c r="E231" s="20"/>
      <c r="F231" s="282"/>
      <c r="G231" s="20"/>
      <c r="H231" s="20"/>
      <c r="I231" s="20"/>
      <c r="J231" s="20"/>
      <c r="K231" s="20"/>
      <c r="L231" s="20"/>
      <c r="M231" s="20"/>
      <c r="N231" s="20"/>
      <c r="O231" s="20"/>
      <c r="P231" s="20"/>
      <c r="Q231" s="20"/>
      <c r="R231" s="20"/>
      <c r="S231" s="188"/>
      <c r="T231" s="188"/>
      <c r="U231" s="188"/>
      <c r="V231" s="188"/>
      <c r="W231" s="20"/>
      <c r="X231" s="20"/>
      <c r="Y231" s="20"/>
      <c r="Z231" s="20"/>
      <c r="AA231" s="20"/>
      <c r="AB231" s="20"/>
    </row>
    <row r="232">
      <c r="A232" s="20"/>
      <c r="B232" s="20"/>
      <c r="C232" s="20"/>
      <c r="D232" s="20"/>
      <c r="E232" s="20"/>
      <c r="F232" s="282"/>
      <c r="G232" s="20"/>
      <c r="H232" s="20"/>
      <c r="I232" s="20"/>
      <c r="J232" s="20"/>
      <c r="K232" s="20"/>
      <c r="L232" s="20"/>
      <c r="M232" s="20"/>
      <c r="N232" s="20"/>
      <c r="O232" s="20"/>
      <c r="P232" s="20"/>
      <c r="Q232" s="20"/>
      <c r="R232" s="20"/>
      <c r="S232" s="188"/>
      <c r="T232" s="188"/>
      <c r="U232" s="188"/>
      <c r="V232" s="188"/>
      <c r="W232" s="20"/>
      <c r="X232" s="20"/>
      <c r="Y232" s="20"/>
      <c r="Z232" s="20"/>
      <c r="AA232" s="20"/>
      <c r="AB232" s="20"/>
    </row>
    <row r="233">
      <c r="A233" s="20"/>
      <c r="B233" s="20"/>
      <c r="C233" s="20"/>
      <c r="D233" s="20"/>
      <c r="E233" s="20"/>
      <c r="F233" s="282"/>
      <c r="G233" s="20"/>
      <c r="H233" s="20"/>
      <c r="I233" s="20"/>
      <c r="J233" s="20"/>
      <c r="K233" s="20"/>
      <c r="L233" s="20"/>
      <c r="M233" s="20"/>
      <c r="N233" s="20"/>
      <c r="O233" s="20"/>
      <c r="P233" s="20"/>
      <c r="Q233" s="20"/>
      <c r="R233" s="20"/>
      <c r="S233" s="188"/>
      <c r="T233" s="188"/>
      <c r="U233" s="188"/>
      <c r="V233" s="188"/>
      <c r="W233" s="20"/>
      <c r="X233" s="20"/>
      <c r="Y233" s="20"/>
      <c r="Z233" s="20"/>
      <c r="AA233" s="20"/>
      <c r="AB233" s="20"/>
    </row>
    <row r="234">
      <c r="A234" s="20"/>
      <c r="B234" s="20"/>
      <c r="C234" s="20"/>
      <c r="D234" s="20"/>
      <c r="E234" s="20"/>
      <c r="F234" s="282"/>
      <c r="G234" s="20"/>
      <c r="H234" s="20"/>
      <c r="I234" s="20"/>
      <c r="J234" s="20"/>
      <c r="K234" s="20"/>
      <c r="L234" s="20"/>
      <c r="M234" s="20"/>
      <c r="N234" s="20"/>
      <c r="O234" s="20"/>
      <c r="P234" s="20"/>
      <c r="Q234" s="20"/>
      <c r="R234" s="20"/>
      <c r="S234" s="188"/>
      <c r="T234" s="188"/>
      <c r="U234" s="188"/>
      <c r="V234" s="188"/>
      <c r="W234" s="20"/>
      <c r="X234" s="20"/>
      <c r="Y234" s="20"/>
      <c r="Z234" s="20"/>
      <c r="AA234" s="20"/>
      <c r="AB234" s="20"/>
    </row>
    <row r="235">
      <c r="A235" s="20"/>
      <c r="B235" s="20"/>
      <c r="C235" s="20"/>
      <c r="D235" s="20"/>
      <c r="E235" s="20"/>
      <c r="F235" s="282"/>
      <c r="G235" s="20"/>
      <c r="H235" s="20"/>
      <c r="I235" s="20"/>
      <c r="J235" s="20"/>
      <c r="K235" s="20"/>
      <c r="L235" s="20"/>
      <c r="M235" s="20"/>
      <c r="N235" s="20"/>
      <c r="O235" s="20"/>
      <c r="P235" s="20"/>
      <c r="Q235" s="20"/>
      <c r="R235" s="20"/>
      <c r="S235" s="188"/>
      <c r="T235" s="188"/>
      <c r="U235" s="188"/>
      <c r="V235" s="188"/>
      <c r="W235" s="20"/>
      <c r="X235" s="20"/>
      <c r="Y235" s="20"/>
      <c r="Z235" s="20"/>
      <c r="AA235" s="20"/>
      <c r="AB235" s="20"/>
    </row>
    <row r="236">
      <c r="A236" s="20"/>
      <c r="B236" s="20"/>
      <c r="C236" s="20"/>
      <c r="D236" s="20"/>
      <c r="E236" s="20"/>
      <c r="F236" s="282"/>
      <c r="G236" s="20"/>
      <c r="H236" s="20"/>
      <c r="I236" s="20"/>
      <c r="J236" s="20"/>
      <c r="K236" s="20"/>
      <c r="L236" s="20"/>
      <c r="M236" s="20"/>
      <c r="N236" s="20"/>
      <c r="O236" s="20"/>
      <c r="P236" s="20"/>
      <c r="Q236" s="20"/>
      <c r="R236" s="20"/>
      <c r="S236" s="188"/>
      <c r="T236" s="188"/>
      <c r="U236" s="188"/>
      <c r="V236" s="188"/>
      <c r="W236" s="20"/>
      <c r="X236" s="20"/>
      <c r="Y236" s="20"/>
      <c r="Z236" s="20"/>
      <c r="AA236" s="20"/>
      <c r="AB236" s="20"/>
    </row>
    <row r="237">
      <c r="A237" s="20"/>
      <c r="B237" s="20"/>
      <c r="C237" s="20"/>
      <c r="D237" s="20"/>
      <c r="E237" s="20"/>
      <c r="F237" s="282"/>
      <c r="G237" s="20"/>
      <c r="H237" s="20"/>
      <c r="I237" s="20"/>
      <c r="J237" s="20"/>
      <c r="K237" s="20"/>
      <c r="L237" s="20"/>
      <c r="M237" s="20"/>
      <c r="N237" s="20"/>
      <c r="O237" s="20"/>
      <c r="P237" s="20"/>
      <c r="Q237" s="20"/>
      <c r="R237" s="20"/>
      <c r="S237" s="188"/>
      <c r="T237" s="188"/>
      <c r="U237" s="188"/>
      <c r="V237" s="188"/>
      <c r="W237" s="20"/>
      <c r="X237" s="20"/>
      <c r="Y237" s="20"/>
      <c r="Z237" s="20"/>
      <c r="AA237" s="20"/>
      <c r="AB237" s="20"/>
    </row>
    <row r="238">
      <c r="A238" s="20"/>
      <c r="B238" s="20"/>
      <c r="C238" s="20"/>
      <c r="D238" s="20"/>
      <c r="E238" s="20"/>
      <c r="F238" s="282"/>
      <c r="G238" s="20"/>
      <c r="H238" s="20"/>
      <c r="I238" s="20"/>
      <c r="J238" s="20"/>
      <c r="K238" s="20"/>
      <c r="L238" s="20"/>
      <c r="M238" s="20"/>
      <c r="N238" s="20"/>
      <c r="O238" s="20"/>
      <c r="P238" s="20"/>
      <c r="Q238" s="20"/>
      <c r="R238" s="20"/>
      <c r="S238" s="188"/>
      <c r="T238" s="188"/>
      <c r="U238" s="188"/>
      <c r="V238" s="188"/>
      <c r="W238" s="20"/>
      <c r="X238" s="20"/>
      <c r="Y238" s="20"/>
      <c r="Z238" s="20"/>
      <c r="AA238" s="20"/>
      <c r="AB238" s="20"/>
    </row>
    <row r="239">
      <c r="A239" s="20"/>
      <c r="B239" s="20"/>
      <c r="C239" s="20"/>
      <c r="D239" s="20"/>
      <c r="E239" s="20"/>
      <c r="F239" s="282"/>
      <c r="G239" s="20"/>
      <c r="H239" s="20"/>
      <c r="I239" s="20"/>
      <c r="J239" s="20"/>
      <c r="K239" s="20"/>
      <c r="L239" s="20"/>
      <c r="M239" s="20"/>
      <c r="N239" s="20"/>
      <c r="O239" s="20"/>
      <c r="P239" s="20"/>
      <c r="Q239" s="20"/>
      <c r="R239" s="20"/>
      <c r="S239" s="188"/>
      <c r="T239" s="188"/>
      <c r="U239" s="188"/>
      <c r="V239" s="188"/>
      <c r="W239" s="20"/>
      <c r="X239" s="20"/>
      <c r="Y239" s="20"/>
      <c r="Z239" s="20"/>
      <c r="AA239" s="20"/>
      <c r="AB239" s="20"/>
    </row>
    <row r="240">
      <c r="A240" s="20"/>
      <c r="B240" s="20"/>
      <c r="C240" s="20"/>
      <c r="D240" s="20"/>
      <c r="E240" s="20"/>
      <c r="F240" s="282"/>
      <c r="G240" s="20"/>
      <c r="H240" s="20"/>
      <c r="I240" s="20"/>
      <c r="J240" s="20"/>
      <c r="K240" s="20"/>
      <c r="L240" s="20"/>
      <c r="M240" s="20"/>
      <c r="N240" s="20"/>
      <c r="O240" s="20"/>
      <c r="P240" s="20"/>
      <c r="Q240" s="20"/>
      <c r="R240" s="20"/>
      <c r="S240" s="188"/>
      <c r="T240" s="188"/>
      <c r="U240" s="188"/>
      <c r="V240" s="188"/>
      <c r="W240" s="20"/>
      <c r="X240" s="20"/>
      <c r="Y240" s="20"/>
      <c r="Z240" s="20"/>
      <c r="AA240" s="20"/>
      <c r="AB240" s="20"/>
    </row>
    <row r="241">
      <c r="A241" s="20"/>
      <c r="B241" s="20"/>
      <c r="C241" s="20"/>
      <c r="D241" s="20"/>
      <c r="E241" s="20"/>
      <c r="F241" s="282"/>
      <c r="G241" s="20"/>
      <c r="H241" s="20"/>
      <c r="I241" s="20"/>
      <c r="J241" s="20"/>
      <c r="K241" s="20"/>
      <c r="L241" s="20"/>
      <c r="M241" s="20"/>
      <c r="N241" s="20"/>
      <c r="O241" s="20"/>
      <c r="P241" s="20"/>
      <c r="Q241" s="20"/>
      <c r="R241" s="20"/>
      <c r="S241" s="188"/>
      <c r="T241" s="188"/>
      <c r="U241" s="188"/>
      <c r="V241" s="188"/>
      <c r="W241" s="20"/>
      <c r="X241" s="20"/>
      <c r="Y241" s="20"/>
      <c r="Z241" s="20"/>
      <c r="AA241" s="20"/>
      <c r="AB241" s="20"/>
    </row>
    <row r="242">
      <c r="A242" s="20"/>
      <c r="B242" s="20"/>
      <c r="C242" s="20"/>
      <c r="D242" s="20"/>
      <c r="E242" s="20"/>
      <c r="F242" s="282"/>
      <c r="G242" s="20"/>
      <c r="H242" s="20"/>
      <c r="I242" s="20"/>
      <c r="J242" s="20"/>
      <c r="K242" s="20"/>
      <c r="L242" s="20"/>
      <c r="M242" s="20"/>
      <c r="N242" s="20"/>
      <c r="O242" s="20"/>
      <c r="P242" s="20"/>
      <c r="Q242" s="20"/>
      <c r="R242" s="20"/>
      <c r="S242" s="188"/>
      <c r="T242" s="188"/>
      <c r="U242" s="188"/>
      <c r="V242" s="188"/>
      <c r="W242" s="20"/>
      <c r="X242" s="20"/>
      <c r="Y242" s="20"/>
      <c r="Z242" s="20"/>
      <c r="AA242" s="20"/>
      <c r="AB242" s="20"/>
    </row>
    <row r="243">
      <c r="A243" s="20"/>
      <c r="B243" s="20"/>
      <c r="C243" s="20"/>
      <c r="D243" s="20"/>
      <c r="E243" s="20"/>
      <c r="F243" s="282"/>
      <c r="G243" s="20"/>
      <c r="H243" s="20"/>
      <c r="I243" s="20"/>
      <c r="J243" s="20"/>
      <c r="K243" s="20"/>
      <c r="L243" s="20"/>
      <c r="M243" s="20"/>
      <c r="N243" s="20"/>
      <c r="O243" s="20"/>
      <c r="P243" s="20"/>
      <c r="Q243" s="20"/>
      <c r="R243" s="20"/>
      <c r="S243" s="188"/>
      <c r="T243" s="188"/>
      <c r="U243" s="188"/>
      <c r="V243" s="188"/>
      <c r="W243" s="20"/>
      <c r="X243" s="20"/>
      <c r="Y243" s="20"/>
      <c r="Z243" s="20"/>
      <c r="AA243" s="20"/>
      <c r="AB243" s="20"/>
    </row>
    <row r="244">
      <c r="A244" s="20"/>
      <c r="B244" s="20"/>
      <c r="C244" s="20"/>
      <c r="D244" s="20"/>
      <c r="E244" s="20"/>
      <c r="F244" s="282"/>
      <c r="G244" s="20"/>
      <c r="H244" s="20"/>
      <c r="I244" s="20"/>
      <c r="J244" s="20"/>
      <c r="K244" s="20"/>
      <c r="L244" s="20"/>
      <c r="M244" s="20"/>
      <c r="N244" s="20"/>
      <c r="O244" s="20"/>
      <c r="P244" s="20"/>
      <c r="Q244" s="20"/>
      <c r="R244" s="20"/>
      <c r="S244" s="188"/>
      <c r="T244" s="188"/>
      <c r="U244" s="188"/>
      <c r="V244" s="188"/>
      <c r="W244" s="20"/>
      <c r="X244" s="20"/>
      <c r="Y244" s="20"/>
      <c r="Z244" s="20"/>
      <c r="AA244" s="20"/>
      <c r="AB244" s="20"/>
    </row>
    <row r="245">
      <c r="A245" s="20"/>
      <c r="B245" s="20"/>
      <c r="C245" s="20"/>
      <c r="D245" s="20"/>
      <c r="E245" s="20"/>
      <c r="F245" s="282"/>
      <c r="G245" s="20"/>
      <c r="H245" s="20"/>
      <c r="I245" s="20"/>
      <c r="J245" s="20"/>
      <c r="K245" s="20"/>
      <c r="L245" s="20"/>
      <c r="M245" s="20"/>
      <c r="N245" s="20"/>
      <c r="O245" s="20"/>
      <c r="P245" s="20"/>
      <c r="Q245" s="20"/>
      <c r="R245" s="20"/>
      <c r="S245" s="188"/>
      <c r="T245" s="188"/>
      <c r="U245" s="188"/>
      <c r="V245" s="188"/>
      <c r="W245" s="20"/>
      <c r="X245" s="20"/>
      <c r="Y245" s="20"/>
      <c r="Z245" s="20"/>
      <c r="AA245" s="20"/>
      <c r="AB245" s="20"/>
    </row>
    <row r="246">
      <c r="A246" s="20"/>
      <c r="B246" s="20"/>
      <c r="C246" s="20"/>
      <c r="D246" s="20"/>
      <c r="E246" s="20"/>
      <c r="F246" s="282"/>
      <c r="G246" s="20"/>
      <c r="H246" s="20"/>
      <c r="I246" s="20"/>
      <c r="J246" s="20"/>
      <c r="K246" s="20"/>
      <c r="L246" s="20"/>
      <c r="M246" s="20"/>
      <c r="N246" s="20"/>
      <c r="O246" s="20"/>
      <c r="P246" s="20"/>
      <c r="Q246" s="20"/>
      <c r="R246" s="20"/>
      <c r="S246" s="188"/>
      <c r="T246" s="188"/>
      <c r="U246" s="188"/>
      <c r="V246" s="188"/>
      <c r="W246" s="20"/>
      <c r="X246" s="20"/>
      <c r="Y246" s="20"/>
      <c r="Z246" s="20"/>
      <c r="AA246" s="20"/>
      <c r="AB246" s="20"/>
    </row>
    <row r="247">
      <c r="A247" s="20"/>
      <c r="B247" s="20"/>
      <c r="C247" s="20"/>
      <c r="D247" s="20"/>
      <c r="E247" s="20"/>
      <c r="F247" s="282"/>
      <c r="G247" s="20"/>
      <c r="H247" s="20"/>
      <c r="I247" s="20"/>
      <c r="J247" s="20"/>
      <c r="K247" s="20"/>
      <c r="L247" s="20"/>
      <c r="M247" s="20"/>
      <c r="N247" s="20"/>
      <c r="O247" s="20"/>
      <c r="P247" s="20"/>
      <c r="Q247" s="20"/>
      <c r="R247" s="20"/>
      <c r="S247" s="188"/>
      <c r="T247" s="188"/>
      <c r="U247" s="188"/>
      <c r="V247" s="188"/>
      <c r="W247" s="20"/>
      <c r="X247" s="20"/>
      <c r="Y247" s="20"/>
      <c r="Z247" s="20"/>
      <c r="AA247" s="20"/>
      <c r="AB247" s="20"/>
    </row>
    <row r="248">
      <c r="A248" s="20"/>
      <c r="B248" s="20"/>
      <c r="C248" s="20"/>
      <c r="D248" s="20"/>
      <c r="E248" s="20"/>
      <c r="F248" s="282"/>
      <c r="G248" s="20"/>
      <c r="H248" s="20"/>
      <c r="I248" s="20"/>
      <c r="J248" s="20"/>
      <c r="K248" s="20"/>
      <c r="L248" s="20"/>
      <c r="M248" s="20"/>
      <c r="N248" s="20"/>
      <c r="O248" s="20"/>
      <c r="P248" s="20"/>
      <c r="Q248" s="20"/>
      <c r="R248" s="20"/>
      <c r="S248" s="188"/>
      <c r="T248" s="188"/>
      <c r="U248" s="188"/>
      <c r="V248" s="188"/>
      <c r="W248" s="20"/>
      <c r="X248" s="20"/>
      <c r="Y248" s="20"/>
      <c r="Z248" s="20"/>
      <c r="AA248" s="20"/>
      <c r="AB248" s="20"/>
    </row>
    <row r="249">
      <c r="A249" s="20"/>
      <c r="B249" s="20"/>
      <c r="C249" s="20"/>
      <c r="D249" s="20"/>
      <c r="E249" s="20"/>
      <c r="F249" s="282"/>
      <c r="G249" s="20"/>
      <c r="H249" s="20"/>
      <c r="I249" s="20"/>
      <c r="J249" s="20"/>
      <c r="K249" s="20"/>
      <c r="L249" s="20"/>
      <c r="M249" s="20"/>
      <c r="N249" s="20"/>
      <c r="O249" s="20"/>
      <c r="P249" s="20"/>
      <c r="Q249" s="20"/>
      <c r="R249" s="20"/>
      <c r="S249" s="188"/>
      <c r="T249" s="188"/>
      <c r="U249" s="188"/>
      <c r="V249" s="188"/>
      <c r="W249" s="20"/>
      <c r="X249" s="20"/>
      <c r="Y249" s="20"/>
      <c r="Z249" s="20"/>
      <c r="AA249" s="20"/>
      <c r="AB249" s="20"/>
    </row>
    <row r="250">
      <c r="A250" s="20"/>
      <c r="B250" s="20"/>
      <c r="C250" s="20"/>
      <c r="D250" s="20"/>
      <c r="E250" s="20"/>
      <c r="F250" s="282"/>
      <c r="G250" s="20"/>
      <c r="H250" s="20"/>
      <c r="I250" s="20"/>
      <c r="J250" s="20"/>
      <c r="K250" s="20"/>
      <c r="L250" s="20"/>
      <c r="M250" s="20"/>
      <c r="N250" s="20"/>
      <c r="O250" s="20"/>
      <c r="P250" s="20"/>
      <c r="Q250" s="20"/>
      <c r="R250" s="20"/>
      <c r="S250" s="188"/>
      <c r="T250" s="188"/>
      <c r="U250" s="188"/>
      <c r="V250" s="188"/>
      <c r="W250" s="20"/>
      <c r="X250" s="20"/>
      <c r="Y250" s="20"/>
      <c r="Z250" s="20"/>
      <c r="AA250" s="20"/>
      <c r="AB250" s="20"/>
    </row>
    <row r="251">
      <c r="A251" s="20"/>
      <c r="B251" s="20"/>
      <c r="C251" s="20"/>
      <c r="D251" s="20"/>
      <c r="E251" s="20"/>
      <c r="F251" s="282"/>
      <c r="G251" s="20"/>
      <c r="H251" s="20"/>
      <c r="I251" s="20"/>
      <c r="J251" s="20"/>
      <c r="K251" s="20"/>
      <c r="L251" s="20"/>
      <c r="M251" s="20"/>
      <c r="N251" s="20"/>
      <c r="O251" s="20"/>
      <c r="P251" s="20"/>
      <c r="Q251" s="20"/>
      <c r="R251" s="20"/>
      <c r="S251" s="188"/>
      <c r="T251" s="188"/>
      <c r="U251" s="188"/>
      <c r="V251" s="188"/>
      <c r="W251" s="20"/>
      <c r="X251" s="20"/>
      <c r="Y251" s="20"/>
      <c r="Z251" s="20"/>
      <c r="AA251" s="20"/>
      <c r="AB251" s="20"/>
    </row>
    <row r="252">
      <c r="A252" s="20"/>
      <c r="B252" s="20"/>
      <c r="C252" s="20"/>
      <c r="D252" s="20"/>
      <c r="E252" s="20"/>
      <c r="F252" s="282"/>
      <c r="G252" s="20"/>
      <c r="H252" s="20"/>
      <c r="I252" s="20"/>
      <c r="J252" s="20"/>
      <c r="K252" s="20"/>
      <c r="L252" s="20"/>
      <c r="M252" s="20"/>
      <c r="N252" s="20"/>
      <c r="O252" s="20"/>
      <c r="P252" s="20"/>
      <c r="Q252" s="20"/>
      <c r="R252" s="20"/>
      <c r="S252" s="188"/>
      <c r="T252" s="188"/>
      <c r="U252" s="188"/>
      <c r="V252" s="188"/>
      <c r="W252" s="20"/>
      <c r="X252" s="20"/>
      <c r="Y252" s="20"/>
      <c r="Z252" s="20"/>
      <c r="AA252" s="20"/>
      <c r="AB252" s="20"/>
    </row>
    <row r="253">
      <c r="A253" s="20"/>
      <c r="B253" s="20"/>
      <c r="C253" s="20"/>
      <c r="D253" s="20"/>
      <c r="E253" s="20"/>
      <c r="F253" s="282"/>
      <c r="G253" s="20"/>
      <c r="H253" s="20"/>
      <c r="I253" s="20"/>
      <c r="J253" s="20"/>
      <c r="K253" s="20"/>
      <c r="L253" s="20"/>
      <c r="M253" s="20"/>
      <c r="N253" s="20"/>
      <c r="O253" s="20"/>
      <c r="P253" s="20"/>
      <c r="Q253" s="20"/>
      <c r="R253" s="20"/>
      <c r="S253" s="188"/>
      <c r="T253" s="188"/>
      <c r="U253" s="188"/>
      <c r="V253" s="188"/>
      <c r="W253" s="20"/>
      <c r="X253" s="20"/>
      <c r="Y253" s="20"/>
      <c r="Z253" s="20"/>
      <c r="AA253" s="20"/>
      <c r="AB253" s="20"/>
    </row>
    <row r="254">
      <c r="A254" s="20"/>
      <c r="B254" s="20"/>
      <c r="C254" s="20"/>
      <c r="D254" s="20"/>
      <c r="E254" s="20"/>
      <c r="F254" s="282"/>
      <c r="G254" s="20"/>
      <c r="H254" s="20"/>
      <c r="I254" s="20"/>
      <c r="J254" s="20"/>
      <c r="K254" s="20"/>
      <c r="L254" s="20"/>
      <c r="M254" s="20"/>
      <c r="N254" s="20"/>
      <c r="O254" s="20"/>
      <c r="P254" s="20"/>
      <c r="Q254" s="20"/>
      <c r="R254" s="20"/>
      <c r="S254" s="188"/>
      <c r="T254" s="188"/>
      <c r="U254" s="188"/>
      <c r="V254" s="188"/>
      <c r="W254" s="20"/>
      <c r="X254" s="20"/>
      <c r="Y254" s="20"/>
      <c r="Z254" s="20"/>
      <c r="AA254" s="20"/>
      <c r="AB254" s="20"/>
    </row>
    <row r="255">
      <c r="A255" s="20"/>
      <c r="B255" s="20"/>
      <c r="C255" s="20"/>
      <c r="D255" s="20"/>
      <c r="E255" s="20"/>
      <c r="F255" s="282"/>
      <c r="G255" s="20"/>
      <c r="H255" s="20"/>
      <c r="I255" s="20"/>
      <c r="J255" s="20"/>
      <c r="K255" s="20"/>
      <c r="L255" s="20"/>
      <c r="M255" s="20"/>
      <c r="N255" s="20"/>
      <c r="O255" s="20"/>
      <c r="P255" s="20"/>
      <c r="Q255" s="20"/>
      <c r="R255" s="20"/>
      <c r="S255" s="188"/>
      <c r="T255" s="188"/>
      <c r="U255" s="188"/>
      <c r="V255" s="188"/>
      <c r="W255" s="20"/>
      <c r="X255" s="20"/>
      <c r="Y255" s="20"/>
      <c r="Z255" s="20"/>
      <c r="AA255" s="20"/>
      <c r="AB255" s="20"/>
    </row>
    <row r="256">
      <c r="A256" s="20"/>
      <c r="B256" s="20"/>
      <c r="C256" s="20"/>
      <c r="D256" s="20"/>
      <c r="E256" s="20"/>
      <c r="F256" s="282"/>
      <c r="G256" s="20"/>
      <c r="H256" s="20"/>
      <c r="I256" s="20"/>
      <c r="J256" s="20"/>
      <c r="K256" s="20"/>
      <c r="L256" s="20"/>
      <c r="M256" s="20"/>
      <c r="N256" s="20"/>
      <c r="O256" s="20"/>
      <c r="P256" s="20"/>
      <c r="Q256" s="20"/>
      <c r="R256" s="20"/>
      <c r="S256" s="188"/>
      <c r="T256" s="188"/>
      <c r="U256" s="188"/>
      <c r="V256" s="188"/>
      <c r="W256" s="20"/>
      <c r="X256" s="20"/>
      <c r="Y256" s="20"/>
      <c r="Z256" s="20"/>
      <c r="AA256" s="20"/>
      <c r="AB256" s="20"/>
    </row>
    <row r="257">
      <c r="A257" s="20"/>
      <c r="B257" s="20"/>
      <c r="C257" s="20"/>
      <c r="D257" s="20"/>
      <c r="E257" s="20"/>
      <c r="F257" s="282"/>
      <c r="G257" s="20"/>
      <c r="H257" s="20"/>
      <c r="I257" s="20"/>
      <c r="J257" s="20"/>
      <c r="K257" s="20"/>
      <c r="L257" s="20"/>
      <c r="M257" s="20"/>
      <c r="N257" s="20"/>
      <c r="O257" s="20"/>
      <c r="P257" s="20"/>
      <c r="Q257" s="20"/>
      <c r="R257" s="20"/>
      <c r="S257" s="188"/>
      <c r="T257" s="188"/>
      <c r="U257" s="188"/>
      <c r="V257" s="188"/>
      <c r="W257" s="20"/>
      <c r="X257" s="20"/>
      <c r="Y257" s="20"/>
      <c r="Z257" s="20"/>
      <c r="AA257" s="20"/>
      <c r="AB257" s="20"/>
    </row>
    <row r="258">
      <c r="A258" s="20"/>
      <c r="B258" s="20"/>
      <c r="C258" s="20"/>
      <c r="D258" s="20"/>
      <c r="E258" s="20"/>
      <c r="F258" s="282"/>
      <c r="G258" s="20"/>
      <c r="H258" s="20"/>
      <c r="I258" s="20"/>
      <c r="J258" s="20"/>
      <c r="K258" s="20"/>
      <c r="L258" s="20"/>
      <c r="M258" s="20"/>
      <c r="N258" s="20"/>
      <c r="O258" s="20"/>
      <c r="P258" s="20"/>
      <c r="Q258" s="20"/>
      <c r="R258" s="20"/>
      <c r="S258" s="188"/>
      <c r="T258" s="188"/>
      <c r="U258" s="188"/>
      <c r="V258" s="188"/>
      <c r="W258" s="20"/>
      <c r="X258" s="20"/>
      <c r="Y258" s="20"/>
      <c r="Z258" s="20"/>
      <c r="AA258" s="20"/>
      <c r="AB258" s="20"/>
    </row>
    <row r="259">
      <c r="A259" s="20"/>
      <c r="B259" s="20"/>
      <c r="C259" s="20"/>
      <c r="D259" s="20"/>
      <c r="E259" s="20"/>
      <c r="F259" s="282"/>
      <c r="G259" s="20"/>
      <c r="H259" s="20"/>
      <c r="I259" s="20"/>
      <c r="J259" s="20"/>
      <c r="K259" s="20"/>
      <c r="L259" s="20"/>
      <c r="M259" s="20"/>
      <c r="N259" s="20"/>
      <c r="O259" s="20"/>
      <c r="P259" s="20"/>
      <c r="Q259" s="20"/>
      <c r="R259" s="20"/>
      <c r="S259" s="188"/>
      <c r="T259" s="188"/>
      <c r="U259" s="188"/>
      <c r="V259" s="188"/>
      <c r="W259" s="20"/>
      <c r="X259" s="20"/>
      <c r="Y259" s="20"/>
      <c r="Z259" s="20"/>
      <c r="AA259" s="20"/>
      <c r="AB259" s="20"/>
    </row>
    <row r="260">
      <c r="A260" s="20"/>
      <c r="B260" s="20"/>
      <c r="C260" s="20"/>
      <c r="D260" s="20"/>
      <c r="E260" s="20"/>
      <c r="F260" s="282"/>
      <c r="G260" s="20"/>
      <c r="H260" s="20"/>
      <c r="I260" s="20"/>
      <c r="J260" s="20"/>
      <c r="K260" s="20"/>
      <c r="L260" s="20"/>
      <c r="M260" s="20"/>
      <c r="N260" s="20"/>
      <c r="O260" s="20"/>
      <c r="P260" s="20"/>
      <c r="Q260" s="20"/>
      <c r="R260" s="20"/>
      <c r="S260" s="188"/>
      <c r="T260" s="188"/>
      <c r="U260" s="188"/>
      <c r="V260" s="188"/>
      <c r="W260" s="20"/>
      <c r="X260" s="20"/>
      <c r="Y260" s="20"/>
      <c r="Z260" s="20"/>
      <c r="AA260" s="20"/>
      <c r="AB260" s="20"/>
    </row>
    <row r="261">
      <c r="A261" s="20"/>
      <c r="B261" s="20"/>
      <c r="C261" s="20"/>
      <c r="D261" s="20"/>
      <c r="E261" s="20"/>
      <c r="F261" s="282"/>
      <c r="G261" s="20"/>
      <c r="H261" s="20"/>
      <c r="I261" s="20"/>
      <c r="J261" s="20"/>
      <c r="K261" s="20"/>
      <c r="L261" s="20"/>
      <c r="M261" s="20"/>
      <c r="N261" s="20"/>
      <c r="O261" s="20"/>
      <c r="P261" s="20"/>
      <c r="Q261" s="20"/>
      <c r="R261" s="20"/>
      <c r="S261" s="188"/>
      <c r="T261" s="188"/>
      <c r="U261" s="188"/>
      <c r="V261" s="188"/>
      <c r="W261" s="20"/>
      <c r="X261" s="20"/>
      <c r="Y261" s="20"/>
      <c r="Z261" s="20"/>
      <c r="AA261" s="20"/>
      <c r="AB261" s="20"/>
    </row>
    <row r="262">
      <c r="A262" s="20"/>
      <c r="B262" s="20"/>
      <c r="C262" s="20"/>
      <c r="D262" s="20"/>
      <c r="E262" s="20"/>
      <c r="F262" s="282"/>
      <c r="G262" s="20"/>
      <c r="H262" s="20"/>
      <c r="I262" s="20"/>
      <c r="J262" s="20"/>
      <c r="K262" s="20"/>
      <c r="L262" s="20"/>
      <c r="M262" s="20"/>
      <c r="N262" s="20"/>
      <c r="O262" s="20"/>
      <c r="P262" s="20"/>
      <c r="Q262" s="20"/>
      <c r="R262" s="20"/>
      <c r="S262" s="188"/>
      <c r="T262" s="188"/>
      <c r="U262" s="188"/>
      <c r="V262" s="188"/>
      <c r="W262" s="20"/>
      <c r="X262" s="20"/>
      <c r="Y262" s="20"/>
      <c r="Z262" s="20"/>
      <c r="AA262" s="20"/>
      <c r="AB262" s="20"/>
    </row>
    <row r="263">
      <c r="A263" s="20"/>
      <c r="B263" s="20"/>
      <c r="C263" s="20"/>
      <c r="D263" s="20"/>
      <c r="E263" s="20"/>
      <c r="F263" s="282"/>
      <c r="G263" s="20"/>
      <c r="H263" s="20"/>
      <c r="I263" s="20"/>
      <c r="J263" s="20"/>
      <c r="K263" s="20"/>
      <c r="L263" s="20"/>
      <c r="M263" s="20"/>
      <c r="N263" s="20"/>
      <c r="O263" s="20"/>
      <c r="P263" s="20"/>
      <c r="Q263" s="20"/>
      <c r="R263" s="20"/>
      <c r="S263" s="188"/>
      <c r="T263" s="188"/>
      <c r="U263" s="188"/>
      <c r="V263" s="188"/>
      <c r="W263" s="20"/>
      <c r="X263" s="20"/>
      <c r="Y263" s="20"/>
      <c r="Z263" s="20"/>
      <c r="AA263" s="20"/>
      <c r="AB263" s="20"/>
    </row>
    <row r="264">
      <c r="A264" s="20"/>
      <c r="B264" s="20"/>
      <c r="C264" s="20"/>
      <c r="D264" s="20"/>
      <c r="E264" s="20"/>
      <c r="F264" s="282"/>
      <c r="G264" s="20"/>
      <c r="H264" s="20"/>
      <c r="I264" s="20"/>
      <c r="J264" s="20"/>
      <c r="K264" s="20"/>
      <c r="L264" s="20"/>
      <c r="M264" s="20"/>
      <c r="N264" s="20"/>
      <c r="O264" s="20"/>
      <c r="P264" s="20"/>
      <c r="Q264" s="20"/>
      <c r="R264" s="20"/>
      <c r="S264" s="188"/>
      <c r="T264" s="188"/>
      <c r="U264" s="188"/>
      <c r="V264" s="188"/>
      <c r="W264" s="20"/>
      <c r="X264" s="20"/>
      <c r="Y264" s="20"/>
      <c r="Z264" s="20"/>
      <c r="AA264" s="20"/>
      <c r="AB264" s="20"/>
    </row>
    <row r="265">
      <c r="A265" s="20"/>
      <c r="B265" s="20"/>
      <c r="C265" s="20"/>
      <c r="D265" s="20"/>
      <c r="E265" s="20"/>
      <c r="F265" s="282"/>
      <c r="G265" s="20"/>
      <c r="H265" s="20"/>
      <c r="I265" s="20"/>
      <c r="J265" s="20"/>
      <c r="K265" s="20"/>
      <c r="L265" s="20"/>
      <c r="M265" s="20"/>
      <c r="N265" s="20"/>
      <c r="O265" s="20"/>
      <c r="P265" s="20"/>
      <c r="Q265" s="20"/>
      <c r="R265" s="20"/>
      <c r="S265" s="188"/>
      <c r="T265" s="188"/>
      <c r="U265" s="188"/>
      <c r="V265" s="188"/>
      <c r="W265" s="20"/>
      <c r="X265" s="20"/>
      <c r="Y265" s="20"/>
      <c r="Z265" s="20"/>
      <c r="AA265" s="20"/>
      <c r="AB265" s="20"/>
    </row>
    <row r="266">
      <c r="A266" s="20"/>
      <c r="B266" s="20"/>
      <c r="C266" s="20"/>
      <c r="D266" s="20"/>
      <c r="E266" s="20"/>
      <c r="F266" s="282"/>
      <c r="G266" s="20"/>
      <c r="H266" s="20"/>
      <c r="I266" s="20"/>
      <c r="J266" s="20"/>
      <c r="K266" s="20"/>
      <c r="L266" s="20"/>
      <c r="M266" s="20"/>
      <c r="N266" s="20"/>
      <c r="O266" s="20"/>
      <c r="P266" s="20"/>
      <c r="Q266" s="20"/>
      <c r="R266" s="20"/>
      <c r="S266" s="188"/>
      <c r="T266" s="188"/>
      <c r="U266" s="188"/>
      <c r="V266" s="188"/>
      <c r="W266" s="20"/>
      <c r="X266" s="20"/>
      <c r="Y266" s="20"/>
      <c r="Z266" s="20"/>
      <c r="AA266" s="20"/>
      <c r="AB266" s="20"/>
    </row>
    <row r="267">
      <c r="A267" s="20"/>
      <c r="B267" s="20"/>
      <c r="C267" s="20"/>
      <c r="D267" s="20"/>
      <c r="E267" s="20"/>
      <c r="F267" s="282"/>
      <c r="G267" s="20"/>
      <c r="H267" s="20"/>
      <c r="I267" s="20"/>
      <c r="J267" s="20"/>
      <c r="K267" s="20"/>
      <c r="L267" s="20"/>
      <c r="M267" s="20"/>
      <c r="N267" s="20"/>
      <c r="O267" s="20"/>
      <c r="P267" s="20"/>
      <c r="Q267" s="20"/>
      <c r="R267" s="20"/>
      <c r="S267" s="188"/>
      <c r="T267" s="188"/>
      <c r="U267" s="188"/>
      <c r="V267" s="188"/>
      <c r="W267" s="20"/>
      <c r="X267" s="20"/>
      <c r="Y267" s="20"/>
      <c r="Z267" s="20"/>
      <c r="AA267" s="20"/>
      <c r="AB267" s="20"/>
    </row>
    <row r="268">
      <c r="A268" s="20"/>
      <c r="B268" s="20"/>
      <c r="C268" s="20"/>
      <c r="D268" s="20"/>
      <c r="E268" s="20"/>
      <c r="F268" s="282"/>
      <c r="G268" s="20"/>
      <c r="H268" s="20"/>
      <c r="I268" s="20"/>
      <c r="J268" s="20"/>
      <c r="K268" s="20"/>
      <c r="L268" s="20"/>
      <c r="M268" s="20"/>
      <c r="N268" s="20"/>
      <c r="O268" s="20"/>
      <c r="P268" s="20"/>
      <c r="Q268" s="20"/>
      <c r="R268" s="20"/>
      <c r="S268" s="188"/>
      <c r="T268" s="188"/>
      <c r="U268" s="188"/>
      <c r="V268" s="188"/>
      <c r="W268" s="20"/>
      <c r="X268" s="20"/>
      <c r="Y268" s="20"/>
      <c r="Z268" s="20"/>
      <c r="AA268" s="20"/>
      <c r="AB268" s="20"/>
    </row>
    <row r="269">
      <c r="A269" s="20"/>
      <c r="B269" s="20"/>
      <c r="C269" s="20"/>
      <c r="D269" s="20"/>
      <c r="E269" s="20"/>
      <c r="F269" s="282"/>
      <c r="G269" s="20"/>
      <c r="H269" s="20"/>
      <c r="I269" s="20"/>
      <c r="J269" s="20"/>
      <c r="K269" s="20"/>
      <c r="L269" s="20"/>
      <c r="M269" s="20"/>
      <c r="N269" s="20"/>
      <c r="O269" s="20"/>
      <c r="P269" s="20"/>
      <c r="Q269" s="20"/>
      <c r="R269" s="20"/>
      <c r="S269" s="188"/>
      <c r="T269" s="188"/>
      <c r="U269" s="188"/>
      <c r="V269" s="188"/>
      <c r="W269" s="20"/>
      <c r="X269" s="20"/>
      <c r="Y269" s="20"/>
      <c r="Z269" s="20"/>
      <c r="AA269" s="20"/>
      <c r="AB269" s="20"/>
    </row>
    <row r="270">
      <c r="A270" s="20"/>
      <c r="B270" s="20"/>
      <c r="C270" s="20"/>
      <c r="D270" s="20"/>
      <c r="E270" s="20"/>
      <c r="F270" s="282"/>
      <c r="G270" s="20"/>
      <c r="H270" s="20"/>
      <c r="I270" s="20"/>
      <c r="J270" s="20"/>
      <c r="K270" s="20"/>
      <c r="L270" s="20"/>
      <c r="M270" s="20"/>
      <c r="N270" s="20"/>
      <c r="O270" s="20"/>
      <c r="P270" s="20"/>
      <c r="Q270" s="20"/>
      <c r="R270" s="20"/>
      <c r="S270" s="188"/>
      <c r="T270" s="188"/>
      <c r="U270" s="188"/>
      <c r="V270" s="188"/>
      <c r="W270" s="20"/>
      <c r="X270" s="20"/>
      <c r="Y270" s="20"/>
      <c r="Z270" s="20"/>
      <c r="AA270" s="20"/>
      <c r="AB270" s="20"/>
    </row>
    <row r="271">
      <c r="A271" s="20"/>
      <c r="B271" s="20"/>
      <c r="C271" s="20"/>
      <c r="D271" s="20"/>
      <c r="E271" s="20"/>
      <c r="F271" s="282"/>
      <c r="G271" s="20"/>
      <c r="H271" s="20"/>
      <c r="I271" s="20"/>
      <c r="J271" s="20"/>
      <c r="K271" s="20"/>
      <c r="L271" s="20"/>
      <c r="M271" s="20"/>
      <c r="N271" s="20"/>
      <c r="O271" s="20"/>
      <c r="P271" s="20"/>
      <c r="Q271" s="20"/>
      <c r="R271" s="20"/>
      <c r="S271" s="188"/>
      <c r="T271" s="188"/>
      <c r="U271" s="188"/>
      <c r="V271" s="188"/>
      <c r="W271" s="20"/>
      <c r="X271" s="20"/>
      <c r="Y271" s="20"/>
      <c r="Z271" s="20"/>
      <c r="AA271" s="20"/>
      <c r="AB271" s="20"/>
    </row>
    <row r="272">
      <c r="A272" s="20"/>
      <c r="B272" s="20"/>
      <c r="C272" s="20"/>
      <c r="D272" s="20"/>
      <c r="E272" s="20"/>
      <c r="F272" s="282"/>
      <c r="G272" s="20"/>
      <c r="H272" s="20"/>
      <c r="I272" s="20"/>
      <c r="J272" s="20"/>
      <c r="K272" s="20"/>
      <c r="L272" s="20"/>
      <c r="M272" s="20"/>
      <c r="N272" s="20"/>
      <c r="O272" s="20"/>
      <c r="P272" s="20"/>
      <c r="Q272" s="20"/>
      <c r="R272" s="20"/>
      <c r="S272" s="188"/>
      <c r="T272" s="188"/>
      <c r="U272" s="188"/>
      <c r="V272" s="188"/>
      <c r="W272" s="20"/>
      <c r="X272" s="20"/>
      <c r="Y272" s="20"/>
      <c r="Z272" s="20"/>
      <c r="AA272" s="20"/>
      <c r="AB272" s="20"/>
    </row>
    <row r="273">
      <c r="A273" s="20"/>
      <c r="B273" s="20"/>
      <c r="C273" s="20"/>
      <c r="D273" s="20"/>
      <c r="E273" s="20"/>
      <c r="F273" s="282"/>
      <c r="G273" s="20"/>
      <c r="H273" s="20"/>
      <c r="I273" s="20"/>
      <c r="J273" s="20"/>
      <c r="K273" s="20"/>
      <c r="L273" s="20"/>
      <c r="M273" s="20"/>
      <c r="N273" s="20"/>
      <c r="O273" s="20"/>
      <c r="P273" s="20"/>
      <c r="Q273" s="20"/>
      <c r="R273" s="20"/>
      <c r="S273" s="188"/>
      <c r="T273" s="188"/>
      <c r="U273" s="188"/>
      <c r="V273" s="188"/>
      <c r="W273" s="20"/>
      <c r="X273" s="20"/>
      <c r="Y273" s="20"/>
      <c r="Z273" s="20"/>
      <c r="AA273" s="20"/>
      <c r="AB273" s="20"/>
    </row>
    <row r="274">
      <c r="A274" s="20"/>
      <c r="B274" s="20"/>
      <c r="C274" s="20"/>
      <c r="D274" s="20"/>
      <c r="E274" s="20"/>
      <c r="F274" s="282"/>
      <c r="G274" s="20"/>
      <c r="H274" s="20"/>
      <c r="I274" s="20"/>
      <c r="J274" s="20"/>
      <c r="K274" s="20"/>
      <c r="L274" s="20"/>
      <c r="M274" s="20"/>
      <c r="N274" s="20"/>
      <c r="O274" s="20"/>
      <c r="P274" s="20"/>
      <c r="Q274" s="20"/>
      <c r="R274" s="20"/>
      <c r="S274" s="188"/>
      <c r="T274" s="188"/>
      <c r="U274" s="188"/>
      <c r="V274" s="188"/>
      <c r="W274" s="20"/>
      <c r="X274" s="20"/>
      <c r="Y274" s="20"/>
      <c r="Z274" s="20"/>
      <c r="AA274" s="20"/>
      <c r="AB274" s="20"/>
    </row>
    <row r="275">
      <c r="A275" s="20"/>
      <c r="B275" s="20"/>
      <c r="C275" s="20"/>
      <c r="D275" s="20"/>
      <c r="E275" s="20"/>
      <c r="F275" s="282"/>
      <c r="G275" s="20"/>
      <c r="H275" s="20"/>
      <c r="I275" s="20"/>
      <c r="J275" s="20"/>
      <c r="K275" s="20"/>
      <c r="L275" s="20"/>
      <c r="M275" s="20"/>
      <c r="N275" s="20"/>
      <c r="O275" s="20"/>
      <c r="P275" s="20"/>
      <c r="Q275" s="20"/>
      <c r="R275" s="20"/>
      <c r="S275" s="188"/>
      <c r="T275" s="188"/>
      <c r="U275" s="188"/>
      <c r="V275" s="188"/>
      <c r="W275" s="20"/>
      <c r="X275" s="20"/>
      <c r="Y275" s="20"/>
      <c r="Z275" s="20"/>
      <c r="AA275" s="20"/>
      <c r="AB275" s="20"/>
    </row>
    <row r="276">
      <c r="A276" s="20"/>
      <c r="B276" s="20"/>
      <c r="C276" s="20"/>
      <c r="D276" s="20"/>
      <c r="E276" s="20"/>
      <c r="F276" s="282"/>
      <c r="G276" s="20"/>
      <c r="H276" s="20"/>
      <c r="I276" s="20"/>
      <c r="J276" s="20"/>
      <c r="K276" s="20"/>
      <c r="L276" s="20"/>
      <c r="M276" s="20"/>
      <c r="N276" s="20"/>
      <c r="O276" s="20"/>
      <c r="P276" s="20"/>
      <c r="Q276" s="20"/>
      <c r="R276" s="20"/>
      <c r="S276" s="188"/>
      <c r="T276" s="188"/>
      <c r="U276" s="188"/>
      <c r="V276" s="188"/>
      <c r="W276" s="20"/>
      <c r="X276" s="20"/>
      <c r="Y276" s="20"/>
      <c r="Z276" s="20"/>
      <c r="AA276" s="20"/>
      <c r="AB276" s="20"/>
    </row>
    <row r="277">
      <c r="A277" s="20"/>
      <c r="B277" s="20"/>
      <c r="C277" s="20"/>
      <c r="D277" s="20"/>
      <c r="E277" s="20"/>
      <c r="F277" s="282"/>
      <c r="G277" s="20"/>
      <c r="H277" s="20"/>
      <c r="I277" s="20"/>
      <c r="J277" s="20"/>
      <c r="K277" s="20"/>
      <c r="L277" s="20"/>
      <c r="M277" s="20"/>
      <c r="N277" s="20"/>
      <c r="O277" s="20"/>
      <c r="P277" s="20"/>
      <c r="Q277" s="20"/>
      <c r="R277" s="20"/>
      <c r="S277" s="188"/>
      <c r="T277" s="188"/>
      <c r="U277" s="188"/>
      <c r="V277" s="188"/>
      <c r="W277" s="20"/>
      <c r="X277" s="20"/>
      <c r="Y277" s="20"/>
      <c r="Z277" s="20"/>
      <c r="AA277" s="20"/>
      <c r="AB277" s="20"/>
    </row>
    <row r="278">
      <c r="A278" s="20"/>
      <c r="B278" s="20"/>
      <c r="C278" s="20"/>
      <c r="D278" s="20"/>
      <c r="E278" s="20"/>
      <c r="F278" s="282"/>
      <c r="G278" s="20"/>
      <c r="H278" s="20"/>
      <c r="I278" s="20"/>
      <c r="J278" s="20"/>
      <c r="K278" s="20"/>
      <c r="L278" s="20"/>
      <c r="M278" s="20"/>
      <c r="N278" s="20"/>
      <c r="O278" s="20"/>
      <c r="P278" s="20"/>
      <c r="Q278" s="20"/>
      <c r="R278" s="20"/>
      <c r="S278" s="188"/>
      <c r="T278" s="188"/>
      <c r="U278" s="188"/>
      <c r="V278" s="188"/>
      <c r="W278" s="20"/>
      <c r="X278" s="20"/>
      <c r="Y278" s="20"/>
      <c r="Z278" s="20"/>
      <c r="AA278" s="20"/>
      <c r="AB278" s="20"/>
    </row>
    <row r="279">
      <c r="A279" s="20"/>
      <c r="B279" s="20"/>
      <c r="C279" s="20"/>
      <c r="D279" s="20"/>
      <c r="E279" s="20"/>
      <c r="F279" s="282"/>
      <c r="G279" s="20"/>
      <c r="H279" s="20"/>
      <c r="I279" s="20"/>
      <c r="J279" s="20"/>
      <c r="K279" s="20"/>
      <c r="L279" s="20"/>
      <c r="M279" s="20"/>
      <c r="N279" s="20"/>
      <c r="O279" s="20"/>
      <c r="P279" s="20"/>
      <c r="Q279" s="20"/>
      <c r="R279" s="20"/>
      <c r="S279" s="188"/>
      <c r="T279" s="188"/>
      <c r="U279" s="188"/>
      <c r="V279" s="188"/>
      <c r="W279" s="20"/>
      <c r="X279" s="20"/>
      <c r="Y279" s="20"/>
      <c r="Z279" s="20"/>
      <c r="AA279" s="20"/>
      <c r="AB279" s="20"/>
    </row>
    <row r="280">
      <c r="A280" s="20"/>
      <c r="B280" s="20"/>
      <c r="C280" s="20"/>
      <c r="D280" s="20"/>
      <c r="E280" s="20"/>
      <c r="F280" s="282"/>
      <c r="G280" s="20"/>
      <c r="H280" s="20"/>
      <c r="I280" s="20"/>
      <c r="J280" s="20"/>
      <c r="K280" s="20"/>
      <c r="L280" s="20"/>
      <c r="M280" s="20"/>
      <c r="N280" s="20"/>
      <c r="O280" s="20"/>
      <c r="P280" s="20"/>
      <c r="Q280" s="20"/>
      <c r="R280" s="20"/>
      <c r="S280" s="188"/>
      <c r="T280" s="188"/>
      <c r="U280" s="188"/>
      <c r="V280" s="188"/>
      <c r="W280" s="20"/>
      <c r="X280" s="20"/>
      <c r="Y280" s="20"/>
      <c r="Z280" s="20"/>
      <c r="AA280" s="20"/>
      <c r="AB280" s="20"/>
    </row>
    <row r="281">
      <c r="A281" s="20"/>
      <c r="B281" s="20"/>
      <c r="C281" s="20"/>
      <c r="D281" s="20"/>
      <c r="E281" s="20"/>
      <c r="F281" s="282"/>
      <c r="G281" s="20"/>
      <c r="H281" s="20"/>
      <c r="I281" s="20"/>
      <c r="J281" s="20"/>
      <c r="K281" s="20"/>
      <c r="L281" s="20"/>
      <c r="M281" s="20"/>
      <c r="N281" s="20"/>
      <c r="O281" s="20"/>
      <c r="P281" s="20"/>
      <c r="Q281" s="20"/>
      <c r="R281" s="20"/>
      <c r="S281" s="188"/>
      <c r="T281" s="188"/>
      <c r="U281" s="188"/>
      <c r="V281" s="188"/>
      <c r="W281" s="20"/>
      <c r="X281" s="20"/>
      <c r="Y281" s="20"/>
      <c r="Z281" s="20"/>
      <c r="AA281" s="20"/>
      <c r="AB281" s="20"/>
    </row>
    <row r="282">
      <c r="A282" s="20"/>
      <c r="B282" s="20"/>
      <c r="C282" s="20"/>
      <c r="D282" s="20"/>
      <c r="E282" s="20"/>
      <c r="F282" s="282"/>
      <c r="G282" s="20"/>
      <c r="H282" s="20"/>
      <c r="I282" s="20"/>
      <c r="J282" s="20"/>
      <c r="K282" s="20"/>
      <c r="L282" s="20"/>
      <c r="M282" s="20"/>
      <c r="N282" s="20"/>
      <c r="O282" s="20"/>
      <c r="P282" s="20"/>
      <c r="Q282" s="20"/>
      <c r="R282" s="20"/>
      <c r="S282" s="188"/>
      <c r="T282" s="188"/>
      <c r="U282" s="188"/>
      <c r="V282" s="188"/>
      <c r="W282" s="20"/>
      <c r="X282" s="20"/>
      <c r="Y282" s="20"/>
      <c r="Z282" s="20"/>
      <c r="AA282" s="20"/>
      <c r="AB282" s="20"/>
    </row>
    <row r="283">
      <c r="A283" s="20"/>
      <c r="B283" s="20"/>
      <c r="C283" s="20"/>
      <c r="D283" s="20"/>
      <c r="E283" s="20"/>
      <c r="F283" s="282"/>
      <c r="G283" s="20"/>
      <c r="H283" s="20"/>
      <c r="I283" s="20"/>
      <c r="J283" s="20"/>
      <c r="K283" s="20"/>
      <c r="L283" s="20"/>
      <c r="M283" s="20"/>
      <c r="N283" s="20"/>
      <c r="O283" s="20"/>
      <c r="P283" s="20"/>
      <c r="Q283" s="20"/>
      <c r="R283" s="20"/>
      <c r="S283" s="188"/>
      <c r="T283" s="188"/>
      <c r="U283" s="188"/>
      <c r="V283" s="188"/>
      <c r="W283" s="20"/>
      <c r="X283" s="20"/>
      <c r="Y283" s="20"/>
      <c r="Z283" s="20"/>
      <c r="AA283" s="20"/>
      <c r="AB283" s="20"/>
    </row>
    <row r="284">
      <c r="A284" s="20"/>
      <c r="B284" s="20"/>
      <c r="C284" s="20"/>
      <c r="D284" s="20"/>
      <c r="E284" s="20"/>
      <c r="F284" s="282"/>
      <c r="G284" s="20"/>
      <c r="H284" s="20"/>
      <c r="I284" s="20"/>
      <c r="J284" s="20"/>
      <c r="K284" s="20"/>
      <c r="L284" s="20"/>
      <c r="M284" s="20"/>
      <c r="N284" s="20"/>
      <c r="O284" s="20"/>
      <c r="P284" s="20"/>
      <c r="Q284" s="20"/>
      <c r="R284" s="20"/>
      <c r="S284" s="188"/>
      <c r="T284" s="188"/>
      <c r="U284" s="188"/>
      <c r="V284" s="188"/>
      <c r="W284" s="20"/>
      <c r="X284" s="20"/>
      <c r="Y284" s="20"/>
      <c r="Z284" s="20"/>
      <c r="AA284" s="20"/>
      <c r="AB284" s="20"/>
    </row>
    <row r="285">
      <c r="A285" s="20"/>
      <c r="B285" s="20"/>
      <c r="C285" s="20"/>
      <c r="D285" s="20"/>
      <c r="E285" s="20"/>
      <c r="F285" s="282"/>
      <c r="G285" s="20"/>
      <c r="H285" s="20"/>
      <c r="I285" s="20"/>
      <c r="J285" s="20"/>
      <c r="K285" s="20"/>
      <c r="L285" s="20"/>
      <c r="M285" s="20"/>
      <c r="N285" s="20"/>
      <c r="O285" s="20"/>
      <c r="P285" s="20"/>
      <c r="Q285" s="20"/>
      <c r="R285" s="20"/>
      <c r="S285" s="188"/>
      <c r="T285" s="188"/>
      <c r="U285" s="188"/>
      <c r="V285" s="188"/>
      <c r="W285" s="20"/>
      <c r="X285" s="20"/>
      <c r="Y285" s="20"/>
      <c r="Z285" s="20"/>
      <c r="AA285" s="20"/>
      <c r="AB285" s="20"/>
    </row>
    <row r="286">
      <c r="A286" s="20"/>
      <c r="B286" s="20"/>
      <c r="C286" s="20"/>
      <c r="D286" s="20"/>
      <c r="E286" s="20"/>
      <c r="F286" s="282"/>
      <c r="G286" s="20"/>
      <c r="H286" s="20"/>
      <c r="I286" s="20"/>
      <c r="J286" s="20"/>
      <c r="K286" s="20"/>
      <c r="L286" s="20"/>
      <c r="M286" s="20"/>
      <c r="N286" s="20"/>
      <c r="O286" s="20"/>
      <c r="P286" s="20"/>
      <c r="Q286" s="20"/>
      <c r="R286" s="20"/>
      <c r="S286" s="188"/>
      <c r="T286" s="188"/>
      <c r="U286" s="188"/>
      <c r="V286" s="188"/>
      <c r="W286" s="20"/>
      <c r="X286" s="20"/>
      <c r="Y286" s="20"/>
      <c r="Z286" s="20"/>
      <c r="AA286" s="20"/>
      <c r="AB286" s="20"/>
    </row>
    <row r="287">
      <c r="A287" s="20"/>
      <c r="B287" s="20"/>
      <c r="C287" s="20"/>
      <c r="D287" s="20"/>
      <c r="E287" s="20"/>
      <c r="F287" s="282"/>
      <c r="G287" s="20"/>
      <c r="H287" s="20"/>
      <c r="I287" s="20"/>
      <c r="J287" s="20"/>
      <c r="K287" s="20"/>
      <c r="L287" s="20"/>
      <c r="M287" s="20"/>
      <c r="N287" s="20"/>
      <c r="O287" s="20"/>
      <c r="P287" s="20"/>
      <c r="Q287" s="20"/>
      <c r="R287" s="20"/>
      <c r="S287" s="188"/>
      <c r="T287" s="188"/>
      <c r="U287" s="188"/>
      <c r="V287" s="188"/>
      <c r="W287" s="20"/>
      <c r="X287" s="20"/>
      <c r="Y287" s="20"/>
      <c r="Z287" s="20"/>
      <c r="AA287" s="20"/>
      <c r="AB287" s="20"/>
    </row>
    <row r="288">
      <c r="A288" s="20"/>
      <c r="B288" s="20"/>
      <c r="C288" s="20"/>
      <c r="D288" s="20"/>
      <c r="E288" s="20"/>
      <c r="F288" s="282"/>
      <c r="G288" s="20"/>
      <c r="H288" s="20"/>
      <c r="I288" s="20"/>
      <c r="J288" s="20"/>
      <c r="K288" s="20"/>
      <c r="L288" s="20"/>
      <c r="M288" s="20"/>
      <c r="N288" s="20"/>
      <c r="O288" s="20"/>
      <c r="P288" s="20"/>
      <c r="Q288" s="20"/>
      <c r="R288" s="20"/>
      <c r="S288" s="188"/>
      <c r="T288" s="188"/>
      <c r="U288" s="188"/>
      <c r="V288" s="188"/>
      <c r="W288" s="20"/>
      <c r="X288" s="20"/>
      <c r="Y288" s="20"/>
      <c r="Z288" s="20"/>
      <c r="AA288" s="20"/>
      <c r="AB288" s="20"/>
    </row>
    <row r="289">
      <c r="A289" s="20"/>
      <c r="B289" s="20"/>
      <c r="C289" s="20"/>
      <c r="D289" s="20"/>
      <c r="E289" s="20"/>
      <c r="F289" s="282"/>
      <c r="G289" s="20"/>
      <c r="H289" s="20"/>
      <c r="I289" s="20"/>
      <c r="J289" s="20"/>
      <c r="K289" s="20"/>
      <c r="L289" s="20"/>
      <c r="M289" s="20"/>
      <c r="N289" s="20"/>
      <c r="O289" s="20"/>
      <c r="P289" s="20"/>
      <c r="Q289" s="20"/>
      <c r="R289" s="20"/>
      <c r="S289" s="188"/>
      <c r="T289" s="188"/>
      <c r="U289" s="188"/>
      <c r="V289" s="188"/>
      <c r="W289" s="20"/>
      <c r="X289" s="20"/>
      <c r="Y289" s="20"/>
      <c r="Z289" s="20"/>
      <c r="AA289" s="20"/>
      <c r="AB289" s="20"/>
    </row>
    <row r="290">
      <c r="A290" s="20"/>
      <c r="B290" s="20"/>
      <c r="C290" s="20"/>
      <c r="D290" s="20"/>
      <c r="E290" s="20"/>
      <c r="F290" s="282"/>
      <c r="G290" s="20"/>
      <c r="H290" s="20"/>
      <c r="I290" s="20"/>
      <c r="J290" s="20"/>
      <c r="K290" s="20"/>
      <c r="L290" s="20"/>
      <c r="M290" s="20"/>
      <c r="N290" s="20"/>
      <c r="O290" s="20"/>
      <c r="P290" s="20"/>
      <c r="Q290" s="20"/>
      <c r="R290" s="20"/>
      <c r="S290" s="188"/>
      <c r="T290" s="188"/>
      <c r="U290" s="188"/>
      <c r="V290" s="188"/>
      <c r="W290" s="20"/>
      <c r="X290" s="20"/>
      <c r="Y290" s="20"/>
      <c r="Z290" s="20"/>
      <c r="AA290" s="20"/>
      <c r="AB290" s="20"/>
    </row>
    <row r="291">
      <c r="A291" s="20"/>
      <c r="B291" s="20"/>
      <c r="C291" s="20"/>
      <c r="D291" s="20"/>
      <c r="E291" s="20"/>
      <c r="F291" s="282"/>
      <c r="G291" s="20"/>
      <c r="H291" s="20"/>
      <c r="I291" s="20"/>
      <c r="J291" s="20"/>
      <c r="K291" s="20"/>
      <c r="L291" s="20"/>
      <c r="M291" s="20"/>
      <c r="N291" s="20"/>
      <c r="O291" s="20"/>
      <c r="P291" s="20"/>
      <c r="Q291" s="20"/>
      <c r="R291" s="20"/>
      <c r="S291" s="188"/>
      <c r="T291" s="188"/>
      <c r="U291" s="188"/>
      <c r="V291" s="188"/>
      <c r="W291" s="20"/>
      <c r="X291" s="20"/>
      <c r="Y291" s="20"/>
      <c r="Z291" s="20"/>
      <c r="AA291" s="20"/>
      <c r="AB291" s="20"/>
    </row>
    <row r="292">
      <c r="A292" s="20"/>
      <c r="B292" s="20"/>
      <c r="C292" s="20"/>
      <c r="D292" s="20"/>
      <c r="E292" s="20"/>
      <c r="F292" s="282"/>
      <c r="G292" s="20"/>
      <c r="H292" s="20"/>
      <c r="I292" s="20"/>
      <c r="J292" s="20"/>
      <c r="K292" s="20"/>
      <c r="L292" s="20"/>
      <c r="M292" s="20"/>
      <c r="N292" s="20"/>
      <c r="O292" s="20"/>
      <c r="P292" s="20"/>
      <c r="Q292" s="20"/>
      <c r="R292" s="20"/>
      <c r="S292" s="188"/>
      <c r="T292" s="188"/>
      <c r="U292" s="188"/>
      <c r="V292" s="188"/>
      <c r="W292" s="20"/>
      <c r="X292" s="20"/>
      <c r="Y292" s="20"/>
      <c r="Z292" s="20"/>
      <c r="AA292" s="20"/>
      <c r="AB292" s="20"/>
    </row>
    <row r="293">
      <c r="A293" s="20"/>
      <c r="B293" s="20"/>
      <c r="C293" s="20"/>
      <c r="D293" s="20"/>
      <c r="E293" s="20"/>
      <c r="F293" s="282"/>
      <c r="G293" s="20"/>
      <c r="H293" s="20"/>
      <c r="I293" s="20"/>
      <c r="J293" s="20"/>
      <c r="K293" s="20"/>
      <c r="L293" s="20"/>
      <c r="M293" s="20"/>
      <c r="N293" s="20"/>
      <c r="O293" s="20"/>
      <c r="P293" s="20"/>
      <c r="Q293" s="20"/>
      <c r="R293" s="20"/>
      <c r="S293" s="188"/>
      <c r="T293" s="188"/>
      <c r="U293" s="188"/>
      <c r="V293" s="188"/>
      <c r="W293" s="20"/>
      <c r="X293" s="20"/>
      <c r="Y293" s="20"/>
      <c r="Z293" s="20"/>
      <c r="AA293" s="20"/>
      <c r="AB293" s="20"/>
    </row>
    <row r="294">
      <c r="A294" s="20"/>
      <c r="B294" s="20"/>
      <c r="C294" s="20"/>
      <c r="D294" s="20"/>
      <c r="E294" s="20"/>
      <c r="F294" s="282"/>
      <c r="G294" s="20"/>
      <c r="H294" s="20"/>
      <c r="I294" s="20"/>
      <c r="J294" s="20"/>
      <c r="K294" s="20"/>
      <c r="L294" s="20"/>
      <c r="M294" s="20"/>
      <c r="N294" s="20"/>
      <c r="O294" s="20"/>
      <c r="P294" s="20"/>
      <c r="Q294" s="20"/>
      <c r="R294" s="20"/>
      <c r="S294" s="188"/>
      <c r="T294" s="188"/>
      <c r="U294" s="188"/>
      <c r="V294" s="188"/>
      <c r="W294" s="20"/>
      <c r="X294" s="20"/>
      <c r="Y294" s="20"/>
      <c r="Z294" s="20"/>
      <c r="AA294" s="20"/>
      <c r="AB294" s="20"/>
    </row>
    <row r="295">
      <c r="A295" s="20"/>
      <c r="B295" s="20"/>
      <c r="C295" s="20"/>
      <c r="D295" s="20"/>
      <c r="E295" s="20"/>
      <c r="F295" s="282"/>
      <c r="G295" s="20"/>
      <c r="H295" s="20"/>
      <c r="I295" s="20"/>
      <c r="J295" s="20"/>
      <c r="K295" s="20"/>
      <c r="L295" s="20"/>
      <c r="M295" s="20"/>
      <c r="N295" s="20"/>
      <c r="O295" s="20"/>
      <c r="P295" s="20"/>
      <c r="Q295" s="20"/>
      <c r="R295" s="20"/>
      <c r="S295" s="188"/>
      <c r="T295" s="188"/>
      <c r="U295" s="188"/>
      <c r="V295" s="188"/>
      <c r="W295" s="20"/>
      <c r="X295" s="20"/>
      <c r="Y295" s="20"/>
      <c r="Z295" s="20"/>
      <c r="AA295" s="20"/>
      <c r="AB295" s="20"/>
    </row>
    <row r="296">
      <c r="A296" s="20"/>
      <c r="B296" s="20"/>
      <c r="C296" s="20"/>
      <c r="D296" s="20"/>
      <c r="E296" s="20"/>
      <c r="F296" s="282"/>
      <c r="G296" s="20"/>
      <c r="H296" s="20"/>
      <c r="I296" s="20"/>
      <c r="J296" s="20"/>
      <c r="K296" s="20"/>
      <c r="L296" s="20"/>
      <c r="M296" s="20"/>
      <c r="N296" s="20"/>
      <c r="O296" s="20"/>
      <c r="P296" s="20"/>
      <c r="Q296" s="20"/>
      <c r="R296" s="20"/>
      <c r="S296" s="188"/>
      <c r="T296" s="188"/>
      <c r="U296" s="188"/>
      <c r="V296" s="188"/>
      <c r="W296" s="20"/>
      <c r="X296" s="20"/>
      <c r="Y296" s="20"/>
      <c r="Z296" s="20"/>
      <c r="AA296" s="20"/>
      <c r="AB296" s="20"/>
    </row>
    <row r="297">
      <c r="A297" s="20"/>
      <c r="B297" s="20"/>
      <c r="C297" s="20"/>
      <c r="D297" s="20"/>
      <c r="E297" s="20"/>
      <c r="F297" s="282"/>
      <c r="G297" s="20"/>
      <c r="H297" s="20"/>
      <c r="I297" s="20"/>
      <c r="J297" s="20"/>
      <c r="K297" s="20"/>
      <c r="L297" s="20"/>
      <c r="M297" s="20"/>
      <c r="N297" s="20"/>
      <c r="O297" s="20"/>
      <c r="P297" s="20"/>
      <c r="Q297" s="20"/>
      <c r="R297" s="20"/>
      <c r="S297" s="188"/>
      <c r="T297" s="188"/>
      <c r="U297" s="188"/>
      <c r="V297" s="188"/>
      <c r="W297" s="20"/>
      <c r="X297" s="20"/>
      <c r="Y297" s="20"/>
      <c r="Z297" s="20"/>
      <c r="AA297" s="20"/>
      <c r="AB297" s="20"/>
    </row>
    <row r="298">
      <c r="A298" s="20"/>
      <c r="B298" s="20"/>
      <c r="C298" s="20"/>
      <c r="D298" s="20"/>
      <c r="E298" s="20"/>
      <c r="F298" s="282"/>
      <c r="G298" s="20"/>
      <c r="H298" s="20"/>
      <c r="I298" s="20"/>
      <c r="J298" s="20"/>
      <c r="K298" s="20"/>
      <c r="L298" s="20"/>
      <c r="M298" s="20"/>
      <c r="N298" s="20"/>
      <c r="O298" s="20"/>
      <c r="P298" s="20"/>
      <c r="Q298" s="20"/>
      <c r="R298" s="20"/>
      <c r="S298" s="188"/>
      <c r="T298" s="188"/>
      <c r="U298" s="188"/>
      <c r="V298" s="188"/>
      <c r="W298" s="20"/>
      <c r="X298" s="20"/>
      <c r="Y298" s="20"/>
      <c r="Z298" s="20"/>
      <c r="AA298" s="20"/>
      <c r="AB298" s="20"/>
    </row>
    <row r="299">
      <c r="A299" s="20"/>
      <c r="B299" s="20"/>
      <c r="C299" s="20"/>
      <c r="D299" s="20"/>
      <c r="E299" s="20"/>
      <c r="F299" s="282"/>
      <c r="G299" s="20"/>
      <c r="H299" s="20"/>
      <c r="I299" s="20"/>
      <c r="J299" s="20"/>
      <c r="K299" s="20"/>
      <c r="L299" s="20"/>
      <c r="M299" s="20"/>
      <c r="N299" s="20"/>
      <c r="O299" s="20"/>
      <c r="P299" s="20"/>
      <c r="Q299" s="20"/>
      <c r="R299" s="20"/>
      <c r="S299" s="188"/>
      <c r="T299" s="188"/>
      <c r="U299" s="188"/>
      <c r="V299" s="188"/>
      <c r="W299" s="20"/>
      <c r="X299" s="20"/>
      <c r="Y299" s="20"/>
      <c r="Z299" s="20"/>
      <c r="AA299" s="20"/>
      <c r="AB299" s="20"/>
    </row>
    <row r="300">
      <c r="A300" s="20"/>
      <c r="B300" s="20"/>
      <c r="C300" s="20"/>
      <c r="D300" s="20"/>
      <c r="E300" s="20"/>
      <c r="F300" s="282"/>
      <c r="G300" s="20"/>
      <c r="H300" s="20"/>
      <c r="I300" s="20"/>
      <c r="J300" s="20"/>
      <c r="K300" s="20"/>
      <c r="L300" s="20"/>
      <c r="M300" s="20"/>
      <c r="N300" s="20"/>
      <c r="O300" s="20"/>
      <c r="P300" s="20"/>
      <c r="Q300" s="20"/>
      <c r="R300" s="20"/>
      <c r="S300" s="188"/>
      <c r="T300" s="188"/>
      <c r="U300" s="188"/>
      <c r="V300" s="188"/>
      <c r="W300" s="20"/>
      <c r="X300" s="20"/>
      <c r="Y300" s="20"/>
      <c r="Z300" s="20"/>
      <c r="AA300" s="20"/>
      <c r="AB300" s="20"/>
    </row>
    <row r="301">
      <c r="A301" s="20"/>
      <c r="B301" s="20"/>
      <c r="C301" s="20"/>
      <c r="D301" s="20"/>
      <c r="E301" s="20"/>
      <c r="F301" s="282"/>
      <c r="G301" s="20"/>
      <c r="H301" s="20"/>
      <c r="I301" s="20"/>
      <c r="J301" s="20"/>
      <c r="K301" s="20"/>
      <c r="L301" s="20"/>
      <c r="M301" s="20"/>
      <c r="N301" s="20"/>
      <c r="O301" s="20"/>
      <c r="P301" s="20"/>
      <c r="Q301" s="20"/>
      <c r="R301" s="20"/>
      <c r="S301" s="188"/>
      <c r="T301" s="188"/>
      <c r="U301" s="188"/>
      <c r="V301" s="188"/>
      <c r="W301" s="20"/>
      <c r="X301" s="20"/>
      <c r="Y301" s="20"/>
      <c r="Z301" s="20"/>
      <c r="AA301" s="20"/>
      <c r="AB301" s="20"/>
    </row>
    <row r="302">
      <c r="A302" s="20"/>
      <c r="B302" s="20"/>
      <c r="C302" s="20"/>
      <c r="D302" s="20"/>
      <c r="E302" s="20"/>
      <c r="F302" s="282"/>
      <c r="G302" s="20"/>
      <c r="H302" s="20"/>
      <c r="I302" s="20"/>
      <c r="J302" s="20"/>
      <c r="K302" s="20"/>
      <c r="L302" s="20"/>
      <c r="M302" s="20"/>
      <c r="N302" s="20"/>
      <c r="O302" s="20"/>
      <c r="P302" s="20"/>
      <c r="Q302" s="20"/>
      <c r="R302" s="20"/>
      <c r="S302" s="188"/>
      <c r="T302" s="188"/>
      <c r="U302" s="188"/>
      <c r="V302" s="188"/>
      <c r="W302" s="20"/>
      <c r="X302" s="20"/>
      <c r="Y302" s="20"/>
      <c r="Z302" s="20"/>
      <c r="AA302" s="20"/>
      <c r="AB302" s="20"/>
    </row>
    <row r="303">
      <c r="A303" s="20"/>
      <c r="B303" s="20"/>
      <c r="C303" s="20"/>
      <c r="D303" s="20"/>
      <c r="E303" s="20"/>
      <c r="F303" s="282"/>
      <c r="G303" s="20"/>
      <c r="H303" s="20"/>
      <c r="I303" s="20"/>
      <c r="J303" s="20"/>
      <c r="K303" s="20"/>
      <c r="L303" s="20"/>
      <c r="M303" s="20"/>
      <c r="N303" s="20"/>
      <c r="O303" s="20"/>
      <c r="P303" s="20"/>
      <c r="Q303" s="20"/>
      <c r="R303" s="20"/>
      <c r="S303" s="188"/>
      <c r="T303" s="188"/>
      <c r="U303" s="188"/>
      <c r="V303" s="188"/>
      <c r="W303" s="20"/>
      <c r="X303" s="20"/>
      <c r="Y303" s="20"/>
      <c r="Z303" s="20"/>
      <c r="AA303" s="20"/>
      <c r="AB303" s="20"/>
    </row>
    <row r="304">
      <c r="A304" s="20"/>
      <c r="B304" s="20"/>
      <c r="C304" s="20"/>
      <c r="D304" s="20"/>
      <c r="E304" s="20"/>
      <c r="F304" s="282"/>
      <c r="G304" s="20"/>
      <c r="H304" s="20"/>
      <c r="I304" s="20"/>
      <c r="J304" s="20"/>
      <c r="K304" s="20"/>
      <c r="L304" s="20"/>
      <c r="M304" s="20"/>
      <c r="N304" s="20"/>
      <c r="O304" s="20"/>
      <c r="P304" s="20"/>
      <c r="Q304" s="20"/>
      <c r="R304" s="20"/>
      <c r="S304" s="188"/>
      <c r="T304" s="188"/>
      <c r="U304" s="188"/>
      <c r="V304" s="188"/>
      <c r="W304" s="20"/>
      <c r="X304" s="20"/>
      <c r="Y304" s="20"/>
      <c r="Z304" s="20"/>
      <c r="AA304" s="20"/>
      <c r="AB304" s="20"/>
    </row>
    <row r="305">
      <c r="A305" s="20"/>
      <c r="B305" s="20"/>
      <c r="C305" s="20"/>
      <c r="D305" s="20"/>
      <c r="E305" s="20"/>
      <c r="F305" s="282"/>
      <c r="G305" s="20"/>
      <c r="H305" s="20"/>
      <c r="I305" s="20"/>
      <c r="J305" s="20"/>
      <c r="K305" s="20"/>
      <c r="L305" s="20"/>
      <c r="M305" s="20"/>
      <c r="N305" s="20"/>
      <c r="O305" s="20"/>
      <c r="P305" s="20"/>
      <c r="Q305" s="20"/>
      <c r="R305" s="20"/>
      <c r="S305" s="188"/>
      <c r="T305" s="188"/>
      <c r="U305" s="188"/>
      <c r="V305" s="188"/>
      <c r="W305" s="20"/>
      <c r="X305" s="20"/>
      <c r="Y305" s="20"/>
      <c r="Z305" s="20"/>
      <c r="AA305" s="20"/>
      <c r="AB305" s="20"/>
    </row>
    <row r="306">
      <c r="A306" s="20"/>
      <c r="B306" s="20"/>
      <c r="C306" s="20"/>
      <c r="D306" s="20"/>
      <c r="E306" s="20"/>
      <c r="F306" s="282"/>
      <c r="G306" s="20"/>
      <c r="H306" s="20"/>
      <c r="I306" s="20"/>
      <c r="J306" s="20"/>
      <c r="K306" s="20"/>
      <c r="L306" s="20"/>
      <c r="M306" s="20"/>
      <c r="N306" s="20"/>
      <c r="O306" s="20"/>
      <c r="P306" s="20"/>
      <c r="Q306" s="20"/>
      <c r="R306" s="20"/>
      <c r="S306" s="188"/>
      <c r="T306" s="188"/>
      <c r="U306" s="188"/>
      <c r="V306" s="188"/>
      <c r="W306" s="20"/>
      <c r="X306" s="20"/>
      <c r="Y306" s="20"/>
      <c r="Z306" s="20"/>
      <c r="AA306" s="20"/>
      <c r="AB306" s="20"/>
    </row>
    <row r="307">
      <c r="A307" s="20"/>
      <c r="B307" s="20"/>
      <c r="C307" s="20"/>
      <c r="D307" s="20"/>
      <c r="E307" s="20"/>
      <c r="F307" s="282"/>
      <c r="G307" s="20"/>
      <c r="H307" s="20"/>
      <c r="I307" s="20"/>
      <c r="J307" s="20"/>
      <c r="K307" s="20"/>
      <c r="L307" s="20"/>
      <c r="M307" s="20"/>
      <c r="N307" s="20"/>
      <c r="O307" s="20"/>
      <c r="P307" s="20"/>
      <c r="Q307" s="20"/>
      <c r="R307" s="20"/>
      <c r="S307" s="188"/>
      <c r="T307" s="188"/>
      <c r="U307" s="188"/>
      <c r="V307" s="188"/>
      <c r="W307" s="20"/>
      <c r="X307" s="20"/>
      <c r="Y307" s="20"/>
      <c r="Z307" s="20"/>
      <c r="AA307" s="20"/>
      <c r="AB307" s="20"/>
    </row>
    <row r="308">
      <c r="A308" s="20"/>
      <c r="B308" s="20"/>
      <c r="C308" s="20"/>
      <c r="D308" s="20"/>
      <c r="E308" s="20"/>
      <c r="F308" s="282"/>
      <c r="G308" s="20"/>
      <c r="H308" s="20"/>
      <c r="I308" s="20"/>
      <c r="J308" s="20"/>
      <c r="K308" s="20"/>
      <c r="L308" s="20"/>
      <c r="M308" s="20"/>
      <c r="N308" s="20"/>
      <c r="O308" s="20"/>
      <c r="P308" s="20"/>
      <c r="Q308" s="20"/>
      <c r="R308" s="20"/>
      <c r="S308" s="188"/>
      <c r="T308" s="188"/>
      <c r="U308" s="188"/>
      <c r="V308" s="188"/>
      <c r="W308" s="20"/>
      <c r="X308" s="20"/>
      <c r="Y308" s="20"/>
      <c r="Z308" s="20"/>
      <c r="AA308" s="20"/>
      <c r="AB308" s="20"/>
    </row>
    <row r="309">
      <c r="A309" s="20"/>
      <c r="B309" s="20"/>
      <c r="C309" s="20"/>
      <c r="D309" s="20"/>
      <c r="E309" s="20"/>
      <c r="F309" s="282"/>
      <c r="G309" s="20"/>
      <c r="H309" s="20"/>
      <c r="I309" s="20"/>
      <c r="J309" s="20"/>
      <c r="K309" s="20"/>
      <c r="L309" s="20"/>
      <c r="M309" s="20"/>
      <c r="N309" s="20"/>
      <c r="O309" s="20"/>
      <c r="P309" s="20"/>
      <c r="Q309" s="20"/>
      <c r="R309" s="20"/>
      <c r="S309" s="188"/>
      <c r="T309" s="188"/>
      <c r="U309" s="188"/>
      <c r="V309" s="188"/>
      <c r="W309" s="20"/>
      <c r="X309" s="20"/>
      <c r="Y309" s="20"/>
      <c r="Z309" s="20"/>
      <c r="AA309" s="20"/>
      <c r="AB309" s="20"/>
    </row>
    <row r="310">
      <c r="A310" s="20"/>
      <c r="B310" s="20"/>
      <c r="C310" s="20"/>
      <c r="D310" s="20"/>
      <c r="E310" s="20"/>
      <c r="F310" s="282"/>
      <c r="G310" s="20"/>
      <c r="H310" s="20"/>
      <c r="I310" s="20"/>
      <c r="J310" s="20"/>
      <c r="K310" s="20"/>
      <c r="L310" s="20"/>
      <c r="M310" s="20"/>
      <c r="N310" s="20"/>
      <c r="O310" s="20"/>
      <c r="P310" s="20"/>
      <c r="Q310" s="20"/>
      <c r="R310" s="20"/>
      <c r="S310" s="188"/>
      <c r="T310" s="188"/>
      <c r="U310" s="188"/>
      <c r="V310" s="188"/>
      <c r="W310" s="20"/>
      <c r="X310" s="20"/>
      <c r="Y310" s="20"/>
      <c r="Z310" s="20"/>
      <c r="AA310" s="20"/>
      <c r="AB310" s="20"/>
    </row>
    <row r="311">
      <c r="A311" s="20"/>
      <c r="B311" s="20"/>
      <c r="C311" s="20"/>
      <c r="D311" s="20"/>
      <c r="E311" s="20"/>
      <c r="F311" s="282"/>
      <c r="G311" s="20"/>
      <c r="H311" s="20"/>
      <c r="I311" s="20"/>
      <c r="J311" s="20"/>
      <c r="K311" s="20"/>
      <c r="L311" s="20"/>
      <c r="M311" s="20"/>
      <c r="N311" s="20"/>
      <c r="O311" s="20"/>
      <c r="P311" s="20"/>
      <c r="Q311" s="20"/>
      <c r="R311" s="20"/>
      <c r="S311" s="188"/>
      <c r="T311" s="188"/>
      <c r="U311" s="188"/>
      <c r="V311" s="188"/>
      <c r="W311" s="20"/>
      <c r="X311" s="20"/>
      <c r="Y311" s="20"/>
      <c r="Z311" s="20"/>
      <c r="AA311" s="20"/>
      <c r="AB311" s="20"/>
    </row>
    <row r="312">
      <c r="A312" s="20"/>
      <c r="B312" s="20"/>
      <c r="C312" s="20"/>
      <c r="D312" s="20"/>
      <c r="E312" s="20"/>
      <c r="F312" s="282"/>
      <c r="G312" s="20"/>
      <c r="H312" s="20"/>
      <c r="I312" s="20"/>
      <c r="J312" s="20"/>
      <c r="K312" s="20"/>
      <c r="L312" s="20"/>
      <c r="M312" s="20"/>
      <c r="N312" s="20"/>
      <c r="O312" s="20"/>
      <c r="P312" s="20"/>
      <c r="Q312" s="20"/>
      <c r="R312" s="20"/>
      <c r="S312" s="188"/>
      <c r="T312" s="188"/>
      <c r="U312" s="188"/>
      <c r="V312" s="188"/>
      <c r="W312" s="20"/>
      <c r="X312" s="20"/>
      <c r="Y312" s="20"/>
      <c r="Z312" s="20"/>
      <c r="AA312" s="20"/>
      <c r="AB312" s="20"/>
    </row>
    <row r="313">
      <c r="A313" s="20"/>
      <c r="B313" s="20"/>
      <c r="C313" s="20"/>
      <c r="D313" s="20"/>
      <c r="E313" s="20"/>
      <c r="F313" s="282"/>
      <c r="G313" s="20"/>
      <c r="H313" s="20"/>
      <c r="I313" s="20"/>
      <c r="J313" s="20"/>
      <c r="K313" s="20"/>
      <c r="L313" s="20"/>
      <c r="M313" s="20"/>
      <c r="N313" s="20"/>
      <c r="O313" s="20"/>
      <c r="P313" s="20"/>
      <c r="Q313" s="20"/>
      <c r="R313" s="20"/>
      <c r="S313" s="188"/>
      <c r="T313" s="188"/>
      <c r="U313" s="188"/>
      <c r="V313" s="188"/>
      <c r="W313" s="20"/>
      <c r="X313" s="20"/>
      <c r="Y313" s="20"/>
      <c r="Z313" s="20"/>
      <c r="AA313" s="20"/>
      <c r="AB313" s="20"/>
    </row>
    <row r="314">
      <c r="A314" s="20"/>
      <c r="B314" s="20"/>
      <c r="C314" s="20"/>
      <c r="D314" s="20"/>
      <c r="E314" s="20"/>
      <c r="F314" s="282"/>
      <c r="G314" s="20"/>
      <c r="H314" s="20"/>
      <c r="I314" s="20"/>
      <c r="J314" s="20"/>
      <c r="K314" s="20"/>
      <c r="L314" s="20"/>
      <c r="M314" s="20"/>
      <c r="N314" s="20"/>
      <c r="O314" s="20"/>
      <c r="P314" s="20"/>
      <c r="Q314" s="20"/>
      <c r="R314" s="20"/>
      <c r="S314" s="188"/>
      <c r="T314" s="188"/>
      <c r="U314" s="188"/>
      <c r="V314" s="188"/>
      <c r="W314" s="20"/>
      <c r="X314" s="20"/>
      <c r="Y314" s="20"/>
      <c r="Z314" s="20"/>
      <c r="AA314" s="20"/>
      <c r="AB314" s="20"/>
    </row>
    <row r="315">
      <c r="A315" s="20"/>
      <c r="B315" s="20"/>
      <c r="C315" s="20"/>
      <c r="D315" s="20"/>
      <c r="E315" s="20"/>
      <c r="F315" s="282"/>
      <c r="G315" s="20"/>
      <c r="H315" s="20"/>
      <c r="I315" s="20"/>
      <c r="J315" s="20"/>
      <c r="K315" s="20"/>
      <c r="L315" s="20"/>
      <c r="M315" s="20"/>
      <c r="N315" s="20"/>
      <c r="O315" s="20"/>
      <c r="P315" s="20"/>
      <c r="Q315" s="20"/>
      <c r="R315" s="20"/>
      <c r="S315" s="188"/>
      <c r="T315" s="188"/>
      <c r="U315" s="188"/>
      <c r="V315" s="188"/>
      <c r="W315" s="20"/>
      <c r="X315" s="20"/>
      <c r="Y315" s="20"/>
      <c r="Z315" s="20"/>
      <c r="AA315" s="20"/>
      <c r="AB315" s="20"/>
    </row>
    <row r="316">
      <c r="A316" s="20"/>
      <c r="B316" s="20"/>
      <c r="C316" s="20"/>
      <c r="D316" s="20"/>
      <c r="E316" s="20"/>
      <c r="F316" s="282"/>
      <c r="G316" s="20"/>
      <c r="H316" s="20"/>
      <c r="I316" s="20"/>
      <c r="J316" s="20"/>
      <c r="K316" s="20"/>
      <c r="L316" s="20"/>
      <c r="M316" s="20"/>
      <c r="N316" s="20"/>
      <c r="O316" s="20"/>
      <c r="P316" s="20"/>
      <c r="Q316" s="20"/>
      <c r="R316" s="20"/>
      <c r="S316" s="188"/>
      <c r="T316" s="188"/>
      <c r="U316" s="188"/>
      <c r="V316" s="188"/>
      <c r="W316" s="20"/>
      <c r="X316" s="20"/>
      <c r="Y316" s="20"/>
      <c r="Z316" s="20"/>
      <c r="AA316" s="20"/>
      <c r="AB316" s="20"/>
    </row>
    <row r="317">
      <c r="A317" s="20"/>
      <c r="B317" s="20"/>
      <c r="C317" s="20"/>
      <c r="D317" s="20"/>
      <c r="E317" s="20"/>
      <c r="F317" s="282"/>
      <c r="G317" s="20"/>
      <c r="H317" s="20"/>
      <c r="I317" s="20"/>
      <c r="J317" s="20"/>
      <c r="K317" s="20"/>
      <c r="L317" s="20"/>
      <c r="M317" s="20"/>
      <c r="N317" s="20"/>
      <c r="O317" s="20"/>
      <c r="P317" s="20"/>
      <c r="Q317" s="20"/>
      <c r="R317" s="20"/>
      <c r="S317" s="188"/>
      <c r="T317" s="188"/>
      <c r="U317" s="188"/>
      <c r="V317" s="188"/>
      <c r="W317" s="20"/>
      <c r="X317" s="20"/>
      <c r="Y317" s="20"/>
      <c r="Z317" s="20"/>
      <c r="AA317" s="20"/>
      <c r="AB317" s="20"/>
    </row>
    <row r="318">
      <c r="A318" s="20"/>
      <c r="B318" s="20"/>
      <c r="C318" s="20"/>
      <c r="D318" s="20"/>
      <c r="E318" s="20"/>
      <c r="F318" s="282"/>
      <c r="G318" s="20"/>
      <c r="H318" s="20"/>
      <c r="I318" s="20"/>
      <c r="J318" s="20"/>
      <c r="K318" s="20"/>
      <c r="L318" s="20"/>
      <c r="M318" s="20"/>
      <c r="N318" s="20"/>
      <c r="O318" s="20"/>
      <c r="P318" s="20"/>
      <c r="Q318" s="20"/>
      <c r="R318" s="20"/>
      <c r="S318" s="188"/>
      <c r="T318" s="188"/>
      <c r="U318" s="188"/>
      <c r="V318" s="188"/>
      <c r="W318" s="20"/>
      <c r="X318" s="20"/>
      <c r="Y318" s="20"/>
      <c r="Z318" s="20"/>
      <c r="AA318" s="20"/>
      <c r="AB318" s="20"/>
    </row>
    <row r="319">
      <c r="A319" s="20"/>
      <c r="B319" s="20"/>
      <c r="C319" s="20"/>
      <c r="D319" s="20"/>
      <c r="E319" s="20"/>
      <c r="F319" s="282"/>
      <c r="G319" s="20"/>
      <c r="H319" s="20"/>
      <c r="I319" s="20"/>
      <c r="J319" s="20"/>
      <c r="K319" s="20"/>
      <c r="L319" s="20"/>
      <c r="M319" s="20"/>
      <c r="N319" s="20"/>
      <c r="O319" s="20"/>
      <c r="P319" s="20"/>
      <c r="Q319" s="20"/>
      <c r="R319" s="20"/>
      <c r="S319" s="188"/>
      <c r="T319" s="188"/>
      <c r="U319" s="188"/>
      <c r="V319" s="188"/>
      <c r="W319" s="20"/>
      <c r="X319" s="20"/>
      <c r="Y319" s="20"/>
      <c r="Z319" s="20"/>
      <c r="AA319" s="20"/>
      <c r="AB319" s="20"/>
    </row>
    <row r="320">
      <c r="A320" s="20"/>
      <c r="B320" s="20"/>
      <c r="C320" s="20"/>
      <c r="D320" s="20"/>
      <c r="E320" s="20"/>
      <c r="F320" s="282"/>
      <c r="G320" s="20"/>
      <c r="H320" s="20"/>
      <c r="I320" s="20"/>
      <c r="J320" s="20"/>
      <c r="K320" s="20"/>
      <c r="L320" s="20"/>
      <c r="M320" s="20"/>
      <c r="N320" s="20"/>
      <c r="O320" s="20"/>
      <c r="P320" s="20"/>
      <c r="Q320" s="20"/>
      <c r="R320" s="20"/>
      <c r="S320" s="188"/>
      <c r="T320" s="188"/>
      <c r="U320" s="188"/>
      <c r="V320" s="188"/>
      <c r="W320" s="20"/>
      <c r="X320" s="20"/>
      <c r="Y320" s="20"/>
      <c r="Z320" s="20"/>
      <c r="AA320" s="20"/>
      <c r="AB320" s="20"/>
    </row>
    <row r="321">
      <c r="A321" s="20"/>
      <c r="B321" s="20"/>
      <c r="C321" s="20"/>
      <c r="D321" s="20"/>
      <c r="E321" s="20"/>
      <c r="F321" s="282"/>
      <c r="G321" s="20"/>
      <c r="H321" s="20"/>
      <c r="I321" s="20"/>
      <c r="J321" s="20"/>
      <c r="K321" s="20"/>
      <c r="L321" s="20"/>
      <c r="M321" s="20"/>
      <c r="N321" s="20"/>
      <c r="O321" s="20"/>
      <c r="P321" s="20"/>
      <c r="Q321" s="20"/>
      <c r="R321" s="20"/>
      <c r="S321" s="188"/>
      <c r="T321" s="188"/>
      <c r="U321" s="188"/>
      <c r="V321" s="188"/>
      <c r="W321" s="20"/>
      <c r="X321" s="20"/>
      <c r="Y321" s="20"/>
      <c r="Z321" s="20"/>
      <c r="AA321" s="20"/>
      <c r="AB321" s="20"/>
    </row>
    <row r="322">
      <c r="A322" s="20"/>
      <c r="B322" s="20"/>
      <c r="C322" s="20"/>
      <c r="D322" s="20"/>
      <c r="E322" s="20"/>
      <c r="F322" s="282"/>
      <c r="G322" s="20"/>
      <c r="H322" s="20"/>
      <c r="I322" s="20"/>
      <c r="J322" s="20"/>
      <c r="K322" s="20"/>
      <c r="L322" s="20"/>
      <c r="M322" s="20"/>
      <c r="N322" s="20"/>
      <c r="O322" s="20"/>
      <c r="P322" s="20"/>
      <c r="Q322" s="20"/>
      <c r="R322" s="20"/>
      <c r="S322" s="188"/>
      <c r="T322" s="188"/>
      <c r="U322" s="188"/>
      <c r="V322" s="188"/>
      <c r="W322" s="20"/>
      <c r="X322" s="20"/>
      <c r="Y322" s="20"/>
      <c r="Z322" s="20"/>
      <c r="AA322" s="20"/>
      <c r="AB322" s="20"/>
    </row>
    <row r="323">
      <c r="A323" s="20"/>
      <c r="B323" s="20"/>
      <c r="C323" s="20"/>
      <c r="D323" s="20"/>
      <c r="E323" s="20"/>
      <c r="F323" s="282"/>
      <c r="G323" s="20"/>
      <c r="H323" s="20"/>
      <c r="I323" s="20"/>
      <c r="J323" s="20"/>
      <c r="K323" s="20"/>
      <c r="L323" s="20"/>
      <c r="M323" s="20"/>
      <c r="N323" s="20"/>
      <c r="O323" s="20"/>
      <c r="P323" s="20"/>
      <c r="Q323" s="20"/>
      <c r="R323" s="20"/>
      <c r="S323" s="188"/>
      <c r="T323" s="188"/>
      <c r="U323" s="188"/>
      <c r="V323" s="188"/>
      <c r="W323" s="20"/>
      <c r="X323" s="20"/>
      <c r="Y323" s="20"/>
      <c r="Z323" s="20"/>
      <c r="AA323" s="20"/>
      <c r="AB323" s="20"/>
    </row>
    <row r="324">
      <c r="A324" s="20"/>
      <c r="B324" s="20"/>
      <c r="C324" s="20"/>
      <c r="D324" s="20"/>
      <c r="E324" s="20"/>
      <c r="F324" s="282"/>
      <c r="G324" s="20"/>
      <c r="H324" s="20"/>
      <c r="I324" s="20"/>
      <c r="J324" s="20"/>
      <c r="K324" s="20"/>
      <c r="L324" s="20"/>
      <c r="M324" s="20"/>
      <c r="N324" s="20"/>
      <c r="O324" s="20"/>
      <c r="P324" s="20"/>
      <c r="Q324" s="20"/>
      <c r="R324" s="20"/>
      <c r="S324" s="188"/>
      <c r="T324" s="188"/>
      <c r="U324" s="188"/>
      <c r="V324" s="188"/>
      <c r="W324" s="20"/>
      <c r="X324" s="20"/>
      <c r="Y324" s="20"/>
      <c r="Z324" s="20"/>
      <c r="AA324" s="20"/>
      <c r="AB324" s="20"/>
    </row>
    <row r="325">
      <c r="A325" s="20"/>
      <c r="B325" s="20"/>
      <c r="C325" s="20"/>
      <c r="D325" s="20"/>
      <c r="E325" s="20"/>
      <c r="F325" s="282"/>
      <c r="G325" s="20"/>
      <c r="H325" s="20"/>
      <c r="I325" s="20"/>
      <c r="J325" s="20"/>
      <c r="K325" s="20"/>
      <c r="L325" s="20"/>
      <c r="M325" s="20"/>
      <c r="N325" s="20"/>
      <c r="O325" s="20"/>
      <c r="P325" s="20"/>
      <c r="Q325" s="20"/>
      <c r="R325" s="20"/>
      <c r="S325" s="188"/>
      <c r="T325" s="188"/>
      <c r="U325" s="188"/>
      <c r="V325" s="188"/>
      <c r="W325" s="20"/>
      <c r="X325" s="20"/>
      <c r="Y325" s="20"/>
      <c r="Z325" s="20"/>
      <c r="AA325" s="20"/>
      <c r="AB325" s="20"/>
    </row>
    <row r="326">
      <c r="A326" s="20"/>
      <c r="B326" s="20"/>
      <c r="C326" s="20"/>
      <c r="D326" s="20"/>
      <c r="E326" s="20"/>
      <c r="F326" s="282"/>
      <c r="G326" s="20"/>
      <c r="H326" s="20"/>
      <c r="I326" s="20"/>
      <c r="J326" s="20"/>
      <c r="K326" s="20"/>
      <c r="L326" s="20"/>
      <c r="M326" s="20"/>
      <c r="N326" s="20"/>
      <c r="O326" s="20"/>
      <c r="P326" s="20"/>
      <c r="Q326" s="20"/>
      <c r="R326" s="20"/>
      <c r="S326" s="188"/>
      <c r="T326" s="188"/>
      <c r="U326" s="188"/>
      <c r="V326" s="188"/>
      <c r="W326" s="20"/>
      <c r="X326" s="20"/>
      <c r="Y326" s="20"/>
      <c r="Z326" s="20"/>
      <c r="AA326" s="20"/>
      <c r="AB326" s="20"/>
    </row>
    <row r="327">
      <c r="A327" s="20"/>
      <c r="B327" s="20"/>
      <c r="C327" s="20"/>
      <c r="D327" s="20"/>
      <c r="E327" s="20"/>
      <c r="F327" s="282"/>
      <c r="G327" s="20"/>
      <c r="H327" s="20"/>
      <c r="I327" s="20"/>
      <c r="J327" s="20"/>
      <c r="K327" s="20"/>
      <c r="L327" s="20"/>
      <c r="M327" s="20"/>
      <c r="N327" s="20"/>
      <c r="O327" s="20"/>
      <c r="P327" s="20"/>
      <c r="Q327" s="20"/>
      <c r="R327" s="20"/>
      <c r="S327" s="188"/>
      <c r="T327" s="188"/>
      <c r="U327" s="188"/>
      <c r="V327" s="188"/>
      <c r="W327" s="20"/>
      <c r="X327" s="20"/>
      <c r="Y327" s="20"/>
      <c r="Z327" s="20"/>
      <c r="AA327" s="20"/>
      <c r="AB327" s="20"/>
    </row>
    <row r="328">
      <c r="A328" s="20"/>
      <c r="B328" s="20"/>
      <c r="C328" s="20"/>
      <c r="D328" s="20"/>
      <c r="E328" s="20"/>
      <c r="F328" s="282"/>
      <c r="G328" s="20"/>
      <c r="H328" s="20"/>
      <c r="I328" s="20"/>
      <c r="J328" s="20"/>
      <c r="K328" s="20"/>
      <c r="L328" s="20"/>
      <c r="M328" s="20"/>
      <c r="N328" s="20"/>
      <c r="O328" s="20"/>
      <c r="P328" s="20"/>
      <c r="Q328" s="20"/>
      <c r="R328" s="20"/>
      <c r="S328" s="188"/>
      <c r="T328" s="188"/>
      <c r="U328" s="188"/>
      <c r="V328" s="188"/>
      <c r="W328" s="20"/>
      <c r="X328" s="20"/>
      <c r="Y328" s="20"/>
      <c r="Z328" s="20"/>
      <c r="AA328" s="20"/>
      <c r="AB328" s="20"/>
    </row>
    <row r="329">
      <c r="A329" s="20"/>
      <c r="B329" s="20"/>
      <c r="C329" s="20"/>
      <c r="D329" s="20"/>
      <c r="E329" s="20"/>
      <c r="F329" s="282"/>
      <c r="G329" s="20"/>
      <c r="H329" s="20"/>
      <c r="I329" s="20"/>
      <c r="J329" s="20"/>
      <c r="K329" s="20"/>
      <c r="L329" s="20"/>
      <c r="M329" s="20"/>
      <c r="N329" s="20"/>
      <c r="O329" s="20"/>
      <c r="P329" s="20"/>
      <c r="Q329" s="20"/>
      <c r="R329" s="20"/>
      <c r="S329" s="188"/>
      <c r="T329" s="188"/>
      <c r="U329" s="188"/>
      <c r="V329" s="188"/>
      <c r="W329" s="20"/>
      <c r="X329" s="20"/>
      <c r="Y329" s="20"/>
      <c r="Z329" s="20"/>
      <c r="AA329" s="20"/>
      <c r="AB329" s="20"/>
    </row>
    <row r="330">
      <c r="A330" s="20"/>
      <c r="B330" s="20"/>
      <c r="C330" s="20"/>
      <c r="D330" s="20"/>
      <c r="E330" s="20"/>
      <c r="F330" s="282"/>
      <c r="G330" s="20"/>
      <c r="H330" s="20"/>
      <c r="I330" s="20"/>
      <c r="J330" s="20"/>
      <c r="K330" s="20"/>
      <c r="L330" s="20"/>
      <c r="M330" s="20"/>
      <c r="N330" s="20"/>
      <c r="O330" s="20"/>
      <c r="P330" s="20"/>
      <c r="Q330" s="20"/>
      <c r="R330" s="20"/>
      <c r="S330" s="188"/>
      <c r="T330" s="188"/>
      <c r="U330" s="188"/>
      <c r="V330" s="188"/>
      <c r="W330" s="20"/>
      <c r="X330" s="20"/>
      <c r="Y330" s="20"/>
      <c r="Z330" s="20"/>
      <c r="AA330" s="20"/>
      <c r="AB330" s="20"/>
    </row>
    <row r="331">
      <c r="A331" s="20"/>
      <c r="B331" s="20"/>
      <c r="C331" s="20"/>
      <c r="D331" s="20"/>
      <c r="E331" s="20"/>
      <c r="F331" s="282"/>
      <c r="G331" s="20"/>
      <c r="H331" s="20"/>
      <c r="I331" s="20"/>
      <c r="J331" s="20"/>
      <c r="K331" s="20"/>
      <c r="L331" s="20"/>
      <c r="M331" s="20"/>
      <c r="N331" s="20"/>
      <c r="O331" s="20"/>
      <c r="P331" s="20"/>
      <c r="Q331" s="20"/>
      <c r="R331" s="20"/>
      <c r="S331" s="188"/>
      <c r="T331" s="188"/>
      <c r="U331" s="188"/>
      <c r="V331" s="188"/>
      <c r="W331" s="20"/>
      <c r="X331" s="20"/>
      <c r="Y331" s="20"/>
      <c r="Z331" s="20"/>
      <c r="AA331" s="20"/>
      <c r="AB331" s="20"/>
    </row>
    <row r="332">
      <c r="A332" s="20"/>
      <c r="B332" s="20"/>
      <c r="C332" s="20"/>
      <c r="D332" s="20"/>
      <c r="E332" s="20"/>
      <c r="F332" s="282"/>
      <c r="G332" s="20"/>
      <c r="H332" s="20"/>
      <c r="I332" s="20"/>
      <c r="J332" s="20"/>
      <c r="K332" s="20"/>
      <c r="L332" s="20"/>
      <c r="M332" s="20"/>
      <c r="N332" s="20"/>
      <c r="O332" s="20"/>
      <c r="P332" s="20"/>
      <c r="Q332" s="20"/>
      <c r="R332" s="20"/>
      <c r="S332" s="188"/>
      <c r="T332" s="188"/>
      <c r="U332" s="188"/>
      <c r="V332" s="188"/>
      <c r="W332" s="20"/>
      <c r="X332" s="20"/>
      <c r="Y332" s="20"/>
      <c r="Z332" s="20"/>
      <c r="AA332" s="20"/>
      <c r="AB332" s="20"/>
    </row>
    <row r="333">
      <c r="A333" s="20"/>
      <c r="B333" s="20"/>
      <c r="C333" s="20"/>
      <c r="D333" s="20"/>
      <c r="E333" s="20"/>
      <c r="F333" s="282"/>
      <c r="G333" s="20"/>
      <c r="H333" s="20"/>
      <c r="I333" s="20"/>
      <c r="J333" s="20"/>
      <c r="K333" s="20"/>
      <c r="L333" s="20"/>
      <c r="M333" s="20"/>
      <c r="N333" s="20"/>
      <c r="O333" s="20"/>
      <c r="P333" s="20"/>
      <c r="Q333" s="20"/>
      <c r="R333" s="20"/>
      <c r="S333" s="188"/>
      <c r="T333" s="188"/>
      <c r="U333" s="188"/>
      <c r="V333" s="188"/>
      <c r="W333" s="20"/>
      <c r="X333" s="20"/>
      <c r="Y333" s="20"/>
      <c r="Z333" s="20"/>
      <c r="AA333" s="20"/>
      <c r="AB333" s="20"/>
    </row>
    <row r="334">
      <c r="A334" s="20"/>
      <c r="B334" s="20"/>
      <c r="C334" s="20"/>
      <c r="D334" s="20"/>
      <c r="E334" s="20"/>
      <c r="F334" s="282"/>
      <c r="G334" s="20"/>
      <c r="H334" s="20"/>
      <c r="I334" s="20"/>
      <c r="J334" s="20"/>
      <c r="K334" s="20"/>
      <c r="L334" s="20"/>
      <c r="M334" s="20"/>
      <c r="N334" s="20"/>
      <c r="O334" s="20"/>
      <c r="P334" s="20"/>
      <c r="Q334" s="20"/>
      <c r="R334" s="20"/>
      <c r="S334" s="188"/>
      <c r="T334" s="188"/>
      <c r="U334" s="188"/>
      <c r="V334" s="188"/>
      <c r="W334" s="20"/>
      <c r="X334" s="20"/>
      <c r="Y334" s="20"/>
      <c r="Z334" s="20"/>
      <c r="AA334" s="20"/>
      <c r="AB334" s="20"/>
    </row>
    <row r="335">
      <c r="A335" s="20"/>
      <c r="B335" s="20"/>
      <c r="C335" s="20"/>
      <c r="D335" s="20"/>
      <c r="E335" s="20"/>
      <c r="F335" s="282"/>
      <c r="G335" s="20"/>
      <c r="H335" s="20"/>
      <c r="I335" s="20"/>
      <c r="J335" s="20"/>
      <c r="K335" s="20"/>
      <c r="L335" s="20"/>
      <c r="M335" s="20"/>
      <c r="N335" s="20"/>
      <c r="O335" s="20"/>
      <c r="P335" s="20"/>
      <c r="Q335" s="20"/>
      <c r="R335" s="20"/>
      <c r="S335" s="188"/>
      <c r="T335" s="188"/>
      <c r="U335" s="188"/>
      <c r="V335" s="188"/>
      <c r="W335" s="20"/>
      <c r="X335" s="20"/>
      <c r="Y335" s="20"/>
      <c r="Z335" s="20"/>
      <c r="AA335" s="20"/>
      <c r="AB335" s="20"/>
    </row>
    <row r="336">
      <c r="A336" s="20"/>
      <c r="B336" s="20"/>
      <c r="C336" s="20"/>
      <c r="D336" s="20"/>
      <c r="E336" s="20"/>
      <c r="F336" s="282"/>
      <c r="G336" s="20"/>
      <c r="H336" s="20"/>
      <c r="I336" s="20"/>
      <c r="J336" s="20"/>
      <c r="K336" s="20"/>
      <c r="L336" s="20"/>
      <c r="M336" s="20"/>
      <c r="N336" s="20"/>
      <c r="O336" s="20"/>
      <c r="P336" s="20"/>
      <c r="Q336" s="20"/>
      <c r="R336" s="20"/>
      <c r="S336" s="188"/>
      <c r="T336" s="188"/>
      <c r="U336" s="188"/>
      <c r="V336" s="188"/>
      <c r="W336" s="20"/>
      <c r="X336" s="20"/>
      <c r="Y336" s="20"/>
      <c r="Z336" s="20"/>
      <c r="AA336" s="20"/>
      <c r="AB336" s="20"/>
    </row>
    <row r="337">
      <c r="A337" s="20"/>
      <c r="B337" s="20"/>
      <c r="C337" s="20"/>
      <c r="D337" s="20"/>
      <c r="E337" s="20"/>
      <c r="F337" s="282"/>
      <c r="G337" s="20"/>
      <c r="H337" s="20"/>
      <c r="I337" s="20"/>
      <c r="J337" s="20"/>
      <c r="K337" s="20"/>
      <c r="L337" s="20"/>
      <c r="M337" s="20"/>
      <c r="N337" s="20"/>
      <c r="O337" s="20"/>
      <c r="P337" s="20"/>
      <c r="Q337" s="20"/>
      <c r="R337" s="20"/>
      <c r="S337" s="188"/>
      <c r="T337" s="188"/>
      <c r="U337" s="188"/>
      <c r="V337" s="188"/>
      <c r="W337" s="20"/>
      <c r="X337" s="20"/>
      <c r="Y337" s="20"/>
      <c r="Z337" s="20"/>
      <c r="AA337" s="20"/>
      <c r="AB337" s="20"/>
    </row>
    <row r="338">
      <c r="A338" s="20"/>
      <c r="B338" s="20"/>
      <c r="C338" s="20"/>
      <c r="D338" s="20"/>
      <c r="E338" s="20"/>
      <c r="F338" s="282"/>
      <c r="G338" s="20"/>
      <c r="H338" s="20"/>
      <c r="I338" s="20"/>
      <c r="J338" s="20"/>
      <c r="K338" s="20"/>
      <c r="L338" s="20"/>
      <c r="M338" s="20"/>
      <c r="N338" s="20"/>
      <c r="O338" s="20"/>
      <c r="P338" s="20"/>
      <c r="Q338" s="20"/>
      <c r="R338" s="20"/>
      <c r="S338" s="188"/>
      <c r="T338" s="188"/>
      <c r="U338" s="188"/>
      <c r="V338" s="188"/>
      <c r="W338" s="20"/>
      <c r="X338" s="20"/>
      <c r="Y338" s="20"/>
      <c r="Z338" s="20"/>
      <c r="AA338" s="20"/>
      <c r="AB338" s="20"/>
    </row>
    <row r="339">
      <c r="A339" s="20"/>
      <c r="B339" s="20"/>
      <c r="C339" s="20"/>
      <c r="D339" s="20"/>
      <c r="E339" s="20"/>
      <c r="F339" s="282"/>
      <c r="G339" s="20"/>
      <c r="H339" s="20"/>
      <c r="I339" s="20"/>
      <c r="J339" s="20"/>
      <c r="K339" s="20"/>
      <c r="L339" s="20"/>
      <c r="M339" s="20"/>
      <c r="N339" s="20"/>
      <c r="O339" s="20"/>
      <c r="P339" s="20"/>
      <c r="Q339" s="20"/>
      <c r="R339" s="20"/>
      <c r="S339" s="188"/>
      <c r="T339" s="188"/>
      <c r="U339" s="188"/>
      <c r="V339" s="188"/>
      <c r="W339" s="20"/>
      <c r="X339" s="20"/>
      <c r="Y339" s="20"/>
      <c r="Z339" s="20"/>
      <c r="AA339" s="20"/>
      <c r="AB339" s="20"/>
    </row>
    <row r="340">
      <c r="A340" s="20"/>
      <c r="B340" s="20"/>
      <c r="C340" s="20"/>
      <c r="D340" s="20"/>
      <c r="E340" s="20"/>
      <c r="F340" s="282"/>
      <c r="G340" s="20"/>
      <c r="H340" s="20"/>
      <c r="I340" s="20"/>
      <c r="J340" s="20"/>
      <c r="K340" s="20"/>
      <c r="L340" s="20"/>
      <c r="M340" s="20"/>
      <c r="N340" s="20"/>
      <c r="O340" s="20"/>
      <c r="P340" s="20"/>
      <c r="Q340" s="20"/>
      <c r="R340" s="20"/>
      <c r="S340" s="188"/>
      <c r="T340" s="188"/>
      <c r="U340" s="188"/>
      <c r="V340" s="188"/>
      <c r="W340" s="20"/>
      <c r="X340" s="20"/>
      <c r="Y340" s="20"/>
      <c r="Z340" s="20"/>
      <c r="AA340" s="20"/>
      <c r="AB340" s="20"/>
    </row>
    <row r="341">
      <c r="A341" s="20"/>
      <c r="B341" s="20"/>
      <c r="C341" s="20"/>
      <c r="D341" s="20"/>
      <c r="E341" s="20"/>
      <c r="F341" s="282"/>
      <c r="G341" s="20"/>
      <c r="H341" s="20"/>
      <c r="I341" s="20"/>
      <c r="J341" s="20"/>
      <c r="K341" s="20"/>
      <c r="L341" s="20"/>
      <c r="M341" s="20"/>
      <c r="N341" s="20"/>
      <c r="O341" s="20"/>
      <c r="P341" s="20"/>
      <c r="Q341" s="20"/>
      <c r="R341" s="20"/>
      <c r="S341" s="188"/>
      <c r="T341" s="188"/>
      <c r="U341" s="188"/>
      <c r="V341" s="188"/>
      <c r="W341" s="20"/>
      <c r="X341" s="20"/>
      <c r="Y341" s="20"/>
      <c r="Z341" s="20"/>
      <c r="AA341" s="20"/>
      <c r="AB341" s="20"/>
    </row>
    <row r="342">
      <c r="A342" s="20"/>
      <c r="B342" s="20"/>
      <c r="C342" s="20"/>
      <c r="D342" s="20"/>
      <c r="E342" s="20"/>
      <c r="F342" s="282"/>
      <c r="G342" s="20"/>
      <c r="H342" s="20"/>
      <c r="I342" s="20"/>
      <c r="J342" s="20"/>
      <c r="K342" s="20"/>
      <c r="L342" s="20"/>
      <c r="M342" s="20"/>
      <c r="N342" s="20"/>
      <c r="O342" s="20"/>
      <c r="P342" s="20"/>
      <c r="Q342" s="20"/>
      <c r="R342" s="20"/>
      <c r="S342" s="188"/>
      <c r="T342" s="188"/>
      <c r="U342" s="188"/>
      <c r="V342" s="188"/>
      <c r="W342" s="20"/>
      <c r="X342" s="20"/>
      <c r="Y342" s="20"/>
      <c r="Z342" s="20"/>
      <c r="AA342" s="20"/>
      <c r="AB342" s="20"/>
    </row>
    <row r="343">
      <c r="A343" s="20"/>
      <c r="B343" s="20"/>
      <c r="C343" s="20"/>
      <c r="D343" s="20"/>
      <c r="E343" s="20"/>
      <c r="F343" s="282"/>
      <c r="G343" s="20"/>
      <c r="H343" s="20"/>
      <c r="I343" s="20"/>
      <c r="J343" s="20"/>
      <c r="K343" s="20"/>
      <c r="L343" s="20"/>
      <c r="M343" s="20"/>
      <c r="N343" s="20"/>
      <c r="O343" s="20"/>
      <c r="P343" s="20"/>
      <c r="Q343" s="20"/>
      <c r="R343" s="20"/>
      <c r="S343" s="188"/>
      <c r="T343" s="188"/>
      <c r="U343" s="188"/>
      <c r="V343" s="188"/>
      <c r="W343" s="20"/>
      <c r="X343" s="20"/>
      <c r="Y343" s="20"/>
      <c r="Z343" s="20"/>
      <c r="AA343" s="20"/>
      <c r="AB343" s="20"/>
    </row>
    <row r="344">
      <c r="A344" s="20"/>
      <c r="B344" s="20"/>
      <c r="C344" s="20"/>
      <c r="D344" s="20"/>
      <c r="E344" s="20"/>
      <c r="F344" s="282"/>
      <c r="G344" s="20"/>
      <c r="H344" s="20"/>
      <c r="I344" s="20"/>
      <c r="J344" s="20"/>
      <c r="K344" s="20"/>
      <c r="L344" s="20"/>
      <c r="M344" s="20"/>
      <c r="N344" s="20"/>
      <c r="O344" s="20"/>
      <c r="P344" s="20"/>
      <c r="Q344" s="20"/>
      <c r="R344" s="20"/>
      <c r="S344" s="188"/>
      <c r="T344" s="188"/>
      <c r="U344" s="188"/>
      <c r="V344" s="188"/>
      <c r="W344" s="20"/>
      <c r="X344" s="20"/>
      <c r="Y344" s="20"/>
      <c r="Z344" s="20"/>
      <c r="AA344" s="20"/>
      <c r="AB344" s="20"/>
    </row>
    <row r="345">
      <c r="A345" s="20"/>
      <c r="B345" s="20"/>
      <c r="C345" s="20"/>
      <c r="D345" s="20"/>
      <c r="E345" s="20"/>
      <c r="F345" s="282"/>
      <c r="G345" s="20"/>
      <c r="H345" s="20"/>
      <c r="I345" s="20"/>
      <c r="J345" s="20"/>
      <c r="K345" s="20"/>
      <c r="L345" s="20"/>
      <c r="M345" s="20"/>
      <c r="N345" s="20"/>
      <c r="O345" s="20"/>
      <c r="P345" s="20"/>
      <c r="Q345" s="20"/>
      <c r="R345" s="20"/>
      <c r="S345" s="188"/>
      <c r="T345" s="188"/>
      <c r="U345" s="188"/>
      <c r="V345" s="188"/>
      <c r="W345" s="20"/>
      <c r="X345" s="20"/>
      <c r="Y345" s="20"/>
      <c r="Z345" s="20"/>
      <c r="AA345" s="20"/>
      <c r="AB345" s="20"/>
    </row>
    <row r="346">
      <c r="A346" s="20"/>
      <c r="B346" s="20"/>
      <c r="C346" s="20"/>
      <c r="D346" s="20"/>
      <c r="E346" s="20"/>
      <c r="F346" s="282"/>
      <c r="G346" s="20"/>
      <c r="H346" s="20"/>
      <c r="I346" s="20"/>
      <c r="J346" s="20"/>
      <c r="K346" s="20"/>
      <c r="L346" s="20"/>
      <c r="M346" s="20"/>
      <c r="N346" s="20"/>
      <c r="O346" s="20"/>
      <c r="P346" s="20"/>
      <c r="Q346" s="20"/>
      <c r="R346" s="20"/>
      <c r="S346" s="188"/>
      <c r="T346" s="188"/>
      <c r="U346" s="188"/>
      <c r="V346" s="188"/>
      <c r="W346" s="20"/>
      <c r="X346" s="20"/>
      <c r="Y346" s="20"/>
      <c r="Z346" s="20"/>
      <c r="AA346" s="20"/>
      <c r="AB346" s="20"/>
    </row>
    <row r="347">
      <c r="A347" s="20"/>
      <c r="B347" s="20"/>
      <c r="C347" s="20"/>
      <c r="D347" s="20"/>
      <c r="E347" s="20"/>
      <c r="F347" s="282"/>
      <c r="G347" s="20"/>
      <c r="H347" s="20"/>
      <c r="I347" s="20"/>
      <c r="J347" s="20"/>
      <c r="K347" s="20"/>
      <c r="L347" s="20"/>
      <c r="M347" s="20"/>
      <c r="N347" s="20"/>
      <c r="O347" s="20"/>
      <c r="P347" s="20"/>
      <c r="Q347" s="20"/>
      <c r="R347" s="20"/>
      <c r="S347" s="188"/>
      <c r="T347" s="188"/>
      <c r="U347" s="188"/>
      <c r="V347" s="188"/>
      <c r="W347" s="20"/>
      <c r="X347" s="20"/>
      <c r="Y347" s="20"/>
      <c r="Z347" s="20"/>
      <c r="AA347" s="20"/>
      <c r="AB347" s="20"/>
    </row>
    <row r="348">
      <c r="A348" s="20"/>
      <c r="B348" s="20"/>
      <c r="C348" s="20"/>
      <c r="D348" s="20"/>
      <c r="E348" s="20"/>
      <c r="F348" s="282"/>
      <c r="G348" s="20"/>
      <c r="H348" s="20"/>
      <c r="I348" s="20"/>
      <c r="J348" s="20"/>
      <c r="K348" s="20"/>
      <c r="L348" s="20"/>
      <c r="M348" s="20"/>
      <c r="N348" s="20"/>
      <c r="O348" s="20"/>
      <c r="P348" s="20"/>
      <c r="Q348" s="20"/>
      <c r="R348" s="20"/>
      <c r="S348" s="188"/>
      <c r="T348" s="188"/>
      <c r="U348" s="188"/>
      <c r="V348" s="188"/>
      <c r="W348" s="20"/>
      <c r="X348" s="20"/>
      <c r="Y348" s="20"/>
      <c r="Z348" s="20"/>
      <c r="AA348" s="20"/>
      <c r="AB348" s="20"/>
    </row>
    <row r="349">
      <c r="A349" s="20"/>
      <c r="B349" s="20"/>
      <c r="C349" s="20"/>
      <c r="D349" s="20"/>
      <c r="E349" s="20"/>
      <c r="F349" s="282"/>
      <c r="G349" s="20"/>
      <c r="H349" s="20"/>
      <c r="I349" s="20"/>
      <c r="J349" s="20"/>
      <c r="K349" s="20"/>
      <c r="L349" s="20"/>
      <c r="M349" s="20"/>
      <c r="N349" s="20"/>
      <c r="O349" s="20"/>
      <c r="P349" s="20"/>
      <c r="Q349" s="20"/>
      <c r="R349" s="20"/>
      <c r="S349" s="188"/>
      <c r="T349" s="188"/>
      <c r="U349" s="188"/>
      <c r="V349" s="188"/>
      <c r="W349" s="20"/>
      <c r="X349" s="20"/>
      <c r="Y349" s="20"/>
      <c r="Z349" s="20"/>
      <c r="AA349" s="20"/>
      <c r="AB349" s="20"/>
    </row>
    <row r="350">
      <c r="A350" s="20"/>
      <c r="B350" s="20"/>
      <c r="C350" s="20"/>
      <c r="D350" s="20"/>
      <c r="E350" s="20"/>
      <c r="F350" s="282"/>
      <c r="G350" s="20"/>
      <c r="H350" s="20"/>
      <c r="I350" s="20"/>
      <c r="J350" s="20"/>
      <c r="K350" s="20"/>
      <c r="L350" s="20"/>
      <c r="M350" s="20"/>
      <c r="N350" s="20"/>
      <c r="O350" s="20"/>
      <c r="P350" s="20"/>
      <c r="Q350" s="20"/>
      <c r="R350" s="20"/>
      <c r="S350" s="188"/>
      <c r="T350" s="188"/>
      <c r="U350" s="188"/>
      <c r="V350" s="188"/>
      <c r="W350" s="20"/>
      <c r="X350" s="20"/>
      <c r="Y350" s="20"/>
      <c r="Z350" s="20"/>
      <c r="AA350" s="20"/>
      <c r="AB350" s="20"/>
    </row>
    <row r="351">
      <c r="A351" s="20"/>
      <c r="B351" s="20"/>
      <c r="C351" s="20"/>
      <c r="D351" s="20"/>
      <c r="E351" s="20"/>
      <c r="F351" s="282"/>
      <c r="G351" s="20"/>
      <c r="H351" s="20"/>
      <c r="I351" s="20"/>
      <c r="J351" s="20"/>
      <c r="K351" s="20"/>
      <c r="L351" s="20"/>
      <c r="M351" s="20"/>
      <c r="N351" s="20"/>
      <c r="O351" s="20"/>
      <c r="P351" s="20"/>
      <c r="Q351" s="20"/>
      <c r="R351" s="20"/>
      <c r="S351" s="188"/>
      <c r="T351" s="188"/>
      <c r="U351" s="188"/>
      <c r="V351" s="188"/>
      <c r="W351" s="20"/>
      <c r="X351" s="20"/>
      <c r="Y351" s="20"/>
      <c r="Z351" s="20"/>
      <c r="AA351" s="20"/>
      <c r="AB351" s="20"/>
    </row>
    <row r="352">
      <c r="A352" s="20"/>
      <c r="B352" s="20"/>
      <c r="C352" s="20"/>
      <c r="D352" s="20"/>
      <c r="E352" s="20"/>
      <c r="F352" s="282"/>
      <c r="G352" s="20"/>
      <c r="H352" s="20"/>
      <c r="I352" s="20"/>
      <c r="J352" s="20"/>
      <c r="K352" s="20"/>
      <c r="L352" s="20"/>
      <c r="M352" s="20"/>
      <c r="N352" s="20"/>
      <c r="O352" s="20"/>
      <c r="P352" s="20"/>
      <c r="Q352" s="20"/>
      <c r="R352" s="20"/>
      <c r="S352" s="188"/>
      <c r="T352" s="188"/>
      <c r="U352" s="188"/>
      <c r="V352" s="188"/>
      <c r="W352" s="20"/>
      <c r="X352" s="20"/>
      <c r="Y352" s="20"/>
      <c r="Z352" s="20"/>
      <c r="AA352" s="20"/>
      <c r="AB352" s="20"/>
    </row>
    <row r="353">
      <c r="A353" s="20"/>
      <c r="B353" s="20"/>
      <c r="C353" s="20"/>
      <c r="D353" s="20"/>
      <c r="E353" s="20"/>
      <c r="F353" s="282"/>
      <c r="G353" s="20"/>
      <c r="H353" s="20"/>
      <c r="I353" s="20"/>
      <c r="J353" s="20"/>
      <c r="K353" s="20"/>
      <c r="L353" s="20"/>
      <c r="M353" s="20"/>
      <c r="N353" s="20"/>
      <c r="O353" s="20"/>
      <c r="P353" s="20"/>
      <c r="Q353" s="20"/>
      <c r="R353" s="20"/>
      <c r="S353" s="188"/>
      <c r="T353" s="188"/>
      <c r="U353" s="188"/>
      <c r="V353" s="188"/>
      <c r="W353" s="20"/>
      <c r="X353" s="20"/>
      <c r="Y353" s="20"/>
      <c r="Z353" s="20"/>
      <c r="AA353" s="20"/>
      <c r="AB353" s="20"/>
    </row>
    <row r="354">
      <c r="A354" s="20"/>
      <c r="B354" s="20"/>
      <c r="C354" s="20"/>
      <c r="D354" s="20"/>
      <c r="E354" s="20"/>
      <c r="F354" s="282"/>
      <c r="G354" s="20"/>
      <c r="H354" s="20"/>
      <c r="I354" s="20"/>
      <c r="J354" s="20"/>
      <c r="K354" s="20"/>
      <c r="L354" s="20"/>
      <c r="M354" s="20"/>
      <c r="N354" s="20"/>
      <c r="O354" s="20"/>
      <c r="P354" s="20"/>
      <c r="Q354" s="20"/>
      <c r="R354" s="20"/>
      <c r="S354" s="188"/>
      <c r="T354" s="188"/>
      <c r="U354" s="188"/>
      <c r="V354" s="188"/>
      <c r="W354" s="20"/>
      <c r="X354" s="20"/>
      <c r="Y354" s="20"/>
      <c r="Z354" s="20"/>
      <c r="AA354" s="20"/>
      <c r="AB354" s="20"/>
    </row>
    <row r="355">
      <c r="A355" s="20"/>
      <c r="B355" s="20"/>
      <c r="C355" s="20"/>
      <c r="D355" s="20"/>
      <c r="E355" s="20"/>
      <c r="F355" s="282"/>
      <c r="G355" s="20"/>
      <c r="H355" s="20"/>
      <c r="I355" s="20"/>
      <c r="J355" s="20"/>
      <c r="K355" s="20"/>
      <c r="L355" s="20"/>
      <c r="M355" s="20"/>
      <c r="N355" s="20"/>
      <c r="O355" s="20"/>
      <c r="P355" s="20"/>
      <c r="Q355" s="20"/>
      <c r="R355" s="20"/>
      <c r="S355" s="188"/>
      <c r="T355" s="188"/>
      <c r="U355" s="188"/>
      <c r="V355" s="188"/>
      <c r="W355" s="20"/>
      <c r="X355" s="20"/>
      <c r="Y355" s="20"/>
      <c r="Z355" s="20"/>
      <c r="AA355" s="20"/>
      <c r="AB355" s="20"/>
    </row>
    <row r="356">
      <c r="A356" s="20"/>
      <c r="B356" s="20"/>
      <c r="C356" s="20"/>
      <c r="D356" s="20"/>
      <c r="E356" s="20"/>
      <c r="F356" s="282"/>
      <c r="G356" s="20"/>
      <c r="H356" s="20"/>
      <c r="I356" s="20"/>
      <c r="J356" s="20"/>
      <c r="K356" s="20"/>
      <c r="L356" s="20"/>
      <c r="M356" s="20"/>
      <c r="N356" s="20"/>
      <c r="O356" s="20"/>
      <c r="P356" s="20"/>
      <c r="Q356" s="20"/>
      <c r="R356" s="20"/>
      <c r="S356" s="188"/>
      <c r="T356" s="188"/>
      <c r="U356" s="188"/>
      <c r="V356" s="188"/>
      <c r="W356" s="20"/>
      <c r="X356" s="20"/>
      <c r="Y356" s="20"/>
      <c r="Z356" s="20"/>
      <c r="AA356" s="20"/>
      <c r="AB356" s="20"/>
    </row>
    <row r="357">
      <c r="A357" s="20"/>
      <c r="B357" s="20"/>
      <c r="C357" s="20"/>
      <c r="D357" s="20"/>
      <c r="E357" s="20"/>
      <c r="F357" s="282"/>
      <c r="G357" s="20"/>
      <c r="H357" s="20"/>
      <c r="I357" s="20"/>
      <c r="J357" s="20"/>
      <c r="K357" s="20"/>
      <c r="L357" s="20"/>
      <c r="M357" s="20"/>
      <c r="N357" s="20"/>
      <c r="O357" s="20"/>
      <c r="P357" s="20"/>
      <c r="Q357" s="20"/>
      <c r="R357" s="20"/>
      <c r="S357" s="188"/>
      <c r="T357" s="188"/>
      <c r="U357" s="188"/>
      <c r="V357" s="188"/>
      <c r="W357" s="20"/>
      <c r="X357" s="20"/>
      <c r="Y357" s="20"/>
      <c r="Z357" s="20"/>
      <c r="AA357" s="20"/>
      <c r="AB357" s="20"/>
    </row>
    <row r="358">
      <c r="A358" s="20"/>
      <c r="B358" s="20"/>
      <c r="C358" s="20"/>
      <c r="D358" s="20"/>
      <c r="E358" s="20"/>
      <c r="F358" s="282"/>
      <c r="G358" s="20"/>
      <c r="H358" s="20"/>
      <c r="I358" s="20"/>
      <c r="J358" s="20"/>
      <c r="K358" s="20"/>
      <c r="L358" s="20"/>
      <c r="M358" s="20"/>
      <c r="N358" s="20"/>
      <c r="O358" s="20"/>
      <c r="P358" s="20"/>
      <c r="Q358" s="20"/>
      <c r="R358" s="20"/>
      <c r="S358" s="188"/>
      <c r="T358" s="188"/>
      <c r="U358" s="188"/>
      <c r="V358" s="188"/>
      <c r="W358" s="20"/>
      <c r="X358" s="20"/>
      <c r="Y358" s="20"/>
      <c r="Z358" s="20"/>
      <c r="AA358" s="20"/>
      <c r="AB358" s="20"/>
    </row>
    <row r="359">
      <c r="A359" s="20"/>
      <c r="B359" s="20"/>
      <c r="C359" s="20"/>
      <c r="D359" s="20"/>
      <c r="E359" s="20"/>
      <c r="F359" s="282"/>
      <c r="G359" s="20"/>
      <c r="H359" s="20"/>
      <c r="I359" s="20"/>
      <c r="J359" s="20"/>
      <c r="K359" s="20"/>
      <c r="L359" s="20"/>
      <c r="M359" s="20"/>
      <c r="N359" s="20"/>
      <c r="O359" s="20"/>
      <c r="P359" s="20"/>
      <c r="Q359" s="20"/>
      <c r="R359" s="20"/>
      <c r="S359" s="188"/>
      <c r="T359" s="188"/>
      <c r="U359" s="188"/>
      <c r="V359" s="188"/>
      <c r="W359" s="20"/>
      <c r="X359" s="20"/>
      <c r="Y359" s="20"/>
      <c r="Z359" s="20"/>
      <c r="AA359" s="20"/>
      <c r="AB359" s="20"/>
    </row>
    <row r="360">
      <c r="A360" s="20"/>
      <c r="B360" s="20"/>
      <c r="C360" s="20"/>
      <c r="D360" s="20"/>
      <c r="E360" s="20"/>
      <c r="F360" s="282"/>
      <c r="G360" s="20"/>
      <c r="H360" s="20"/>
      <c r="I360" s="20"/>
      <c r="J360" s="20"/>
      <c r="K360" s="20"/>
      <c r="L360" s="20"/>
      <c r="M360" s="20"/>
      <c r="N360" s="20"/>
      <c r="O360" s="20"/>
      <c r="P360" s="20"/>
      <c r="Q360" s="20"/>
      <c r="R360" s="20"/>
      <c r="S360" s="188"/>
      <c r="T360" s="188"/>
      <c r="U360" s="188"/>
      <c r="V360" s="188"/>
      <c r="W360" s="20"/>
      <c r="X360" s="20"/>
      <c r="Y360" s="20"/>
      <c r="Z360" s="20"/>
      <c r="AA360" s="20"/>
      <c r="AB360" s="20"/>
    </row>
    <row r="361">
      <c r="A361" s="20"/>
      <c r="B361" s="20"/>
      <c r="C361" s="20"/>
      <c r="D361" s="20"/>
      <c r="E361" s="20"/>
      <c r="F361" s="282"/>
      <c r="G361" s="20"/>
      <c r="H361" s="20"/>
      <c r="I361" s="20"/>
      <c r="J361" s="20"/>
      <c r="K361" s="20"/>
      <c r="L361" s="20"/>
      <c r="M361" s="20"/>
      <c r="N361" s="20"/>
      <c r="O361" s="20"/>
      <c r="P361" s="20"/>
      <c r="Q361" s="20"/>
      <c r="R361" s="20"/>
      <c r="S361" s="188"/>
      <c r="T361" s="188"/>
      <c r="U361" s="188"/>
      <c r="V361" s="188"/>
      <c r="W361" s="20"/>
      <c r="X361" s="20"/>
      <c r="Y361" s="20"/>
      <c r="Z361" s="20"/>
      <c r="AA361" s="20"/>
      <c r="AB361" s="20"/>
    </row>
    <row r="362">
      <c r="A362" s="20"/>
      <c r="B362" s="20"/>
      <c r="C362" s="20"/>
      <c r="D362" s="20"/>
      <c r="E362" s="20"/>
      <c r="F362" s="282"/>
      <c r="G362" s="20"/>
      <c r="H362" s="20"/>
      <c r="I362" s="20"/>
      <c r="J362" s="20"/>
      <c r="K362" s="20"/>
      <c r="L362" s="20"/>
      <c r="M362" s="20"/>
      <c r="N362" s="20"/>
      <c r="O362" s="20"/>
      <c r="P362" s="20"/>
      <c r="Q362" s="20"/>
      <c r="R362" s="20"/>
      <c r="S362" s="188"/>
      <c r="T362" s="188"/>
      <c r="U362" s="188"/>
      <c r="V362" s="188"/>
      <c r="W362" s="20"/>
      <c r="X362" s="20"/>
      <c r="Y362" s="20"/>
      <c r="Z362" s="20"/>
      <c r="AA362" s="20"/>
      <c r="AB362" s="20"/>
    </row>
    <row r="363">
      <c r="A363" s="20"/>
      <c r="B363" s="20"/>
      <c r="C363" s="20"/>
      <c r="D363" s="20"/>
      <c r="E363" s="20"/>
      <c r="F363" s="282"/>
      <c r="G363" s="20"/>
      <c r="H363" s="20"/>
      <c r="I363" s="20"/>
      <c r="J363" s="20"/>
      <c r="K363" s="20"/>
      <c r="L363" s="20"/>
      <c r="M363" s="20"/>
      <c r="N363" s="20"/>
      <c r="O363" s="20"/>
      <c r="P363" s="20"/>
      <c r="Q363" s="20"/>
      <c r="R363" s="20"/>
      <c r="S363" s="188"/>
      <c r="T363" s="188"/>
      <c r="U363" s="188"/>
      <c r="V363" s="188"/>
      <c r="W363" s="20"/>
      <c r="X363" s="20"/>
      <c r="Y363" s="20"/>
      <c r="Z363" s="20"/>
      <c r="AA363" s="20"/>
      <c r="AB363" s="20"/>
    </row>
    <row r="364">
      <c r="A364" s="20"/>
      <c r="B364" s="20"/>
      <c r="C364" s="20"/>
      <c r="D364" s="20"/>
      <c r="E364" s="20"/>
      <c r="F364" s="282"/>
      <c r="G364" s="20"/>
      <c r="H364" s="20"/>
      <c r="I364" s="20"/>
      <c r="J364" s="20"/>
      <c r="K364" s="20"/>
      <c r="L364" s="20"/>
      <c r="M364" s="20"/>
      <c r="N364" s="20"/>
      <c r="O364" s="20"/>
      <c r="P364" s="20"/>
      <c r="Q364" s="20"/>
      <c r="R364" s="20"/>
      <c r="S364" s="188"/>
      <c r="T364" s="188"/>
      <c r="U364" s="188"/>
      <c r="V364" s="188"/>
      <c r="W364" s="20"/>
      <c r="X364" s="20"/>
      <c r="Y364" s="20"/>
      <c r="Z364" s="20"/>
      <c r="AA364" s="20"/>
      <c r="AB364" s="20"/>
    </row>
    <row r="365">
      <c r="A365" s="20"/>
      <c r="B365" s="20"/>
      <c r="C365" s="20"/>
      <c r="D365" s="20"/>
      <c r="E365" s="20"/>
      <c r="F365" s="282"/>
      <c r="G365" s="20"/>
      <c r="H365" s="20"/>
      <c r="I365" s="20"/>
      <c r="J365" s="20"/>
      <c r="K365" s="20"/>
      <c r="L365" s="20"/>
      <c r="M365" s="20"/>
      <c r="N365" s="20"/>
      <c r="O365" s="20"/>
      <c r="P365" s="20"/>
      <c r="Q365" s="20"/>
      <c r="R365" s="20"/>
      <c r="S365" s="188"/>
      <c r="T365" s="188"/>
      <c r="U365" s="188"/>
      <c r="V365" s="188"/>
      <c r="W365" s="20"/>
      <c r="X365" s="20"/>
      <c r="Y365" s="20"/>
      <c r="Z365" s="20"/>
      <c r="AA365" s="20"/>
      <c r="AB365" s="20"/>
    </row>
    <row r="366">
      <c r="A366" s="20"/>
      <c r="B366" s="20"/>
      <c r="C366" s="20"/>
      <c r="D366" s="20"/>
      <c r="E366" s="20"/>
      <c r="F366" s="282"/>
      <c r="G366" s="20"/>
      <c r="H366" s="20"/>
      <c r="I366" s="20"/>
      <c r="J366" s="20"/>
      <c r="K366" s="20"/>
      <c r="L366" s="20"/>
      <c r="M366" s="20"/>
      <c r="N366" s="20"/>
      <c r="O366" s="20"/>
      <c r="P366" s="20"/>
      <c r="Q366" s="20"/>
      <c r="R366" s="20"/>
      <c r="S366" s="188"/>
      <c r="T366" s="188"/>
      <c r="U366" s="188"/>
      <c r="V366" s="188"/>
      <c r="W366" s="20"/>
      <c r="X366" s="20"/>
      <c r="Y366" s="20"/>
      <c r="Z366" s="20"/>
      <c r="AA366" s="20"/>
      <c r="AB366" s="20"/>
    </row>
    <row r="367">
      <c r="A367" s="20"/>
      <c r="B367" s="20"/>
      <c r="C367" s="20"/>
      <c r="D367" s="20"/>
      <c r="E367" s="20"/>
      <c r="F367" s="282"/>
      <c r="G367" s="20"/>
      <c r="H367" s="20"/>
      <c r="I367" s="20"/>
      <c r="J367" s="20"/>
      <c r="K367" s="20"/>
      <c r="L367" s="20"/>
      <c r="M367" s="20"/>
      <c r="N367" s="20"/>
      <c r="O367" s="20"/>
      <c r="P367" s="20"/>
      <c r="Q367" s="20"/>
      <c r="R367" s="20"/>
      <c r="S367" s="188"/>
      <c r="T367" s="188"/>
      <c r="U367" s="188"/>
      <c r="V367" s="188"/>
      <c r="W367" s="20"/>
      <c r="X367" s="20"/>
      <c r="Y367" s="20"/>
      <c r="Z367" s="20"/>
      <c r="AA367" s="20"/>
      <c r="AB367" s="20"/>
    </row>
    <row r="368">
      <c r="A368" s="20"/>
      <c r="B368" s="20"/>
      <c r="C368" s="20"/>
      <c r="D368" s="20"/>
      <c r="E368" s="20"/>
      <c r="F368" s="282"/>
      <c r="G368" s="20"/>
      <c r="H368" s="20"/>
      <c r="I368" s="20"/>
      <c r="J368" s="20"/>
      <c r="K368" s="20"/>
      <c r="L368" s="20"/>
      <c r="M368" s="20"/>
      <c r="N368" s="20"/>
      <c r="O368" s="20"/>
      <c r="P368" s="20"/>
      <c r="Q368" s="20"/>
      <c r="R368" s="20"/>
      <c r="S368" s="188"/>
      <c r="T368" s="188"/>
      <c r="U368" s="188"/>
      <c r="V368" s="188"/>
      <c r="W368" s="20"/>
      <c r="X368" s="20"/>
      <c r="Y368" s="20"/>
      <c r="Z368" s="20"/>
      <c r="AA368" s="20"/>
      <c r="AB368" s="20"/>
    </row>
    <row r="369">
      <c r="A369" s="20"/>
      <c r="B369" s="20"/>
      <c r="C369" s="20"/>
      <c r="D369" s="20"/>
      <c r="E369" s="20"/>
      <c r="F369" s="282"/>
      <c r="G369" s="20"/>
      <c r="H369" s="20"/>
      <c r="I369" s="20"/>
      <c r="J369" s="20"/>
      <c r="K369" s="20"/>
      <c r="L369" s="20"/>
      <c r="M369" s="20"/>
      <c r="N369" s="20"/>
      <c r="O369" s="20"/>
      <c r="P369" s="20"/>
      <c r="Q369" s="20"/>
      <c r="R369" s="20"/>
      <c r="S369" s="188"/>
      <c r="T369" s="188"/>
      <c r="U369" s="188"/>
      <c r="V369" s="188"/>
      <c r="W369" s="20"/>
      <c r="X369" s="20"/>
      <c r="Y369" s="20"/>
      <c r="Z369" s="20"/>
      <c r="AA369" s="20"/>
      <c r="AB369" s="20"/>
    </row>
    <row r="370">
      <c r="A370" s="20"/>
      <c r="B370" s="20"/>
      <c r="C370" s="20"/>
      <c r="D370" s="20"/>
      <c r="E370" s="20"/>
      <c r="F370" s="282"/>
      <c r="G370" s="20"/>
      <c r="H370" s="20"/>
      <c r="I370" s="20"/>
      <c r="J370" s="20"/>
      <c r="K370" s="20"/>
      <c r="L370" s="20"/>
      <c r="M370" s="20"/>
      <c r="N370" s="20"/>
      <c r="O370" s="20"/>
      <c r="P370" s="20"/>
      <c r="Q370" s="20"/>
      <c r="R370" s="20"/>
      <c r="S370" s="188"/>
      <c r="T370" s="188"/>
      <c r="U370" s="188"/>
      <c r="V370" s="188"/>
      <c r="W370" s="20"/>
      <c r="X370" s="20"/>
      <c r="Y370" s="20"/>
      <c r="Z370" s="20"/>
      <c r="AA370" s="20"/>
      <c r="AB370" s="20"/>
    </row>
    <row r="371">
      <c r="A371" s="20"/>
      <c r="B371" s="20"/>
      <c r="C371" s="20"/>
      <c r="D371" s="20"/>
      <c r="E371" s="20"/>
      <c r="F371" s="282"/>
      <c r="G371" s="20"/>
      <c r="H371" s="20"/>
      <c r="I371" s="20"/>
      <c r="J371" s="20"/>
      <c r="K371" s="20"/>
      <c r="L371" s="20"/>
      <c r="M371" s="20"/>
      <c r="N371" s="20"/>
      <c r="O371" s="20"/>
      <c r="P371" s="20"/>
      <c r="Q371" s="20"/>
      <c r="R371" s="20"/>
      <c r="S371" s="188"/>
      <c r="T371" s="188"/>
      <c r="U371" s="188"/>
      <c r="V371" s="188"/>
      <c r="W371" s="20"/>
      <c r="X371" s="20"/>
      <c r="Y371" s="20"/>
      <c r="Z371" s="20"/>
      <c r="AA371" s="20"/>
      <c r="AB371" s="20"/>
    </row>
    <row r="372">
      <c r="A372" s="20"/>
      <c r="B372" s="20"/>
      <c r="C372" s="20"/>
      <c r="D372" s="20"/>
      <c r="E372" s="20"/>
      <c r="F372" s="282"/>
      <c r="G372" s="20"/>
      <c r="H372" s="20"/>
      <c r="I372" s="20"/>
      <c r="J372" s="20"/>
      <c r="K372" s="20"/>
      <c r="L372" s="20"/>
      <c r="M372" s="20"/>
      <c r="N372" s="20"/>
      <c r="O372" s="20"/>
      <c r="P372" s="20"/>
      <c r="Q372" s="20"/>
      <c r="R372" s="20"/>
      <c r="S372" s="188"/>
      <c r="T372" s="188"/>
      <c r="U372" s="188"/>
      <c r="V372" s="188"/>
      <c r="W372" s="20"/>
      <c r="X372" s="20"/>
      <c r="Y372" s="20"/>
      <c r="Z372" s="20"/>
      <c r="AA372" s="20"/>
      <c r="AB372" s="20"/>
    </row>
    <row r="373">
      <c r="A373" s="20"/>
      <c r="B373" s="20"/>
      <c r="C373" s="20"/>
      <c r="D373" s="20"/>
      <c r="E373" s="20"/>
      <c r="F373" s="282"/>
      <c r="G373" s="20"/>
      <c r="H373" s="20"/>
      <c r="I373" s="20"/>
      <c r="J373" s="20"/>
      <c r="K373" s="20"/>
      <c r="L373" s="20"/>
      <c r="M373" s="20"/>
      <c r="N373" s="20"/>
      <c r="O373" s="20"/>
      <c r="P373" s="20"/>
      <c r="Q373" s="20"/>
      <c r="R373" s="20"/>
      <c r="S373" s="188"/>
      <c r="T373" s="188"/>
      <c r="U373" s="188"/>
      <c r="V373" s="188"/>
      <c r="W373" s="20"/>
      <c r="X373" s="20"/>
      <c r="Y373" s="20"/>
      <c r="Z373" s="20"/>
      <c r="AA373" s="20"/>
      <c r="AB373" s="20"/>
    </row>
    <row r="374">
      <c r="A374" s="20"/>
      <c r="B374" s="20"/>
      <c r="C374" s="20"/>
      <c r="D374" s="20"/>
      <c r="E374" s="20"/>
      <c r="F374" s="282"/>
      <c r="G374" s="20"/>
      <c r="H374" s="20"/>
      <c r="I374" s="20"/>
      <c r="J374" s="20"/>
      <c r="K374" s="20"/>
      <c r="L374" s="20"/>
      <c r="M374" s="20"/>
      <c r="N374" s="20"/>
      <c r="O374" s="20"/>
      <c r="P374" s="20"/>
      <c r="Q374" s="20"/>
      <c r="R374" s="20"/>
      <c r="S374" s="188"/>
      <c r="T374" s="188"/>
      <c r="U374" s="188"/>
      <c r="V374" s="188"/>
      <c r="W374" s="20"/>
      <c r="X374" s="20"/>
      <c r="Y374" s="20"/>
      <c r="Z374" s="20"/>
      <c r="AA374" s="20"/>
      <c r="AB374" s="20"/>
    </row>
    <row r="375">
      <c r="A375" s="20"/>
      <c r="B375" s="20"/>
      <c r="C375" s="20"/>
      <c r="D375" s="20"/>
      <c r="E375" s="20"/>
      <c r="F375" s="282"/>
      <c r="G375" s="20"/>
      <c r="H375" s="20"/>
      <c r="I375" s="20"/>
      <c r="J375" s="20"/>
      <c r="K375" s="20"/>
      <c r="L375" s="20"/>
      <c r="M375" s="20"/>
      <c r="N375" s="20"/>
      <c r="O375" s="20"/>
      <c r="P375" s="20"/>
      <c r="Q375" s="20"/>
      <c r="R375" s="20"/>
      <c r="S375" s="188"/>
      <c r="T375" s="188"/>
      <c r="U375" s="188"/>
      <c r="V375" s="188"/>
      <c r="W375" s="20"/>
      <c r="X375" s="20"/>
      <c r="Y375" s="20"/>
      <c r="Z375" s="20"/>
      <c r="AA375" s="20"/>
      <c r="AB375" s="20"/>
    </row>
    <row r="376">
      <c r="A376" s="20"/>
      <c r="B376" s="20"/>
      <c r="C376" s="20"/>
      <c r="D376" s="20"/>
      <c r="E376" s="20"/>
      <c r="F376" s="282"/>
      <c r="G376" s="20"/>
      <c r="H376" s="20"/>
      <c r="I376" s="20"/>
      <c r="J376" s="20"/>
      <c r="K376" s="20"/>
      <c r="L376" s="20"/>
      <c r="M376" s="20"/>
      <c r="N376" s="20"/>
      <c r="O376" s="20"/>
      <c r="P376" s="20"/>
      <c r="Q376" s="20"/>
      <c r="R376" s="20"/>
      <c r="S376" s="188"/>
      <c r="T376" s="188"/>
      <c r="U376" s="188"/>
      <c r="V376" s="188"/>
      <c r="W376" s="20"/>
      <c r="X376" s="20"/>
      <c r="Y376" s="20"/>
      <c r="Z376" s="20"/>
      <c r="AA376" s="20"/>
      <c r="AB376" s="20"/>
    </row>
    <row r="377">
      <c r="A377" s="20"/>
      <c r="B377" s="20"/>
      <c r="C377" s="20"/>
      <c r="D377" s="20"/>
      <c r="E377" s="20"/>
      <c r="F377" s="282"/>
      <c r="G377" s="20"/>
      <c r="H377" s="20"/>
      <c r="I377" s="20"/>
      <c r="J377" s="20"/>
      <c r="K377" s="20"/>
      <c r="L377" s="20"/>
      <c r="M377" s="20"/>
      <c r="N377" s="20"/>
      <c r="O377" s="20"/>
      <c r="P377" s="20"/>
      <c r="Q377" s="20"/>
      <c r="R377" s="20"/>
      <c r="S377" s="188"/>
      <c r="T377" s="188"/>
      <c r="U377" s="188"/>
      <c r="V377" s="188"/>
      <c r="W377" s="20"/>
      <c r="X377" s="20"/>
      <c r="Y377" s="20"/>
      <c r="Z377" s="20"/>
      <c r="AA377" s="20"/>
      <c r="AB377" s="20"/>
    </row>
    <row r="378">
      <c r="A378" s="20"/>
      <c r="B378" s="20"/>
      <c r="C378" s="20"/>
      <c r="D378" s="20"/>
      <c r="E378" s="20"/>
      <c r="F378" s="282"/>
      <c r="G378" s="20"/>
      <c r="H378" s="20"/>
      <c r="I378" s="20"/>
      <c r="J378" s="20"/>
      <c r="K378" s="20"/>
      <c r="L378" s="20"/>
      <c r="M378" s="20"/>
      <c r="N378" s="20"/>
      <c r="O378" s="20"/>
      <c r="P378" s="20"/>
      <c r="Q378" s="20"/>
      <c r="R378" s="20"/>
      <c r="S378" s="188"/>
      <c r="T378" s="188"/>
      <c r="U378" s="188"/>
      <c r="V378" s="188"/>
      <c r="W378" s="20"/>
      <c r="X378" s="20"/>
      <c r="Y378" s="20"/>
      <c r="Z378" s="20"/>
      <c r="AA378" s="20"/>
      <c r="AB378" s="20"/>
    </row>
    <row r="379">
      <c r="A379" s="20"/>
      <c r="B379" s="20"/>
      <c r="C379" s="20"/>
      <c r="D379" s="20"/>
      <c r="E379" s="20"/>
      <c r="F379" s="282"/>
      <c r="G379" s="20"/>
      <c r="H379" s="20"/>
      <c r="I379" s="20"/>
      <c r="J379" s="20"/>
      <c r="K379" s="20"/>
      <c r="L379" s="20"/>
      <c r="M379" s="20"/>
      <c r="N379" s="20"/>
      <c r="O379" s="20"/>
      <c r="P379" s="20"/>
      <c r="Q379" s="20"/>
      <c r="R379" s="20"/>
      <c r="S379" s="188"/>
      <c r="T379" s="188"/>
      <c r="U379" s="188"/>
      <c r="V379" s="188"/>
      <c r="W379" s="20"/>
      <c r="X379" s="20"/>
      <c r="Y379" s="20"/>
      <c r="Z379" s="20"/>
      <c r="AA379" s="20"/>
      <c r="AB379" s="20"/>
    </row>
    <row r="380">
      <c r="A380" s="20"/>
      <c r="B380" s="20"/>
      <c r="C380" s="20"/>
      <c r="D380" s="20"/>
      <c r="E380" s="20"/>
      <c r="F380" s="282"/>
      <c r="G380" s="20"/>
      <c r="H380" s="20"/>
      <c r="I380" s="20"/>
      <c r="J380" s="20"/>
      <c r="K380" s="20"/>
      <c r="L380" s="20"/>
      <c r="M380" s="20"/>
      <c r="N380" s="20"/>
      <c r="O380" s="20"/>
      <c r="P380" s="20"/>
      <c r="Q380" s="20"/>
      <c r="R380" s="20"/>
      <c r="S380" s="188"/>
      <c r="T380" s="188"/>
      <c r="U380" s="188"/>
      <c r="V380" s="188"/>
      <c r="W380" s="20"/>
      <c r="X380" s="20"/>
      <c r="Y380" s="20"/>
      <c r="Z380" s="20"/>
      <c r="AA380" s="20"/>
      <c r="AB380" s="20"/>
    </row>
    <row r="381">
      <c r="A381" s="20"/>
      <c r="B381" s="20"/>
      <c r="C381" s="20"/>
      <c r="D381" s="20"/>
      <c r="E381" s="20"/>
      <c r="F381" s="282"/>
      <c r="G381" s="20"/>
      <c r="H381" s="20"/>
      <c r="I381" s="20"/>
      <c r="J381" s="20"/>
      <c r="K381" s="20"/>
      <c r="L381" s="20"/>
      <c r="M381" s="20"/>
      <c r="N381" s="20"/>
      <c r="O381" s="20"/>
      <c r="P381" s="20"/>
      <c r="Q381" s="20"/>
      <c r="R381" s="20"/>
      <c r="S381" s="188"/>
      <c r="T381" s="188"/>
      <c r="U381" s="188"/>
      <c r="V381" s="188"/>
      <c r="W381" s="20"/>
      <c r="X381" s="20"/>
      <c r="Y381" s="20"/>
      <c r="Z381" s="20"/>
      <c r="AA381" s="20"/>
      <c r="AB381" s="20"/>
    </row>
    <row r="382">
      <c r="A382" s="20"/>
      <c r="B382" s="20"/>
      <c r="C382" s="20"/>
      <c r="D382" s="20"/>
      <c r="E382" s="20"/>
      <c r="F382" s="282"/>
      <c r="G382" s="20"/>
      <c r="H382" s="20"/>
      <c r="I382" s="20"/>
      <c r="J382" s="20"/>
      <c r="K382" s="20"/>
      <c r="L382" s="20"/>
      <c r="M382" s="20"/>
      <c r="N382" s="20"/>
      <c r="O382" s="20"/>
      <c r="P382" s="20"/>
      <c r="Q382" s="20"/>
      <c r="R382" s="20"/>
      <c r="S382" s="188"/>
      <c r="T382" s="188"/>
      <c r="U382" s="188"/>
      <c r="V382" s="188"/>
      <c r="W382" s="20"/>
      <c r="X382" s="20"/>
      <c r="Y382" s="20"/>
      <c r="Z382" s="20"/>
      <c r="AA382" s="20"/>
      <c r="AB382" s="20"/>
    </row>
    <row r="383">
      <c r="A383" s="20"/>
      <c r="B383" s="20"/>
      <c r="C383" s="20"/>
      <c r="D383" s="20"/>
      <c r="E383" s="20"/>
      <c r="F383" s="282"/>
      <c r="G383" s="20"/>
      <c r="H383" s="20"/>
      <c r="I383" s="20"/>
      <c r="J383" s="20"/>
      <c r="K383" s="20"/>
      <c r="L383" s="20"/>
      <c r="M383" s="20"/>
      <c r="N383" s="20"/>
      <c r="O383" s="20"/>
      <c r="P383" s="20"/>
      <c r="Q383" s="20"/>
      <c r="R383" s="20"/>
      <c r="S383" s="188"/>
      <c r="T383" s="188"/>
      <c r="U383" s="188"/>
      <c r="V383" s="188"/>
      <c r="W383" s="20"/>
      <c r="X383" s="20"/>
      <c r="Y383" s="20"/>
      <c r="Z383" s="20"/>
      <c r="AA383" s="20"/>
      <c r="AB383" s="20"/>
    </row>
    <row r="384">
      <c r="A384" s="20"/>
      <c r="B384" s="20"/>
      <c r="C384" s="20"/>
      <c r="D384" s="20"/>
      <c r="E384" s="20"/>
      <c r="F384" s="282"/>
      <c r="G384" s="20"/>
      <c r="H384" s="20"/>
      <c r="I384" s="20"/>
      <c r="J384" s="20"/>
      <c r="K384" s="20"/>
      <c r="L384" s="20"/>
      <c r="M384" s="20"/>
      <c r="N384" s="20"/>
      <c r="O384" s="20"/>
      <c r="P384" s="20"/>
      <c r="Q384" s="20"/>
      <c r="R384" s="20"/>
      <c r="S384" s="188"/>
      <c r="T384" s="188"/>
      <c r="U384" s="188"/>
      <c r="V384" s="188"/>
      <c r="W384" s="20"/>
      <c r="X384" s="20"/>
      <c r="Y384" s="20"/>
      <c r="Z384" s="20"/>
      <c r="AA384" s="20"/>
      <c r="AB384" s="20"/>
    </row>
    <row r="385">
      <c r="A385" s="20"/>
      <c r="B385" s="20"/>
      <c r="C385" s="20"/>
      <c r="D385" s="20"/>
      <c r="E385" s="20"/>
      <c r="F385" s="282"/>
      <c r="G385" s="20"/>
      <c r="H385" s="20"/>
      <c r="I385" s="20"/>
      <c r="J385" s="20"/>
      <c r="K385" s="20"/>
      <c r="L385" s="20"/>
      <c r="M385" s="20"/>
      <c r="N385" s="20"/>
      <c r="O385" s="20"/>
      <c r="P385" s="20"/>
      <c r="Q385" s="20"/>
      <c r="R385" s="20"/>
      <c r="S385" s="188"/>
      <c r="T385" s="188"/>
      <c r="U385" s="188"/>
      <c r="V385" s="188"/>
      <c r="W385" s="20"/>
      <c r="X385" s="20"/>
      <c r="Y385" s="20"/>
      <c r="Z385" s="20"/>
      <c r="AA385" s="20"/>
      <c r="AB385" s="20"/>
    </row>
    <row r="386">
      <c r="A386" s="20"/>
      <c r="B386" s="20"/>
      <c r="C386" s="20"/>
      <c r="D386" s="20"/>
      <c r="E386" s="20"/>
      <c r="F386" s="282"/>
      <c r="G386" s="20"/>
      <c r="H386" s="20"/>
      <c r="I386" s="20"/>
      <c r="J386" s="20"/>
      <c r="K386" s="20"/>
      <c r="L386" s="20"/>
      <c r="M386" s="20"/>
      <c r="N386" s="20"/>
      <c r="O386" s="20"/>
      <c r="P386" s="20"/>
      <c r="Q386" s="20"/>
      <c r="R386" s="20"/>
      <c r="S386" s="188"/>
      <c r="T386" s="188"/>
      <c r="U386" s="188"/>
      <c r="V386" s="188"/>
      <c r="W386" s="20"/>
      <c r="X386" s="20"/>
      <c r="Y386" s="20"/>
      <c r="Z386" s="20"/>
      <c r="AA386" s="20"/>
      <c r="AB386" s="20"/>
    </row>
    <row r="387">
      <c r="A387" s="20"/>
      <c r="B387" s="20"/>
      <c r="C387" s="20"/>
      <c r="D387" s="20"/>
      <c r="E387" s="20"/>
      <c r="F387" s="282"/>
      <c r="G387" s="20"/>
      <c r="H387" s="20"/>
      <c r="I387" s="20"/>
      <c r="J387" s="20"/>
      <c r="K387" s="20"/>
      <c r="L387" s="20"/>
      <c r="M387" s="20"/>
      <c r="N387" s="20"/>
      <c r="O387" s="20"/>
      <c r="P387" s="20"/>
      <c r="Q387" s="20"/>
      <c r="R387" s="20"/>
      <c r="S387" s="188"/>
      <c r="T387" s="188"/>
      <c r="U387" s="188"/>
      <c r="V387" s="188"/>
      <c r="W387" s="20"/>
      <c r="X387" s="20"/>
      <c r="Y387" s="20"/>
      <c r="Z387" s="20"/>
      <c r="AA387" s="20"/>
      <c r="AB387" s="20"/>
    </row>
    <row r="388">
      <c r="A388" s="20"/>
      <c r="B388" s="20"/>
      <c r="C388" s="20"/>
      <c r="D388" s="20"/>
      <c r="E388" s="20"/>
      <c r="F388" s="282"/>
      <c r="G388" s="20"/>
      <c r="H388" s="20"/>
      <c r="I388" s="20"/>
      <c r="J388" s="20"/>
      <c r="K388" s="20"/>
      <c r="L388" s="20"/>
      <c r="M388" s="20"/>
      <c r="N388" s="20"/>
      <c r="O388" s="20"/>
      <c r="P388" s="20"/>
      <c r="Q388" s="20"/>
      <c r="R388" s="20"/>
      <c r="S388" s="188"/>
      <c r="T388" s="188"/>
      <c r="U388" s="188"/>
      <c r="V388" s="188"/>
      <c r="W388" s="20"/>
      <c r="X388" s="20"/>
      <c r="Y388" s="20"/>
      <c r="Z388" s="20"/>
      <c r="AA388" s="20"/>
      <c r="AB388" s="20"/>
    </row>
    <row r="389">
      <c r="A389" s="20"/>
      <c r="B389" s="20"/>
      <c r="C389" s="20"/>
      <c r="D389" s="20"/>
      <c r="E389" s="20"/>
      <c r="F389" s="282"/>
      <c r="G389" s="20"/>
      <c r="H389" s="20"/>
      <c r="I389" s="20"/>
      <c r="J389" s="20"/>
      <c r="K389" s="20"/>
      <c r="L389" s="20"/>
      <c r="M389" s="20"/>
      <c r="N389" s="20"/>
      <c r="O389" s="20"/>
      <c r="P389" s="20"/>
      <c r="Q389" s="20"/>
      <c r="R389" s="20"/>
      <c r="S389" s="188"/>
      <c r="T389" s="188"/>
      <c r="U389" s="188"/>
      <c r="V389" s="188"/>
      <c r="W389" s="20"/>
      <c r="X389" s="20"/>
      <c r="Y389" s="20"/>
      <c r="Z389" s="20"/>
      <c r="AA389" s="20"/>
      <c r="AB389" s="20"/>
    </row>
    <row r="390">
      <c r="A390" s="20"/>
      <c r="B390" s="20"/>
      <c r="C390" s="20"/>
      <c r="D390" s="20"/>
      <c r="E390" s="20"/>
      <c r="F390" s="282"/>
      <c r="G390" s="20"/>
      <c r="H390" s="20"/>
      <c r="I390" s="20"/>
      <c r="J390" s="20"/>
      <c r="K390" s="20"/>
      <c r="L390" s="20"/>
      <c r="M390" s="20"/>
      <c r="N390" s="20"/>
      <c r="O390" s="20"/>
      <c r="P390" s="20"/>
      <c r="Q390" s="20"/>
      <c r="R390" s="20"/>
      <c r="S390" s="188"/>
      <c r="T390" s="188"/>
      <c r="U390" s="188"/>
      <c r="V390" s="188"/>
      <c r="W390" s="20"/>
      <c r="X390" s="20"/>
      <c r="Y390" s="20"/>
      <c r="Z390" s="20"/>
      <c r="AA390" s="20"/>
      <c r="AB390" s="20"/>
    </row>
    <row r="391">
      <c r="A391" s="20"/>
      <c r="B391" s="20"/>
      <c r="C391" s="20"/>
      <c r="D391" s="20"/>
      <c r="E391" s="20"/>
      <c r="F391" s="282"/>
      <c r="G391" s="20"/>
      <c r="H391" s="20"/>
      <c r="I391" s="20"/>
      <c r="J391" s="20"/>
      <c r="K391" s="20"/>
      <c r="L391" s="20"/>
      <c r="M391" s="20"/>
      <c r="N391" s="20"/>
      <c r="O391" s="20"/>
      <c r="P391" s="20"/>
      <c r="Q391" s="20"/>
      <c r="R391" s="20"/>
      <c r="S391" s="188"/>
      <c r="T391" s="188"/>
      <c r="U391" s="188"/>
      <c r="V391" s="188"/>
      <c r="W391" s="20"/>
      <c r="X391" s="20"/>
      <c r="Y391" s="20"/>
      <c r="Z391" s="20"/>
      <c r="AA391" s="20"/>
      <c r="AB391" s="20"/>
    </row>
    <row r="392">
      <c r="A392" s="20"/>
      <c r="B392" s="20"/>
      <c r="C392" s="20"/>
      <c r="D392" s="20"/>
      <c r="E392" s="20"/>
      <c r="F392" s="282"/>
      <c r="G392" s="20"/>
      <c r="H392" s="20"/>
      <c r="I392" s="20"/>
      <c r="J392" s="20"/>
      <c r="K392" s="20"/>
      <c r="L392" s="20"/>
      <c r="M392" s="20"/>
      <c r="N392" s="20"/>
      <c r="O392" s="20"/>
      <c r="P392" s="20"/>
      <c r="Q392" s="20"/>
      <c r="R392" s="20"/>
      <c r="S392" s="188"/>
      <c r="T392" s="188"/>
      <c r="U392" s="188"/>
      <c r="V392" s="188"/>
      <c r="W392" s="20"/>
      <c r="X392" s="20"/>
      <c r="Y392" s="20"/>
      <c r="Z392" s="20"/>
      <c r="AA392" s="20"/>
      <c r="AB392" s="20"/>
    </row>
    <row r="393">
      <c r="A393" s="20"/>
      <c r="B393" s="20"/>
      <c r="C393" s="20"/>
      <c r="D393" s="20"/>
      <c r="E393" s="20"/>
      <c r="F393" s="282"/>
      <c r="G393" s="20"/>
      <c r="H393" s="20"/>
      <c r="I393" s="20"/>
      <c r="J393" s="20"/>
      <c r="K393" s="20"/>
      <c r="L393" s="20"/>
      <c r="M393" s="20"/>
      <c r="N393" s="20"/>
      <c r="O393" s="20"/>
      <c r="P393" s="20"/>
      <c r="Q393" s="20"/>
      <c r="R393" s="20"/>
      <c r="S393" s="188"/>
      <c r="T393" s="188"/>
      <c r="U393" s="188"/>
      <c r="V393" s="188"/>
      <c r="W393" s="20"/>
      <c r="X393" s="20"/>
      <c r="Y393" s="20"/>
      <c r="Z393" s="20"/>
      <c r="AA393" s="20"/>
      <c r="AB393" s="20"/>
    </row>
    <row r="394">
      <c r="A394" s="20"/>
      <c r="B394" s="20"/>
      <c r="C394" s="20"/>
      <c r="D394" s="20"/>
      <c r="E394" s="20"/>
      <c r="F394" s="282"/>
      <c r="G394" s="20"/>
      <c r="H394" s="20"/>
      <c r="I394" s="20"/>
      <c r="J394" s="20"/>
      <c r="K394" s="20"/>
      <c r="L394" s="20"/>
      <c r="M394" s="20"/>
      <c r="N394" s="20"/>
      <c r="O394" s="20"/>
      <c r="P394" s="20"/>
      <c r="Q394" s="20"/>
      <c r="R394" s="20"/>
      <c r="S394" s="188"/>
      <c r="T394" s="188"/>
      <c r="U394" s="188"/>
      <c r="V394" s="188"/>
      <c r="W394" s="20"/>
      <c r="X394" s="20"/>
      <c r="Y394" s="20"/>
      <c r="Z394" s="20"/>
      <c r="AA394" s="20"/>
      <c r="AB394" s="20"/>
    </row>
    <row r="395">
      <c r="A395" s="20"/>
      <c r="B395" s="20"/>
      <c r="C395" s="20"/>
      <c r="D395" s="20"/>
      <c r="E395" s="20"/>
      <c r="F395" s="282"/>
      <c r="G395" s="20"/>
      <c r="H395" s="20"/>
      <c r="I395" s="20"/>
      <c r="J395" s="20"/>
      <c r="K395" s="20"/>
      <c r="L395" s="20"/>
      <c r="M395" s="20"/>
      <c r="N395" s="20"/>
      <c r="O395" s="20"/>
      <c r="P395" s="20"/>
      <c r="Q395" s="20"/>
      <c r="R395" s="20"/>
      <c r="S395" s="188"/>
      <c r="T395" s="188"/>
      <c r="U395" s="188"/>
      <c r="V395" s="188"/>
      <c r="W395" s="20"/>
      <c r="X395" s="20"/>
      <c r="Y395" s="20"/>
      <c r="Z395" s="20"/>
      <c r="AA395" s="20"/>
      <c r="AB395" s="20"/>
    </row>
    <row r="396">
      <c r="A396" s="20"/>
      <c r="B396" s="20"/>
      <c r="C396" s="20"/>
      <c r="D396" s="20"/>
      <c r="E396" s="20"/>
      <c r="F396" s="282"/>
      <c r="G396" s="20"/>
      <c r="H396" s="20"/>
      <c r="I396" s="20"/>
      <c r="J396" s="20"/>
      <c r="K396" s="20"/>
      <c r="L396" s="20"/>
      <c r="M396" s="20"/>
      <c r="N396" s="20"/>
      <c r="O396" s="20"/>
      <c r="P396" s="20"/>
      <c r="Q396" s="20"/>
      <c r="R396" s="20"/>
      <c r="S396" s="188"/>
      <c r="T396" s="188"/>
      <c r="U396" s="188"/>
      <c r="V396" s="188"/>
      <c r="W396" s="20"/>
      <c r="X396" s="20"/>
      <c r="Y396" s="20"/>
      <c r="Z396" s="20"/>
      <c r="AA396" s="20"/>
      <c r="AB396" s="20"/>
    </row>
    <row r="397">
      <c r="A397" s="20"/>
      <c r="B397" s="20"/>
      <c r="C397" s="20"/>
      <c r="D397" s="20"/>
      <c r="E397" s="20"/>
      <c r="F397" s="282"/>
      <c r="G397" s="20"/>
      <c r="H397" s="20"/>
      <c r="I397" s="20"/>
      <c r="J397" s="20"/>
      <c r="K397" s="20"/>
      <c r="L397" s="20"/>
      <c r="M397" s="20"/>
      <c r="N397" s="20"/>
      <c r="O397" s="20"/>
      <c r="P397" s="20"/>
      <c r="Q397" s="20"/>
      <c r="R397" s="20"/>
      <c r="S397" s="188"/>
      <c r="T397" s="188"/>
      <c r="U397" s="188"/>
      <c r="V397" s="188"/>
      <c r="W397" s="20"/>
      <c r="X397" s="20"/>
      <c r="Y397" s="20"/>
      <c r="Z397" s="20"/>
      <c r="AA397" s="20"/>
      <c r="AB397" s="20"/>
    </row>
    <row r="398">
      <c r="A398" s="20"/>
      <c r="B398" s="20"/>
      <c r="C398" s="20"/>
      <c r="D398" s="20"/>
      <c r="E398" s="20"/>
      <c r="F398" s="282"/>
      <c r="G398" s="20"/>
      <c r="H398" s="20"/>
      <c r="I398" s="20"/>
      <c r="J398" s="20"/>
      <c r="K398" s="20"/>
      <c r="L398" s="20"/>
      <c r="M398" s="20"/>
      <c r="N398" s="20"/>
      <c r="O398" s="20"/>
      <c r="P398" s="20"/>
      <c r="Q398" s="20"/>
      <c r="R398" s="20"/>
      <c r="S398" s="188"/>
      <c r="T398" s="188"/>
      <c r="U398" s="188"/>
      <c r="V398" s="188"/>
      <c r="W398" s="20"/>
      <c r="X398" s="20"/>
      <c r="Y398" s="20"/>
      <c r="Z398" s="20"/>
      <c r="AA398" s="20"/>
      <c r="AB398" s="20"/>
    </row>
    <row r="399">
      <c r="A399" s="20"/>
      <c r="B399" s="20"/>
      <c r="C399" s="20"/>
      <c r="D399" s="20"/>
      <c r="E399" s="20"/>
      <c r="F399" s="282"/>
      <c r="G399" s="20"/>
      <c r="H399" s="20"/>
      <c r="I399" s="20"/>
      <c r="J399" s="20"/>
      <c r="K399" s="20"/>
      <c r="L399" s="20"/>
      <c r="M399" s="20"/>
      <c r="N399" s="20"/>
      <c r="O399" s="20"/>
      <c r="P399" s="20"/>
      <c r="Q399" s="20"/>
      <c r="R399" s="20"/>
      <c r="S399" s="188"/>
      <c r="T399" s="188"/>
      <c r="U399" s="188"/>
      <c r="V399" s="188"/>
      <c r="W399" s="20"/>
      <c r="X399" s="20"/>
      <c r="Y399" s="20"/>
      <c r="Z399" s="20"/>
      <c r="AA399" s="20"/>
      <c r="AB399" s="20"/>
    </row>
    <row r="400">
      <c r="A400" s="20"/>
      <c r="B400" s="20"/>
      <c r="C400" s="20"/>
      <c r="D400" s="20"/>
      <c r="E400" s="20"/>
      <c r="F400" s="282"/>
      <c r="G400" s="20"/>
      <c r="H400" s="20"/>
      <c r="I400" s="20"/>
      <c r="J400" s="20"/>
      <c r="K400" s="20"/>
      <c r="L400" s="20"/>
      <c r="M400" s="20"/>
      <c r="N400" s="20"/>
      <c r="O400" s="20"/>
      <c r="P400" s="20"/>
      <c r="Q400" s="20"/>
      <c r="R400" s="20"/>
      <c r="S400" s="188"/>
      <c r="T400" s="188"/>
      <c r="U400" s="188"/>
      <c r="V400" s="188"/>
      <c r="W400" s="20"/>
      <c r="X400" s="20"/>
      <c r="Y400" s="20"/>
      <c r="Z400" s="20"/>
      <c r="AA400" s="20"/>
      <c r="AB400" s="20"/>
    </row>
    <row r="401">
      <c r="A401" s="20"/>
      <c r="B401" s="20"/>
      <c r="C401" s="20"/>
      <c r="D401" s="20"/>
      <c r="E401" s="20"/>
      <c r="F401" s="282"/>
      <c r="G401" s="20"/>
      <c r="H401" s="20"/>
      <c r="I401" s="20"/>
      <c r="J401" s="20"/>
      <c r="K401" s="20"/>
      <c r="L401" s="20"/>
      <c r="M401" s="20"/>
      <c r="N401" s="20"/>
      <c r="O401" s="20"/>
      <c r="P401" s="20"/>
      <c r="Q401" s="20"/>
      <c r="R401" s="20"/>
      <c r="S401" s="188"/>
      <c r="T401" s="188"/>
      <c r="U401" s="188"/>
      <c r="V401" s="188"/>
      <c r="W401" s="20"/>
      <c r="X401" s="20"/>
      <c r="Y401" s="20"/>
      <c r="Z401" s="20"/>
      <c r="AA401" s="20"/>
      <c r="AB401" s="20"/>
    </row>
    <row r="402">
      <c r="A402" s="20"/>
      <c r="B402" s="20"/>
      <c r="C402" s="20"/>
      <c r="D402" s="20"/>
      <c r="E402" s="20"/>
      <c r="F402" s="282"/>
      <c r="G402" s="20"/>
      <c r="H402" s="20"/>
      <c r="I402" s="20"/>
      <c r="J402" s="20"/>
      <c r="K402" s="20"/>
      <c r="L402" s="20"/>
      <c r="M402" s="20"/>
      <c r="N402" s="20"/>
      <c r="O402" s="20"/>
      <c r="P402" s="20"/>
      <c r="Q402" s="20"/>
      <c r="R402" s="20"/>
      <c r="S402" s="188"/>
      <c r="T402" s="188"/>
      <c r="U402" s="188"/>
      <c r="V402" s="188"/>
      <c r="W402" s="20"/>
      <c r="X402" s="20"/>
      <c r="Y402" s="20"/>
      <c r="Z402" s="20"/>
      <c r="AA402" s="20"/>
      <c r="AB402" s="20"/>
    </row>
    <row r="403">
      <c r="A403" s="20"/>
      <c r="B403" s="20"/>
      <c r="C403" s="20"/>
      <c r="D403" s="20"/>
      <c r="E403" s="20"/>
      <c r="F403" s="282"/>
      <c r="G403" s="20"/>
      <c r="H403" s="20"/>
      <c r="I403" s="20"/>
      <c r="J403" s="20"/>
      <c r="K403" s="20"/>
      <c r="L403" s="20"/>
      <c r="M403" s="20"/>
      <c r="N403" s="20"/>
      <c r="O403" s="20"/>
      <c r="P403" s="20"/>
      <c r="Q403" s="20"/>
      <c r="R403" s="20"/>
      <c r="S403" s="188"/>
      <c r="T403" s="188"/>
      <c r="U403" s="188"/>
      <c r="V403" s="188"/>
      <c r="W403" s="20"/>
      <c r="X403" s="20"/>
      <c r="Y403" s="20"/>
      <c r="Z403" s="20"/>
      <c r="AA403" s="20"/>
      <c r="AB403" s="20"/>
    </row>
    <row r="404">
      <c r="A404" s="20"/>
      <c r="B404" s="20"/>
      <c r="C404" s="20"/>
      <c r="D404" s="20"/>
      <c r="E404" s="20"/>
      <c r="F404" s="282"/>
      <c r="G404" s="20"/>
      <c r="H404" s="20"/>
      <c r="I404" s="20"/>
      <c r="J404" s="20"/>
      <c r="K404" s="20"/>
      <c r="L404" s="20"/>
      <c r="M404" s="20"/>
      <c r="N404" s="20"/>
      <c r="O404" s="20"/>
      <c r="P404" s="20"/>
      <c r="Q404" s="20"/>
      <c r="R404" s="20"/>
      <c r="S404" s="188"/>
      <c r="T404" s="188"/>
      <c r="U404" s="188"/>
      <c r="V404" s="188"/>
      <c r="W404" s="20"/>
      <c r="X404" s="20"/>
      <c r="Y404" s="20"/>
      <c r="Z404" s="20"/>
      <c r="AA404" s="20"/>
      <c r="AB404" s="20"/>
    </row>
    <row r="405">
      <c r="A405" s="20"/>
      <c r="B405" s="20"/>
      <c r="C405" s="20"/>
      <c r="D405" s="20"/>
      <c r="E405" s="20"/>
      <c r="F405" s="282"/>
      <c r="G405" s="20"/>
      <c r="H405" s="20"/>
      <c r="I405" s="20"/>
      <c r="J405" s="20"/>
      <c r="K405" s="20"/>
      <c r="L405" s="20"/>
      <c r="M405" s="20"/>
      <c r="N405" s="20"/>
      <c r="O405" s="20"/>
      <c r="P405" s="20"/>
      <c r="Q405" s="20"/>
      <c r="R405" s="20"/>
      <c r="S405" s="188"/>
      <c r="T405" s="188"/>
      <c r="U405" s="188"/>
      <c r="V405" s="188"/>
      <c r="W405" s="20"/>
      <c r="X405" s="20"/>
      <c r="Y405" s="20"/>
      <c r="Z405" s="20"/>
      <c r="AA405" s="20"/>
      <c r="AB405" s="20"/>
    </row>
    <row r="406">
      <c r="A406" s="20"/>
      <c r="B406" s="20"/>
      <c r="C406" s="20"/>
      <c r="D406" s="20"/>
      <c r="E406" s="20"/>
      <c r="F406" s="282"/>
      <c r="G406" s="20"/>
      <c r="H406" s="20"/>
      <c r="I406" s="20"/>
      <c r="J406" s="20"/>
      <c r="K406" s="20"/>
      <c r="L406" s="20"/>
      <c r="M406" s="20"/>
      <c r="N406" s="20"/>
      <c r="O406" s="20"/>
      <c r="P406" s="20"/>
      <c r="Q406" s="20"/>
      <c r="R406" s="20"/>
      <c r="S406" s="188"/>
      <c r="T406" s="188"/>
      <c r="U406" s="188"/>
      <c r="V406" s="188"/>
      <c r="W406" s="20"/>
      <c r="X406" s="20"/>
      <c r="Y406" s="20"/>
      <c r="Z406" s="20"/>
      <c r="AA406" s="20"/>
      <c r="AB406" s="20"/>
    </row>
    <row r="407">
      <c r="A407" s="20"/>
      <c r="B407" s="20"/>
      <c r="C407" s="20"/>
      <c r="D407" s="20"/>
      <c r="E407" s="20"/>
      <c r="F407" s="282"/>
      <c r="G407" s="20"/>
      <c r="H407" s="20"/>
      <c r="I407" s="20"/>
      <c r="J407" s="20"/>
      <c r="K407" s="20"/>
      <c r="L407" s="20"/>
      <c r="M407" s="20"/>
      <c r="N407" s="20"/>
      <c r="O407" s="20"/>
      <c r="P407" s="20"/>
      <c r="Q407" s="20"/>
      <c r="R407" s="20"/>
      <c r="S407" s="188"/>
      <c r="T407" s="188"/>
      <c r="U407" s="188"/>
      <c r="V407" s="188"/>
      <c r="W407" s="20"/>
      <c r="X407" s="20"/>
      <c r="Y407" s="20"/>
      <c r="Z407" s="20"/>
      <c r="AA407" s="20"/>
      <c r="AB407" s="20"/>
    </row>
    <row r="408">
      <c r="A408" s="20"/>
      <c r="B408" s="20"/>
      <c r="C408" s="20"/>
      <c r="D408" s="20"/>
      <c r="E408" s="20"/>
      <c r="F408" s="282"/>
      <c r="G408" s="20"/>
      <c r="H408" s="20"/>
      <c r="I408" s="20"/>
      <c r="J408" s="20"/>
      <c r="K408" s="20"/>
      <c r="L408" s="20"/>
      <c r="M408" s="20"/>
      <c r="N408" s="20"/>
      <c r="O408" s="20"/>
      <c r="P408" s="20"/>
      <c r="Q408" s="20"/>
      <c r="R408" s="20"/>
      <c r="S408" s="188"/>
      <c r="T408" s="188"/>
      <c r="U408" s="188"/>
      <c r="V408" s="188"/>
      <c r="W408" s="20"/>
      <c r="X408" s="20"/>
      <c r="Y408" s="20"/>
      <c r="Z408" s="20"/>
      <c r="AA408" s="20"/>
      <c r="AB408" s="20"/>
    </row>
    <row r="409">
      <c r="A409" s="20"/>
      <c r="B409" s="20"/>
      <c r="C409" s="20"/>
      <c r="D409" s="20"/>
      <c r="E409" s="20"/>
      <c r="F409" s="282"/>
      <c r="G409" s="20"/>
      <c r="H409" s="20"/>
      <c r="I409" s="20"/>
      <c r="J409" s="20"/>
      <c r="K409" s="20"/>
      <c r="L409" s="20"/>
      <c r="M409" s="20"/>
      <c r="N409" s="20"/>
      <c r="O409" s="20"/>
      <c r="P409" s="20"/>
      <c r="Q409" s="20"/>
      <c r="R409" s="20"/>
      <c r="S409" s="188"/>
      <c r="T409" s="188"/>
      <c r="U409" s="188"/>
      <c r="V409" s="188"/>
      <c r="W409" s="20"/>
      <c r="X409" s="20"/>
      <c r="Y409" s="20"/>
      <c r="Z409" s="20"/>
      <c r="AA409" s="20"/>
      <c r="AB409" s="20"/>
    </row>
    <row r="410">
      <c r="A410" s="20"/>
      <c r="B410" s="20"/>
      <c r="C410" s="20"/>
      <c r="D410" s="20"/>
      <c r="E410" s="20"/>
      <c r="F410" s="282"/>
      <c r="G410" s="20"/>
      <c r="H410" s="20"/>
      <c r="I410" s="20"/>
      <c r="J410" s="20"/>
      <c r="K410" s="20"/>
      <c r="L410" s="20"/>
      <c r="M410" s="20"/>
      <c r="N410" s="20"/>
      <c r="O410" s="20"/>
      <c r="P410" s="20"/>
      <c r="Q410" s="20"/>
      <c r="R410" s="20"/>
      <c r="S410" s="188"/>
      <c r="T410" s="188"/>
      <c r="U410" s="188"/>
      <c r="V410" s="188"/>
      <c r="W410" s="20"/>
      <c r="X410" s="20"/>
      <c r="Y410" s="20"/>
      <c r="Z410" s="20"/>
      <c r="AA410" s="20"/>
      <c r="AB410" s="20"/>
    </row>
    <row r="411">
      <c r="A411" s="20"/>
      <c r="B411" s="20"/>
      <c r="C411" s="20"/>
      <c r="D411" s="20"/>
      <c r="E411" s="20"/>
      <c r="F411" s="282"/>
      <c r="G411" s="20"/>
      <c r="H411" s="20"/>
      <c r="I411" s="20"/>
      <c r="J411" s="20"/>
      <c r="K411" s="20"/>
      <c r="L411" s="20"/>
      <c r="M411" s="20"/>
      <c r="N411" s="20"/>
      <c r="O411" s="20"/>
      <c r="P411" s="20"/>
      <c r="Q411" s="20"/>
      <c r="R411" s="20"/>
      <c r="S411" s="188"/>
      <c r="T411" s="188"/>
      <c r="U411" s="188"/>
      <c r="V411" s="188"/>
      <c r="W411" s="20"/>
      <c r="X411" s="20"/>
      <c r="Y411" s="20"/>
      <c r="Z411" s="20"/>
      <c r="AA411" s="20"/>
      <c r="AB411" s="20"/>
    </row>
    <row r="412">
      <c r="A412" s="20"/>
      <c r="B412" s="20"/>
      <c r="C412" s="20"/>
      <c r="D412" s="20"/>
      <c r="E412" s="20"/>
      <c r="F412" s="282"/>
      <c r="G412" s="20"/>
      <c r="H412" s="20"/>
      <c r="I412" s="20"/>
      <c r="J412" s="20"/>
      <c r="K412" s="20"/>
      <c r="L412" s="20"/>
      <c r="M412" s="20"/>
      <c r="N412" s="20"/>
      <c r="O412" s="20"/>
      <c r="P412" s="20"/>
      <c r="Q412" s="20"/>
      <c r="R412" s="20"/>
      <c r="S412" s="188"/>
      <c r="T412" s="188"/>
      <c r="U412" s="188"/>
      <c r="V412" s="188"/>
      <c r="W412" s="20"/>
      <c r="X412" s="20"/>
      <c r="Y412" s="20"/>
      <c r="Z412" s="20"/>
      <c r="AA412" s="20"/>
      <c r="AB412" s="20"/>
    </row>
    <row r="413">
      <c r="A413" s="20"/>
      <c r="B413" s="20"/>
      <c r="C413" s="20"/>
      <c r="D413" s="20"/>
      <c r="E413" s="20"/>
      <c r="F413" s="282"/>
      <c r="G413" s="20"/>
      <c r="H413" s="20"/>
      <c r="I413" s="20"/>
      <c r="J413" s="20"/>
      <c r="K413" s="20"/>
      <c r="L413" s="20"/>
      <c r="M413" s="20"/>
      <c r="N413" s="20"/>
      <c r="O413" s="20"/>
      <c r="P413" s="20"/>
      <c r="Q413" s="20"/>
      <c r="R413" s="20"/>
      <c r="S413" s="188"/>
      <c r="T413" s="188"/>
      <c r="U413" s="188"/>
      <c r="V413" s="188"/>
      <c r="W413" s="20"/>
      <c r="X413" s="20"/>
      <c r="Y413" s="20"/>
      <c r="Z413" s="20"/>
      <c r="AA413" s="20"/>
      <c r="AB413" s="20"/>
    </row>
    <row r="414">
      <c r="A414" s="20"/>
      <c r="B414" s="20"/>
      <c r="C414" s="20"/>
      <c r="D414" s="20"/>
      <c r="E414" s="20"/>
      <c r="F414" s="282"/>
      <c r="G414" s="20"/>
      <c r="H414" s="20"/>
      <c r="I414" s="20"/>
      <c r="J414" s="20"/>
      <c r="K414" s="20"/>
      <c r="L414" s="20"/>
      <c r="M414" s="20"/>
      <c r="N414" s="20"/>
      <c r="O414" s="20"/>
      <c r="P414" s="20"/>
      <c r="Q414" s="20"/>
      <c r="R414" s="20"/>
      <c r="S414" s="188"/>
      <c r="T414" s="188"/>
      <c r="U414" s="188"/>
      <c r="V414" s="188"/>
      <c r="W414" s="20"/>
      <c r="X414" s="20"/>
      <c r="Y414" s="20"/>
      <c r="Z414" s="20"/>
      <c r="AA414" s="20"/>
      <c r="AB414" s="20"/>
    </row>
    <row r="415">
      <c r="A415" s="20"/>
      <c r="B415" s="20"/>
      <c r="C415" s="20"/>
      <c r="D415" s="20"/>
      <c r="E415" s="20"/>
      <c r="F415" s="282"/>
      <c r="G415" s="20"/>
      <c r="H415" s="20"/>
      <c r="I415" s="20"/>
      <c r="J415" s="20"/>
      <c r="K415" s="20"/>
      <c r="L415" s="20"/>
      <c r="M415" s="20"/>
      <c r="N415" s="20"/>
      <c r="O415" s="20"/>
      <c r="P415" s="20"/>
      <c r="Q415" s="20"/>
      <c r="R415" s="20"/>
      <c r="S415" s="188"/>
      <c r="T415" s="188"/>
      <c r="U415" s="188"/>
      <c r="V415" s="188"/>
      <c r="W415" s="20"/>
      <c r="X415" s="20"/>
      <c r="Y415" s="20"/>
      <c r="Z415" s="20"/>
      <c r="AA415" s="20"/>
      <c r="AB415" s="20"/>
    </row>
    <row r="416">
      <c r="A416" s="20"/>
      <c r="B416" s="20"/>
      <c r="C416" s="20"/>
      <c r="D416" s="20"/>
      <c r="E416" s="20"/>
      <c r="F416" s="282"/>
      <c r="G416" s="20"/>
      <c r="H416" s="20"/>
      <c r="I416" s="20"/>
      <c r="J416" s="20"/>
      <c r="K416" s="20"/>
      <c r="L416" s="20"/>
      <c r="M416" s="20"/>
      <c r="N416" s="20"/>
      <c r="O416" s="20"/>
      <c r="P416" s="20"/>
      <c r="Q416" s="20"/>
      <c r="R416" s="20"/>
      <c r="S416" s="188"/>
      <c r="T416" s="188"/>
      <c r="U416" s="188"/>
      <c r="V416" s="188"/>
      <c r="W416" s="20"/>
      <c r="X416" s="20"/>
      <c r="Y416" s="20"/>
      <c r="Z416" s="20"/>
      <c r="AA416" s="20"/>
      <c r="AB416" s="20"/>
    </row>
    <row r="417">
      <c r="A417" s="20"/>
      <c r="B417" s="20"/>
      <c r="C417" s="20"/>
      <c r="D417" s="20"/>
      <c r="E417" s="20"/>
      <c r="F417" s="282"/>
      <c r="G417" s="20"/>
      <c r="H417" s="20"/>
      <c r="I417" s="20"/>
      <c r="J417" s="20"/>
      <c r="K417" s="20"/>
      <c r="L417" s="20"/>
      <c r="M417" s="20"/>
      <c r="N417" s="20"/>
      <c r="O417" s="20"/>
      <c r="P417" s="20"/>
      <c r="Q417" s="20"/>
      <c r="R417" s="20"/>
      <c r="S417" s="188"/>
      <c r="T417" s="188"/>
      <c r="U417" s="188"/>
      <c r="V417" s="188"/>
      <c r="W417" s="20"/>
      <c r="X417" s="20"/>
      <c r="Y417" s="20"/>
      <c r="Z417" s="20"/>
      <c r="AA417" s="20"/>
      <c r="AB417" s="20"/>
    </row>
    <row r="418">
      <c r="A418" s="20"/>
      <c r="B418" s="20"/>
      <c r="C418" s="20"/>
      <c r="D418" s="20"/>
      <c r="E418" s="20"/>
      <c r="F418" s="282"/>
      <c r="G418" s="20"/>
      <c r="H418" s="20"/>
      <c r="I418" s="20"/>
      <c r="J418" s="20"/>
      <c r="K418" s="20"/>
      <c r="L418" s="20"/>
      <c r="M418" s="20"/>
      <c r="N418" s="20"/>
      <c r="O418" s="20"/>
      <c r="P418" s="20"/>
      <c r="Q418" s="20"/>
      <c r="R418" s="20"/>
      <c r="S418" s="188"/>
      <c r="T418" s="188"/>
      <c r="U418" s="188"/>
      <c r="V418" s="188"/>
      <c r="W418" s="20"/>
      <c r="X418" s="20"/>
      <c r="Y418" s="20"/>
      <c r="Z418" s="20"/>
      <c r="AA418" s="20"/>
      <c r="AB418" s="20"/>
    </row>
    <row r="419">
      <c r="A419" s="20"/>
      <c r="B419" s="20"/>
      <c r="C419" s="20"/>
      <c r="D419" s="20"/>
      <c r="E419" s="20"/>
      <c r="F419" s="282"/>
      <c r="G419" s="20"/>
      <c r="H419" s="20"/>
      <c r="I419" s="20"/>
      <c r="J419" s="20"/>
      <c r="K419" s="20"/>
      <c r="L419" s="20"/>
      <c r="M419" s="20"/>
      <c r="N419" s="20"/>
      <c r="O419" s="20"/>
      <c r="P419" s="20"/>
      <c r="Q419" s="20"/>
      <c r="R419" s="20"/>
      <c r="S419" s="188"/>
      <c r="T419" s="188"/>
      <c r="U419" s="188"/>
      <c r="V419" s="188"/>
      <c r="W419" s="20"/>
      <c r="X419" s="20"/>
      <c r="Y419" s="20"/>
      <c r="Z419" s="20"/>
      <c r="AA419" s="20"/>
      <c r="AB419" s="20"/>
    </row>
    <row r="420">
      <c r="A420" s="20"/>
      <c r="B420" s="20"/>
      <c r="C420" s="20"/>
      <c r="D420" s="20"/>
      <c r="E420" s="20"/>
      <c r="F420" s="282"/>
      <c r="G420" s="20"/>
      <c r="H420" s="20"/>
      <c r="I420" s="20"/>
      <c r="J420" s="20"/>
      <c r="K420" s="20"/>
      <c r="L420" s="20"/>
      <c r="M420" s="20"/>
      <c r="N420" s="20"/>
      <c r="O420" s="20"/>
      <c r="P420" s="20"/>
      <c r="Q420" s="20"/>
      <c r="R420" s="20"/>
      <c r="S420" s="188"/>
      <c r="T420" s="188"/>
      <c r="U420" s="188"/>
      <c r="V420" s="188"/>
      <c r="W420" s="20"/>
      <c r="X420" s="20"/>
      <c r="Y420" s="20"/>
      <c r="Z420" s="20"/>
      <c r="AA420" s="20"/>
      <c r="AB420" s="20"/>
    </row>
    <row r="421">
      <c r="A421" s="20"/>
      <c r="B421" s="20"/>
      <c r="C421" s="20"/>
      <c r="D421" s="20"/>
      <c r="E421" s="20"/>
      <c r="F421" s="282"/>
      <c r="G421" s="20"/>
      <c r="H421" s="20"/>
      <c r="I421" s="20"/>
      <c r="J421" s="20"/>
      <c r="K421" s="20"/>
      <c r="L421" s="20"/>
      <c r="M421" s="20"/>
      <c r="N421" s="20"/>
      <c r="O421" s="20"/>
      <c r="P421" s="20"/>
      <c r="Q421" s="20"/>
      <c r="R421" s="20"/>
      <c r="S421" s="188"/>
      <c r="T421" s="188"/>
      <c r="U421" s="188"/>
      <c r="V421" s="188"/>
      <c r="W421" s="20"/>
      <c r="X421" s="20"/>
      <c r="Y421" s="20"/>
      <c r="Z421" s="20"/>
      <c r="AA421" s="20"/>
      <c r="AB421" s="20"/>
    </row>
    <row r="422">
      <c r="A422" s="20"/>
      <c r="B422" s="20"/>
      <c r="C422" s="20"/>
      <c r="D422" s="20"/>
      <c r="E422" s="20"/>
      <c r="F422" s="282"/>
      <c r="G422" s="20"/>
      <c r="H422" s="20"/>
      <c r="I422" s="20"/>
      <c r="J422" s="20"/>
      <c r="K422" s="20"/>
      <c r="L422" s="20"/>
      <c r="M422" s="20"/>
      <c r="N422" s="20"/>
      <c r="O422" s="20"/>
      <c r="P422" s="20"/>
      <c r="Q422" s="20"/>
      <c r="R422" s="20"/>
      <c r="S422" s="188"/>
      <c r="T422" s="188"/>
      <c r="U422" s="188"/>
      <c r="V422" s="188"/>
      <c r="W422" s="20"/>
      <c r="X422" s="20"/>
      <c r="Y422" s="20"/>
      <c r="Z422" s="20"/>
      <c r="AA422" s="20"/>
      <c r="AB422" s="20"/>
    </row>
    <row r="423">
      <c r="A423" s="20"/>
      <c r="B423" s="20"/>
      <c r="C423" s="20"/>
      <c r="D423" s="20"/>
      <c r="E423" s="20"/>
      <c r="F423" s="282"/>
      <c r="G423" s="20"/>
      <c r="H423" s="20"/>
      <c r="I423" s="20"/>
      <c r="J423" s="20"/>
      <c r="K423" s="20"/>
      <c r="L423" s="20"/>
      <c r="M423" s="20"/>
      <c r="N423" s="20"/>
      <c r="O423" s="20"/>
      <c r="P423" s="20"/>
      <c r="Q423" s="20"/>
      <c r="R423" s="20"/>
      <c r="S423" s="188"/>
      <c r="T423" s="188"/>
      <c r="U423" s="188"/>
      <c r="V423" s="188"/>
      <c r="W423" s="20"/>
      <c r="X423" s="20"/>
      <c r="Y423" s="20"/>
      <c r="Z423" s="20"/>
      <c r="AA423" s="20"/>
      <c r="AB423" s="20"/>
    </row>
    <row r="424">
      <c r="A424" s="20"/>
      <c r="B424" s="20"/>
      <c r="C424" s="20"/>
      <c r="D424" s="20"/>
      <c r="E424" s="20"/>
      <c r="F424" s="282"/>
      <c r="G424" s="20"/>
      <c r="H424" s="20"/>
      <c r="I424" s="20"/>
      <c r="J424" s="20"/>
      <c r="K424" s="20"/>
      <c r="L424" s="20"/>
      <c r="M424" s="20"/>
      <c r="N424" s="20"/>
      <c r="O424" s="20"/>
      <c r="P424" s="20"/>
      <c r="Q424" s="20"/>
      <c r="R424" s="20"/>
      <c r="S424" s="188"/>
      <c r="T424" s="188"/>
      <c r="U424" s="188"/>
      <c r="V424" s="188"/>
      <c r="W424" s="20"/>
      <c r="X424" s="20"/>
      <c r="Y424" s="20"/>
      <c r="Z424" s="20"/>
      <c r="AA424" s="20"/>
      <c r="AB424" s="20"/>
    </row>
    <row r="425">
      <c r="A425" s="20"/>
      <c r="B425" s="20"/>
      <c r="C425" s="20"/>
      <c r="D425" s="20"/>
      <c r="E425" s="20"/>
      <c r="F425" s="282"/>
      <c r="G425" s="20"/>
      <c r="H425" s="20"/>
      <c r="I425" s="20"/>
      <c r="J425" s="20"/>
      <c r="K425" s="20"/>
      <c r="L425" s="20"/>
      <c r="M425" s="20"/>
      <c r="N425" s="20"/>
      <c r="O425" s="20"/>
      <c r="P425" s="20"/>
      <c r="Q425" s="20"/>
      <c r="R425" s="20"/>
      <c r="S425" s="188"/>
      <c r="T425" s="188"/>
      <c r="U425" s="188"/>
      <c r="V425" s="188"/>
      <c r="W425" s="20"/>
      <c r="X425" s="20"/>
      <c r="Y425" s="20"/>
      <c r="Z425" s="20"/>
      <c r="AA425" s="20"/>
      <c r="AB425" s="20"/>
    </row>
    <row r="426">
      <c r="A426" s="20"/>
      <c r="B426" s="20"/>
      <c r="C426" s="20"/>
      <c r="D426" s="20"/>
      <c r="E426" s="20"/>
      <c r="F426" s="282"/>
      <c r="G426" s="20"/>
      <c r="H426" s="20"/>
      <c r="I426" s="20"/>
      <c r="J426" s="20"/>
      <c r="K426" s="20"/>
      <c r="L426" s="20"/>
      <c r="M426" s="20"/>
      <c r="N426" s="20"/>
      <c r="O426" s="20"/>
      <c r="P426" s="20"/>
      <c r="Q426" s="20"/>
      <c r="R426" s="20"/>
      <c r="S426" s="188"/>
      <c r="T426" s="188"/>
      <c r="U426" s="188"/>
      <c r="V426" s="188"/>
      <c r="W426" s="20"/>
      <c r="X426" s="20"/>
      <c r="Y426" s="20"/>
      <c r="Z426" s="20"/>
      <c r="AA426" s="20"/>
      <c r="AB426" s="20"/>
    </row>
    <row r="427">
      <c r="A427" s="20"/>
      <c r="B427" s="20"/>
      <c r="C427" s="20"/>
      <c r="D427" s="20"/>
      <c r="E427" s="20"/>
      <c r="F427" s="282"/>
      <c r="G427" s="20"/>
      <c r="H427" s="20"/>
      <c r="I427" s="20"/>
      <c r="J427" s="20"/>
      <c r="K427" s="20"/>
      <c r="L427" s="20"/>
      <c r="M427" s="20"/>
      <c r="N427" s="20"/>
      <c r="O427" s="20"/>
      <c r="P427" s="20"/>
      <c r="Q427" s="20"/>
      <c r="R427" s="20"/>
      <c r="S427" s="188"/>
      <c r="T427" s="188"/>
      <c r="U427" s="188"/>
      <c r="V427" s="188"/>
      <c r="W427" s="20"/>
      <c r="X427" s="20"/>
      <c r="Y427" s="20"/>
      <c r="Z427" s="20"/>
      <c r="AA427" s="20"/>
      <c r="AB427" s="20"/>
    </row>
    <row r="428">
      <c r="A428" s="20"/>
      <c r="B428" s="20"/>
      <c r="C428" s="20"/>
      <c r="D428" s="20"/>
      <c r="E428" s="20"/>
      <c r="F428" s="282"/>
      <c r="G428" s="20"/>
      <c r="H428" s="20"/>
      <c r="I428" s="20"/>
      <c r="J428" s="20"/>
      <c r="K428" s="20"/>
      <c r="L428" s="20"/>
      <c r="M428" s="20"/>
      <c r="N428" s="20"/>
      <c r="O428" s="20"/>
      <c r="P428" s="20"/>
      <c r="Q428" s="20"/>
      <c r="R428" s="20"/>
      <c r="S428" s="188"/>
      <c r="T428" s="188"/>
      <c r="U428" s="188"/>
      <c r="V428" s="188"/>
      <c r="W428" s="20"/>
      <c r="X428" s="20"/>
      <c r="Y428" s="20"/>
      <c r="Z428" s="20"/>
      <c r="AA428" s="20"/>
      <c r="AB428" s="20"/>
    </row>
    <row r="429">
      <c r="A429" s="20"/>
      <c r="B429" s="20"/>
      <c r="C429" s="20"/>
      <c r="D429" s="20"/>
      <c r="E429" s="20"/>
      <c r="F429" s="282"/>
      <c r="G429" s="20"/>
      <c r="H429" s="20"/>
      <c r="I429" s="20"/>
      <c r="J429" s="20"/>
      <c r="K429" s="20"/>
      <c r="L429" s="20"/>
      <c r="M429" s="20"/>
      <c r="N429" s="20"/>
      <c r="O429" s="20"/>
      <c r="P429" s="20"/>
      <c r="Q429" s="20"/>
      <c r="R429" s="20"/>
      <c r="S429" s="188"/>
      <c r="T429" s="188"/>
      <c r="U429" s="188"/>
      <c r="V429" s="188"/>
      <c r="W429" s="20"/>
      <c r="X429" s="20"/>
      <c r="Y429" s="20"/>
      <c r="Z429" s="20"/>
      <c r="AA429" s="20"/>
      <c r="AB429" s="20"/>
    </row>
    <row r="430">
      <c r="A430" s="20"/>
      <c r="B430" s="20"/>
      <c r="C430" s="20"/>
      <c r="D430" s="20"/>
      <c r="E430" s="20"/>
      <c r="F430" s="282"/>
      <c r="G430" s="20"/>
      <c r="H430" s="20"/>
      <c r="I430" s="20"/>
      <c r="J430" s="20"/>
      <c r="K430" s="20"/>
      <c r="L430" s="20"/>
      <c r="M430" s="20"/>
      <c r="N430" s="20"/>
      <c r="O430" s="20"/>
      <c r="P430" s="20"/>
      <c r="Q430" s="20"/>
      <c r="R430" s="20"/>
      <c r="S430" s="188"/>
      <c r="T430" s="188"/>
      <c r="U430" s="188"/>
      <c r="V430" s="188"/>
      <c r="W430" s="20"/>
      <c r="X430" s="20"/>
      <c r="Y430" s="20"/>
      <c r="Z430" s="20"/>
      <c r="AA430" s="20"/>
      <c r="AB430" s="20"/>
    </row>
    <row r="431">
      <c r="A431" s="20"/>
      <c r="B431" s="20"/>
      <c r="C431" s="20"/>
      <c r="D431" s="20"/>
      <c r="E431" s="20"/>
      <c r="F431" s="282"/>
      <c r="G431" s="20"/>
      <c r="H431" s="20"/>
      <c r="I431" s="20"/>
      <c r="J431" s="20"/>
      <c r="K431" s="20"/>
      <c r="L431" s="20"/>
      <c r="M431" s="20"/>
      <c r="N431" s="20"/>
      <c r="O431" s="20"/>
      <c r="P431" s="20"/>
      <c r="Q431" s="20"/>
      <c r="R431" s="20"/>
      <c r="S431" s="188"/>
      <c r="T431" s="188"/>
      <c r="U431" s="188"/>
      <c r="V431" s="188"/>
      <c r="W431" s="20"/>
      <c r="X431" s="20"/>
      <c r="Y431" s="20"/>
      <c r="Z431" s="20"/>
      <c r="AA431" s="20"/>
      <c r="AB431" s="20"/>
    </row>
    <row r="432">
      <c r="A432" s="20"/>
      <c r="B432" s="20"/>
      <c r="C432" s="20"/>
      <c r="D432" s="20"/>
      <c r="E432" s="20"/>
      <c r="F432" s="282"/>
      <c r="G432" s="20"/>
      <c r="H432" s="20"/>
      <c r="I432" s="20"/>
      <c r="J432" s="20"/>
      <c r="K432" s="20"/>
      <c r="L432" s="20"/>
      <c r="M432" s="20"/>
      <c r="N432" s="20"/>
      <c r="O432" s="20"/>
      <c r="P432" s="20"/>
      <c r="Q432" s="20"/>
      <c r="R432" s="20"/>
      <c r="S432" s="188"/>
      <c r="T432" s="188"/>
      <c r="U432" s="188"/>
      <c r="V432" s="188"/>
      <c r="W432" s="20"/>
      <c r="X432" s="20"/>
      <c r="Y432" s="20"/>
      <c r="Z432" s="20"/>
      <c r="AA432" s="20"/>
      <c r="AB432" s="20"/>
    </row>
    <row r="433">
      <c r="A433" s="20"/>
      <c r="B433" s="20"/>
      <c r="C433" s="20"/>
      <c r="D433" s="20"/>
      <c r="E433" s="20"/>
      <c r="F433" s="282"/>
      <c r="G433" s="20"/>
      <c r="H433" s="20"/>
      <c r="I433" s="20"/>
      <c r="J433" s="20"/>
      <c r="K433" s="20"/>
      <c r="L433" s="20"/>
      <c r="M433" s="20"/>
      <c r="N433" s="20"/>
      <c r="O433" s="20"/>
      <c r="P433" s="20"/>
      <c r="Q433" s="20"/>
      <c r="R433" s="20"/>
      <c r="S433" s="188"/>
      <c r="T433" s="188"/>
      <c r="U433" s="188"/>
      <c r="V433" s="188"/>
      <c r="W433" s="20"/>
      <c r="X433" s="20"/>
      <c r="Y433" s="20"/>
      <c r="Z433" s="20"/>
      <c r="AA433" s="20"/>
      <c r="AB433" s="20"/>
    </row>
    <row r="434">
      <c r="A434" s="20"/>
      <c r="B434" s="20"/>
      <c r="C434" s="20"/>
      <c r="D434" s="20"/>
      <c r="E434" s="20"/>
      <c r="F434" s="282"/>
      <c r="G434" s="20"/>
      <c r="H434" s="20"/>
      <c r="I434" s="20"/>
      <c r="J434" s="20"/>
      <c r="K434" s="20"/>
      <c r="L434" s="20"/>
      <c r="M434" s="20"/>
      <c r="N434" s="20"/>
      <c r="O434" s="20"/>
      <c r="P434" s="20"/>
      <c r="Q434" s="20"/>
      <c r="R434" s="20"/>
      <c r="S434" s="188"/>
      <c r="T434" s="188"/>
      <c r="U434" s="188"/>
      <c r="V434" s="188"/>
      <c r="W434" s="20"/>
      <c r="X434" s="20"/>
      <c r="Y434" s="20"/>
      <c r="Z434" s="20"/>
      <c r="AA434" s="20"/>
      <c r="AB434" s="20"/>
    </row>
    <row r="435">
      <c r="A435" s="20"/>
      <c r="B435" s="20"/>
      <c r="C435" s="20"/>
      <c r="D435" s="20"/>
      <c r="E435" s="20"/>
      <c r="F435" s="282"/>
      <c r="G435" s="20"/>
      <c r="H435" s="20"/>
      <c r="I435" s="20"/>
      <c r="J435" s="20"/>
      <c r="K435" s="20"/>
      <c r="L435" s="20"/>
      <c r="M435" s="20"/>
      <c r="N435" s="20"/>
      <c r="O435" s="20"/>
      <c r="P435" s="20"/>
      <c r="Q435" s="20"/>
      <c r="R435" s="20"/>
      <c r="S435" s="188"/>
      <c r="T435" s="188"/>
      <c r="U435" s="188"/>
      <c r="V435" s="188"/>
      <c r="W435" s="20"/>
      <c r="X435" s="20"/>
      <c r="Y435" s="20"/>
      <c r="Z435" s="20"/>
      <c r="AA435" s="20"/>
      <c r="AB435" s="20"/>
    </row>
    <row r="436">
      <c r="A436" s="20"/>
      <c r="B436" s="20"/>
      <c r="C436" s="20"/>
      <c r="D436" s="20"/>
      <c r="E436" s="20"/>
      <c r="F436" s="282"/>
      <c r="G436" s="20"/>
      <c r="H436" s="20"/>
      <c r="I436" s="20"/>
      <c r="J436" s="20"/>
      <c r="K436" s="20"/>
      <c r="L436" s="20"/>
      <c r="M436" s="20"/>
      <c r="N436" s="20"/>
      <c r="O436" s="20"/>
      <c r="P436" s="20"/>
      <c r="Q436" s="20"/>
      <c r="R436" s="20"/>
      <c r="S436" s="188"/>
      <c r="T436" s="188"/>
      <c r="U436" s="188"/>
      <c r="V436" s="188"/>
      <c r="W436" s="20"/>
      <c r="X436" s="20"/>
      <c r="Y436" s="20"/>
      <c r="Z436" s="20"/>
      <c r="AA436" s="20"/>
      <c r="AB436" s="20"/>
    </row>
    <row r="437">
      <c r="A437" s="20"/>
      <c r="B437" s="20"/>
      <c r="C437" s="20"/>
      <c r="D437" s="20"/>
      <c r="E437" s="20"/>
      <c r="F437" s="282"/>
      <c r="G437" s="20"/>
      <c r="H437" s="20"/>
      <c r="I437" s="20"/>
      <c r="J437" s="20"/>
      <c r="K437" s="20"/>
      <c r="L437" s="20"/>
      <c r="M437" s="20"/>
      <c r="N437" s="20"/>
      <c r="O437" s="20"/>
      <c r="P437" s="20"/>
      <c r="Q437" s="20"/>
      <c r="R437" s="20"/>
      <c r="S437" s="188"/>
      <c r="T437" s="188"/>
      <c r="U437" s="188"/>
      <c r="V437" s="188"/>
      <c r="W437" s="20"/>
      <c r="X437" s="20"/>
      <c r="Y437" s="20"/>
      <c r="Z437" s="20"/>
      <c r="AA437" s="20"/>
      <c r="AB437" s="20"/>
    </row>
    <row r="438">
      <c r="A438" s="20"/>
      <c r="B438" s="20"/>
      <c r="C438" s="20"/>
      <c r="D438" s="20"/>
      <c r="E438" s="20"/>
      <c r="F438" s="282"/>
      <c r="G438" s="20"/>
      <c r="H438" s="20"/>
      <c r="I438" s="20"/>
      <c r="J438" s="20"/>
      <c r="K438" s="20"/>
      <c r="L438" s="20"/>
      <c r="M438" s="20"/>
      <c r="N438" s="20"/>
      <c r="O438" s="20"/>
      <c r="P438" s="20"/>
      <c r="Q438" s="20"/>
      <c r="R438" s="20"/>
      <c r="S438" s="188"/>
      <c r="T438" s="188"/>
      <c r="U438" s="188"/>
      <c r="V438" s="188"/>
      <c r="W438" s="20"/>
      <c r="X438" s="20"/>
      <c r="Y438" s="20"/>
      <c r="Z438" s="20"/>
      <c r="AA438" s="20"/>
      <c r="AB438" s="20"/>
    </row>
    <row r="439">
      <c r="A439" s="20"/>
      <c r="B439" s="20"/>
      <c r="C439" s="20"/>
      <c r="D439" s="20"/>
      <c r="E439" s="20"/>
      <c r="F439" s="282"/>
      <c r="G439" s="20"/>
      <c r="H439" s="20"/>
      <c r="I439" s="20"/>
      <c r="J439" s="20"/>
      <c r="K439" s="20"/>
      <c r="L439" s="20"/>
      <c r="M439" s="20"/>
      <c r="N439" s="20"/>
      <c r="O439" s="20"/>
      <c r="P439" s="20"/>
      <c r="Q439" s="20"/>
      <c r="R439" s="20"/>
      <c r="S439" s="188"/>
      <c r="T439" s="188"/>
      <c r="U439" s="188"/>
      <c r="V439" s="188"/>
      <c r="W439" s="20"/>
      <c r="X439" s="20"/>
      <c r="Y439" s="20"/>
      <c r="Z439" s="20"/>
      <c r="AA439" s="20"/>
      <c r="AB439" s="20"/>
    </row>
    <row r="440">
      <c r="A440" s="20"/>
      <c r="B440" s="20"/>
      <c r="C440" s="20"/>
      <c r="D440" s="20"/>
      <c r="E440" s="20"/>
      <c r="F440" s="282"/>
      <c r="G440" s="20"/>
      <c r="H440" s="20"/>
      <c r="I440" s="20"/>
      <c r="J440" s="20"/>
      <c r="K440" s="20"/>
      <c r="L440" s="20"/>
      <c r="M440" s="20"/>
      <c r="N440" s="20"/>
      <c r="O440" s="20"/>
      <c r="P440" s="20"/>
      <c r="Q440" s="20"/>
      <c r="R440" s="20"/>
      <c r="S440" s="188"/>
      <c r="T440" s="188"/>
      <c r="U440" s="188"/>
      <c r="V440" s="188"/>
      <c r="W440" s="20"/>
      <c r="X440" s="20"/>
      <c r="Y440" s="20"/>
      <c r="Z440" s="20"/>
      <c r="AA440" s="20"/>
      <c r="AB440" s="20"/>
    </row>
    <row r="441">
      <c r="A441" s="20"/>
      <c r="B441" s="20"/>
      <c r="C441" s="20"/>
      <c r="D441" s="20"/>
      <c r="E441" s="20"/>
      <c r="F441" s="282"/>
      <c r="G441" s="20"/>
      <c r="H441" s="20"/>
      <c r="I441" s="20"/>
      <c r="J441" s="20"/>
      <c r="K441" s="20"/>
      <c r="L441" s="20"/>
      <c r="M441" s="20"/>
      <c r="N441" s="20"/>
      <c r="O441" s="20"/>
      <c r="P441" s="20"/>
      <c r="Q441" s="20"/>
      <c r="R441" s="20"/>
      <c r="S441" s="188"/>
      <c r="T441" s="188"/>
      <c r="U441" s="188"/>
      <c r="V441" s="188"/>
      <c r="W441" s="20"/>
      <c r="X441" s="20"/>
      <c r="Y441" s="20"/>
      <c r="Z441" s="20"/>
      <c r="AA441" s="20"/>
      <c r="AB441" s="20"/>
    </row>
    <row r="442">
      <c r="A442" s="20"/>
      <c r="B442" s="20"/>
      <c r="C442" s="20"/>
      <c r="D442" s="20"/>
      <c r="E442" s="20"/>
      <c r="F442" s="282"/>
      <c r="G442" s="20"/>
      <c r="H442" s="20"/>
      <c r="I442" s="20"/>
      <c r="J442" s="20"/>
      <c r="K442" s="20"/>
      <c r="L442" s="20"/>
      <c r="M442" s="20"/>
      <c r="N442" s="20"/>
      <c r="O442" s="20"/>
      <c r="P442" s="20"/>
      <c r="Q442" s="20"/>
      <c r="R442" s="20"/>
      <c r="S442" s="188"/>
      <c r="T442" s="188"/>
      <c r="U442" s="188"/>
      <c r="V442" s="188"/>
      <c r="W442" s="20"/>
      <c r="X442" s="20"/>
      <c r="Y442" s="20"/>
      <c r="Z442" s="20"/>
      <c r="AA442" s="20"/>
      <c r="AB442" s="20"/>
    </row>
    <row r="443">
      <c r="A443" s="20"/>
      <c r="B443" s="20"/>
      <c r="C443" s="20"/>
      <c r="D443" s="20"/>
      <c r="E443" s="20"/>
      <c r="F443" s="282"/>
      <c r="G443" s="20"/>
      <c r="H443" s="20"/>
      <c r="I443" s="20"/>
      <c r="J443" s="20"/>
      <c r="K443" s="20"/>
      <c r="L443" s="20"/>
      <c r="M443" s="20"/>
      <c r="N443" s="20"/>
      <c r="O443" s="20"/>
      <c r="P443" s="20"/>
      <c r="Q443" s="20"/>
      <c r="R443" s="20"/>
      <c r="S443" s="188"/>
      <c r="T443" s="188"/>
      <c r="U443" s="188"/>
      <c r="V443" s="188"/>
      <c r="W443" s="20"/>
      <c r="X443" s="20"/>
      <c r="Y443" s="20"/>
      <c r="Z443" s="20"/>
      <c r="AA443" s="20"/>
      <c r="AB443" s="20"/>
    </row>
    <row r="444">
      <c r="A444" s="20"/>
      <c r="B444" s="20"/>
      <c r="C444" s="20"/>
      <c r="D444" s="20"/>
      <c r="E444" s="20"/>
      <c r="F444" s="282"/>
      <c r="G444" s="20"/>
      <c r="H444" s="20"/>
      <c r="I444" s="20"/>
      <c r="J444" s="20"/>
      <c r="K444" s="20"/>
      <c r="L444" s="20"/>
      <c r="M444" s="20"/>
      <c r="N444" s="20"/>
      <c r="O444" s="20"/>
      <c r="P444" s="20"/>
      <c r="Q444" s="20"/>
      <c r="R444" s="20"/>
      <c r="S444" s="188"/>
      <c r="T444" s="188"/>
      <c r="U444" s="188"/>
      <c r="V444" s="188"/>
      <c r="W444" s="20"/>
      <c r="X444" s="20"/>
      <c r="Y444" s="20"/>
      <c r="Z444" s="20"/>
      <c r="AA444" s="20"/>
      <c r="AB444" s="20"/>
    </row>
    <row r="445">
      <c r="A445" s="20"/>
      <c r="B445" s="20"/>
      <c r="C445" s="20"/>
      <c r="D445" s="20"/>
      <c r="E445" s="20"/>
      <c r="F445" s="282"/>
      <c r="G445" s="20"/>
      <c r="H445" s="20"/>
      <c r="I445" s="20"/>
      <c r="J445" s="20"/>
      <c r="K445" s="20"/>
      <c r="L445" s="20"/>
      <c r="M445" s="20"/>
      <c r="N445" s="20"/>
      <c r="O445" s="20"/>
      <c r="P445" s="20"/>
      <c r="Q445" s="20"/>
      <c r="R445" s="20"/>
      <c r="S445" s="188"/>
      <c r="T445" s="188"/>
      <c r="U445" s="188"/>
      <c r="V445" s="188"/>
      <c r="W445" s="20"/>
      <c r="X445" s="20"/>
      <c r="Y445" s="20"/>
      <c r="Z445" s="20"/>
      <c r="AA445" s="20"/>
      <c r="AB445" s="20"/>
    </row>
    <row r="446">
      <c r="A446" s="20"/>
      <c r="B446" s="20"/>
      <c r="C446" s="20"/>
      <c r="D446" s="20"/>
      <c r="E446" s="20"/>
      <c r="F446" s="282"/>
      <c r="G446" s="20"/>
      <c r="H446" s="20"/>
      <c r="I446" s="20"/>
      <c r="J446" s="20"/>
      <c r="K446" s="20"/>
      <c r="L446" s="20"/>
      <c r="M446" s="20"/>
      <c r="N446" s="20"/>
      <c r="O446" s="20"/>
      <c r="P446" s="20"/>
      <c r="Q446" s="20"/>
      <c r="R446" s="20"/>
      <c r="S446" s="188"/>
      <c r="T446" s="188"/>
      <c r="U446" s="188"/>
      <c r="V446" s="188"/>
      <c r="W446" s="20"/>
      <c r="X446" s="20"/>
      <c r="Y446" s="20"/>
      <c r="Z446" s="20"/>
      <c r="AA446" s="20"/>
      <c r="AB446" s="20"/>
    </row>
    <row r="447">
      <c r="A447" s="20"/>
      <c r="B447" s="20"/>
      <c r="C447" s="20"/>
      <c r="D447" s="20"/>
      <c r="E447" s="20"/>
      <c r="F447" s="282"/>
      <c r="G447" s="20"/>
      <c r="H447" s="20"/>
      <c r="I447" s="20"/>
      <c r="J447" s="20"/>
      <c r="K447" s="20"/>
      <c r="L447" s="20"/>
      <c r="M447" s="20"/>
      <c r="N447" s="20"/>
      <c r="O447" s="20"/>
      <c r="P447" s="20"/>
      <c r="Q447" s="20"/>
      <c r="R447" s="20"/>
      <c r="S447" s="188"/>
      <c r="T447" s="188"/>
      <c r="U447" s="188"/>
      <c r="V447" s="188"/>
      <c r="W447" s="20"/>
      <c r="X447" s="20"/>
      <c r="Y447" s="20"/>
      <c r="Z447" s="20"/>
      <c r="AA447" s="20"/>
      <c r="AB447" s="20"/>
    </row>
    <row r="448">
      <c r="A448" s="20"/>
      <c r="B448" s="20"/>
      <c r="C448" s="20"/>
      <c r="D448" s="20"/>
      <c r="E448" s="20"/>
      <c r="F448" s="282"/>
      <c r="G448" s="20"/>
      <c r="H448" s="20"/>
      <c r="I448" s="20"/>
      <c r="J448" s="20"/>
      <c r="K448" s="20"/>
      <c r="L448" s="20"/>
      <c r="M448" s="20"/>
      <c r="N448" s="20"/>
      <c r="O448" s="20"/>
      <c r="P448" s="20"/>
      <c r="Q448" s="20"/>
      <c r="R448" s="20"/>
      <c r="S448" s="188"/>
      <c r="T448" s="188"/>
      <c r="U448" s="188"/>
      <c r="V448" s="188"/>
      <c r="W448" s="20"/>
      <c r="X448" s="20"/>
      <c r="Y448" s="20"/>
      <c r="Z448" s="20"/>
      <c r="AA448" s="20"/>
      <c r="AB448" s="20"/>
    </row>
    <row r="449">
      <c r="A449" s="20"/>
      <c r="B449" s="20"/>
      <c r="C449" s="20"/>
      <c r="D449" s="20"/>
      <c r="E449" s="20"/>
      <c r="F449" s="282"/>
      <c r="G449" s="20"/>
      <c r="H449" s="20"/>
      <c r="I449" s="20"/>
      <c r="J449" s="20"/>
      <c r="K449" s="20"/>
      <c r="L449" s="20"/>
      <c r="M449" s="20"/>
      <c r="N449" s="20"/>
      <c r="O449" s="20"/>
      <c r="P449" s="20"/>
      <c r="Q449" s="20"/>
      <c r="R449" s="20"/>
      <c r="S449" s="188"/>
      <c r="T449" s="188"/>
      <c r="U449" s="188"/>
      <c r="V449" s="188"/>
      <c r="W449" s="20"/>
      <c r="X449" s="20"/>
      <c r="Y449" s="20"/>
      <c r="Z449" s="20"/>
      <c r="AA449" s="20"/>
      <c r="AB449" s="20"/>
    </row>
    <row r="450">
      <c r="A450" s="20"/>
      <c r="B450" s="20"/>
      <c r="C450" s="20"/>
      <c r="D450" s="20"/>
      <c r="E450" s="20"/>
      <c r="F450" s="282"/>
      <c r="G450" s="20"/>
      <c r="H450" s="20"/>
      <c r="I450" s="20"/>
      <c r="J450" s="20"/>
      <c r="K450" s="20"/>
      <c r="L450" s="20"/>
      <c r="M450" s="20"/>
      <c r="N450" s="20"/>
      <c r="O450" s="20"/>
      <c r="P450" s="20"/>
      <c r="Q450" s="20"/>
      <c r="R450" s="20"/>
      <c r="S450" s="188"/>
      <c r="T450" s="188"/>
      <c r="U450" s="188"/>
      <c r="V450" s="188"/>
      <c r="W450" s="20"/>
      <c r="X450" s="20"/>
      <c r="Y450" s="20"/>
      <c r="Z450" s="20"/>
      <c r="AA450" s="20"/>
      <c r="AB450" s="20"/>
    </row>
    <row r="451">
      <c r="A451" s="20"/>
      <c r="B451" s="20"/>
      <c r="C451" s="20"/>
      <c r="D451" s="20"/>
      <c r="E451" s="20"/>
      <c r="F451" s="282"/>
      <c r="G451" s="20"/>
      <c r="H451" s="20"/>
      <c r="I451" s="20"/>
      <c r="J451" s="20"/>
      <c r="K451" s="20"/>
      <c r="L451" s="20"/>
      <c r="M451" s="20"/>
      <c r="N451" s="20"/>
      <c r="O451" s="20"/>
      <c r="P451" s="20"/>
      <c r="Q451" s="20"/>
      <c r="R451" s="20"/>
      <c r="S451" s="188"/>
      <c r="T451" s="188"/>
      <c r="U451" s="188"/>
      <c r="V451" s="188"/>
      <c r="W451" s="20"/>
      <c r="X451" s="20"/>
      <c r="Y451" s="20"/>
      <c r="Z451" s="20"/>
      <c r="AA451" s="20"/>
      <c r="AB451" s="20"/>
    </row>
    <row r="452">
      <c r="A452" s="20"/>
      <c r="B452" s="20"/>
      <c r="C452" s="20"/>
      <c r="D452" s="20"/>
      <c r="E452" s="20"/>
      <c r="F452" s="282"/>
      <c r="G452" s="20"/>
      <c r="H452" s="20"/>
      <c r="I452" s="20"/>
      <c r="J452" s="20"/>
      <c r="K452" s="20"/>
      <c r="L452" s="20"/>
      <c r="M452" s="20"/>
      <c r="N452" s="20"/>
      <c r="O452" s="20"/>
      <c r="P452" s="20"/>
      <c r="Q452" s="20"/>
      <c r="R452" s="20"/>
      <c r="S452" s="188"/>
      <c r="T452" s="188"/>
      <c r="U452" s="188"/>
      <c r="V452" s="188"/>
      <c r="W452" s="20"/>
      <c r="X452" s="20"/>
      <c r="Y452" s="20"/>
      <c r="Z452" s="20"/>
      <c r="AA452" s="20"/>
      <c r="AB452" s="20"/>
    </row>
    <row r="453">
      <c r="A453" s="20"/>
      <c r="B453" s="20"/>
      <c r="C453" s="20"/>
      <c r="D453" s="20"/>
      <c r="E453" s="20"/>
      <c r="F453" s="282"/>
      <c r="G453" s="20"/>
      <c r="H453" s="20"/>
      <c r="I453" s="20"/>
      <c r="J453" s="20"/>
      <c r="K453" s="20"/>
      <c r="L453" s="20"/>
      <c r="M453" s="20"/>
      <c r="N453" s="20"/>
      <c r="O453" s="20"/>
      <c r="P453" s="20"/>
      <c r="Q453" s="20"/>
      <c r="R453" s="20"/>
      <c r="S453" s="188"/>
      <c r="T453" s="188"/>
      <c r="U453" s="188"/>
      <c r="V453" s="188"/>
      <c r="W453" s="20"/>
      <c r="X453" s="20"/>
      <c r="Y453" s="20"/>
      <c r="Z453" s="20"/>
      <c r="AA453" s="20"/>
      <c r="AB453" s="20"/>
    </row>
    <row r="454">
      <c r="A454" s="20"/>
      <c r="B454" s="20"/>
      <c r="C454" s="20"/>
      <c r="D454" s="20"/>
      <c r="E454" s="20"/>
      <c r="F454" s="282"/>
      <c r="G454" s="20"/>
      <c r="H454" s="20"/>
      <c r="I454" s="20"/>
      <c r="J454" s="20"/>
      <c r="K454" s="20"/>
      <c r="L454" s="20"/>
      <c r="M454" s="20"/>
      <c r="N454" s="20"/>
      <c r="O454" s="20"/>
      <c r="P454" s="20"/>
      <c r="Q454" s="20"/>
      <c r="R454" s="20"/>
      <c r="S454" s="188"/>
      <c r="T454" s="188"/>
      <c r="U454" s="188"/>
      <c r="V454" s="188"/>
      <c r="W454" s="20"/>
      <c r="X454" s="20"/>
      <c r="Y454" s="20"/>
      <c r="Z454" s="20"/>
      <c r="AA454" s="20"/>
      <c r="AB454" s="20"/>
    </row>
    <row r="455">
      <c r="A455" s="20"/>
      <c r="B455" s="20"/>
      <c r="C455" s="20"/>
      <c r="D455" s="20"/>
      <c r="E455" s="20"/>
      <c r="F455" s="282"/>
      <c r="G455" s="20"/>
      <c r="H455" s="20"/>
      <c r="I455" s="20"/>
      <c r="J455" s="20"/>
      <c r="K455" s="20"/>
      <c r="L455" s="20"/>
      <c r="M455" s="20"/>
      <c r="N455" s="20"/>
      <c r="O455" s="20"/>
      <c r="P455" s="20"/>
      <c r="Q455" s="20"/>
      <c r="R455" s="20"/>
      <c r="S455" s="188"/>
      <c r="T455" s="188"/>
      <c r="U455" s="188"/>
      <c r="V455" s="188"/>
      <c r="W455" s="20"/>
      <c r="X455" s="20"/>
      <c r="Y455" s="20"/>
      <c r="Z455" s="20"/>
      <c r="AA455" s="20"/>
      <c r="AB455" s="20"/>
    </row>
    <row r="456">
      <c r="A456" s="20"/>
      <c r="B456" s="20"/>
      <c r="C456" s="20"/>
      <c r="D456" s="20"/>
      <c r="E456" s="20"/>
      <c r="F456" s="282"/>
      <c r="G456" s="20"/>
      <c r="H456" s="20"/>
      <c r="I456" s="20"/>
      <c r="J456" s="20"/>
      <c r="K456" s="20"/>
      <c r="L456" s="20"/>
      <c r="M456" s="20"/>
      <c r="N456" s="20"/>
      <c r="O456" s="20"/>
      <c r="P456" s="20"/>
      <c r="Q456" s="20"/>
      <c r="R456" s="20"/>
      <c r="S456" s="188"/>
      <c r="T456" s="188"/>
      <c r="U456" s="188"/>
      <c r="V456" s="188"/>
      <c r="W456" s="20"/>
      <c r="X456" s="20"/>
      <c r="Y456" s="20"/>
      <c r="Z456" s="20"/>
      <c r="AA456" s="20"/>
      <c r="AB456" s="20"/>
    </row>
    <row r="457">
      <c r="A457" s="20"/>
      <c r="B457" s="20"/>
      <c r="C457" s="20"/>
      <c r="D457" s="20"/>
      <c r="E457" s="20"/>
      <c r="F457" s="282"/>
      <c r="G457" s="20"/>
      <c r="H457" s="20"/>
      <c r="I457" s="20"/>
      <c r="J457" s="20"/>
      <c r="K457" s="20"/>
      <c r="L457" s="20"/>
      <c r="M457" s="20"/>
      <c r="N457" s="20"/>
      <c r="O457" s="20"/>
      <c r="P457" s="20"/>
      <c r="Q457" s="20"/>
      <c r="R457" s="20"/>
      <c r="S457" s="188"/>
      <c r="T457" s="188"/>
      <c r="U457" s="188"/>
      <c r="V457" s="188"/>
      <c r="W457" s="20"/>
      <c r="X457" s="20"/>
      <c r="Y457" s="20"/>
      <c r="Z457" s="20"/>
      <c r="AA457" s="20"/>
      <c r="AB457" s="20"/>
    </row>
    <row r="458">
      <c r="A458" s="20"/>
      <c r="B458" s="20"/>
      <c r="C458" s="20"/>
      <c r="D458" s="20"/>
      <c r="E458" s="20"/>
      <c r="F458" s="282"/>
      <c r="G458" s="20"/>
      <c r="H458" s="20"/>
      <c r="I458" s="20"/>
      <c r="J458" s="20"/>
      <c r="K458" s="20"/>
      <c r="L458" s="20"/>
      <c r="M458" s="20"/>
      <c r="N458" s="20"/>
      <c r="O458" s="20"/>
      <c r="P458" s="20"/>
      <c r="Q458" s="20"/>
      <c r="R458" s="20"/>
      <c r="S458" s="188"/>
      <c r="T458" s="188"/>
      <c r="U458" s="188"/>
      <c r="V458" s="188"/>
      <c r="W458" s="20"/>
      <c r="X458" s="20"/>
      <c r="Y458" s="20"/>
      <c r="Z458" s="20"/>
      <c r="AA458" s="20"/>
      <c r="AB458" s="20"/>
    </row>
    <row r="459">
      <c r="A459" s="20"/>
      <c r="B459" s="20"/>
      <c r="C459" s="20"/>
      <c r="D459" s="20"/>
      <c r="E459" s="20"/>
      <c r="F459" s="282"/>
      <c r="G459" s="20"/>
      <c r="H459" s="20"/>
      <c r="I459" s="20"/>
      <c r="J459" s="20"/>
      <c r="K459" s="20"/>
      <c r="L459" s="20"/>
      <c r="M459" s="20"/>
      <c r="N459" s="20"/>
      <c r="O459" s="20"/>
      <c r="P459" s="20"/>
      <c r="Q459" s="20"/>
      <c r="R459" s="20"/>
      <c r="S459" s="188"/>
      <c r="T459" s="188"/>
      <c r="U459" s="188"/>
      <c r="V459" s="188"/>
      <c r="W459" s="20"/>
      <c r="X459" s="20"/>
      <c r="Y459" s="20"/>
      <c r="Z459" s="20"/>
      <c r="AA459" s="20"/>
      <c r="AB459" s="20"/>
    </row>
    <row r="460">
      <c r="A460" s="20"/>
      <c r="B460" s="20"/>
      <c r="C460" s="20"/>
      <c r="D460" s="20"/>
      <c r="E460" s="20"/>
      <c r="F460" s="282"/>
      <c r="G460" s="20"/>
      <c r="H460" s="20"/>
      <c r="I460" s="20"/>
      <c r="J460" s="20"/>
      <c r="K460" s="20"/>
      <c r="L460" s="20"/>
      <c r="M460" s="20"/>
      <c r="N460" s="20"/>
      <c r="O460" s="20"/>
      <c r="P460" s="20"/>
      <c r="Q460" s="20"/>
      <c r="R460" s="20"/>
      <c r="S460" s="188"/>
      <c r="T460" s="188"/>
      <c r="U460" s="188"/>
      <c r="V460" s="188"/>
      <c r="W460" s="20"/>
      <c r="X460" s="20"/>
      <c r="Y460" s="20"/>
      <c r="Z460" s="20"/>
      <c r="AA460" s="20"/>
      <c r="AB460" s="20"/>
    </row>
    <row r="461">
      <c r="A461" s="20"/>
      <c r="B461" s="20"/>
      <c r="C461" s="20"/>
      <c r="D461" s="20"/>
      <c r="E461" s="20"/>
      <c r="F461" s="282"/>
      <c r="G461" s="20"/>
      <c r="H461" s="20"/>
      <c r="I461" s="20"/>
      <c r="J461" s="20"/>
      <c r="K461" s="20"/>
      <c r="L461" s="20"/>
      <c r="M461" s="20"/>
      <c r="N461" s="20"/>
      <c r="O461" s="20"/>
      <c r="P461" s="20"/>
      <c r="Q461" s="20"/>
      <c r="R461" s="20"/>
      <c r="S461" s="188"/>
      <c r="T461" s="188"/>
      <c r="U461" s="188"/>
      <c r="V461" s="188"/>
      <c r="W461" s="20"/>
      <c r="X461" s="20"/>
      <c r="Y461" s="20"/>
      <c r="Z461" s="20"/>
      <c r="AA461" s="20"/>
      <c r="AB461" s="20"/>
    </row>
    <row r="462">
      <c r="A462" s="20"/>
      <c r="B462" s="20"/>
      <c r="C462" s="20"/>
      <c r="D462" s="20"/>
      <c r="E462" s="20"/>
      <c r="F462" s="282"/>
      <c r="G462" s="20"/>
      <c r="H462" s="20"/>
      <c r="I462" s="20"/>
      <c r="J462" s="20"/>
      <c r="K462" s="20"/>
      <c r="L462" s="20"/>
      <c r="M462" s="20"/>
      <c r="N462" s="20"/>
      <c r="O462" s="20"/>
      <c r="P462" s="20"/>
      <c r="Q462" s="20"/>
      <c r="R462" s="20"/>
      <c r="S462" s="188"/>
      <c r="T462" s="188"/>
      <c r="U462" s="188"/>
      <c r="V462" s="188"/>
      <c r="W462" s="20"/>
      <c r="X462" s="20"/>
      <c r="Y462" s="20"/>
      <c r="Z462" s="20"/>
      <c r="AA462" s="20"/>
      <c r="AB462" s="20"/>
    </row>
    <row r="463">
      <c r="A463" s="20"/>
      <c r="B463" s="20"/>
      <c r="C463" s="20"/>
      <c r="D463" s="20"/>
      <c r="E463" s="20"/>
      <c r="F463" s="282"/>
      <c r="G463" s="20"/>
      <c r="H463" s="20"/>
      <c r="I463" s="20"/>
      <c r="J463" s="20"/>
      <c r="K463" s="20"/>
      <c r="L463" s="20"/>
      <c r="M463" s="20"/>
      <c r="N463" s="20"/>
      <c r="O463" s="20"/>
      <c r="P463" s="20"/>
      <c r="Q463" s="20"/>
      <c r="R463" s="20"/>
      <c r="S463" s="188"/>
      <c r="T463" s="188"/>
      <c r="U463" s="188"/>
      <c r="V463" s="188"/>
      <c r="W463" s="20"/>
      <c r="X463" s="20"/>
      <c r="Y463" s="20"/>
      <c r="Z463" s="20"/>
      <c r="AA463" s="20"/>
      <c r="AB463" s="20"/>
    </row>
    <row r="464">
      <c r="A464" s="20"/>
      <c r="B464" s="20"/>
      <c r="C464" s="20"/>
      <c r="D464" s="20"/>
      <c r="E464" s="20"/>
      <c r="F464" s="282"/>
      <c r="G464" s="20"/>
      <c r="H464" s="20"/>
      <c r="I464" s="20"/>
      <c r="J464" s="20"/>
      <c r="K464" s="20"/>
      <c r="L464" s="20"/>
      <c r="M464" s="20"/>
      <c r="N464" s="20"/>
      <c r="O464" s="20"/>
      <c r="P464" s="20"/>
      <c r="Q464" s="20"/>
      <c r="R464" s="20"/>
      <c r="S464" s="188"/>
      <c r="T464" s="188"/>
      <c r="U464" s="188"/>
      <c r="V464" s="188"/>
      <c r="W464" s="20"/>
      <c r="X464" s="20"/>
      <c r="Y464" s="20"/>
      <c r="Z464" s="20"/>
      <c r="AA464" s="20"/>
      <c r="AB464" s="20"/>
    </row>
    <row r="465">
      <c r="A465" s="20"/>
      <c r="B465" s="20"/>
      <c r="C465" s="20"/>
      <c r="D465" s="20"/>
      <c r="E465" s="20"/>
      <c r="F465" s="282"/>
      <c r="G465" s="20"/>
      <c r="H465" s="20"/>
      <c r="I465" s="20"/>
      <c r="J465" s="20"/>
      <c r="K465" s="20"/>
      <c r="L465" s="20"/>
      <c r="M465" s="20"/>
      <c r="N465" s="20"/>
      <c r="O465" s="20"/>
      <c r="P465" s="20"/>
      <c r="Q465" s="20"/>
      <c r="R465" s="20"/>
      <c r="S465" s="188"/>
      <c r="T465" s="188"/>
      <c r="U465" s="188"/>
      <c r="V465" s="188"/>
      <c r="W465" s="20"/>
      <c r="X465" s="20"/>
      <c r="Y465" s="20"/>
      <c r="Z465" s="20"/>
      <c r="AA465" s="20"/>
      <c r="AB465" s="20"/>
    </row>
    <row r="466">
      <c r="A466" s="20"/>
      <c r="B466" s="20"/>
      <c r="C466" s="20"/>
      <c r="D466" s="20"/>
      <c r="E466" s="20"/>
      <c r="F466" s="282"/>
      <c r="G466" s="20"/>
      <c r="H466" s="20"/>
      <c r="I466" s="20"/>
      <c r="J466" s="20"/>
      <c r="K466" s="20"/>
      <c r="L466" s="20"/>
      <c r="M466" s="20"/>
      <c r="N466" s="20"/>
      <c r="O466" s="20"/>
      <c r="P466" s="20"/>
      <c r="Q466" s="20"/>
      <c r="R466" s="20"/>
      <c r="S466" s="188"/>
      <c r="T466" s="188"/>
      <c r="U466" s="188"/>
      <c r="V466" s="188"/>
      <c r="W466" s="20"/>
      <c r="X466" s="20"/>
      <c r="Y466" s="20"/>
      <c r="Z466" s="20"/>
      <c r="AA466" s="20"/>
      <c r="AB466" s="20"/>
    </row>
    <row r="467">
      <c r="A467" s="20"/>
      <c r="B467" s="20"/>
      <c r="C467" s="20"/>
      <c r="D467" s="20"/>
      <c r="E467" s="20"/>
      <c r="F467" s="282"/>
      <c r="G467" s="20"/>
      <c r="H467" s="20"/>
      <c r="I467" s="20"/>
      <c r="J467" s="20"/>
      <c r="K467" s="20"/>
      <c r="L467" s="20"/>
      <c r="M467" s="20"/>
      <c r="N467" s="20"/>
      <c r="O467" s="20"/>
      <c r="P467" s="20"/>
      <c r="Q467" s="20"/>
      <c r="R467" s="20"/>
      <c r="S467" s="188"/>
      <c r="T467" s="188"/>
      <c r="U467" s="188"/>
      <c r="V467" s="188"/>
      <c r="W467" s="20"/>
      <c r="X467" s="20"/>
      <c r="Y467" s="20"/>
      <c r="Z467" s="20"/>
      <c r="AA467" s="20"/>
      <c r="AB467" s="20"/>
    </row>
    <row r="468">
      <c r="A468" s="20"/>
      <c r="B468" s="20"/>
      <c r="C468" s="20"/>
      <c r="D468" s="20"/>
      <c r="E468" s="20"/>
      <c r="F468" s="282"/>
      <c r="G468" s="20"/>
      <c r="H468" s="20"/>
      <c r="I468" s="20"/>
      <c r="J468" s="20"/>
      <c r="K468" s="20"/>
      <c r="L468" s="20"/>
      <c r="M468" s="20"/>
      <c r="N468" s="20"/>
      <c r="O468" s="20"/>
      <c r="P468" s="20"/>
      <c r="Q468" s="20"/>
      <c r="R468" s="20"/>
      <c r="S468" s="188"/>
      <c r="T468" s="188"/>
      <c r="U468" s="188"/>
      <c r="V468" s="188"/>
      <c r="W468" s="20"/>
      <c r="X468" s="20"/>
      <c r="Y468" s="20"/>
      <c r="Z468" s="20"/>
      <c r="AA468" s="20"/>
      <c r="AB468" s="20"/>
    </row>
    <row r="469">
      <c r="A469" s="20"/>
      <c r="B469" s="20"/>
      <c r="C469" s="20"/>
      <c r="D469" s="20"/>
      <c r="E469" s="20"/>
      <c r="F469" s="282"/>
      <c r="G469" s="20"/>
      <c r="H469" s="20"/>
      <c r="I469" s="20"/>
      <c r="J469" s="20"/>
      <c r="K469" s="20"/>
      <c r="L469" s="20"/>
      <c r="M469" s="20"/>
      <c r="N469" s="20"/>
      <c r="O469" s="20"/>
      <c r="P469" s="20"/>
      <c r="Q469" s="20"/>
      <c r="R469" s="20"/>
      <c r="S469" s="188"/>
      <c r="T469" s="188"/>
      <c r="U469" s="188"/>
      <c r="V469" s="188"/>
      <c r="W469" s="20"/>
      <c r="X469" s="20"/>
      <c r="Y469" s="20"/>
      <c r="Z469" s="20"/>
      <c r="AA469" s="20"/>
      <c r="AB469" s="20"/>
    </row>
    <row r="470">
      <c r="A470" s="20"/>
      <c r="B470" s="20"/>
      <c r="C470" s="20"/>
      <c r="D470" s="20"/>
      <c r="E470" s="20"/>
      <c r="F470" s="282"/>
      <c r="G470" s="20"/>
      <c r="H470" s="20"/>
      <c r="I470" s="20"/>
      <c r="J470" s="20"/>
      <c r="K470" s="20"/>
      <c r="L470" s="20"/>
      <c r="M470" s="20"/>
      <c r="N470" s="20"/>
      <c r="O470" s="20"/>
      <c r="P470" s="20"/>
      <c r="Q470" s="20"/>
      <c r="R470" s="20"/>
      <c r="S470" s="188"/>
      <c r="T470" s="188"/>
      <c r="U470" s="188"/>
      <c r="V470" s="188"/>
      <c r="W470" s="20"/>
      <c r="X470" s="20"/>
      <c r="Y470" s="20"/>
      <c r="Z470" s="20"/>
      <c r="AA470" s="20"/>
      <c r="AB470" s="20"/>
    </row>
    <row r="471">
      <c r="A471" s="20"/>
      <c r="B471" s="20"/>
      <c r="C471" s="20"/>
      <c r="D471" s="20"/>
      <c r="E471" s="20"/>
      <c r="F471" s="282"/>
      <c r="G471" s="20"/>
      <c r="H471" s="20"/>
      <c r="I471" s="20"/>
      <c r="J471" s="20"/>
      <c r="K471" s="20"/>
      <c r="L471" s="20"/>
      <c r="M471" s="20"/>
      <c r="N471" s="20"/>
      <c r="O471" s="20"/>
      <c r="P471" s="20"/>
      <c r="Q471" s="20"/>
      <c r="R471" s="20"/>
      <c r="S471" s="188"/>
      <c r="T471" s="188"/>
      <c r="U471" s="188"/>
      <c r="V471" s="188"/>
      <c r="W471" s="20"/>
      <c r="X471" s="20"/>
      <c r="Y471" s="20"/>
      <c r="Z471" s="20"/>
      <c r="AA471" s="20"/>
      <c r="AB471" s="20"/>
    </row>
    <row r="472">
      <c r="A472" s="20"/>
      <c r="B472" s="20"/>
      <c r="C472" s="20"/>
      <c r="D472" s="20"/>
      <c r="E472" s="20"/>
      <c r="F472" s="282"/>
      <c r="G472" s="20"/>
      <c r="H472" s="20"/>
      <c r="I472" s="20"/>
      <c r="J472" s="20"/>
      <c r="K472" s="20"/>
      <c r="L472" s="20"/>
      <c r="M472" s="20"/>
      <c r="N472" s="20"/>
      <c r="O472" s="20"/>
      <c r="P472" s="20"/>
      <c r="Q472" s="20"/>
      <c r="R472" s="20"/>
      <c r="S472" s="188"/>
      <c r="T472" s="188"/>
      <c r="U472" s="188"/>
      <c r="V472" s="188"/>
      <c r="W472" s="20"/>
      <c r="X472" s="20"/>
      <c r="Y472" s="20"/>
      <c r="Z472" s="20"/>
      <c r="AA472" s="20"/>
      <c r="AB472" s="20"/>
    </row>
    <row r="473">
      <c r="A473" s="20"/>
      <c r="B473" s="20"/>
      <c r="C473" s="20"/>
      <c r="D473" s="20"/>
      <c r="E473" s="20"/>
      <c r="F473" s="282"/>
      <c r="G473" s="20"/>
      <c r="H473" s="20"/>
      <c r="I473" s="20"/>
      <c r="J473" s="20"/>
      <c r="K473" s="20"/>
      <c r="L473" s="20"/>
      <c r="M473" s="20"/>
      <c r="N473" s="20"/>
      <c r="O473" s="20"/>
      <c r="P473" s="20"/>
      <c r="Q473" s="20"/>
      <c r="R473" s="20"/>
      <c r="S473" s="188"/>
      <c r="T473" s="188"/>
      <c r="U473" s="188"/>
      <c r="V473" s="188"/>
      <c r="W473" s="20"/>
      <c r="X473" s="20"/>
      <c r="Y473" s="20"/>
      <c r="Z473" s="20"/>
      <c r="AA473" s="20"/>
      <c r="AB473" s="20"/>
    </row>
    <row r="474">
      <c r="A474" s="20"/>
      <c r="B474" s="20"/>
      <c r="C474" s="20"/>
      <c r="D474" s="20"/>
      <c r="E474" s="20"/>
      <c r="F474" s="282"/>
      <c r="G474" s="20"/>
      <c r="H474" s="20"/>
      <c r="I474" s="20"/>
      <c r="J474" s="20"/>
      <c r="K474" s="20"/>
      <c r="L474" s="20"/>
      <c r="M474" s="20"/>
      <c r="N474" s="20"/>
      <c r="O474" s="20"/>
      <c r="P474" s="20"/>
      <c r="Q474" s="20"/>
      <c r="R474" s="20"/>
      <c r="S474" s="188"/>
      <c r="T474" s="188"/>
      <c r="U474" s="188"/>
      <c r="V474" s="188"/>
      <c r="W474" s="20"/>
      <c r="X474" s="20"/>
      <c r="Y474" s="20"/>
      <c r="Z474" s="20"/>
      <c r="AA474" s="20"/>
      <c r="AB474" s="20"/>
    </row>
    <row r="475">
      <c r="A475" s="20"/>
      <c r="B475" s="20"/>
      <c r="C475" s="20"/>
      <c r="D475" s="20"/>
      <c r="E475" s="20"/>
      <c r="F475" s="282"/>
      <c r="G475" s="20"/>
      <c r="H475" s="20"/>
      <c r="I475" s="20"/>
      <c r="J475" s="20"/>
      <c r="K475" s="20"/>
      <c r="L475" s="20"/>
      <c r="M475" s="20"/>
      <c r="N475" s="20"/>
      <c r="O475" s="20"/>
      <c r="P475" s="20"/>
      <c r="Q475" s="20"/>
      <c r="R475" s="20"/>
      <c r="S475" s="188"/>
      <c r="T475" s="188"/>
      <c r="U475" s="188"/>
      <c r="V475" s="188"/>
      <c r="W475" s="20"/>
      <c r="X475" s="20"/>
      <c r="Y475" s="20"/>
      <c r="Z475" s="20"/>
      <c r="AA475" s="20"/>
      <c r="AB475" s="20"/>
    </row>
    <row r="476">
      <c r="A476" s="20"/>
      <c r="B476" s="20"/>
      <c r="C476" s="20"/>
      <c r="D476" s="20"/>
      <c r="E476" s="20"/>
      <c r="F476" s="282"/>
      <c r="G476" s="20"/>
      <c r="H476" s="20"/>
      <c r="I476" s="20"/>
      <c r="J476" s="20"/>
      <c r="K476" s="20"/>
      <c r="L476" s="20"/>
      <c r="M476" s="20"/>
      <c r="N476" s="20"/>
      <c r="O476" s="20"/>
      <c r="P476" s="20"/>
      <c r="Q476" s="20"/>
      <c r="R476" s="20"/>
      <c r="S476" s="188"/>
      <c r="T476" s="188"/>
      <c r="U476" s="188"/>
      <c r="V476" s="188"/>
      <c r="W476" s="20"/>
      <c r="X476" s="20"/>
      <c r="Y476" s="20"/>
      <c r="Z476" s="20"/>
      <c r="AA476" s="20"/>
      <c r="AB476" s="20"/>
    </row>
    <row r="477">
      <c r="A477" s="20"/>
      <c r="B477" s="20"/>
      <c r="C477" s="20"/>
      <c r="D477" s="20"/>
      <c r="E477" s="20"/>
      <c r="F477" s="282"/>
      <c r="G477" s="20"/>
      <c r="H477" s="20"/>
      <c r="I477" s="20"/>
      <c r="J477" s="20"/>
      <c r="K477" s="20"/>
      <c r="L477" s="20"/>
      <c r="M477" s="20"/>
      <c r="N477" s="20"/>
      <c r="O477" s="20"/>
      <c r="P477" s="20"/>
      <c r="Q477" s="20"/>
      <c r="R477" s="20"/>
      <c r="S477" s="188"/>
      <c r="T477" s="188"/>
      <c r="U477" s="188"/>
      <c r="V477" s="188"/>
      <c r="W477" s="20"/>
      <c r="X477" s="20"/>
      <c r="Y477" s="20"/>
      <c r="Z477" s="20"/>
      <c r="AA477" s="20"/>
      <c r="AB477" s="20"/>
    </row>
    <row r="478">
      <c r="A478" s="20"/>
      <c r="B478" s="20"/>
      <c r="C478" s="20"/>
      <c r="D478" s="20"/>
      <c r="E478" s="20"/>
      <c r="F478" s="282"/>
      <c r="G478" s="20"/>
      <c r="H478" s="20"/>
      <c r="I478" s="20"/>
      <c r="J478" s="20"/>
      <c r="K478" s="20"/>
      <c r="L478" s="20"/>
      <c r="M478" s="20"/>
      <c r="N478" s="20"/>
      <c r="O478" s="20"/>
      <c r="P478" s="20"/>
      <c r="Q478" s="20"/>
      <c r="R478" s="20"/>
      <c r="S478" s="188"/>
      <c r="T478" s="188"/>
      <c r="U478" s="188"/>
      <c r="V478" s="188"/>
      <c r="W478" s="20"/>
      <c r="X478" s="20"/>
      <c r="Y478" s="20"/>
      <c r="Z478" s="20"/>
      <c r="AA478" s="20"/>
      <c r="AB478" s="20"/>
    </row>
    <row r="479">
      <c r="A479" s="20"/>
      <c r="B479" s="20"/>
      <c r="C479" s="20"/>
      <c r="D479" s="20"/>
      <c r="E479" s="20"/>
      <c r="F479" s="282"/>
      <c r="G479" s="20"/>
      <c r="H479" s="20"/>
      <c r="I479" s="20"/>
      <c r="J479" s="20"/>
      <c r="K479" s="20"/>
      <c r="L479" s="20"/>
      <c r="M479" s="20"/>
      <c r="N479" s="20"/>
      <c r="O479" s="20"/>
      <c r="P479" s="20"/>
      <c r="Q479" s="20"/>
      <c r="R479" s="20"/>
      <c r="S479" s="188"/>
      <c r="T479" s="188"/>
      <c r="U479" s="188"/>
      <c r="V479" s="188"/>
      <c r="W479" s="20"/>
      <c r="X479" s="20"/>
      <c r="Y479" s="20"/>
      <c r="Z479" s="20"/>
      <c r="AA479" s="20"/>
      <c r="AB479" s="20"/>
    </row>
    <row r="480">
      <c r="A480" s="20"/>
      <c r="B480" s="20"/>
      <c r="C480" s="20"/>
      <c r="D480" s="20"/>
      <c r="E480" s="20"/>
      <c r="F480" s="282"/>
      <c r="G480" s="20"/>
      <c r="H480" s="20"/>
      <c r="I480" s="20"/>
      <c r="J480" s="20"/>
      <c r="K480" s="20"/>
      <c r="L480" s="20"/>
      <c r="M480" s="20"/>
      <c r="N480" s="20"/>
      <c r="O480" s="20"/>
      <c r="P480" s="20"/>
      <c r="Q480" s="20"/>
      <c r="R480" s="20"/>
      <c r="S480" s="188"/>
      <c r="T480" s="188"/>
      <c r="U480" s="188"/>
      <c r="V480" s="188"/>
      <c r="W480" s="20"/>
      <c r="X480" s="20"/>
      <c r="Y480" s="20"/>
      <c r="Z480" s="20"/>
      <c r="AA480" s="20"/>
      <c r="AB480" s="20"/>
    </row>
    <row r="481">
      <c r="A481" s="20"/>
      <c r="B481" s="20"/>
      <c r="C481" s="20"/>
      <c r="D481" s="20"/>
      <c r="E481" s="20"/>
      <c r="F481" s="282"/>
      <c r="G481" s="20"/>
      <c r="H481" s="20"/>
      <c r="I481" s="20"/>
      <c r="J481" s="20"/>
      <c r="K481" s="20"/>
      <c r="L481" s="20"/>
      <c r="M481" s="20"/>
      <c r="N481" s="20"/>
      <c r="O481" s="20"/>
      <c r="P481" s="20"/>
      <c r="Q481" s="20"/>
      <c r="R481" s="20"/>
      <c r="S481" s="188"/>
      <c r="T481" s="188"/>
      <c r="U481" s="188"/>
      <c r="V481" s="188"/>
      <c r="W481" s="20"/>
      <c r="X481" s="20"/>
      <c r="Y481" s="20"/>
      <c r="Z481" s="20"/>
      <c r="AA481" s="20"/>
      <c r="AB481" s="20"/>
    </row>
    <row r="482">
      <c r="A482" s="20"/>
      <c r="B482" s="20"/>
      <c r="C482" s="20"/>
      <c r="D482" s="20"/>
      <c r="E482" s="20"/>
      <c r="F482" s="282"/>
      <c r="G482" s="20"/>
      <c r="H482" s="20"/>
      <c r="I482" s="20"/>
      <c r="J482" s="20"/>
      <c r="K482" s="20"/>
      <c r="L482" s="20"/>
      <c r="M482" s="20"/>
      <c r="N482" s="20"/>
      <c r="O482" s="20"/>
      <c r="P482" s="20"/>
      <c r="Q482" s="20"/>
      <c r="R482" s="20"/>
      <c r="S482" s="188"/>
      <c r="T482" s="188"/>
      <c r="U482" s="188"/>
      <c r="V482" s="188"/>
      <c r="W482" s="20"/>
      <c r="X482" s="20"/>
      <c r="Y482" s="20"/>
      <c r="Z482" s="20"/>
      <c r="AA482" s="20"/>
      <c r="AB482" s="20"/>
    </row>
    <row r="483">
      <c r="A483" s="20"/>
      <c r="B483" s="20"/>
      <c r="C483" s="20"/>
      <c r="D483" s="20"/>
      <c r="E483" s="20"/>
      <c r="F483" s="282"/>
      <c r="G483" s="20"/>
      <c r="H483" s="20"/>
      <c r="I483" s="20"/>
      <c r="J483" s="20"/>
      <c r="K483" s="20"/>
      <c r="L483" s="20"/>
      <c r="M483" s="20"/>
      <c r="N483" s="20"/>
      <c r="O483" s="20"/>
      <c r="P483" s="20"/>
      <c r="Q483" s="20"/>
      <c r="R483" s="20"/>
      <c r="S483" s="188"/>
      <c r="T483" s="188"/>
      <c r="U483" s="188"/>
      <c r="V483" s="188"/>
      <c r="W483" s="20"/>
      <c r="X483" s="20"/>
      <c r="Y483" s="20"/>
      <c r="Z483" s="20"/>
      <c r="AA483" s="20"/>
      <c r="AB483" s="20"/>
    </row>
    <row r="484">
      <c r="A484" s="20"/>
      <c r="B484" s="20"/>
      <c r="C484" s="20"/>
      <c r="D484" s="20"/>
      <c r="E484" s="20"/>
      <c r="F484" s="282"/>
      <c r="G484" s="20"/>
      <c r="H484" s="20"/>
      <c r="I484" s="20"/>
      <c r="J484" s="20"/>
      <c r="K484" s="20"/>
      <c r="L484" s="20"/>
      <c r="M484" s="20"/>
      <c r="N484" s="20"/>
      <c r="O484" s="20"/>
      <c r="P484" s="20"/>
      <c r="Q484" s="20"/>
      <c r="R484" s="20"/>
      <c r="S484" s="188"/>
      <c r="T484" s="188"/>
      <c r="U484" s="188"/>
      <c r="V484" s="188"/>
      <c r="W484" s="20"/>
      <c r="X484" s="20"/>
      <c r="Y484" s="20"/>
      <c r="Z484" s="20"/>
      <c r="AA484" s="20"/>
      <c r="AB484" s="20"/>
    </row>
    <row r="485">
      <c r="A485" s="20"/>
      <c r="B485" s="20"/>
      <c r="C485" s="20"/>
      <c r="D485" s="20"/>
      <c r="E485" s="20"/>
      <c r="F485" s="282"/>
      <c r="G485" s="20"/>
      <c r="H485" s="20"/>
      <c r="I485" s="20"/>
      <c r="J485" s="20"/>
      <c r="K485" s="20"/>
      <c r="L485" s="20"/>
      <c r="M485" s="20"/>
      <c r="N485" s="20"/>
      <c r="O485" s="20"/>
      <c r="P485" s="20"/>
      <c r="Q485" s="20"/>
      <c r="R485" s="20"/>
      <c r="S485" s="188"/>
      <c r="T485" s="188"/>
      <c r="U485" s="188"/>
      <c r="V485" s="188"/>
      <c r="W485" s="20"/>
      <c r="X485" s="20"/>
      <c r="Y485" s="20"/>
      <c r="Z485" s="20"/>
      <c r="AA485" s="20"/>
      <c r="AB485" s="20"/>
    </row>
    <row r="486">
      <c r="A486" s="20"/>
      <c r="B486" s="20"/>
      <c r="C486" s="20"/>
      <c r="D486" s="20"/>
      <c r="E486" s="20"/>
      <c r="F486" s="282"/>
      <c r="G486" s="20"/>
      <c r="H486" s="20"/>
      <c r="I486" s="20"/>
      <c r="J486" s="20"/>
      <c r="K486" s="20"/>
      <c r="L486" s="20"/>
      <c r="M486" s="20"/>
      <c r="N486" s="20"/>
      <c r="O486" s="20"/>
      <c r="P486" s="20"/>
      <c r="Q486" s="20"/>
      <c r="R486" s="20"/>
      <c r="S486" s="188"/>
      <c r="T486" s="188"/>
      <c r="U486" s="188"/>
      <c r="V486" s="188"/>
      <c r="W486" s="20"/>
      <c r="X486" s="20"/>
      <c r="Y486" s="20"/>
      <c r="Z486" s="20"/>
      <c r="AA486" s="20"/>
      <c r="AB486" s="20"/>
    </row>
    <row r="487">
      <c r="A487" s="20"/>
      <c r="B487" s="20"/>
      <c r="C487" s="20"/>
      <c r="D487" s="20"/>
      <c r="E487" s="20"/>
      <c r="F487" s="282"/>
      <c r="G487" s="20"/>
      <c r="H487" s="20"/>
      <c r="I487" s="20"/>
      <c r="J487" s="20"/>
      <c r="K487" s="20"/>
      <c r="L487" s="20"/>
      <c r="M487" s="20"/>
      <c r="N487" s="20"/>
      <c r="O487" s="20"/>
      <c r="P487" s="20"/>
      <c r="Q487" s="20"/>
      <c r="R487" s="20"/>
      <c r="S487" s="188"/>
      <c r="T487" s="188"/>
      <c r="U487" s="188"/>
      <c r="V487" s="188"/>
      <c r="W487" s="20"/>
      <c r="X487" s="20"/>
      <c r="Y487" s="20"/>
      <c r="Z487" s="20"/>
      <c r="AA487" s="20"/>
      <c r="AB487" s="20"/>
    </row>
    <row r="488">
      <c r="A488" s="20"/>
      <c r="B488" s="20"/>
      <c r="C488" s="20"/>
      <c r="D488" s="20"/>
      <c r="E488" s="20"/>
      <c r="F488" s="282"/>
      <c r="G488" s="20"/>
      <c r="H488" s="20"/>
      <c r="I488" s="20"/>
      <c r="J488" s="20"/>
      <c r="K488" s="20"/>
      <c r="L488" s="20"/>
      <c r="M488" s="20"/>
      <c r="N488" s="20"/>
      <c r="O488" s="20"/>
      <c r="P488" s="20"/>
      <c r="Q488" s="20"/>
      <c r="R488" s="20"/>
      <c r="S488" s="188"/>
      <c r="T488" s="188"/>
      <c r="U488" s="188"/>
      <c r="V488" s="188"/>
      <c r="W488" s="20"/>
      <c r="X488" s="20"/>
      <c r="Y488" s="20"/>
      <c r="Z488" s="20"/>
      <c r="AA488" s="20"/>
      <c r="AB488" s="20"/>
    </row>
    <row r="489">
      <c r="A489" s="20"/>
      <c r="B489" s="20"/>
      <c r="C489" s="20"/>
      <c r="D489" s="20"/>
      <c r="E489" s="20"/>
      <c r="F489" s="282"/>
      <c r="G489" s="20"/>
      <c r="H489" s="20"/>
      <c r="I489" s="20"/>
      <c r="J489" s="20"/>
      <c r="K489" s="20"/>
      <c r="L489" s="20"/>
      <c r="M489" s="20"/>
      <c r="N489" s="20"/>
      <c r="O489" s="20"/>
      <c r="P489" s="20"/>
      <c r="Q489" s="20"/>
      <c r="R489" s="20"/>
      <c r="S489" s="188"/>
      <c r="T489" s="188"/>
      <c r="U489" s="188"/>
      <c r="V489" s="188"/>
      <c r="W489" s="20"/>
      <c r="X489" s="20"/>
      <c r="Y489" s="20"/>
      <c r="Z489" s="20"/>
      <c r="AA489" s="20"/>
      <c r="AB489" s="20"/>
    </row>
    <row r="490">
      <c r="A490" s="20"/>
      <c r="B490" s="20"/>
      <c r="C490" s="20"/>
      <c r="D490" s="20"/>
      <c r="E490" s="20"/>
      <c r="F490" s="282"/>
      <c r="G490" s="20"/>
      <c r="H490" s="20"/>
      <c r="I490" s="20"/>
      <c r="J490" s="20"/>
      <c r="K490" s="20"/>
      <c r="L490" s="20"/>
      <c r="M490" s="20"/>
      <c r="N490" s="20"/>
      <c r="O490" s="20"/>
      <c r="P490" s="20"/>
      <c r="Q490" s="20"/>
      <c r="R490" s="20"/>
      <c r="S490" s="188"/>
      <c r="T490" s="188"/>
      <c r="U490" s="188"/>
      <c r="V490" s="188"/>
      <c r="W490" s="20"/>
      <c r="X490" s="20"/>
      <c r="Y490" s="20"/>
      <c r="Z490" s="20"/>
      <c r="AA490" s="20"/>
      <c r="AB490" s="20"/>
    </row>
    <row r="491">
      <c r="A491" s="20"/>
      <c r="B491" s="20"/>
      <c r="C491" s="20"/>
      <c r="D491" s="20"/>
      <c r="E491" s="20"/>
      <c r="F491" s="282"/>
      <c r="G491" s="20"/>
      <c r="H491" s="20"/>
      <c r="I491" s="20"/>
      <c r="J491" s="20"/>
      <c r="K491" s="20"/>
      <c r="L491" s="20"/>
      <c r="M491" s="20"/>
      <c r="N491" s="20"/>
      <c r="O491" s="20"/>
      <c r="P491" s="20"/>
      <c r="Q491" s="20"/>
      <c r="R491" s="20"/>
      <c r="S491" s="188"/>
      <c r="T491" s="188"/>
      <c r="U491" s="188"/>
      <c r="V491" s="188"/>
      <c r="W491" s="20"/>
      <c r="X491" s="20"/>
      <c r="Y491" s="20"/>
      <c r="Z491" s="20"/>
      <c r="AA491" s="20"/>
      <c r="AB491" s="20"/>
    </row>
    <row r="492">
      <c r="A492" s="20"/>
      <c r="B492" s="20"/>
      <c r="C492" s="20"/>
      <c r="D492" s="20"/>
      <c r="E492" s="20"/>
      <c r="F492" s="282"/>
      <c r="G492" s="20"/>
      <c r="H492" s="20"/>
      <c r="I492" s="20"/>
      <c r="J492" s="20"/>
      <c r="K492" s="20"/>
      <c r="L492" s="20"/>
      <c r="M492" s="20"/>
      <c r="N492" s="20"/>
      <c r="O492" s="20"/>
      <c r="P492" s="20"/>
      <c r="Q492" s="20"/>
      <c r="R492" s="20"/>
      <c r="S492" s="188"/>
      <c r="T492" s="188"/>
      <c r="U492" s="188"/>
      <c r="V492" s="188"/>
      <c r="W492" s="20"/>
      <c r="X492" s="20"/>
      <c r="Y492" s="20"/>
      <c r="Z492" s="20"/>
      <c r="AA492" s="20"/>
      <c r="AB492" s="20"/>
    </row>
    <row r="493">
      <c r="A493" s="20"/>
      <c r="B493" s="20"/>
      <c r="C493" s="20"/>
      <c r="D493" s="20"/>
      <c r="E493" s="20"/>
      <c r="F493" s="282"/>
      <c r="G493" s="20"/>
      <c r="H493" s="20"/>
      <c r="I493" s="20"/>
      <c r="J493" s="20"/>
      <c r="K493" s="20"/>
      <c r="L493" s="20"/>
      <c r="M493" s="20"/>
      <c r="N493" s="20"/>
      <c r="O493" s="20"/>
      <c r="P493" s="20"/>
      <c r="Q493" s="20"/>
      <c r="R493" s="20"/>
      <c r="S493" s="188"/>
      <c r="T493" s="188"/>
      <c r="U493" s="188"/>
      <c r="V493" s="188"/>
      <c r="W493" s="20"/>
      <c r="X493" s="20"/>
      <c r="Y493" s="20"/>
      <c r="Z493" s="20"/>
      <c r="AA493" s="20"/>
      <c r="AB493" s="20"/>
    </row>
    <row r="494">
      <c r="A494" s="20"/>
      <c r="B494" s="20"/>
      <c r="C494" s="20"/>
      <c r="D494" s="20"/>
      <c r="E494" s="20"/>
      <c r="F494" s="282"/>
      <c r="G494" s="20"/>
      <c r="H494" s="20"/>
      <c r="I494" s="20"/>
      <c r="J494" s="20"/>
      <c r="K494" s="20"/>
      <c r="L494" s="20"/>
      <c r="M494" s="20"/>
      <c r="N494" s="20"/>
      <c r="O494" s="20"/>
      <c r="P494" s="20"/>
      <c r="Q494" s="20"/>
      <c r="R494" s="20"/>
      <c r="S494" s="188"/>
      <c r="T494" s="188"/>
      <c r="U494" s="188"/>
      <c r="V494" s="188"/>
      <c r="W494" s="20"/>
      <c r="X494" s="20"/>
      <c r="Y494" s="20"/>
      <c r="Z494" s="20"/>
      <c r="AA494" s="20"/>
      <c r="AB494" s="20"/>
    </row>
    <row r="495">
      <c r="A495" s="20"/>
      <c r="B495" s="20"/>
      <c r="C495" s="20"/>
      <c r="D495" s="20"/>
      <c r="E495" s="20"/>
      <c r="F495" s="282"/>
      <c r="G495" s="20"/>
      <c r="H495" s="20"/>
      <c r="I495" s="20"/>
      <c r="J495" s="20"/>
      <c r="K495" s="20"/>
      <c r="L495" s="20"/>
      <c r="M495" s="20"/>
      <c r="N495" s="20"/>
      <c r="O495" s="20"/>
      <c r="P495" s="20"/>
      <c r="Q495" s="20"/>
      <c r="R495" s="20"/>
      <c r="S495" s="188"/>
      <c r="T495" s="188"/>
      <c r="U495" s="188"/>
      <c r="V495" s="188"/>
      <c r="W495" s="20"/>
      <c r="X495" s="20"/>
      <c r="Y495" s="20"/>
      <c r="Z495" s="20"/>
      <c r="AA495" s="20"/>
      <c r="AB495" s="20"/>
    </row>
    <row r="496">
      <c r="A496" s="20"/>
      <c r="B496" s="20"/>
      <c r="C496" s="20"/>
      <c r="D496" s="20"/>
      <c r="E496" s="20"/>
      <c r="F496" s="282"/>
      <c r="G496" s="20"/>
      <c r="H496" s="20"/>
      <c r="I496" s="20"/>
      <c r="J496" s="20"/>
      <c r="K496" s="20"/>
      <c r="L496" s="20"/>
      <c r="M496" s="20"/>
      <c r="N496" s="20"/>
      <c r="O496" s="20"/>
      <c r="P496" s="20"/>
      <c r="Q496" s="20"/>
      <c r="R496" s="20"/>
      <c r="S496" s="188"/>
      <c r="T496" s="188"/>
      <c r="U496" s="188"/>
      <c r="V496" s="188"/>
      <c r="W496" s="20"/>
      <c r="X496" s="20"/>
      <c r="Y496" s="20"/>
      <c r="Z496" s="20"/>
      <c r="AA496" s="20"/>
      <c r="AB496" s="20"/>
    </row>
    <row r="497">
      <c r="A497" s="20"/>
      <c r="B497" s="20"/>
      <c r="C497" s="20"/>
      <c r="D497" s="20"/>
      <c r="E497" s="20"/>
      <c r="F497" s="282"/>
      <c r="G497" s="20"/>
      <c r="H497" s="20"/>
      <c r="I497" s="20"/>
      <c r="J497" s="20"/>
      <c r="K497" s="20"/>
      <c r="L497" s="20"/>
      <c r="M497" s="20"/>
      <c r="N497" s="20"/>
      <c r="O497" s="20"/>
      <c r="P497" s="20"/>
      <c r="Q497" s="20"/>
      <c r="R497" s="20"/>
      <c r="S497" s="188"/>
      <c r="T497" s="188"/>
      <c r="U497" s="188"/>
      <c r="V497" s="188"/>
      <c r="W497" s="20"/>
      <c r="X497" s="20"/>
      <c r="Y497" s="20"/>
      <c r="Z497" s="20"/>
      <c r="AA497" s="20"/>
      <c r="AB497" s="20"/>
    </row>
    <row r="498">
      <c r="A498" s="20"/>
      <c r="B498" s="20"/>
      <c r="C498" s="20"/>
      <c r="D498" s="20"/>
      <c r="E498" s="20"/>
      <c r="F498" s="282"/>
      <c r="G498" s="20"/>
      <c r="H498" s="20"/>
      <c r="I498" s="20"/>
      <c r="J498" s="20"/>
      <c r="K498" s="20"/>
      <c r="L498" s="20"/>
      <c r="M498" s="20"/>
      <c r="N498" s="20"/>
      <c r="O498" s="20"/>
      <c r="P498" s="20"/>
      <c r="Q498" s="20"/>
      <c r="R498" s="20"/>
      <c r="S498" s="188"/>
      <c r="T498" s="188"/>
      <c r="U498" s="188"/>
      <c r="V498" s="188"/>
      <c r="W498" s="20"/>
      <c r="X498" s="20"/>
      <c r="Y498" s="20"/>
      <c r="Z498" s="20"/>
      <c r="AA498" s="20"/>
      <c r="AB498" s="20"/>
    </row>
    <row r="499">
      <c r="A499" s="20"/>
      <c r="B499" s="20"/>
      <c r="C499" s="20"/>
      <c r="D499" s="20"/>
      <c r="E499" s="20"/>
      <c r="F499" s="282"/>
      <c r="G499" s="20"/>
      <c r="H499" s="20"/>
      <c r="I499" s="20"/>
      <c r="J499" s="20"/>
      <c r="K499" s="20"/>
      <c r="L499" s="20"/>
      <c r="M499" s="20"/>
      <c r="N499" s="20"/>
      <c r="O499" s="20"/>
      <c r="P499" s="20"/>
      <c r="Q499" s="20"/>
      <c r="R499" s="20"/>
      <c r="S499" s="188"/>
      <c r="T499" s="188"/>
      <c r="U499" s="188"/>
      <c r="V499" s="188"/>
      <c r="W499" s="20"/>
      <c r="X499" s="20"/>
      <c r="Y499" s="20"/>
      <c r="Z499" s="20"/>
      <c r="AA499" s="20"/>
      <c r="AB499" s="20"/>
    </row>
    <row r="500">
      <c r="A500" s="20"/>
      <c r="B500" s="20"/>
      <c r="C500" s="20"/>
      <c r="D500" s="20"/>
      <c r="E500" s="20"/>
      <c r="F500" s="282"/>
      <c r="G500" s="20"/>
      <c r="H500" s="20"/>
      <c r="I500" s="20"/>
      <c r="J500" s="20"/>
      <c r="K500" s="20"/>
      <c r="L500" s="20"/>
      <c r="M500" s="20"/>
      <c r="N500" s="20"/>
      <c r="O500" s="20"/>
      <c r="P500" s="20"/>
      <c r="Q500" s="20"/>
      <c r="R500" s="20"/>
      <c r="S500" s="188"/>
      <c r="T500" s="188"/>
      <c r="U500" s="188"/>
      <c r="V500" s="188"/>
      <c r="W500" s="20"/>
      <c r="X500" s="20"/>
      <c r="Y500" s="20"/>
      <c r="Z500" s="20"/>
      <c r="AA500" s="20"/>
      <c r="AB500" s="20"/>
    </row>
    <row r="501">
      <c r="A501" s="20"/>
      <c r="B501" s="20"/>
      <c r="C501" s="20"/>
      <c r="D501" s="20"/>
      <c r="E501" s="20"/>
      <c r="F501" s="282"/>
      <c r="G501" s="20"/>
      <c r="H501" s="20"/>
      <c r="I501" s="20"/>
      <c r="J501" s="20"/>
      <c r="K501" s="20"/>
      <c r="L501" s="20"/>
      <c r="M501" s="20"/>
      <c r="N501" s="20"/>
      <c r="O501" s="20"/>
      <c r="P501" s="20"/>
      <c r="Q501" s="20"/>
      <c r="R501" s="20"/>
      <c r="S501" s="188"/>
      <c r="T501" s="188"/>
      <c r="U501" s="188"/>
      <c r="V501" s="188"/>
      <c r="W501" s="20"/>
      <c r="X501" s="20"/>
      <c r="Y501" s="20"/>
      <c r="Z501" s="20"/>
      <c r="AA501" s="20"/>
      <c r="AB501" s="20"/>
    </row>
    <row r="502">
      <c r="A502" s="20"/>
      <c r="B502" s="20"/>
      <c r="C502" s="20"/>
      <c r="D502" s="20"/>
      <c r="E502" s="20"/>
      <c r="F502" s="282"/>
      <c r="G502" s="20"/>
      <c r="H502" s="20"/>
      <c r="I502" s="20"/>
      <c r="J502" s="20"/>
      <c r="K502" s="20"/>
      <c r="L502" s="20"/>
      <c r="M502" s="20"/>
      <c r="N502" s="20"/>
      <c r="O502" s="20"/>
      <c r="P502" s="20"/>
      <c r="Q502" s="20"/>
      <c r="R502" s="20"/>
      <c r="S502" s="188"/>
      <c r="T502" s="188"/>
      <c r="U502" s="188"/>
      <c r="V502" s="188"/>
      <c r="W502" s="20"/>
      <c r="X502" s="20"/>
      <c r="Y502" s="20"/>
      <c r="Z502" s="20"/>
      <c r="AA502" s="20"/>
      <c r="AB502" s="20"/>
    </row>
    <row r="503">
      <c r="A503" s="20"/>
      <c r="B503" s="20"/>
      <c r="C503" s="20"/>
      <c r="D503" s="20"/>
      <c r="E503" s="20"/>
      <c r="F503" s="282"/>
      <c r="G503" s="20"/>
      <c r="H503" s="20"/>
      <c r="I503" s="20"/>
      <c r="J503" s="20"/>
      <c r="K503" s="20"/>
      <c r="L503" s="20"/>
      <c r="M503" s="20"/>
      <c r="N503" s="20"/>
      <c r="O503" s="20"/>
      <c r="P503" s="20"/>
      <c r="Q503" s="20"/>
      <c r="R503" s="20"/>
      <c r="S503" s="188"/>
      <c r="T503" s="188"/>
      <c r="U503" s="188"/>
      <c r="V503" s="188"/>
      <c r="W503" s="20"/>
      <c r="X503" s="20"/>
      <c r="Y503" s="20"/>
      <c r="Z503" s="20"/>
      <c r="AA503" s="20"/>
      <c r="AB503" s="20"/>
    </row>
    <row r="504">
      <c r="A504" s="20"/>
      <c r="B504" s="20"/>
      <c r="C504" s="20"/>
      <c r="D504" s="20"/>
      <c r="E504" s="20"/>
      <c r="F504" s="282"/>
      <c r="G504" s="20"/>
      <c r="H504" s="20"/>
      <c r="I504" s="20"/>
      <c r="J504" s="20"/>
      <c r="K504" s="20"/>
      <c r="L504" s="20"/>
      <c r="M504" s="20"/>
      <c r="N504" s="20"/>
      <c r="O504" s="20"/>
      <c r="P504" s="20"/>
      <c r="Q504" s="20"/>
      <c r="R504" s="20"/>
      <c r="S504" s="188"/>
      <c r="T504" s="188"/>
      <c r="U504" s="188"/>
      <c r="V504" s="188"/>
      <c r="W504" s="20"/>
      <c r="X504" s="20"/>
      <c r="Y504" s="20"/>
      <c r="Z504" s="20"/>
      <c r="AA504" s="20"/>
      <c r="AB504" s="20"/>
    </row>
    <row r="505">
      <c r="A505" s="20"/>
      <c r="B505" s="20"/>
      <c r="C505" s="20"/>
      <c r="D505" s="20"/>
      <c r="E505" s="20"/>
      <c r="F505" s="282"/>
      <c r="G505" s="20"/>
      <c r="H505" s="20"/>
      <c r="I505" s="20"/>
      <c r="J505" s="20"/>
      <c r="K505" s="20"/>
      <c r="L505" s="20"/>
      <c r="M505" s="20"/>
      <c r="N505" s="20"/>
      <c r="O505" s="20"/>
      <c r="P505" s="20"/>
      <c r="Q505" s="20"/>
      <c r="R505" s="20"/>
      <c r="S505" s="188"/>
      <c r="T505" s="188"/>
      <c r="U505" s="188"/>
      <c r="V505" s="188"/>
      <c r="W505" s="20"/>
      <c r="X505" s="20"/>
      <c r="Y505" s="20"/>
      <c r="Z505" s="20"/>
      <c r="AA505" s="20"/>
      <c r="AB505" s="20"/>
    </row>
    <row r="506">
      <c r="A506" s="20"/>
      <c r="B506" s="20"/>
      <c r="C506" s="20"/>
      <c r="D506" s="20"/>
      <c r="E506" s="20"/>
      <c r="F506" s="282"/>
      <c r="G506" s="20"/>
      <c r="H506" s="20"/>
      <c r="I506" s="20"/>
      <c r="J506" s="20"/>
      <c r="K506" s="20"/>
      <c r="L506" s="20"/>
      <c r="M506" s="20"/>
      <c r="N506" s="20"/>
      <c r="O506" s="20"/>
      <c r="P506" s="20"/>
      <c r="Q506" s="20"/>
      <c r="R506" s="20"/>
      <c r="S506" s="188"/>
      <c r="T506" s="188"/>
      <c r="U506" s="188"/>
      <c r="V506" s="188"/>
      <c r="W506" s="20"/>
      <c r="X506" s="20"/>
      <c r="Y506" s="20"/>
      <c r="Z506" s="20"/>
      <c r="AA506" s="20"/>
      <c r="AB506" s="20"/>
    </row>
    <row r="507">
      <c r="A507" s="20"/>
      <c r="B507" s="20"/>
      <c r="C507" s="20"/>
      <c r="D507" s="20"/>
      <c r="E507" s="20"/>
      <c r="F507" s="282"/>
      <c r="G507" s="20"/>
      <c r="H507" s="20"/>
      <c r="I507" s="20"/>
      <c r="J507" s="20"/>
      <c r="K507" s="20"/>
      <c r="L507" s="20"/>
      <c r="M507" s="20"/>
      <c r="N507" s="20"/>
      <c r="O507" s="20"/>
      <c r="P507" s="20"/>
      <c r="Q507" s="20"/>
      <c r="R507" s="20"/>
      <c r="S507" s="188"/>
      <c r="T507" s="188"/>
      <c r="U507" s="188"/>
      <c r="V507" s="188"/>
      <c r="W507" s="20"/>
      <c r="X507" s="20"/>
      <c r="Y507" s="20"/>
      <c r="Z507" s="20"/>
      <c r="AA507" s="20"/>
      <c r="AB507" s="20"/>
    </row>
    <row r="508">
      <c r="A508" s="20"/>
      <c r="B508" s="20"/>
      <c r="C508" s="20"/>
      <c r="D508" s="20"/>
      <c r="E508" s="20"/>
      <c r="F508" s="282"/>
      <c r="G508" s="20"/>
      <c r="H508" s="20"/>
      <c r="I508" s="20"/>
      <c r="J508" s="20"/>
      <c r="K508" s="20"/>
      <c r="L508" s="20"/>
      <c r="M508" s="20"/>
      <c r="N508" s="20"/>
      <c r="O508" s="20"/>
      <c r="P508" s="20"/>
      <c r="Q508" s="20"/>
      <c r="R508" s="20"/>
      <c r="S508" s="188"/>
      <c r="T508" s="188"/>
      <c r="U508" s="188"/>
      <c r="V508" s="188"/>
      <c r="W508" s="20"/>
      <c r="X508" s="20"/>
      <c r="Y508" s="20"/>
      <c r="Z508" s="20"/>
      <c r="AA508" s="20"/>
      <c r="AB508" s="20"/>
    </row>
    <row r="509">
      <c r="A509" s="20"/>
      <c r="B509" s="20"/>
      <c r="C509" s="20"/>
      <c r="D509" s="20"/>
      <c r="E509" s="20"/>
      <c r="F509" s="282"/>
      <c r="G509" s="20"/>
      <c r="H509" s="20"/>
      <c r="I509" s="20"/>
      <c r="J509" s="20"/>
      <c r="K509" s="20"/>
      <c r="L509" s="20"/>
      <c r="M509" s="20"/>
      <c r="N509" s="20"/>
      <c r="O509" s="20"/>
      <c r="P509" s="20"/>
      <c r="Q509" s="20"/>
      <c r="R509" s="20"/>
      <c r="S509" s="188"/>
      <c r="T509" s="188"/>
      <c r="U509" s="188"/>
      <c r="V509" s="188"/>
      <c r="W509" s="20"/>
      <c r="X509" s="20"/>
      <c r="Y509" s="20"/>
      <c r="Z509" s="20"/>
      <c r="AA509" s="20"/>
      <c r="AB509" s="20"/>
    </row>
    <row r="510">
      <c r="A510" s="20"/>
      <c r="B510" s="20"/>
      <c r="C510" s="20"/>
      <c r="D510" s="20"/>
      <c r="E510" s="20"/>
      <c r="F510" s="282"/>
      <c r="G510" s="20"/>
      <c r="H510" s="20"/>
      <c r="I510" s="20"/>
      <c r="J510" s="20"/>
      <c r="K510" s="20"/>
      <c r="L510" s="20"/>
      <c r="M510" s="20"/>
      <c r="N510" s="20"/>
      <c r="O510" s="20"/>
      <c r="P510" s="20"/>
      <c r="Q510" s="20"/>
      <c r="R510" s="20"/>
      <c r="S510" s="188"/>
      <c r="T510" s="188"/>
      <c r="U510" s="188"/>
      <c r="V510" s="188"/>
      <c r="W510" s="20"/>
      <c r="X510" s="20"/>
      <c r="Y510" s="20"/>
      <c r="Z510" s="20"/>
      <c r="AA510" s="20"/>
      <c r="AB510" s="20"/>
    </row>
    <row r="511">
      <c r="A511" s="20"/>
      <c r="B511" s="20"/>
      <c r="C511" s="20"/>
      <c r="D511" s="20"/>
      <c r="E511" s="20"/>
      <c r="F511" s="282"/>
      <c r="G511" s="20"/>
      <c r="H511" s="20"/>
      <c r="I511" s="20"/>
      <c r="J511" s="20"/>
      <c r="K511" s="20"/>
      <c r="L511" s="20"/>
      <c r="M511" s="20"/>
      <c r="N511" s="20"/>
      <c r="O511" s="20"/>
      <c r="P511" s="20"/>
      <c r="Q511" s="20"/>
      <c r="R511" s="20"/>
      <c r="S511" s="188"/>
      <c r="T511" s="188"/>
      <c r="U511" s="188"/>
      <c r="V511" s="188"/>
      <c r="W511" s="20"/>
      <c r="X511" s="20"/>
      <c r="Y511" s="20"/>
      <c r="Z511" s="20"/>
      <c r="AA511" s="20"/>
      <c r="AB511" s="20"/>
    </row>
    <row r="512">
      <c r="A512" s="20"/>
      <c r="B512" s="20"/>
      <c r="C512" s="20"/>
      <c r="D512" s="20"/>
      <c r="E512" s="20"/>
      <c r="F512" s="282"/>
      <c r="G512" s="20"/>
      <c r="H512" s="20"/>
      <c r="I512" s="20"/>
      <c r="J512" s="20"/>
      <c r="K512" s="20"/>
      <c r="L512" s="20"/>
      <c r="M512" s="20"/>
      <c r="N512" s="20"/>
      <c r="O512" s="20"/>
      <c r="P512" s="20"/>
      <c r="Q512" s="20"/>
      <c r="R512" s="20"/>
      <c r="S512" s="188"/>
      <c r="T512" s="188"/>
      <c r="U512" s="188"/>
      <c r="V512" s="188"/>
      <c r="W512" s="20"/>
      <c r="X512" s="20"/>
      <c r="Y512" s="20"/>
      <c r="Z512" s="20"/>
      <c r="AA512" s="20"/>
      <c r="AB512" s="20"/>
    </row>
    <row r="513">
      <c r="A513" s="20"/>
      <c r="B513" s="20"/>
      <c r="C513" s="20"/>
      <c r="D513" s="20"/>
      <c r="E513" s="20"/>
      <c r="F513" s="282"/>
      <c r="G513" s="20"/>
      <c r="H513" s="20"/>
      <c r="I513" s="20"/>
      <c r="J513" s="20"/>
      <c r="K513" s="20"/>
      <c r="L513" s="20"/>
      <c r="M513" s="20"/>
      <c r="N513" s="20"/>
      <c r="O513" s="20"/>
      <c r="P513" s="20"/>
      <c r="Q513" s="20"/>
      <c r="R513" s="20"/>
      <c r="S513" s="188"/>
      <c r="T513" s="188"/>
      <c r="U513" s="188"/>
      <c r="V513" s="188"/>
      <c r="W513" s="20"/>
      <c r="X513" s="20"/>
      <c r="Y513" s="20"/>
      <c r="Z513" s="20"/>
      <c r="AA513" s="20"/>
      <c r="AB513" s="20"/>
    </row>
    <row r="514">
      <c r="A514" s="20"/>
      <c r="B514" s="20"/>
      <c r="C514" s="20"/>
      <c r="D514" s="20"/>
      <c r="E514" s="20"/>
      <c r="F514" s="282"/>
      <c r="G514" s="20"/>
      <c r="H514" s="20"/>
      <c r="I514" s="20"/>
      <c r="J514" s="20"/>
      <c r="K514" s="20"/>
      <c r="L514" s="20"/>
      <c r="M514" s="20"/>
      <c r="N514" s="20"/>
      <c r="O514" s="20"/>
      <c r="P514" s="20"/>
      <c r="Q514" s="20"/>
      <c r="R514" s="20"/>
      <c r="S514" s="188"/>
      <c r="T514" s="188"/>
      <c r="U514" s="188"/>
      <c r="V514" s="188"/>
      <c r="W514" s="20"/>
      <c r="X514" s="20"/>
      <c r="Y514" s="20"/>
      <c r="Z514" s="20"/>
      <c r="AA514" s="20"/>
      <c r="AB514" s="20"/>
    </row>
    <row r="515">
      <c r="A515" s="20"/>
      <c r="B515" s="20"/>
      <c r="C515" s="20"/>
      <c r="D515" s="20"/>
      <c r="E515" s="20"/>
      <c r="F515" s="282"/>
      <c r="G515" s="20"/>
      <c r="H515" s="20"/>
      <c r="I515" s="20"/>
      <c r="J515" s="20"/>
      <c r="K515" s="20"/>
      <c r="L515" s="20"/>
      <c r="M515" s="20"/>
      <c r="N515" s="20"/>
      <c r="O515" s="20"/>
      <c r="P515" s="20"/>
      <c r="Q515" s="20"/>
      <c r="R515" s="20"/>
      <c r="S515" s="188"/>
      <c r="T515" s="188"/>
      <c r="U515" s="188"/>
      <c r="V515" s="188"/>
      <c r="W515" s="20"/>
      <c r="X515" s="20"/>
      <c r="Y515" s="20"/>
      <c r="Z515" s="20"/>
      <c r="AA515" s="20"/>
      <c r="AB515" s="20"/>
    </row>
    <row r="516">
      <c r="A516" s="20"/>
      <c r="B516" s="20"/>
      <c r="C516" s="20"/>
      <c r="D516" s="20"/>
      <c r="E516" s="20"/>
      <c r="F516" s="282"/>
      <c r="G516" s="20"/>
      <c r="H516" s="20"/>
      <c r="I516" s="20"/>
      <c r="J516" s="20"/>
      <c r="K516" s="20"/>
      <c r="L516" s="20"/>
      <c r="M516" s="20"/>
      <c r="N516" s="20"/>
      <c r="O516" s="20"/>
      <c r="P516" s="20"/>
      <c r="Q516" s="20"/>
      <c r="R516" s="20"/>
      <c r="S516" s="188"/>
      <c r="T516" s="188"/>
      <c r="U516" s="188"/>
      <c r="V516" s="188"/>
      <c r="W516" s="20"/>
      <c r="X516" s="20"/>
      <c r="Y516" s="20"/>
      <c r="Z516" s="20"/>
      <c r="AA516" s="20"/>
      <c r="AB516" s="20"/>
    </row>
    <row r="517">
      <c r="A517" s="20"/>
      <c r="B517" s="20"/>
      <c r="C517" s="20"/>
      <c r="D517" s="20"/>
      <c r="E517" s="20"/>
      <c r="F517" s="282"/>
      <c r="G517" s="20"/>
      <c r="H517" s="20"/>
      <c r="I517" s="20"/>
      <c r="J517" s="20"/>
      <c r="K517" s="20"/>
      <c r="L517" s="20"/>
      <c r="M517" s="20"/>
      <c r="N517" s="20"/>
      <c r="O517" s="20"/>
      <c r="P517" s="20"/>
      <c r="Q517" s="20"/>
      <c r="R517" s="20"/>
      <c r="S517" s="188"/>
      <c r="T517" s="188"/>
      <c r="U517" s="188"/>
      <c r="V517" s="188"/>
      <c r="W517" s="20"/>
      <c r="X517" s="20"/>
      <c r="Y517" s="20"/>
      <c r="Z517" s="20"/>
      <c r="AA517" s="20"/>
      <c r="AB517" s="20"/>
    </row>
    <row r="518">
      <c r="A518" s="20"/>
      <c r="B518" s="20"/>
      <c r="C518" s="20"/>
      <c r="D518" s="20"/>
      <c r="E518" s="20"/>
      <c r="F518" s="282"/>
      <c r="G518" s="20"/>
      <c r="H518" s="20"/>
      <c r="I518" s="20"/>
      <c r="J518" s="20"/>
      <c r="K518" s="20"/>
      <c r="L518" s="20"/>
      <c r="M518" s="20"/>
      <c r="N518" s="20"/>
      <c r="O518" s="20"/>
      <c r="P518" s="20"/>
      <c r="Q518" s="20"/>
      <c r="R518" s="20"/>
      <c r="S518" s="188"/>
      <c r="T518" s="188"/>
      <c r="U518" s="188"/>
      <c r="V518" s="188"/>
      <c r="W518" s="20"/>
      <c r="X518" s="20"/>
      <c r="Y518" s="20"/>
      <c r="Z518" s="20"/>
      <c r="AA518" s="20"/>
      <c r="AB518" s="20"/>
    </row>
    <row r="519">
      <c r="A519" s="20"/>
      <c r="B519" s="20"/>
      <c r="C519" s="20"/>
      <c r="D519" s="20"/>
      <c r="E519" s="20"/>
      <c r="F519" s="282"/>
      <c r="G519" s="20"/>
      <c r="H519" s="20"/>
      <c r="I519" s="20"/>
      <c r="J519" s="20"/>
      <c r="K519" s="20"/>
      <c r="L519" s="20"/>
      <c r="M519" s="20"/>
      <c r="N519" s="20"/>
      <c r="O519" s="20"/>
      <c r="P519" s="20"/>
      <c r="Q519" s="20"/>
      <c r="R519" s="20"/>
      <c r="S519" s="188"/>
      <c r="T519" s="188"/>
      <c r="U519" s="188"/>
      <c r="V519" s="188"/>
      <c r="W519" s="20"/>
      <c r="X519" s="20"/>
      <c r="Y519" s="20"/>
      <c r="Z519" s="20"/>
      <c r="AA519" s="20"/>
      <c r="AB519" s="20"/>
    </row>
    <row r="520">
      <c r="A520" s="20"/>
      <c r="B520" s="20"/>
      <c r="C520" s="20"/>
      <c r="D520" s="20"/>
      <c r="E520" s="20"/>
      <c r="F520" s="282"/>
      <c r="G520" s="20"/>
      <c r="H520" s="20"/>
      <c r="I520" s="20"/>
      <c r="J520" s="20"/>
      <c r="K520" s="20"/>
      <c r="L520" s="20"/>
      <c r="M520" s="20"/>
      <c r="N520" s="20"/>
      <c r="O520" s="20"/>
      <c r="P520" s="20"/>
      <c r="Q520" s="20"/>
      <c r="R520" s="20"/>
      <c r="S520" s="188"/>
      <c r="T520" s="188"/>
      <c r="U520" s="188"/>
      <c r="V520" s="188"/>
      <c r="W520" s="20"/>
      <c r="X520" s="20"/>
      <c r="Y520" s="20"/>
      <c r="Z520" s="20"/>
      <c r="AA520" s="20"/>
      <c r="AB520" s="20"/>
    </row>
    <row r="521">
      <c r="A521" s="20"/>
      <c r="B521" s="20"/>
      <c r="C521" s="20"/>
      <c r="D521" s="20"/>
      <c r="E521" s="20"/>
      <c r="F521" s="282"/>
      <c r="G521" s="20"/>
      <c r="H521" s="20"/>
      <c r="I521" s="20"/>
      <c r="J521" s="20"/>
      <c r="K521" s="20"/>
      <c r="L521" s="20"/>
      <c r="M521" s="20"/>
      <c r="N521" s="20"/>
      <c r="O521" s="20"/>
      <c r="P521" s="20"/>
      <c r="Q521" s="20"/>
      <c r="R521" s="20"/>
      <c r="S521" s="188"/>
      <c r="T521" s="188"/>
      <c r="U521" s="188"/>
      <c r="V521" s="188"/>
      <c r="W521" s="20"/>
      <c r="X521" s="20"/>
      <c r="Y521" s="20"/>
      <c r="Z521" s="20"/>
      <c r="AA521" s="20"/>
      <c r="AB521" s="20"/>
    </row>
    <row r="522">
      <c r="A522" s="20"/>
      <c r="B522" s="20"/>
      <c r="C522" s="20"/>
      <c r="D522" s="20"/>
      <c r="E522" s="20"/>
      <c r="F522" s="282"/>
      <c r="G522" s="20"/>
      <c r="H522" s="20"/>
      <c r="I522" s="20"/>
      <c r="J522" s="20"/>
      <c r="K522" s="20"/>
      <c r="L522" s="20"/>
      <c r="M522" s="20"/>
      <c r="N522" s="20"/>
      <c r="O522" s="20"/>
      <c r="P522" s="20"/>
      <c r="Q522" s="20"/>
      <c r="R522" s="20"/>
      <c r="S522" s="188"/>
      <c r="T522" s="188"/>
      <c r="U522" s="188"/>
      <c r="V522" s="188"/>
      <c r="W522" s="20"/>
      <c r="X522" s="20"/>
      <c r="Y522" s="20"/>
      <c r="Z522" s="20"/>
      <c r="AA522" s="20"/>
      <c r="AB522" s="20"/>
    </row>
    <row r="523">
      <c r="A523" s="20"/>
      <c r="B523" s="20"/>
      <c r="C523" s="20"/>
      <c r="D523" s="20"/>
      <c r="E523" s="20"/>
      <c r="F523" s="282"/>
      <c r="G523" s="20"/>
      <c r="H523" s="20"/>
      <c r="I523" s="20"/>
      <c r="J523" s="20"/>
      <c r="K523" s="20"/>
      <c r="L523" s="20"/>
      <c r="M523" s="20"/>
      <c r="N523" s="20"/>
      <c r="O523" s="20"/>
      <c r="P523" s="20"/>
      <c r="Q523" s="20"/>
      <c r="R523" s="20"/>
      <c r="S523" s="188"/>
      <c r="T523" s="188"/>
      <c r="U523" s="188"/>
      <c r="V523" s="188"/>
      <c r="W523" s="20"/>
      <c r="X523" s="20"/>
      <c r="Y523" s="20"/>
      <c r="Z523" s="20"/>
      <c r="AA523" s="20"/>
      <c r="AB523" s="20"/>
    </row>
    <row r="524">
      <c r="A524" s="20"/>
      <c r="B524" s="20"/>
      <c r="C524" s="20"/>
      <c r="D524" s="20"/>
      <c r="E524" s="20"/>
      <c r="F524" s="282"/>
      <c r="G524" s="20"/>
      <c r="H524" s="20"/>
      <c r="I524" s="20"/>
      <c r="J524" s="20"/>
      <c r="K524" s="20"/>
      <c r="L524" s="20"/>
      <c r="M524" s="20"/>
      <c r="N524" s="20"/>
      <c r="O524" s="20"/>
      <c r="P524" s="20"/>
      <c r="Q524" s="20"/>
      <c r="R524" s="20"/>
      <c r="S524" s="188"/>
      <c r="T524" s="188"/>
      <c r="U524" s="188"/>
      <c r="V524" s="188"/>
      <c r="W524" s="20"/>
      <c r="X524" s="20"/>
      <c r="Y524" s="20"/>
      <c r="Z524" s="20"/>
      <c r="AA524" s="20"/>
      <c r="AB524" s="20"/>
    </row>
    <row r="525">
      <c r="A525" s="20"/>
      <c r="B525" s="20"/>
      <c r="C525" s="20"/>
      <c r="D525" s="20"/>
      <c r="E525" s="20"/>
      <c r="F525" s="282"/>
      <c r="G525" s="20"/>
      <c r="H525" s="20"/>
      <c r="I525" s="20"/>
      <c r="J525" s="20"/>
      <c r="K525" s="20"/>
      <c r="L525" s="20"/>
      <c r="M525" s="20"/>
      <c r="N525" s="20"/>
      <c r="O525" s="20"/>
      <c r="P525" s="20"/>
      <c r="Q525" s="20"/>
      <c r="R525" s="20"/>
      <c r="S525" s="188"/>
      <c r="T525" s="188"/>
      <c r="U525" s="188"/>
      <c r="V525" s="188"/>
      <c r="W525" s="20"/>
      <c r="X525" s="20"/>
      <c r="Y525" s="20"/>
      <c r="Z525" s="20"/>
      <c r="AA525" s="20"/>
      <c r="AB525" s="20"/>
    </row>
    <row r="526">
      <c r="A526" s="20"/>
      <c r="B526" s="20"/>
      <c r="C526" s="20"/>
      <c r="D526" s="20"/>
      <c r="E526" s="20"/>
      <c r="F526" s="282"/>
      <c r="G526" s="20"/>
      <c r="H526" s="20"/>
      <c r="I526" s="20"/>
      <c r="J526" s="20"/>
      <c r="K526" s="20"/>
      <c r="L526" s="20"/>
      <c r="M526" s="20"/>
      <c r="N526" s="20"/>
      <c r="O526" s="20"/>
      <c r="P526" s="20"/>
      <c r="Q526" s="20"/>
      <c r="R526" s="20"/>
      <c r="S526" s="188"/>
      <c r="T526" s="188"/>
      <c r="U526" s="188"/>
      <c r="V526" s="188"/>
      <c r="W526" s="20"/>
      <c r="X526" s="20"/>
      <c r="Y526" s="20"/>
      <c r="Z526" s="20"/>
      <c r="AA526" s="20"/>
      <c r="AB526" s="20"/>
    </row>
    <row r="527">
      <c r="A527" s="20"/>
      <c r="B527" s="20"/>
      <c r="C527" s="20"/>
      <c r="D527" s="20"/>
      <c r="E527" s="20"/>
      <c r="F527" s="282"/>
      <c r="G527" s="20"/>
      <c r="H527" s="20"/>
      <c r="I527" s="20"/>
      <c r="J527" s="20"/>
      <c r="K527" s="20"/>
      <c r="L527" s="20"/>
      <c r="M527" s="20"/>
      <c r="N527" s="20"/>
      <c r="O527" s="20"/>
      <c r="P527" s="20"/>
      <c r="Q527" s="20"/>
      <c r="R527" s="20"/>
      <c r="S527" s="188"/>
      <c r="T527" s="188"/>
      <c r="U527" s="188"/>
      <c r="V527" s="188"/>
      <c r="W527" s="20"/>
      <c r="X527" s="20"/>
      <c r="Y527" s="20"/>
      <c r="Z527" s="20"/>
      <c r="AA527" s="20"/>
      <c r="AB527" s="20"/>
    </row>
    <row r="528">
      <c r="A528" s="20"/>
      <c r="B528" s="20"/>
      <c r="C528" s="20"/>
      <c r="D528" s="20"/>
      <c r="E528" s="20"/>
      <c r="F528" s="282"/>
      <c r="G528" s="20"/>
      <c r="H528" s="20"/>
      <c r="I528" s="20"/>
      <c r="J528" s="20"/>
      <c r="K528" s="20"/>
      <c r="L528" s="20"/>
      <c r="M528" s="20"/>
      <c r="N528" s="20"/>
      <c r="O528" s="20"/>
      <c r="P528" s="20"/>
      <c r="Q528" s="20"/>
      <c r="R528" s="20"/>
      <c r="S528" s="188"/>
      <c r="T528" s="188"/>
      <c r="U528" s="188"/>
      <c r="V528" s="188"/>
      <c r="W528" s="20"/>
      <c r="X528" s="20"/>
      <c r="Y528" s="20"/>
      <c r="Z528" s="20"/>
      <c r="AA528" s="20"/>
      <c r="AB528" s="20"/>
    </row>
    <row r="529">
      <c r="A529" s="20"/>
      <c r="B529" s="20"/>
      <c r="C529" s="20"/>
      <c r="D529" s="20"/>
      <c r="E529" s="20"/>
      <c r="F529" s="282"/>
      <c r="G529" s="20"/>
      <c r="H529" s="20"/>
      <c r="I529" s="20"/>
      <c r="J529" s="20"/>
      <c r="K529" s="20"/>
      <c r="L529" s="20"/>
      <c r="M529" s="20"/>
      <c r="N529" s="20"/>
      <c r="O529" s="20"/>
      <c r="P529" s="20"/>
      <c r="Q529" s="20"/>
      <c r="R529" s="20"/>
      <c r="S529" s="188"/>
      <c r="T529" s="188"/>
      <c r="U529" s="188"/>
      <c r="V529" s="188"/>
      <c r="W529" s="20"/>
      <c r="X529" s="20"/>
      <c r="Y529" s="20"/>
      <c r="Z529" s="20"/>
      <c r="AA529" s="20"/>
      <c r="AB529" s="20"/>
    </row>
    <row r="530">
      <c r="A530" s="20"/>
      <c r="B530" s="20"/>
      <c r="C530" s="20"/>
      <c r="D530" s="20"/>
      <c r="E530" s="20"/>
      <c r="F530" s="282"/>
      <c r="G530" s="20"/>
      <c r="H530" s="20"/>
      <c r="I530" s="20"/>
      <c r="J530" s="20"/>
      <c r="K530" s="20"/>
      <c r="L530" s="20"/>
      <c r="M530" s="20"/>
      <c r="N530" s="20"/>
      <c r="O530" s="20"/>
      <c r="P530" s="20"/>
      <c r="Q530" s="20"/>
      <c r="R530" s="20"/>
      <c r="S530" s="188"/>
      <c r="T530" s="188"/>
      <c r="U530" s="188"/>
      <c r="V530" s="188"/>
      <c r="W530" s="20"/>
      <c r="X530" s="20"/>
      <c r="Y530" s="20"/>
      <c r="Z530" s="20"/>
      <c r="AA530" s="20"/>
      <c r="AB530" s="20"/>
    </row>
    <row r="531">
      <c r="A531" s="20"/>
      <c r="B531" s="20"/>
      <c r="C531" s="20"/>
      <c r="D531" s="20"/>
      <c r="E531" s="20"/>
      <c r="F531" s="282"/>
      <c r="G531" s="20"/>
      <c r="H531" s="20"/>
      <c r="I531" s="20"/>
      <c r="J531" s="20"/>
      <c r="K531" s="20"/>
      <c r="L531" s="20"/>
      <c r="M531" s="20"/>
      <c r="N531" s="20"/>
      <c r="O531" s="20"/>
      <c r="P531" s="20"/>
      <c r="Q531" s="20"/>
      <c r="R531" s="20"/>
      <c r="S531" s="188"/>
      <c r="T531" s="188"/>
      <c r="U531" s="188"/>
      <c r="V531" s="188"/>
      <c r="W531" s="20"/>
      <c r="X531" s="20"/>
      <c r="Y531" s="20"/>
      <c r="Z531" s="20"/>
      <c r="AA531" s="20"/>
      <c r="AB531" s="20"/>
    </row>
    <row r="532">
      <c r="A532" s="20"/>
      <c r="B532" s="20"/>
      <c r="C532" s="20"/>
      <c r="D532" s="20"/>
      <c r="E532" s="20"/>
      <c r="F532" s="282"/>
      <c r="G532" s="20"/>
      <c r="H532" s="20"/>
      <c r="I532" s="20"/>
      <c r="J532" s="20"/>
      <c r="K532" s="20"/>
      <c r="L532" s="20"/>
      <c r="M532" s="20"/>
      <c r="N532" s="20"/>
      <c r="O532" s="20"/>
      <c r="P532" s="20"/>
      <c r="Q532" s="20"/>
      <c r="R532" s="20"/>
      <c r="S532" s="188"/>
      <c r="T532" s="188"/>
      <c r="U532" s="188"/>
      <c r="V532" s="188"/>
      <c r="W532" s="20"/>
      <c r="X532" s="20"/>
      <c r="Y532" s="20"/>
      <c r="Z532" s="20"/>
      <c r="AA532" s="20"/>
      <c r="AB532" s="20"/>
    </row>
    <row r="533">
      <c r="A533" s="20"/>
      <c r="B533" s="20"/>
      <c r="C533" s="20"/>
      <c r="D533" s="20"/>
      <c r="E533" s="20"/>
      <c r="F533" s="282"/>
      <c r="G533" s="20"/>
      <c r="H533" s="20"/>
      <c r="I533" s="20"/>
      <c r="J533" s="20"/>
      <c r="K533" s="20"/>
      <c r="L533" s="20"/>
      <c r="M533" s="20"/>
      <c r="N533" s="20"/>
      <c r="O533" s="20"/>
      <c r="P533" s="20"/>
      <c r="Q533" s="20"/>
      <c r="R533" s="20"/>
      <c r="S533" s="188"/>
      <c r="T533" s="188"/>
      <c r="U533" s="188"/>
      <c r="V533" s="188"/>
      <c r="W533" s="20"/>
      <c r="X533" s="20"/>
      <c r="Y533" s="20"/>
      <c r="Z533" s="20"/>
      <c r="AA533" s="20"/>
      <c r="AB533" s="20"/>
    </row>
    <row r="534">
      <c r="A534" s="20"/>
      <c r="B534" s="20"/>
      <c r="C534" s="20"/>
      <c r="D534" s="20"/>
      <c r="E534" s="20"/>
      <c r="F534" s="282"/>
      <c r="G534" s="20"/>
      <c r="H534" s="20"/>
      <c r="I534" s="20"/>
      <c r="J534" s="20"/>
      <c r="K534" s="20"/>
      <c r="L534" s="20"/>
      <c r="M534" s="20"/>
      <c r="N534" s="20"/>
      <c r="O534" s="20"/>
      <c r="P534" s="20"/>
      <c r="Q534" s="20"/>
      <c r="R534" s="20"/>
      <c r="S534" s="188"/>
      <c r="T534" s="188"/>
      <c r="U534" s="188"/>
      <c r="V534" s="188"/>
      <c r="W534" s="20"/>
      <c r="X534" s="20"/>
      <c r="Y534" s="20"/>
      <c r="Z534" s="20"/>
      <c r="AA534" s="20"/>
      <c r="AB534" s="20"/>
    </row>
    <row r="535">
      <c r="A535" s="20"/>
      <c r="B535" s="20"/>
      <c r="C535" s="20"/>
      <c r="D535" s="20"/>
      <c r="E535" s="20"/>
      <c r="F535" s="282"/>
      <c r="G535" s="20"/>
      <c r="H535" s="20"/>
      <c r="I535" s="20"/>
      <c r="J535" s="20"/>
      <c r="K535" s="20"/>
      <c r="L535" s="20"/>
      <c r="M535" s="20"/>
      <c r="N535" s="20"/>
      <c r="O535" s="20"/>
      <c r="P535" s="20"/>
      <c r="Q535" s="20"/>
      <c r="R535" s="20"/>
      <c r="S535" s="188"/>
      <c r="T535" s="188"/>
      <c r="U535" s="188"/>
      <c r="V535" s="188"/>
      <c r="W535" s="20"/>
      <c r="X535" s="20"/>
      <c r="Y535" s="20"/>
      <c r="Z535" s="20"/>
      <c r="AA535" s="20"/>
      <c r="AB535" s="20"/>
    </row>
    <row r="536">
      <c r="A536" s="20"/>
      <c r="B536" s="20"/>
      <c r="C536" s="20"/>
      <c r="D536" s="20"/>
      <c r="E536" s="20"/>
      <c r="F536" s="282"/>
      <c r="G536" s="20"/>
      <c r="H536" s="20"/>
      <c r="I536" s="20"/>
      <c r="J536" s="20"/>
      <c r="K536" s="20"/>
      <c r="L536" s="20"/>
      <c r="M536" s="20"/>
      <c r="N536" s="20"/>
      <c r="O536" s="20"/>
      <c r="P536" s="20"/>
      <c r="Q536" s="20"/>
      <c r="R536" s="20"/>
      <c r="S536" s="188"/>
      <c r="T536" s="188"/>
      <c r="U536" s="188"/>
      <c r="V536" s="188"/>
      <c r="W536" s="20"/>
      <c r="X536" s="20"/>
      <c r="Y536" s="20"/>
      <c r="Z536" s="20"/>
      <c r="AA536" s="20"/>
      <c r="AB536" s="20"/>
    </row>
    <row r="537">
      <c r="A537" s="20"/>
      <c r="B537" s="20"/>
      <c r="C537" s="20"/>
      <c r="D537" s="20"/>
      <c r="E537" s="20"/>
      <c r="F537" s="282"/>
      <c r="G537" s="20"/>
      <c r="H537" s="20"/>
      <c r="I537" s="20"/>
      <c r="J537" s="20"/>
      <c r="K537" s="20"/>
      <c r="L537" s="20"/>
      <c r="M537" s="20"/>
      <c r="N537" s="20"/>
      <c r="O537" s="20"/>
      <c r="P537" s="20"/>
      <c r="Q537" s="20"/>
      <c r="R537" s="20"/>
      <c r="S537" s="188"/>
      <c r="T537" s="188"/>
      <c r="U537" s="188"/>
      <c r="V537" s="188"/>
      <c r="W537" s="20"/>
      <c r="X537" s="20"/>
      <c r="Y537" s="20"/>
      <c r="Z537" s="20"/>
      <c r="AA537" s="20"/>
      <c r="AB537" s="20"/>
    </row>
    <row r="538">
      <c r="A538" s="20"/>
      <c r="B538" s="20"/>
      <c r="C538" s="20"/>
      <c r="D538" s="20"/>
      <c r="E538" s="20"/>
      <c r="F538" s="282"/>
      <c r="G538" s="20"/>
      <c r="H538" s="20"/>
      <c r="I538" s="20"/>
      <c r="J538" s="20"/>
      <c r="K538" s="20"/>
      <c r="L538" s="20"/>
      <c r="M538" s="20"/>
      <c r="N538" s="20"/>
      <c r="O538" s="20"/>
      <c r="P538" s="20"/>
      <c r="Q538" s="20"/>
      <c r="R538" s="20"/>
      <c r="S538" s="188"/>
      <c r="T538" s="188"/>
      <c r="U538" s="188"/>
      <c r="V538" s="188"/>
      <c r="W538" s="20"/>
      <c r="X538" s="20"/>
      <c r="Y538" s="20"/>
      <c r="Z538" s="20"/>
      <c r="AA538" s="20"/>
      <c r="AB538" s="20"/>
    </row>
    <row r="539">
      <c r="A539" s="20"/>
      <c r="B539" s="20"/>
      <c r="C539" s="20"/>
      <c r="D539" s="20"/>
      <c r="E539" s="20"/>
      <c r="F539" s="282"/>
      <c r="G539" s="20"/>
      <c r="H539" s="20"/>
      <c r="I539" s="20"/>
      <c r="J539" s="20"/>
      <c r="K539" s="20"/>
      <c r="L539" s="20"/>
      <c r="M539" s="20"/>
      <c r="N539" s="20"/>
      <c r="O539" s="20"/>
      <c r="P539" s="20"/>
      <c r="Q539" s="20"/>
      <c r="R539" s="20"/>
      <c r="S539" s="188"/>
      <c r="T539" s="188"/>
      <c r="U539" s="188"/>
      <c r="V539" s="188"/>
      <c r="W539" s="20"/>
      <c r="X539" s="20"/>
      <c r="Y539" s="20"/>
      <c r="Z539" s="20"/>
      <c r="AA539" s="20"/>
      <c r="AB539" s="20"/>
    </row>
    <row r="540">
      <c r="A540" s="20"/>
      <c r="B540" s="20"/>
      <c r="C540" s="20"/>
      <c r="D540" s="20"/>
      <c r="E540" s="20"/>
      <c r="F540" s="282"/>
      <c r="G540" s="20"/>
      <c r="H540" s="20"/>
      <c r="I540" s="20"/>
      <c r="J540" s="20"/>
      <c r="K540" s="20"/>
      <c r="L540" s="20"/>
      <c r="M540" s="20"/>
      <c r="N540" s="20"/>
      <c r="O540" s="20"/>
      <c r="P540" s="20"/>
      <c r="Q540" s="20"/>
      <c r="R540" s="20"/>
      <c r="S540" s="188"/>
      <c r="T540" s="188"/>
      <c r="U540" s="188"/>
      <c r="V540" s="188"/>
      <c r="W540" s="20"/>
      <c r="X540" s="20"/>
      <c r="Y540" s="20"/>
      <c r="Z540" s="20"/>
      <c r="AA540" s="20"/>
      <c r="AB540" s="20"/>
    </row>
    <row r="541">
      <c r="A541" s="20"/>
      <c r="B541" s="20"/>
      <c r="C541" s="20"/>
      <c r="D541" s="20"/>
      <c r="E541" s="20"/>
      <c r="F541" s="282"/>
      <c r="G541" s="20"/>
      <c r="H541" s="20"/>
      <c r="I541" s="20"/>
      <c r="J541" s="20"/>
      <c r="K541" s="20"/>
      <c r="L541" s="20"/>
      <c r="M541" s="20"/>
      <c r="N541" s="20"/>
      <c r="O541" s="20"/>
      <c r="P541" s="20"/>
      <c r="Q541" s="20"/>
      <c r="R541" s="20"/>
      <c r="S541" s="188"/>
      <c r="T541" s="188"/>
      <c r="U541" s="188"/>
      <c r="V541" s="188"/>
      <c r="W541" s="20"/>
      <c r="X541" s="20"/>
      <c r="Y541" s="20"/>
      <c r="Z541" s="20"/>
      <c r="AA541" s="20"/>
      <c r="AB541" s="20"/>
    </row>
    <row r="542">
      <c r="A542" s="20"/>
      <c r="B542" s="20"/>
      <c r="C542" s="20"/>
      <c r="D542" s="20"/>
      <c r="E542" s="20"/>
      <c r="F542" s="282"/>
      <c r="G542" s="20"/>
      <c r="H542" s="20"/>
      <c r="I542" s="20"/>
      <c r="J542" s="20"/>
      <c r="K542" s="20"/>
      <c r="L542" s="20"/>
      <c r="M542" s="20"/>
      <c r="N542" s="20"/>
      <c r="O542" s="20"/>
      <c r="P542" s="20"/>
      <c r="Q542" s="20"/>
      <c r="R542" s="20"/>
      <c r="S542" s="188"/>
      <c r="T542" s="188"/>
      <c r="U542" s="188"/>
      <c r="V542" s="188"/>
      <c r="W542" s="20"/>
      <c r="X542" s="20"/>
      <c r="Y542" s="20"/>
      <c r="Z542" s="20"/>
      <c r="AA542" s="20"/>
      <c r="AB542" s="20"/>
    </row>
    <row r="543">
      <c r="A543" s="20"/>
      <c r="B543" s="20"/>
      <c r="C543" s="20"/>
      <c r="D543" s="20"/>
      <c r="E543" s="20"/>
      <c r="F543" s="282"/>
      <c r="G543" s="20"/>
      <c r="H543" s="20"/>
      <c r="I543" s="20"/>
      <c r="J543" s="20"/>
      <c r="K543" s="20"/>
      <c r="L543" s="20"/>
      <c r="M543" s="20"/>
      <c r="N543" s="20"/>
      <c r="O543" s="20"/>
      <c r="P543" s="20"/>
      <c r="Q543" s="20"/>
      <c r="R543" s="20"/>
      <c r="S543" s="188"/>
      <c r="T543" s="188"/>
      <c r="U543" s="188"/>
      <c r="V543" s="188"/>
      <c r="W543" s="20"/>
      <c r="X543" s="20"/>
      <c r="Y543" s="20"/>
      <c r="Z543" s="20"/>
      <c r="AA543" s="20"/>
      <c r="AB543" s="20"/>
    </row>
    <row r="544">
      <c r="A544" s="20"/>
      <c r="B544" s="20"/>
      <c r="C544" s="20"/>
      <c r="D544" s="20"/>
      <c r="E544" s="20"/>
      <c r="F544" s="282"/>
      <c r="G544" s="20"/>
      <c r="H544" s="20"/>
      <c r="I544" s="20"/>
      <c r="J544" s="20"/>
      <c r="K544" s="20"/>
      <c r="L544" s="20"/>
      <c r="M544" s="20"/>
      <c r="N544" s="20"/>
      <c r="O544" s="20"/>
      <c r="P544" s="20"/>
      <c r="Q544" s="20"/>
      <c r="R544" s="20"/>
      <c r="S544" s="188"/>
      <c r="T544" s="188"/>
      <c r="U544" s="188"/>
      <c r="V544" s="188"/>
      <c r="W544" s="20"/>
      <c r="X544" s="20"/>
      <c r="Y544" s="20"/>
      <c r="Z544" s="20"/>
      <c r="AA544" s="20"/>
      <c r="AB544" s="20"/>
    </row>
    <row r="545">
      <c r="A545" s="20"/>
      <c r="B545" s="20"/>
      <c r="C545" s="20"/>
      <c r="D545" s="20"/>
      <c r="E545" s="20"/>
      <c r="F545" s="282"/>
      <c r="G545" s="20"/>
      <c r="H545" s="20"/>
      <c r="I545" s="20"/>
      <c r="J545" s="20"/>
      <c r="K545" s="20"/>
      <c r="L545" s="20"/>
      <c r="M545" s="20"/>
      <c r="N545" s="20"/>
      <c r="O545" s="20"/>
      <c r="P545" s="20"/>
      <c r="Q545" s="20"/>
      <c r="R545" s="20"/>
      <c r="S545" s="188"/>
      <c r="T545" s="188"/>
      <c r="U545" s="188"/>
      <c r="V545" s="188"/>
      <c r="W545" s="20"/>
      <c r="X545" s="20"/>
      <c r="Y545" s="20"/>
      <c r="Z545" s="20"/>
      <c r="AA545" s="20"/>
      <c r="AB545" s="20"/>
    </row>
    <row r="546">
      <c r="A546" s="20"/>
      <c r="B546" s="20"/>
      <c r="C546" s="20"/>
      <c r="D546" s="20"/>
      <c r="E546" s="20"/>
      <c r="F546" s="282"/>
      <c r="G546" s="20"/>
      <c r="H546" s="20"/>
      <c r="I546" s="20"/>
      <c r="J546" s="20"/>
      <c r="K546" s="20"/>
      <c r="L546" s="20"/>
      <c r="M546" s="20"/>
      <c r="N546" s="20"/>
      <c r="O546" s="20"/>
      <c r="P546" s="20"/>
      <c r="Q546" s="20"/>
      <c r="R546" s="20"/>
      <c r="S546" s="188"/>
      <c r="T546" s="188"/>
      <c r="U546" s="188"/>
      <c r="V546" s="188"/>
      <c r="W546" s="20"/>
      <c r="X546" s="20"/>
      <c r="Y546" s="20"/>
      <c r="Z546" s="20"/>
      <c r="AA546" s="20"/>
      <c r="AB546" s="20"/>
    </row>
    <row r="547">
      <c r="A547" s="20"/>
      <c r="B547" s="20"/>
      <c r="C547" s="20"/>
      <c r="D547" s="20"/>
      <c r="E547" s="20"/>
      <c r="F547" s="282"/>
      <c r="G547" s="20"/>
      <c r="H547" s="20"/>
      <c r="I547" s="20"/>
      <c r="J547" s="20"/>
      <c r="K547" s="20"/>
      <c r="L547" s="20"/>
      <c r="M547" s="20"/>
      <c r="N547" s="20"/>
      <c r="O547" s="20"/>
      <c r="P547" s="20"/>
      <c r="Q547" s="20"/>
      <c r="R547" s="20"/>
      <c r="S547" s="188"/>
      <c r="T547" s="188"/>
      <c r="U547" s="188"/>
      <c r="V547" s="188"/>
      <c r="W547" s="20"/>
      <c r="X547" s="20"/>
      <c r="Y547" s="20"/>
      <c r="Z547" s="20"/>
      <c r="AA547" s="20"/>
      <c r="AB547" s="20"/>
    </row>
    <row r="548">
      <c r="A548" s="20"/>
      <c r="B548" s="20"/>
      <c r="C548" s="20"/>
      <c r="D548" s="20"/>
      <c r="E548" s="20"/>
      <c r="F548" s="282"/>
      <c r="G548" s="20"/>
      <c r="H548" s="20"/>
      <c r="I548" s="20"/>
      <c r="J548" s="20"/>
      <c r="K548" s="20"/>
      <c r="L548" s="20"/>
      <c r="M548" s="20"/>
      <c r="N548" s="20"/>
      <c r="O548" s="20"/>
      <c r="P548" s="20"/>
      <c r="Q548" s="20"/>
      <c r="R548" s="20"/>
      <c r="S548" s="188"/>
      <c r="T548" s="188"/>
      <c r="U548" s="188"/>
      <c r="V548" s="188"/>
      <c r="W548" s="20"/>
      <c r="X548" s="20"/>
      <c r="Y548" s="20"/>
      <c r="Z548" s="20"/>
      <c r="AA548" s="20"/>
      <c r="AB548" s="20"/>
    </row>
    <row r="549">
      <c r="A549" s="20"/>
      <c r="B549" s="20"/>
      <c r="C549" s="20"/>
      <c r="D549" s="20"/>
      <c r="E549" s="20"/>
      <c r="F549" s="282"/>
      <c r="G549" s="20"/>
      <c r="H549" s="20"/>
      <c r="I549" s="20"/>
      <c r="J549" s="20"/>
      <c r="K549" s="20"/>
      <c r="L549" s="20"/>
      <c r="M549" s="20"/>
      <c r="N549" s="20"/>
      <c r="O549" s="20"/>
      <c r="P549" s="20"/>
      <c r="Q549" s="20"/>
      <c r="R549" s="20"/>
      <c r="S549" s="188"/>
      <c r="T549" s="188"/>
      <c r="U549" s="188"/>
      <c r="V549" s="188"/>
      <c r="W549" s="20"/>
      <c r="X549" s="20"/>
      <c r="Y549" s="20"/>
      <c r="Z549" s="20"/>
      <c r="AA549" s="20"/>
      <c r="AB549" s="20"/>
    </row>
    <row r="550">
      <c r="A550" s="20"/>
      <c r="B550" s="20"/>
      <c r="C550" s="20"/>
      <c r="D550" s="20"/>
      <c r="E550" s="20"/>
      <c r="F550" s="282"/>
      <c r="G550" s="20"/>
      <c r="H550" s="20"/>
      <c r="I550" s="20"/>
      <c r="J550" s="20"/>
      <c r="K550" s="20"/>
      <c r="L550" s="20"/>
      <c r="M550" s="20"/>
      <c r="N550" s="20"/>
      <c r="O550" s="20"/>
      <c r="P550" s="20"/>
      <c r="Q550" s="20"/>
      <c r="R550" s="20"/>
      <c r="S550" s="188"/>
      <c r="T550" s="188"/>
      <c r="U550" s="188"/>
      <c r="V550" s="188"/>
      <c r="W550" s="20"/>
      <c r="X550" s="20"/>
      <c r="Y550" s="20"/>
      <c r="Z550" s="20"/>
      <c r="AA550" s="20"/>
      <c r="AB550" s="20"/>
    </row>
    <row r="551">
      <c r="A551" s="20"/>
      <c r="B551" s="20"/>
      <c r="C551" s="20"/>
      <c r="D551" s="20"/>
      <c r="E551" s="20"/>
      <c r="F551" s="282"/>
      <c r="G551" s="20"/>
      <c r="H551" s="20"/>
      <c r="I551" s="20"/>
      <c r="J551" s="20"/>
      <c r="K551" s="20"/>
      <c r="L551" s="20"/>
      <c r="M551" s="20"/>
      <c r="N551" s="20"/>
      <c r="O551" s="20"/>
      <c r="P551" s="20"/>
      <c r="Q551" s="20"/>
      <c r="R551" s="20"/>
      <c r="S551" s="188"/>
      <c r="T551" s="188"/>
      <c r="U551" s="188"/>
      <c r="V551" s="188"/>
      <c r="W551" s="20"/>
      <c r="X551" s="20"/>
      <c r="Y551" s="20"/>
      <c r="Z551" s="20"/>
      <c r="AA551" s="20"/>
      <c r="AB551" s="20"/>
    </row>
    <row r="552">
      <c r="A552" s="20"/>
      <c r="B552" s="20"/>
      <c r="C552" s="20"/>
      <c r="D552" s="20"/>
      <c r="E552" s="20"/>
      <c r="F552" s="282"/>
      <c r="G552" s="20"/>
      <c r="H552" s="20"/>
      <c r="I552" s="20"/>
      <c r="J552" s="20"/>
      <c r="K552" s="20"/>
      <c r="L552" s="20"/>
      <c r="M552" s="20"/>
      <c r="N552" s="20"/>
      <c r="O552" s="20"/>
      <c r="P552" s="20"/>
      <c r="Q552" s="20"/>
      <c r="R552" s="20"/>
      <c r="S552" s="188"/>
      <c r="T552" s="188"/>
      <c r="U552" s="188"/>
      <c r="V552" s="188"/>
      <c r="W552" s="20"/>
      <c r="X552" s="20"/>
      <c r="Y552" s="20"/>
      <c r="Z552" s="20"/>
      <c r="AA552" s="20"/>
      <c r="AB552" s="20"/>
    </row>
    <row r="553">
      <c r="A553" s="20"/>
      <c r="B553" s="20"/>
      <c r="C553" s="20"/>
      <c r="D553" s="20"/>
      <c r="E553" s="20"/>
      <c r="F553" s="282"/>
      <c r="G553" s="20"/>
      <c r="H553" s="20"/>
      <c r="I553" s="20"/>
      <c r="J553" s="20"/>
      <c r="K553" s="20"/>
      <c r="L553" s="20"/>
      <c r="M553" s="20"/>
      <c r="N553" s="20"/>
      <c r="O553" s="20"/>
      <c r="P553" s="20"/>
      <c r="Q553" s="20"/>
      <c r="R553" s="20"/>
      <c r="S553" s="188"/>
      <c r="T553" s="188"/>
      <c r="U553" s="188"/>
      <c r="V553" s="188"/>
      <c r="W553" s="20"/>
      <c r="X553" s="20"/>
      <c r="Y553" s="20"/>
      <c r="Z553" s="20"/>
      <c r="AA553" s="20"/>
      <c r="AB553" s="20"/>
    </row>
    <row r="554">
      <c r="A554" s="20"/>
      <c r="B554" s="20"/>
      <c r="C554" s="20"/>
      <c r="D554" s="20"/>
      <c r="E554" s="20"/>
      <c r="F554" s="282"/>
      <c r="G554" s="20"/>
      <c r="H554" s="20"/>
      <c r="I554" s="20"/>
      <c r="J554" s="20"/>
      <c r="K554" s="20"/>
      <c r="L554" s="20"/>
      <c r="M554" s="20"/>
      <c r="N554" s="20"/>
      <c r="O554" s="20"/>
      <c r="P554" s="20"/>
      <c r="Q554" s="20"/>
      <c r="R554" s="20"/>
      <c r="S554" s="188"/>
      <c r="T554" s="188"/>
      <c r="U554" s="188"/>
      <c r="V554" s="188"/>
      <c r="W554" s="20"/>
      <c r="X554" s="20"/>
      <c r="Y554" s="20"/>
      <c r="Z554" s="20"/>
      <c r="AA554" s="20"/>
      <c r="AB554" s="20"/>
    </row>
    <row r="555">
      <c r="A555" s="20"/>
      <c r="B555" s="20"/>
      <c r="C555" s="20"/>
      <c r="D555" s="20"/>
      <c r="E555" s="20"/>
      <c r="F555" s="282"/>
      <c r="G555" s="20"/>
      <c r="H555" s="20"/>
      <c r="I555" s="20"/>
      <c r="J555" s="20"/>
      <c r="K555" s="20"/>
      <c r="L555" s="20"/>
      <c r="M555" s="20"/>
      <c r="N555" s="20"/>
      <c r="O555" s="20"/>
      <c r="P555" s="20"/>
      <c r="Q555" s="20"/>
      <c r="R555" s="20"/>
      <c r="S555" s="188"/>
      <c r="T555" s="188"/>
      <c r="U555" s="188"/>
      <c r="V555" s="188"/>
      <c r="W555" s="20"/>
      <c r="X555" s="20"/>
      <c r="Y555" s="20"/>
      <c r="Z555" s="20"/>
      <c r="AA555" s="20"/>
      <c r="AB555" s="20"/>
    </row>
    <row r="556">
      <c r="A556" s="20"/>
      <c r="B556" s="20"/>
      <c r="C556" s="20"/>
      <c r="D556" s="20"/>
      <c r="E556" s="20"/>
      <c r="F556" s="282"/>
      <c r="G556" s="20"/>
      <c r="H556" s="20"/>
      <c r="I556" s="20"/>
      <c r="J556" s="20"/>
      <c r="K556" s="20"/>
      <c r="L556" s="20"/>
      <c r="M556" s="20"/>
      <c r="N556" s="20"/>
      <c r="O556" s="20"/>
      <c r="P556" s="20"/>
      <c r="Q556" s="20"/>
      <c r="R556" s="20"/>
      <c r="S556" s="188"/>
      <c r="T556" s="188"/>
      <c r="U556" s="188"/>
      <c r="V556" s="188"/>
      <c r="W556" s="20"/>
      <c r="X556" s="20"/>
      <c r="Y556" s="20"/>
      <c r="Z556" s="20"/>
      <c r="AA556" s="20"/>
      <c r="AB556" s="20"/>
    </row>
    <row r="557">
      <c r="A557" s="20"/>
      <c r="B557" s="20"/>
      <c r="C557" s="20"/>
      <c r="D557" s="20"/>
      <c r="E557" s="20"/>
      <c r="F557" s="282"/>
      <c r="G557" s="20"/>
      <c r="H557" s="20"/>
      <c r="I557" s="20"/>
      <c r="J557" s="20"/>
      <c r="K557" s="20"/>
      <c r="L557" s="20"/>
      <c r="M557" s="20"/>
      <c r="N557" s="20"/>
      <c r="O557" s="20"/>
      <c r="P557" s="20"/>
      <c r="Q557" s="20"/>
      <c r="R557" s="20"/>
      <c r="S557" s="188"/>
      <c r="T557" s="188"/>
      <c r="U557" s="188"/>
      <c r="V557" s="188"/>
      <c r="W557" s="20"/>
      <c r="X557" s="20"/>
      <c r="Y557" s="20"/>
      <c r="Z557" s="20"/>
      <c r="AA557" s="20"/>
      <c r="AB557" s="20"/>
    </row>
    <row r="558">
      <c r="A558" s="20"/>
      <c r="B558" s="20"/>
      <c r="C558" s="20"/>
      <c r="D558" s="20"/>
      <c r="E558" s="20"/>
      <c r="F558" s="282"/>
      <c r="G558" s="20"/>
      <c r="H558" s="20"/>
      <c r="I558" s="20"/>
      <c r="J558" s="20"/>
      <c r="K558" s="20"/>
      <c r="L558" s="20"/>
      <c r="M558" s="20"/>
      <c r="N558" s="20"/>
      <c r="O558" s="20"/>
      <c r="P558" s="20"/>
      <c r="Q558" s="20"/>
      <c r="R558" s="20"/>
      <c r="S558" s="188"/>
      <c r="T558" s="188"/>
      <c r="U558" s="188"/>
      <c r="V558" s="188"/>
      <c r="W558" s="20"/>
      <c r="X558" s="20"/>
      <c r="Y558" s="20"/>
      <c r="Z558" s="20"/>
      <c r="AA558" s="20"/>
      <c r="AB558" s="20"/>
    </row>
    <row r="559">
      <c r="A559" s="20"/>
      <c r="B559" s="20"/>
      <c r="C559" s="20"/>
      <c r="D559" s="20"/>
      <c r="E559" s="20"/>
      <c r="F559" s="282"/>
      <c r="G559" s="20"/>
      <c r="H559" s="20"/>
      <c r="I559" s="20"/>
      <c r="J559" s="20"/>
      <c r="K559" s="20"/>
      <c r="L559" s="20"/>
      <c r="M559" s="20"/>
      <c r="N559" s="20"/>
      <c r="O559" s="20"/>
      <c r="P559" s="20"/>
      <c r="Q559" s="20"/>
      <c r="R559" s="20"/>
      <c r="S559" s="188"/>
      <c r="T559" s="188"/>
      <c r="U559" s="188"/>
      <c r="V559" s="188"/>
      <c r="W559" s="20"/>
      <c r="X559" s="20"/>
      <c r="Y559" s="20"/>
      <c r="Z559" s="20"/>
      <c r="AA559" s="20"/>
      <c r="AB559" s="20"/>
    </row>
    <row r="560">
      <c r="A560" s="20"/>
      <c r="B560" s="20"/>
      <c r="C560" s="20"/>
      <c r="D560" s="20"/>
      <c r="E560" s="20"/>
      <c r="F560" s="282"/>
      <c r="G560" s="20"/>
      <c r="H560" s="20"/>
      <c r="I560" s="20"/>
      <c r="J560" s="20"/>
      <c r="K560" s="20"/>
      <c r="L560" s="20"/>
      <c r="M560" s="20"/>
      <c r="N560" s="20"/>
      <c r="O560" s="20"/>
      <c r="P560" s="20"/>
      <c r="Q560" s="20"/>
      <c r="R560" s="20"/>
      <c r="S560" s="188"/>
      <c r="T560" s="188"/>
      <c r="U560" s="188"/>
      <c r="V560" s="188"/>
      <c r="W560" s="20"/>
      <c r="X560" s="20"/>
      <c r="Y560" s="20"/>
      <c r="Z560" s="20"/>
      <c r="AA560" s="20"/>
      <c r="AB560" s="20"/>
    </row>
    <row r="561">
      <c r="A561" s="20"/>
      <c r="B561" s="20"/>
      <c r="C561" s="20"/>
      <c r="D561" s="20"/>
      <c r="E561" s="20"/>
      <c r="F561" s="282"/>
      <c r="G561" s="20"/>
      <c r="H561" s="20"/>
      <c r="I561" s="20"/>
      <c r="J561" s="20"/>
      <c r="K561" s="20"/>
      <c r="L561" s="20"/>
      <c r="M561" s="20"/>
      <c r="N561" s="20"/>
      <c r="O561" s="20"/>
      <c r="P561" s="20"/>
      <c r="Q561" s="20"/>
      <c r="R561" s="20"/>
      <c r="S561" s="188"/>
      <c r="T561" s="188"/>
      <c r="U561" s="188"/>
      <c r="V561" s="188"/>
      <c r="W561" s="20"/>
      <c r="X561" s="20"/>
      <c r="Y561" s="20"/>
      <c r="Z561" s="20"/>
      <c r="AA561" s="20"/>
      <c r="AB561" s="20"/>
    </row>
    <row r="562">
      <c r="A562" s="20"/>
      <c r="B562" s="20"/>
      <c r="C562" s="20"/>
      <c r="D562" s="20"/>
      <c r="E562" s="20"/>
      <c r="F562" s="282"/>
      <c r="G562" s="20"/>
      <c r="H562" s="20"/>
      <c r="I562" s="20"/>
      <c r="J562" s="20"/>
      <c r="K562" s="20"/>
      <c r="L562" s="20"/>
      <c r="M562" s="20"/>
      <c r="N562" s="20"/>
      <c r="O562" s="20"/>
      <c r="P562" s="20"/>
      <c r="Q562" s="20"/>
      <c r="R562" s="20"/>
      <c r="S562" s="188"/>
      <c r="T562" s="188"/>
      <c r="U562" s="188"/>
      <c r="V562" s="188"/>
      <c r="W562" s="20"/>
      <c r="X562" s="20"/>
      <c r="Y562" s="20"/>
      <c r="Z562" s="20"/>
      <c r="AA562" s="20"/>
      <c r="AB562" s="20"/>
    </row>
    <row r="563">
      <c r="A563" s="20"/>
      <c r="B563" s="20"/>
      <c r="C563" s="20"/>
      <c r="D563" s="20"/>
      <c r="E563" s="20"/>
      <c r="F563" s="282"/>
      <c r="G563" s="20"/>
      <c r="H563" s="20"/>
      <c r="I563" s="20"/>
      <c r="J563" s="20"/>
      <c r="K563" s="20"/>
      <c r="L563" s="20"/>
      <c r="M563" s="20"/>
      <c r="N563" s="20"/>
      <c r="O563" s="20"/>
      <c r="P563" s="20"/>
      <c r="Q563" s="20"/>
      <c r="R563" s="20"/>
      <c r="S563" s="188"/>
      <c r="T563" s="188"/>
      <c r="U563" s="188"/>
      <c r="V563" s="188"/>
      <c r="W563" s="20"/>
      <c r="X563" s="20"/>
      <c r="Y563" s="20"/>
      <c r="Z563" s="20"/>
      <c r="AA563" s="20"/>
      <c r="AB563" s="20"/>
    </row>
    <row r="564">
      <c r="A564" s="20"/>
      <c r="B564" s="20"/>
      <c r="C564" s="20"/>
      <c r="D564" s="20"/>
      <c r="E564" s="20"/>
      <c r="F564" s="282"/>
      <c r="G564" s="20"/>
      <c r="H564" s="20"/>
      <c r="I564" s="20"/>
      <c r="J564" s="20"/>
      <c r="K564" s="20"/>
      <c r="L564" s="20"/>
      <c r="M564" s="20"/>
      <c r="N564" s="20"/>
      <c r="O564" s="20"/>
      <c r="P564" s="20"/>
      <c r="Q564" s="20"/>
      <c r="R564" s="20"/>
      <c r="S564" s="188"/>
      <c r="T564" s="188"/>
      <c r="U564" s="188"/>
      <c r="V564" s="188"/>
      <c r="W564" s="20"/>
      <c r="X564" s="20"/>
      <c r="Y564" s="20"/>
      <c r="Z564" s="20"/>
      <c r="AA564" s="20"/>
      <c r="AB564" s="20"/>
    </row>
    <row r="565">
      <c r="A565" s="20"/>
      <c r="B565" s="20"/>
      <c r="C565" s="20"/>
      <c r="D565" s="20"/>
      <c r="E565" s="20"/>
      <c r="F565" s="282"/>
      <c r="G565" s="20"/>
      <c r="H565" s="20"/>
      <c r="I565" s="20"/>
      <c r="J565" s="20"/>
      <c r="K565" s="20"/>
      <c r="L565" s="20"/>
      <c r="M565" s="20"/>
      <c r="N565" s="20"/>
      <c r="O565" s="20"/>
      <c r="P565" s="20"/>
      <c r="Q565" s="20"/>
      <c r="R565" s="20"/>
      <c r="S565" s="188"/>
      <c r="T565" s="188"/>
      <c r="U565" s="188"/>
      <c r="V565" s="188"/>
      <c r="W565" s="20"/>
      <c r="X565" s="20"/>
      <c r="Y565" s="20"/>
      <c r="Z565" s="20"/>
      <c r="AA565" s="20"/>
      <c r="AB565" s="20"/>
    </row>
    <row r="566">
      <c r="A566" s="20"/>
      <c r="B566" s="20"/>
      <c r="C566" s="20"/>
      <c r="D566" s="20"/>
      <c r="E566" s="20"/>
      <c r="F566" s="282"/>
      <c r="G566" s="20"/>
      <c r="H566" s="20"/>
      <c r="I566" s="20"/>
      <c r="J566" s="20"/>
      <c r="K566" s="20"/>
      <c r="L566" s="20"/>
      <c r="M566" s="20"/>
      <c r="N566" s="20"/>
      <c r="O566" s="20"/>
      <c r="P566" s="20"/>
      <c r="Q566" s="20"/>
      <c r="R566" s="20"/>
      <c r="S566" s="188"/>
      <c r="T566" s="188"/>
      <c r="U566" s="188"/>
      <c r="V566" s="188"/>
      <c r="W566" s="20"/>
      <c r="X566" s="20"/>
      <c r="Y566" s="20"/>
      <c r="Z566" s="20"/>
      <c r="AA566" s="20"/>
      <c r="AB566" s="20"/>
    </row>
    <row r="567">
      <c r="A567" s="20"/>
      <c r="B567" s="20"/>
      <c r="C567" s="20"/>
      <c r="D567" s="20"/>
      <c r="E567" s="20"/>
      <c r="F567" s="282"/>
      <c r="G567" s="20"/>
      <c r="H567" s="20"/>
      <c r="I567" s="20"/>
      <c r="J567" s="20"/>
      <c r="K567" s="20"/>
      <c r="L567" s="20"/>
      <c r="M567" s="20"/>
      <c r="N567" s="20"/>
      <c r="O567" s="20"/>
      <c r="P567" s="20"/>
      <c r="Q567" s="20"/>
      <c r="R567" s="20"/>
      <c r="S567" s="188"/>
      <c r="T567" s="188"/>
      <c r="U567" s="188"/>
      <c r="V567" s="188"/>
      <c r="W567" s="20"/>
      <c r="X567" s="20"/>
      <c r="Y567" s="20"/>
      <c r="Z567" s="20"/>
      <c r="AA567" s="20"/>
      <c r="AB567" s="20"/>
    </row>
    <row r="568">
      <c r="A568" s="20"/>
      <c r="B568" s="20"/>
      <c r="C568" s="20"/>
      <c r="D568" s="20"/>
      <c r="E568" s="20"/>
      <c r="F568" s="282"/>
      <c r="G568" s="20"/>
      <c r="H568" s="20"/>
      <c r="I568" s="20"/>
      <c r="J568" s="20"/>
      <c r="K568" s="20"/>
      <c r="L568" s="20"/>
      <c r="M568" s="20"/>
      <c r="N568" s="20"/>
      <c r="O568" s="20"/>
      <c r="P568" s="20"/>
      <c r="Q568" s="20"/>
      <c r="R568" s="20"/>
      <c r="S568" s="188"/>
      <c r="T568" s="188"/>
      <c r="U568" s="188"/>
      <c r="V568" s="188"/>
      <c r="W568" s="20"/>
      <c r="X568" s="20"/>
      <c r="Y568" s="20"/>
      <c r="Z568" s="20"/>
      <c r="AA568" s="20"/>
      <c r="AB568" s="20"/>
    </row>
    <row r="569">
      <c r="A569" s="20"/>
      <c r="B569" s="20"/>
      <c r="C569" s="20"/>
      <c r="D569" s="20"/>
      <c r="E569" s="20"/>
      <c r="F569" s="282"/>
      <c r="G569" s="20"/>
      <c r="H569" s="20"/>
      <c r="I569" s="20"/>
      <c r="J569" s="20"/>
      <c r="K569" s="20"/>
      <c r="L569" s="20"/>
      <c r="M569" s="20"/>
      <c r="N569" s="20"/>
      <c r="O569" s="20"/>
      <c r="P569" s="20"/>
      <c r="Q569" s="20"/>
      <c r="R569" s="20"/>
      <c r="S569" s="188"/>
      <c r="T569" s="188"/>
      <c r="U569" s="188"/>
      <c r="V569" s="188"/>
      <c r="W569" s="20"/>
      <c r="X569" s="20"/>
      <c r="Y569" s="20"/>
      <c r="Z569" s="20"/>
      <c r="AA569" s="20"/>
      <c r="AB569" s="20"/>
    </row>
    <row r="570">
      <c r="A570" s="20"/>
      <c r="B570" s="20"/>
      <c r="C570" s="20"/>
      <c r="D570" s="20"/>
      <c r="E570" s="20"/>
      <c r="F570" s="282"/>
      <c r="G570" s="20"/>
      <c r="H570" s="20"/>
      <c r="I570" s="20"/>
      <c r="J570" s="20"/>
      <c r="K570" s="20"/>
      <c r="L570" s="20"/>
      <c r="M570" s="20"/>
      <c r="N570" s="20"/>
      <c r="O570" s="20"/>
      <c r="P570" s="20"/>
      <c r="Q570" s="20"/>
      <c r="R570" s="20"/>
      <c r="S570" s="188"/>
      <c r="T570" s="188"/>
      <c r="U570" s="188"/>
      <c r="V570" s="188"/>
      <c r="W570" s="20"/>
      <c r="X570" s="20"/>
      <c r="Y570" s="20"/>
      <c r="Z570" s="20"/>
      <c r="AA570" s="20"/>
      <c r="AB570" s="20"/>
    </row>
    <row r="571">
      <c r="A571" s="20"/>
      <c r="B571" s="20"/>
      <c r="C571" s="20"/>
      <c r="D571" s="20"/>
      <c r="E571" s="20"/>
      <c r="F571" s="282"/>
      <c r="G571" s="20"/>
      <c r="H571" s="20"/>
      <c r="I571" s="20"/>
      <c r="J571" s="20"/>
      <c r="K571" s="20"/>
      <c r="L571" s="20"/>
      <c r="M571" s="20"/>
      <c r="N571" s="20"/>
      <c r="O571" s="20"/>
      <c r="P571" s="20"/>
      <c r="Q571" s="20"/>
      <c r="R571" s="20"/>
      <c r="S571" s="188"/>
      <c r="T571" s="188"/>
      <c r="U571" s="188"/>
      <c r="V571" s="188"/>
      <c r="W571" s="20"/>
      <c r="X571" s="20"/>
      <c r="Y571" s="20"/>
      <c r="Z571" s="20"/>
      <c r="AA571" s="20"/>
      <c r="AB571" s="20"/>
    </row>
    <row r="572">
      <c r="A572" s="20"/>
      <c r="B572" s="20"/>
      <c r="C572" s="20"/>
      <c r="D572" s="20"/>
      <c r="E572" s="20"/>
      <c r="F572" s="282"/>
      <c r="G572" s="20"/>
      <c r="H572" s="20"/>
      <c r="I572" s="20"/>
      <c r="J572" s="20"/>
      <c r="K572" s="20"/>
      <c r="L572" s="20"/>
      <c r="M572" s="20"/>
      <c r="N572" s="20"/>
      <c r="O572" s="20"/>
      <c r="P572" s="20"/>
      <c r="Q572" s="20"/>
      <c r="R572" s="20"/>
      <c r="S572" s="188"/>
      <c r="T572" s="188"/>
      <c r="U572" s="188"/>
      <c r="V572" s="188"/>
      <c r="W572" s="20"/>
      <c r="X572" s="20"/>
      <c r="Y572" s="20"/>
      <c r="Z572" s="20"/>
      <c r="AA572" s="20"/>
      <c r="AB572" s="20"/>
    </row>
    <row r="573">
      <c r="A573" s="20"/>
      <c r="B573" s="20"/>
      <c r="C573" s="20"/>
      <c r="D573" s="20"/>
      <c r="E573" s="20"/>
      <c r="F573" s="282"/>
      <c r="G573" s="20"/>
      <c r="H573" s="20"/>
      <c r="I573" s="20"/>
      <c r="J573" s="20"/>
      <c r="K573" s="20"/>
      <c r="L573" s="20"/>
      <c r="M573" s="20"/>
      <c r="N573" s="20"/>
      <c r="O573" s="20"/>
      <c r="P573" s="20"/>
      <c r="Q573" s="20"/>
      <c r="R573" s="20"/>
      <c r="S573" s="188"/>
      <c r="T573" s="188"/>
      <c r="U573" s="188"/>
      <c r="V573" s="188"/>
      <c r="W573" s="20"/>
      <c r="X573" s="20"/>
      <c r="Y573" s="20"/>
      <c r="Z573" s="20"/>
      <c r="AA573" s="20"/>
      <c r="AB573" s="20"/>
    </row>
    <row r="574">
      <c r="A574" s="20"/>
      <c r="B574" s="20"/>
      <c r="C574" s="20"/>
      <c r="D574" s="20"/>
      <c r="E574" s="20"/>
      <c r="F574" s="282"/>
      <c r="G574" s="20"/>
      <c r="H574" s="20"/>
      <c r="I574" s="20"/>
      <c r="J574" s="20"/>
      <c r="K574" s="20"/>
      <c r="L574" s="20"/>
      <c r="M574" s="20"/>
      <c r="N574" s="20"/>
      <c r="O574" s="20"/>
      <c r="P574" s="20"/>
      <c r="Q574" s="20"/>
      <c r="R574" s="20"/>
      <c r="S574" s="188"/>
      <c r="T574" s="188"/>
      <c r="U574" s="188"/>
      <c r="V574" s="188"/>
      <c r="W574" s="20"/>
      <c r="X574" s="20"/>
      <c r="Y574" s="20"/>
      <c r="Z574" s="20"/>
      <c r="AA574" s="20"/>
      <c r="AB574" s="20"/>
    </row>
    <row r="575">
      <c r="A575" s="20"/>
      <c r="B575" s="20"/>
      <c r="C575" s="20"/>
      <c r="D575" s="20"/>
      <c r="E575" s="20"/>
      <c r="F575" s="282"/>
      <c r="G575" s="20"/>
      <c r="H575" s="20"/>
      <c r="I575" s="20"/>
      <c r="J575" s="20"/>
      <c r="K575" s="20"/>
      <c r="L575" s="20"/>
      <c r="M575" s="20"/>
      <c r="N575" s="20"/>
      <c r="O575" s="20"/>
      <c r="P575" s="20"/>
      <c r="Q575" s="20"/>
      <c r="R575" s="20"/>
      <c r="S575" s="188"/>
      <c r="T575" s="188"/>
      <c r="U575" s="188"/>
      <c r="V575" s="188"/>
      <c r="W575" s="20"/>
      <c r="X575" s="20"/>
      <c r="Y575" s="20"/>
      <c r="Z575" s="20"/>
      <c r="AA575" s="20"/>
      <c r="AB575" s="20"/>
    </row>
    <row r="576">
      <c r="A576" s="20"/>
      <c r="B576" s="20"/>
      <c r="C576" s="20"/>
      <c r="D576" s="20"/>
      <c r="E576" s="20"/>
      <c r="F576" s="282"/>
      <c r="G576" s="20"/>
      <c r="H576" s="20"/>
      <c r="I576" s="20"/>
      <c r="J576" s="20"/>
      <c r="K576" s="20"/>
      <c r="L576" s="20"/>
      <c r="M576" s="20"/>
      <c r="N576" s="20"/>
      <c r="O576" s="20"/>
      <c r="P576" s="20"/>
      <c r="Q576" s="20"/>
      <c r="R576" s="20"/>
      <c r="S576" s="188"/>
      <c r="T576" s="188"/>
      <c r="U576" s="188"/>
      <c r="V576" s="188"/>
      <c r="W576" s="20"/>
      <c r="X576" s="20"/>
      <c r="Y576" s="20"/>
      <c r="Z576" s="20"/>
      <c r="AA576" s="20"/>
      <c r="AB576" s="20"/>
    </row>
    <row r="577">
      <c r="A577" s="20"/>
      <c r="B577" s="20"/>
      <c r="C577" s="20"/>
      <c r="D577" s="20"/>
      <c r="E577" s="20"/>
      <c r="F577" s="282"/>
      <c r="G577" s="20"/>
      <c r="H577" s="20"/>
      <c r="I577" s="20"/>
      <c r="J577" s="20"/>
      <c r="K577" s="20"/>
      <c r="L577" s="20"/>
      <c r="M577" s="20"/>
      <c r="N577" s="20"/>
      <c r="O577" s="20"/>
      <c r="P577" s="20"/>
      <c r="Q577" s="20"/>
      <c r="R577" s="20"/>
      <c r="S577" s="188"/>
      <c r="T577" s="188"/>
      <c r="U577" s="188"/>
      <c r="V577" s="188"/>
      <c r="W577" s="20"/>
      <c r="X577" s="20"/>
      <c r="Y577" s="20"/>
      <c r="Z577" s="20"/>
      <c r="AA577" s="20"/>
      <c r="AB577" s="20"/>
    </row>
    <row r="578">
      <c r="A578" s="20"/>
      <c r="B578" s="20"/>
      <c r="C578" s="20"/>
      <c r="D578" s="20"/>
      <c r="E578" s="20"/>
      <c r="F578" s="282"/>
      <c r="G578" s="20"/>
      <c r="H578" s="20"/>
      <c r="I578" s="20"/>
      <c r="J578" s="20"/>
      <c r="K578" s="20"/>
      <c r="L578" s="20"/>
      <c r="M578" s="20"/>
      <c r="N578" s="20"/>
      <c r="O578" s="20"/>
      <c r="P578" s="20"/>
      <c r="Q578" s="20"/>
      <c r="R578" s="20"/>
      <c r="S578" s="188"/>
      <c r="T578" s="188"/>
      <c r="U578" s="188"/>
      <c r="V578" s="188"/>
      <c r="W578" s="20"/>
      <c r="X578" s="20"/>
      <c r="Y578" s="20"/>
      <c r="Z578" s="20"/>
      <c r="AA578" s="20"/>
      <c r="AB578" s="20"/>
    </row>
    <row r="579">
      <c r="A579" s="20"/>
      <c r="B579" s="20"/>
      <c r="C579" s="20"/>
      <c r="D579" s="20"/>
      <c r="E579" s="20"/>
      <c r="F579" s="282"/>
      <c r="G579" s="20"/>
      <c r="H579" s="20"/>
      <c r="I579" s="20"/>
      <c r="J579" s="20"/>
      <c r="K579" s="20"/>
      <c r="L579" s="20"/>
      <c r="M579" s="20"/>
      <c r="N579" s="20"/>
      <c r="O579" s="20"/>
      <c r="P579" s="20"/>
      <c r="Q579" s="20"/>
      <c r="R579" s="20"/>
      <c r="S579" s="188"/>
      <c r="T579" s="188"/>
      <c r="U579" s="188"/>
      <c r="V579" s="188"/>
      <c r="W579" s="20"/>
      <c r="X579" s="20"/>
      <c r="Y579" s="20"/>
      <c r="Z579" s="20"/>
      <c r="AA579" s="20"/>
      <c r="AB579" s="20"/>
    </row>
    <row r="580">
      <c r="A580" s="20"/>
      <c r="B580" s="20"/>
      <c r="C580" s="20"/>
      <c r="D580" s="20"/>
      <c r="E580" s="20"/>
      <c r="F580" s="282"/>
      <c r="G580" s="20"/>
      <c r="H580" s="20"/>
      <c r="I580" s="20"/>
      <c r="J580" s="20"/>
      <c r="K580" s="20"/>
      <c r="L580" s="20"/>
      <c r="M580" s="20"/>
      <c r="N580" s="20"/>
      <c r="O580" s="20"/>
      <c r="P580" s="20"/>
      <c r="Q580" s="20"/>
      <c r="R580" s="20"/>
      <c r="S580" s="188"/>
      <c r="T580" s="188"/>
      <c r="U580" s="188"/>
      <c r="V580" s="188"/>
      <c r="W580" s="20"/>
      <c r="X580" s="20"/>
      <c r="Y580" s="20"/>
      <c r="Z580" s="20"/>
      <c r="AA580" s="20"/>
      <c r="AB580" s="20"/>
    </row>
    <row r="581">
      <c r="A581" s="20"/>
      <c r="B581" s="20"/>
      <c r="C581" s="20"/>
      <c r="D581" s="20"/>
      <c r="E581" s="20"/>
      <c r="F581" s="282"/>
      <c r="G581" s="20"/>
      <c r="H581" s="20"/>
      <c r="I581" s="20"/>
      <c r="J581" s="20"/>
      <c r="K581" s="20"/>
      <c r="L581" s="20"/>
      <c r="M581" s="20"/>
      <c r="N581" s="20"/>
      <c r="O581" s="20"/>
      <c r="P581" s="20"/>
      <c r="Q581" s="20"/>
      <c r="R581" s="20"/>
      <c r="S581" s="188"/>
      <c r="T581" s="188"/>
      <c r="U581" s="188"/>
      <c r="V581" s="188"/>
      <c r="W581" s="20"/>
      <c r="X581" s="20"/>
      <c r="Y581" s="20"/>
      <c r="Z581" s="20"/>
      <c r="AA581" s="20"/>
      <c r="AB581" s="20"/>
    </row>
    <row r="582">
      <c r="A582" s="20"/>
      <c r="B582" s="20"/>
      <c r="C582" s="20"/>
      <c r="D582" s="20"/>
      <c r="E582" s="20"/>
      <c r="F582" s="282"/>
      <c r="G582" s="20"/>
      <c r="H582" s="20"/>
      <c r="I582" s="20"/>
      <c r="J582" s="20"/>
      <c r="K582" s="20"/>
      <c r="L582" s="20"/>
      <c r="M582" s="20"/>
      <c r="N582" s="20"/>
      <c r="O582" s="20"/>
      <c r="P582" s="20"/>
      <c r="Q582" s="20"/>
      <c r="R582" s="20"/>
      <c r="S582" s="188"/>
      <c r="T582" s="188"/>
      <c r="U582" s="188"/>
      <c r="V582" s="188"/>
      <c r="W582" s="20"/>
      <c r="X582" s="20"/>
      <c r="Y582" s="20"/>
      <c r="Z582" s="20"/>
      <c r="AA582" s="20"/>
      <c r="AB582" s="20"/>
    </row>
    <row r="583">
      <c r="A583" s="20"/>
      <c r="B583" s="20"/>
      <c r="C583" s="20"/>
      <c r="D583" s="20"/>
      <c r="E583" s="20"/>
      <c r="F583" s="282"/>
      <c r="G583" s="20"/>
      <c r="H583" s="20"/>
      <c r="I583" s="20"/>
      <c r="J583" s="20"/>
      <c r="K583" s="20"/>
      <c r="L583" s="20"/>
      <c r="M583" s="20"/>
      <c r="N583" s="20"/>
      <c r="O583" s="20"/>
      <c r="P583" s="20"/>
      <c r="Q583" s="20"/>
      <c r="R583" s="20"/>
      <c r="S583" s="188"/>
      <c r="T583" s="188"/>
      <c r="U583" s="188"/>
      <c r="V583" s="188"/>
      <c r="W583" s="20"/>
      <c r="X583" s="20"/>
      <c r="Y583" s="20"/>
      <c r="Z583" s="20"/>
      <c r="AA583" s="20"/>
      <c r="AB583" s="20"/>
    </row>
    <row r="584">
      <c r="A584" s="20"/>
      <c r="B584" s="20"/>
      <c r="C584" s="20"/>
      <c r="D584" s="20"/>
      <c r="E584" s="20"/>
      <c r="F584" s="282"/>
      <c r="G584" s="20"/>
      <c r="H584" s="20"/>
      <c r="I584" s="20"/>
      <c r="J584" s="20"/>
      <c r="K584" s="20"/>
      <c r="L584" s="20"/>
      <c r="M584" s="20"/>
      <c r="N584" s="20"/>
      <c r="O584" s="20"/>
      <c r="P584" s="20"/>
      <c r="Q584" s="20"/>
      <c r="R584" s="20"/>
      <c r="S584" s="188"/>
      <c r="T584" s="188"/>
      <c r="U584" s="188"/>
      <c r="V584" s="188"/>
      <c r="W584" s="20"/>
      <c r="X584" s="20"/>
      <c r="Y584" s="20"/>
      <c r="Z584" s="20"/>
      <c r="AA584" s="20"/>
      <c r="AB584" s="20"/>
    </row>
    <row r="585">
      <c r="A585" s="20"/>
      <c r="B585" s="20"/>
      <c r="C585" s="20"/>
      <c r="D585" s="20"/>
      <c r="E585" s="20"/>
      <c r="F585" s="282"/>
      <c r="G585" s="20"/>
      <c r="H585" s="20"/>
      <c r="I585" s="20"/>
      <c r="J585" s="20"/>
      <c r="K585" s="20"/>
      <c r="L585" s="20"/>
      <c r="M585" s="20"/>
      <c r="N585" s="20"/>
      <c r="O585" s="20"/>
      <c r="P585" s="20"/>
      <c r="Q585" s="20"/>
      <c r="R585" s="20"/>
      <c r="S585" s="188"/>
      <c r="T585" s="188"/>
      <c r="U585" s="188"/>
      <c r="V585" s="188"/>
      <c r="W585" s="20"/>
      <c r="X585" s="20"/>
      <c r="Y585" s="20"/>
      <c r="Z585" s="20"/>
      <c r="AA585" s="20"/>
      <c r="AB585" s="20"/>
    </row>
    <row r="586">
      <c r="A586" s="20"/>
      <c r="B586" s="20"/>
      <c r="C586" s="20"/>
      <c r="D586" s="20"/>
      <c r="E586" s="20"/>
      <c r="F586" s="282"/>
      <c r="G586" s="20"/>
      <c r="H586" s="20"/>
      <c r="I586" s="20"/>
      <c r="J586" s="20"/>
      <c r="K586" s="20"/>
      <c r="L586" s="20"/>
      <c r="M586" s="20"/>
      <c r="N586" s="20"/>
      <c r="O586" s="20"/>
      <c r="P586" s="20"/>
      <c r="Q586" s="20"/>
      <c r="R586" s="20"/>
      <c r="S586" s="188"/>
      <c r="T586" s="188"/>
      <c r="U586" s="188"/>
      <c r="V586" s="188"/>
      <c r="W586" s="20"/>
      <c r="X586" s="20"/>
      <c r="Y586" s="20"/>
      <c r="Z586" s="20"/>
      <c r="AA586" s="20"/>
      <c r="AB586" s="20"/>
    </row>
    <row r="587">
      <c r="A587" s="20"/>
      <c r="B587" s="20"/>
      <c r="C587" s="20"/>
      <c r="D587" s="20"/>
      <c r="E587" s="20"/>
      <c r="F587" s="282"/>
      <c r="G587" s="20"/>
      <c r="H587" s="20"/>
      <c r="I587" s="20"/>
      <c r="J587" s="20"/>
      <c r="K587" s="20"/>
      <c r="L587" s="20"/>
      <c r="M587" s="20"/>
      <c r="N587" s="20"/>
      <c r="O587" s="20"/>
      <c r="P587" s="20"/>
      <c r="Q587" s="20"/>
      <c r="R587" s="20"/>
      <c r="S587" s="188"/>
      <c r="T587" s="188"/>
      <c r="U587" s="188"/>
      <c r="V587" s="188"/>
      <c r="W587" s="20"/>
      <c r="X587" s="20"/>
      <c r="Y587" s="20"/>
      <c r="Z587" s="20"/>
      <c r="AA587" s="20"/>
      <c r="AB587" s="20"/>
    </row>
    <row r="588">
      <c r="A588" s="20"/>
      <c r="B588" s="20"/>
      <c r="C588" s="20"/>
      <c r="D588" s="20"/>
      <c r="E588" s="20"/>
      <c r="F588" s="282"/>
      <c r="G588" s="20"/>
      <c r="H588" s="20"/>
      <c r="I588" s="20"/>
      <c r="J588" s="20"/>
      <c r="K588" s="20"/>
      <c r="L588" s="20"/>
      <c r="M588" s="20"/>
      <c r="N588" s="20"/>
      <c r="O588" s="20"/>
      <c r="P588" s="20"/>
      <c r="Q588" s="20"/>
      <c r="R588" s="20"/>
      <c r="S588" s="188"/>
      <c r="T588" s="188"/>
      <c r="U588" s="188"/>
      <c r="V588" s="188"/>
      <c r="W588" s="20"/>
      <c r="X588" s="20"/>
      <c r="Y588" s="20"/>
      <c r="Z588" s="20"/>
      <c r="AA588" s="20"/>
      <c r="AB588" s="20"/>
    </row>
    <row r="589">
      <c r="A589" s="20"/>
      <c r="B589" s="20"/>
      <c r="C589" s="20"/>
      <c r="D589" s="20"/>
      <c r="E589" s="20"/>
      <c r="F589" s="282"/>
      <c r="G589" s="20"/>
      <c r="H589" s="20"/>
      <c r="I589" s="20"/>
      <c r="J589" s="20"/>
      <c r="K589" s="20"/>
      <c r="L589" s="20"/>
      <c r="M589" s="20"/>
      <c r="N589" s="20"/>
      <c r="O589" s="20"/>
      <c r="P589" s="20"/>
      <c r="Q589" s="20"/>
      <c r="R589" s="20"/>
      <c r="S589" s="188"/>
      <c r="T589" s="188"/>
      <c r="U589" s="188"/>
      <c r="V589" s="188"/>
      <c r="W589" s="20"/>
      <c r="X589" s="20"/>
      <c r="Y589" s="20"/>
      <c r="Z589" s="20"/>
      <c r="AA589" s="20"/>
      <c r="AB589" s="20"/>
    </row>
    <row r="590">
      <c r="A590" s="20"/>
      <c r="B590" s="20"/>
      <c r="C590" s="20"/>
      <c r="D590" s="20"/>
      <c r="E590" s="20"/>
      <c r="F590" s="282"/>
      <c r="G590" s="20"/>
      <c r="H590" s="20"/>
      <c r="I590" s="20"/>
      <c r="J590" s="20"/>
      <c r="K590" s="20"/>
      <c r="L590" s="20"/>
      <c r="M590" s="20"/>
      <c r="N590" s="20"/>
      <c r="O590" s="20"/>
      <c r="P590" s="20"/>
      <c r="Q590" s="20"/>
      <c r="R590" s="20"/>
      <c r="S590" s="188"/>
      <c r="T590" s="188"/>
      <c r="U590" s="188"/>
      <c r="V590" s="188"/>
      <c r="W590" s="20"/>
      <c r="X590" s="20"/>
      <c r="Y590" s="20"/>
      <c r="Z590" s="20"/>
      <c r="AA590" s="20"/>
      <c r="AB590" s="20"/>
    </row>
    <row r="591">
      <c r="A591" s="20"/>
      <c r="B591" s="20"/>
      <c r="C591" s="20"/>
      <c r="D591" s="20"/>
      <c r="E591" s="20"/>
      <c r="F591" s="282"/>
      <c r="G591" s="20"/>
      <c r="H591" s="20"/>
      <c r="I591" s="20"/>
      <c r="J591" s="20"/>
      <c r="K591" s="20"/>
      <c r="L591" s="20"/>
      <c r="M591" s="20"/>
      <c r="N591" s="20"/>
      <c r="O591" s="20"/>
      <c r="P591" s="20"/>
      <c r="Q591" s="20"/>
      <c r="R591" s="20"/>
      <c r="S591" s="188"/>
      <c r="T591" s="188"/>
      <c r="U591" s="188"/>
      <c r="V591" s="188"/>
      <c r="W591" s="20"/>
      <c r="X591" s="20"/>
      <c r="Y591" s="20"/>
      <c r="Z591" s="20"/>
      <c r="AA591" s="20"/>
      <c r="AB591" s="20"/>
    </row>
    <row r="592">
      <c r="A592" s="20"/>
      <c r="B592" s="20"/>
      <c r="C592" s="20"/>
      <c r="D592" s="20"/>
      <c r="E592" s="20"/>
      <c r="F592" s="282"/>
      <c r="G592" s="20"/>
      <c r="H592" s="20"/>
      <c r="I592" s="20"/>
      <c r="J592" s="20"/>
      <c r="K592" s="20"/>
      <c r="L592" s="20"/>
      <c r="M592" s="20"/>
      <c r="N592" s="20"/>
      <c r="O592" s="20"/>
      <c r="P592" s="20"/>
      <c r="Q592" s="20"/>
      <c r="R592" s="20"/>
      <c r="S592" s="188"/>
      <c r="T592" s="188"/>
      <c r="U592" s="188"/>
      <c r="V592" s="188"/>
      <c r="W592" s="20"/>
      <c r="X592" s="20"/>
      <c r="Y592" s="20"/>
      <c r="Z592" s="20"/>
      <c r="AA592" s="20"/>
      <c r="AB592" s="20"/>
    </row>
    <row r="593">
      <c r="A593" s="20"/>
      <c r="B593" s="20"/>
      <c r="C593" s="20"/>
      <c r="D593" s="20"/>
      <c r="E593" s="20"/>
      <c r="F593" s="282"/>
      <c r="G593" s="20"/>
      <c r="H593" s="20"/>
      <c r="I593" s="20"/>
      <c r="J593" s="20"/>
      <c r="K593" s="20"/>
      <c r="L593" s="20"/>
      <c r="M593" s="20"/>
      <c r="N593" s="20"/>
      <c r="O593" s="20"/>
      <c r="P593" s="20"/>
      <c r="Q593" s="20"/>
      <c r="R593" s="20"/>
      <c r="S593" s="188"/>
      <c r="T593" s="188"/>
      <c r="U593" s="188"/>
      <c r="V593" s="188"/>
      <c r="W593" s="20"/>
      <c r="X593" s="20"/>
      <c r="Y593" s="20"/>
      <c r="Z593" s="20"/>
      <c r="AA593" s="20"/>
      <c r="AB593" s="20"/>
    </row>
    <row r="594">
      <c r="A594" s="20"/>
      <c r="B594" s="20"/>
      <c r="C594" s="20"/>
      <c r="D594" s="20"/>
      <c r="E594" s="20"/>
      <c r="F594" s="282"/>
      <c r="G594" s="20"/>
      <c r="H594" s="20"/>
      <c r="I594" s="20"/>
      <c r="J594" s="20"/>
      <c r="K594" s="20"/>
      <c r="L594" s="20"/>
      <c r="M594" s="20"/>
      <c r="N594" s="20"/>
      <c r="O594" s="20"/>
      <c r="P594" s="20"/>
      <c r="Q594" s="20"/>
      <c r="R594" s="20"/>
      <c r="S594" s="188"/>
      <c r="T594" s="188"/>
      <c r="U594" s="188"/>
      <c r="V594" s="188"/>
      <c r="W594" s="20"/>
      <c r="X594" s="20"/>
      <c r="Y594" s="20"/>
      <c r="Z594" s="20"/>
      <c r="AA594" s="20"/>
      <c r="AB594" s="20"/>
    </row>
    <row r="595">
      <c r="A595" s="20"/>
      <c r="B595" s="20"/>
      <c r="C595" s="20"/>
      <c r="D595" s="20"/>
      <c r="E595" s="20"/>
      <c r="F595" s="282"/>
      <c r="G595" s="20"/>
      <c r="H595" s="20"/>
      <c r="I595" s="20"/>
      <c r="J595" s="20"/>
      <c r="K595" s="20"/>
      <c r="L595" s="20"/>
      <c r="M595" s="20"/>
      <c r="N595" s="20"/>
      <c r="O595" s="20"/>
      <c r="P595" s="20"/>
      <c r="Q595" s="20"/>
      <c r="R595" s="20"/>
      <c r="S595" s="188"/>
      <c r="T595" s="188"/>
      <c r="U595" s="188"/>
      <c r="V595" s="188"/>
      <c r="W595" s="20"/>
      <c r="X595" s="20"/>
      <c r="Y595" s="20"/>
      <c r="Z595" s="20"/>
      <c r="AA595" s="20"/>
      <c r="AB595" s="20"/>
    </row>
    <row r="596">
      <c r="A596" s="20"/>
      <c r="B596" s="20"/>
      <c r="C596" s="20"/>
      <c r="D596" s="20"/>
      <c r="E596" s="20"/>
      <c r="F596" s="282"/>
      <c r="G596" s="20"/>
      <c r="H596" s="20"/>
      <c r="I596" s="20"/>
      <c r="J596" s="20"/>
      <c r="K596" s="20"/>
      <c r="L596" s="20"/>
      <c r="M596" s="20"/>
      <c r="N596" s="20"/>
      <c r="O596" s="20"/>
      <c r="P596" s="20"/>
      <c r="Q596" s="20"/>
      <c r="R596" s="20"/>
      <c r="S596" s="188"/>
      <c r="T596" s="188"/>
      <c r="U596" s="188"/>
      <c r="V596" s="188"/>
      <c r="W596" s="20"/>
      <c r="X596" s="20"/>
      <c r="Y596" s="20"/>
      <c r="Z596" s="20"/>
      <c r="AA596" s="20"/>
      <c r="AB596" s="20"/>
    </row>
    <row r="597">
      <c r="A597" s="20"/>
      <c r="B597" s="20"/>
      <c r="C597" s="20"/>
      <c r="D597" s="20"/>
      <c r="E597" s="20"/>
      <c r="F597" s="282"/>
      <c r="G597" s="20"/>
      <c r="H597" s="20"/>
      <c r="I597" s="20"/>
      <c r="J597" s="20"/>
      <c r="K597" s="20"/>
      <c r="L597" s="20"/>
      <c r="M597" s="20"/>
      <c r="N597" s="20"/>
      <c r="O597" s="20"/>
      <c r="P597" s="20"/>
      <c r="Q597" s="20"/>
      <c r="R597" s="20"/>
      <c r="S597" s="188"/>
      <c r="T597" s="188"/>
      <c r="U597" s="188"/>
      <c r="V597" s="188"/>
      <c r="W597" s="20"/>
      <c r="X597" s="20"/>
      <c r="Y597" s="20"/>
      <c r="Z597" s="20"/>
      <c r="AA597" s="20"/>
      <c r="AB597" s="20"/>
    </row>
    <row r="598">
      <c r="A598" s="20"/>
      <c r="B598" s="20"/>
      <c r="C598" s="20"/>
      <c r="D598" s="20"/>
      <c r="E598" s="20"/>
      <c r="F598" s="282"/>
      <c r="G598" s="20"/>
      <c r="H598" s="20"/>
      <c r="I598" s="20"/>
      <c r="J598" s="20"/>
      <c r="K598" s="20"/>
      <c r="L598" s="20"/>
      <c r="M598" s="20"/>
      <c r="N598" s="20"/>
      <c r="O598" s="20"/>
      <c r="P598" s="20"/>
      <c r="Q598" s="20"/>
      <c r="R598" s="20"/>
      <c r="S598" s="188"/>
      <c r="T598" s="188"/>
      <c r="U598" s="188"/>
      <c r="V598" s="188"/>
      <c r="W598" s="20"/>
      <c r="X598" s="20"/>
      <c r="Y598" s="20"/>
      <c r="Z598" s="20"/>
      <c r="AA598" s="20"/>
      <c r="AB598" s="20"/>
    </row>
    <row r="599">
      <c r="A599" s="20"/>
      <c r="B599" s="20"/>
      <c r="C599" s="20"/>
      <c r="D599" s="20"/>
      <c r="E599" s="20"/>
      <c r="F599" s="282"/>
      <c r="G599" s="20"/>
      <c r="H599" s="20"/>
      <c r="I599" s="20"/>
      <c r="J599" s="20"/>
      <c r="K599" s="20"/>
      <c r="L599" s="20"/>
      <c r="M599" s="20"/>
      <c r="N599" s="20"/>
      <c r="O599" s="20"/>
      <c r="P599" s="20"/>
      <c r="Q599" s="20"/>
      <c r="R599" s="20"/>
      <c r="S599" s="188"/>
      <c r="T599" s="188"/>
      <c r="U599" s="188"/>
      <c r="V599" s="188"/>
      <c r="W599" s="20"/>
      <c r="X599" s="20"/>
      <c r="Y599" s="20"/>
      <c r="Z599" s="20"/>
      <c r="AA599" s="20"/>
      <c r="AB599" s="20"/>
    </row>
    <row r="600">
      <c r="A600" s="20"/>
      <c r="B600" s="20"/>
      <c r="C600" s="20"/>
      <c r="D600" s="20"/>
      <c r="E600" s="20"/>
      <c r="F600" s="282"/>
      <c r="G600" s="20"/>
      <c r="H600" s="20"/>
      <c r="I600" s="20"/>
      <c r="J600" s="20"/>
      <c r="K600" s="20"/>
      <c r="L600" s="20"/>
      <c r="M600" s="20"/>
      <c r="N600" s="20"/>
      <c r="O600" s="20"/>
      <c r="P600" s="20"/>
      <c r="Q600" s="20"/>
      <c r="R600" s="20"/>
      <c r="S600" s="188"/>
      <c r="T600" s="188"/>
      <c r="U600" s="188"/>
      <c r="V600" s="188"/>
      <c r="W600" s="20"/>
      <c r="X600" s="20"/>
      <c r="Y600" s="20"/>
      <c r="Z600" s="20"/>
      <c r="AA600" s="20"/>
      <c r="AB600" s="20"/>
    </row>
    <row r="601">
      <c r="A601" s="20"/>
      <c r="B601" s="20"/>
      <c r="C601" s="20"/>
      <c r="D601" s="20"/>
      <c r="E601" s="20"/>
      <c r="F601" s="282"/>
      <c r="G601" s="20"/>
      <c r="H601" s="20"/>
      <c r="I601" s="20"/>
      <c r="J601" s="20"/>
      <c r="K601" s="20"/>
      <c r="L601" s="20"/>
      <c r="M601" s="20"/>
      <c r="N601" s="20"/>
      <c r="O601" s="20"/>
      <c r="P601" s="20"/>
      <c r="Q601" s="20"/>
      <c r="R601" s="20"/>
      <c r="S601" s="188"/>
      <c r="T601" s="188"/>
      <c r="U601" s="188"/>
      <c r="V601" s="188"/>
      <c r="W601" s="20"/>
      <c r="X601" s="20"/>
      <c r="Y601" s="20"/>
      <c r="Z601" s="20"/>
      <c r="AA601" s="20"/>
      <c r="AB601" s="20"/>
    </row>
    <row r="602">
      <c r="A602" s="20"/>
      <c r="B602" s="20"/>
      <c r="C602" s="20"/>
      <c r="D602" s="20"/>
      <c r="E602" s="20"/>
      <c r="F602" s="282"/>
      <c r="G602" s="20"/>
      <c r="H602" s="20"/>
      <c r="I602" s="20"/>
      <c r="J602" s="20"/>
      <c r="K602" s="20"/>
      <c r="L602" s="20"/>
      <c r="M602" s="20"/>
      <c r="N602" s="20"/>
      <c r="O602" s="20"/>
      <c r="P602" s="20"/>
      <c r="Q602" s="20"/>
      <c r="R602" s="20"/>
      <c r="S602" s="188"/>
      <c r="T602" s="188"/>
      <c r="U602" s="188"/>
      <c r="V602" s="188"/>
      <c r="W602" s="20"/>
      <c r="X602" s="20"/>
      <c r="Y602" s="20"/>
      <c r="Z602" s="20"/>
      <c r="AA602" s="20"/>
      <c r="AB602" s="20"/>
    </row>
    <row r="603">
      <c r="A603" s="20"/>
      <c r="B603" s="20"/>
      <c r="C603" s="20"/>
      <c r="D603" s="20"/>
      <c r="E603" s="20"/>
      <c r="F603" s="282"/>
      <c r="G603" s="20"/>
      <c r="H603" s="20"/>
      <c r="I603" s="20"/>
      <c r="J603" s="20"/>
      <c r="K603" s="20"/>
      <c r="L603" s="20"/>
      <c r="M603" s="20"/>
      <c r="N603" s="20"/>
      <c r="O603" s="20"/>
      <c r="P603" s="20"/>
      <c r="Q603" s="20"/>
      <c r="R603" s="20"/>
      <c r="S603" s="188"/>
      <c r="T603" s="188"/>
      <c r="U603" s="188"/>
      <c r="V603" s="188"/>
      <c r="W603" s="20"/>
      <c r="X603" s="20"/>
      <c r="Y603" s="20"/>
      <c r="Z603" s="20"/>
      <c r="AA603" s="20"/>
      <c r="AB603" s="20"/>
    </row>
    <row r="604">
      <c r="A604" s="20"/>
      <c r="B604" s="20"/>
      <c r="C604" s="20"/>
      <c r="D604" s="20"/>
      <c r="E604" s="20"/>
      <c r="F604" s="282"/>
      <c r="G604" s="20"/>
      <c r="H604" s="20"/>
      <c r="I604" s="20"/>
      <c r="J604" s="20"/>
      <c r="K604" s="20"/>
      <c r="L604" s="20"/>
      <c r="M604" s="20"/>
      <c r="N604" s="20"/>
      <c r="O604" s="20"/>
      <c r="P604" s="20"/>
      <c r="Q604" s="20"/>
      <c r="R604" s="20"/>
      <c r="S604" s="188"/>
      <c r="T604" s="188"/>
      <c r="U604" s="188"/>
      <c r="V604" s="188"/>
      <c r="W604" s="20"/>
      <c r="X604" s="20"/>
      <c r="Y604" s="20"/>
      <c r="Z604" s="20"/>
      <c r="AA604" s="20"/>
      <c r="AB604" s="20"/>
    </row>
    <row r="605">
      <c r="A605" s="20"/>
      <c r="B605" s="20"/>
      <c r="C605" s="20"/>
      <c r="D605" s="20"/>
      <c r="E605" s="20"/>
      <c r="F605" s="282"/>
      <c r="G605" s="20"/>
      <c r="H605" s="20"/>
      <c r="I605" s="20"/>
      <c r="J605" s="20"/>
      <c r="K605" s="20"/>
      <c r="L605" s="20"/>
      <c r="M605" s="20"/>
      <c r="N605" s="20"/>
      <c r="O605" s="20"/>
      <c r="P605" s="20"/>
      <c r="Q605" s="20"/>
      <c r="R605" s="20"/>
      <c r="S605" s="188"/>
      <c r="T605" s="188"/>
      <c r="U605" s="188"/>
      <c r="V605" s="188"/>
      <c r="W605" s="20"/>
      <c r="X605" s="20"/>
      <c r="Y605" s="20"/>
      <c r="Z605" s="20"/>
      <c r="AA605" s="20"/>
      <c r="AB605" s="20"/>
    </row>
    <row r="606">
      <c r="A606" s="20"/>
      <c r="B606" s="20"/>
      <c r="C606" s="20"/>
      <c r="D606" s="20"/>
      <c r="E606" s="20"/>
      <c r="F606" s="282"/>
      <c r="G606" s="20"/>
      <c r="H606" s="20"/>
      <c r="I606" s="20"/>
      <c r="J606" s="20"/>
      <c r="K606" s="20"/>
      <c r="L606" s="20"/>
      <c r="M606" s="20"/>
      <c r="N606" s="20"/>
      <c r="O606" s="20"/>
      <c r="P606" s="20"/>
      <c r="Q606" s="20"/>
      <c r="R606" s="20"/>
      <c r="S606" s="188"/>
      <c r="T606" s="188"/>
      <c r="U606" s="188"/>
      <c r="V606" s="188"/>
      <c r="W606" s="20"/>
      <c r="X606" s="20"/>
      <c r="Y606" s="20"/>
      <c r="Z606" s="20"/>
      <c r="AA606" s="20"/>
      <c r="AB606" s="20"/>
    </row>
    <row r="607">
      <c r="A607" s="20"/>
      <c r="B607" s="20"/>
      <c r="C607" s="20"/>
      <c r="D607" s="20"/>
      <c r="E607" s="20"/>
      <c r="F607" s="282"/>
      <c r="G607" s="20"/>
      <c r="H607" s="20"/>
      <c r="I607" s="20"/>
      <c r="J607" s="20"/>
      <c r="K607" s="20"/>
      <c r="L607" s="20"/>
      <c r="M607" s="20"/>
      <c r="N607" s="20"/>
      <c r="O607" s="20"/>
      <c r="P607" s="20"/>
      <c r="Q607" s="20"/>
      <c r="R607" s="20"/>
      <c r="S607" s="188"/>
      <c r="T607" s="188"/>
      <c r="U607" s="188"/>
      <c r="V607" s="188"/>
      <c r="W607" s="20"/>
      <c r="X607" s="20"/>
      <c r="Y607" s="20"/>
      <c r="Z607" s="20"/>
      <c r="AA607" s="20"/>
      <c r="AB607" s="20"/>
    </row>
    <row r="608">
      <c r="A608" s="20"/>
      <c r="B608" s="20"/>
      <c r="C608" s="20"/>
      <c r="D608" s="20"/>
      <c r="E608" s="20"/>
      <c r="F608" s="282"/>
      <c r="G608" s="20"/>
      <c r="H608" s="20"/>
      <c r="I608" s="20"/>
      <c r="J608" s="20"/>
      <c r="K608" s="20"/>
      <c r="L608" s="20"/>
      <c r="M608" s="20"/>
      <c r="N608" s="20"/>
      <c r="O608" s="20"/>
      <c r="P608" s="20"/>
      <c r="Q608" s="20"/>
      <c r="R608" s="20"/>
      <c r="S608" s="188"/>
      <c r="T608" s="188"/>
      <c r="U608" s="188"/>
      <c r="V608" s="188"/>
      <c r="W608" s="20"/>
      <c r="X608" s="20"/>
      <c r="Y608" s="20"/>
      <c r="Z608" s="20"/>
      <c r="AA608" s="20"/>
      <c r="AB608" s="20"/>
    </row>
    <row r="609">
      <c r="A609" s="20"/>
      <c r="B609" s="20"/>
      <c r="C609" s="20"/>
      <c r="D609" s="20"/>
      <c r="E609" s="20"/>
      <c r="F609" s="282"/>
      <c r="G609" s="20"/>
      <c r="H609" s="20"/>
      <c r="I609" s="20"/>
      <c r="J609" s="20"/>
      <c r="K609" s="20"/>
      <c r="L609" s="20"/>
      <c r="M609" s="20"/>
      <c r="N609" s="20"/>
      <c r="O609" s="20"/>
      <c r="P609" s="20"/>
      <c r="Q609" s="20"/>
      <c r="R609" s="20"/>
      <c r="S609" s="188"/>
      <c r="T609" s="188"/>
      <c r="U609" s="188"/>
      <c r="V609" s="188"/>
      <c r="W609" s="20"/>
      <c r="X609" s="20"/>
      <c r="Y609" s="20"/>
      <c r="Z609" s="20"/>
      <c r="AA609" s="20"/>
      <c r="AB609" s="20"/>
    </row>
    <row r="610">
      <c r="A610" s="20"/>
      <c r="B610" s="20"/>
      <c r="C610" s="20"/>
      <c r="D610" s="20"/>
      <c r="E610" s="20"/>
      <c r="F610" s="282"/>
      <c r="G610" s="20"/>
      <c r="H610" s="20"/>
      <c r="I610" s="20"/>
      <c r="J610" s="20"/>
      <c r="K610" s="20"/>
      <c r="L610" s="20"/>
      <c r="M610" s="20"/>
      <c r="N610" s="20"/>
      <c r="O610" s="20"/>
      <c r="P610" s="20"/>
      <c r="Q610" s="20"/>
      <c r="R610" s="20"/>
      <c r="S610" s="188"/>
      <c r="T610" s="188"/>
      <c r="U610" s="188"/>
      <c r="V610" s="188"/>
      <c r="W610" s="20"/>
      <c r="X610" s="20"/>
      <c r="Y610" s="20"/>
      <c r="Z610" s="20"/>
      <c r="AA610" s="20"/>
      <c r="AB610" s="20"/>
    </row>
    <row r="611">
      <c r="A611" s="20"/>
      <c r="B611" s="20"/>
      <c r="C611" s="20"/>
      <c r="D611" s="20"/>
      <c r="E611" s="20"/>
      <c r="F611" s="282"/>
      <c r="G611" s="20"/>
      <c r="H611" s="20"/>
      <c r="I611" s="20"/>
      <c r="J611" s="20"/>
      <c r="K611" s="20"/>
      <c r="L611" s="20"/>
      <c r="M611" s="20"/>
      <c r="N611" s="20"/>
      <c r="O611" s="20"/>
      <c r="P611" s="20"/>
      <c r="Q611" s="20"/>
      <c r="R611" s="20"/>
      <c r="S611" s="188"/>
      <c r="T611" s="188"/>
      <c r="U611" s="188"/>
      <c r="V611" s="188"/>
      <c r="W611" s="20"/>
      <c r="X611" s="20"/>
      <c r="Y611" s="20"/>
      <c r="Z611" s="20"/>
      <c r="AA611" s="20"/>
      <c r="AB611" s="20"/>
    </row>
    <row r="612">
      <c r="A612" s="20"/>
      <c r="B612" s="20"/>
      <c r="C612" s="20"/>
      <c r="D612" s="20"/>
      <c r="E612" s="20"/>
      <c r="F612" s="282"/>
      <c r="G612" s="20"/>
      <c r="H612" s="20"/>
      <c r="I612" s="20"/>
      <c r="J612" s="20"/>
      <c r="K612" s="20"/>
      <c r="L612" s="20"/>
      <c r="M612" s="20"/>
      <c r="N612" s="20"/>
      <c r="O612" s="20"/>
      <c r="P612" s="20"/>
      <c r="Q612" s="20"/>
      <c r="R612" s="20"/>
      <c r="S612" s="188"/>
      <c r="T612" s="188"/>
      <c r="U612" s="188"/>
      <c r="V612" s="188"/>
      <c r="W612" s="20"/>
      <c r="X612" s="20"/>
      <c r="Y612" s="20"/>
      <c r="Z612" s="20"/>
      <c r="AA612" s="20"/>
      <c r="AB612" s="20"/>
    </row>
    <row r="613">
      <c r="A613" s="20"/>
      <c r="B613" s="20"/>
      <c r="C613" s="20"/>
      <c r="D613" s="20"/>
      <c r="E613" s="20"/>
      <c r="F613" s="282"/>
      <c r="G613" s="20"/>
      <c r="H613" s="20"/>
      <c r="I613" s="20"/>
      <c r="J613" s="20"/>
      <c r="K613" s="20"/>
      <c r="L613" s="20"/>
      <c r="M613" s="20"/>
      <c r="N613" s="20"/>
      <c r="O613" s="20"/>
      <c r="P613" s="20"/>
      <c r="Q613" s="20"/>
      <c r="R613" s="20"/>
      <c r="S613" s="188"/>
      <c r="T613" s="188"/>
      <c r="U613" s="188"/>
      <c r="V613" s="188"/>
      <c r="W613" s="20"/>
      <c r="X613" s="20"/>
      <c r="Y613" s="20"/>
      <c r="Z613" s="20"/>
      <c r="AA613" s="20"/>
      <c r="AB613" s="20"/>
    </row>
    <row r="614">
      <c r="A614" s="20"/>
      <c r="B614" s="20"/>
      <c r="C614" s="20"/>
      <c r="D614" s="20"/>
      <c r="E614" s="20"/>
      <c r="F614" s="282"/>
      <c r="G614" s="20"/>
      <c r="H614" s="20"/>
      <c r="I614" s="20"/>
      <c r="J614" s="20"/>
      <c r="K614" s="20"/>
      <c r="L614" s="20"/>
      <c r="M614" s="20"/>
      <c r="N614" s="20"/>
      <c r="O614" s="20"/>
      <c r="P614" s="20"/>
      <c r="Q614" s="20"/>
      <c r="R614" s="20"/>
      <c r="S614" s="188"/>
      <c r="T614" s="188"/>
      <c r="U614" s="188"/>
      <c r="V614" s="188"/>
      <c r="W614" s="20"/>
      <c r="X614" s="20"/>
      <c r="Y614" s="20"/>
      <c r="Z614" s="20"/>
      <c r="AA614" s="20"/>
      <c r="AB614" s="20"/>
    </row>
    <row r="615">
      <c r="A615" s="20"/>
      <c r="B615" s="20"/>
      <c r="C615" s="20"/>
      <c r="D615" s="20"/>
      <c r="E615" s="20"/>
      <c r="F615" s="282"/>
      <c r="G615" s="20"/>
      <c r="H615" s="20"/>
      <c r="I615" s="20"/>
      <c r="J615" s="20"/>
      <c r="K615" s="20"/>
      <c r="L615" s="20"/>
      <c r="M615" s="20"/>
      <c r="N615" s="20"/>
      <c r="O615" s="20"/>
      <c r="P615" s="20"/>
      <c r="Q615" s="20"/>
      <c r="R615" s="20"/>
      <c r="S615" s="188"/>
      <c r="T615" s="188"/>
      <c r="U615" s="188"/>
      <c r="V615" s="188"/>
      <c r="W615" s="20"/>
      <c r="X615" s="20"/>
      <c r="Y615" s="20"/>
      <c r="Z615" s="20"/>
      <c r="AA615" s="20"/>
      <c r="AB615" s="20"/>
    </row>
    <row r="616">
      <c r="A616" s="20"/>
      <c r="B616" s="20"/>
      <c r="C616" s="20"/>
      <c r="D616" s="20"/>
      <c r="E616" s="20"/>
      <c r="F616" s="282"/>
      <c r="G616" s="20"/>
      <c r="H616" s="20"/>
      <c r="I616" s="20"/>
      <c r="J616" s="20"/>
      <c r="K616" s="20"/>
      <c r="L616" s="20"/>
      <c r="M616" s="20"/>
      <c r="N616" s="20"/>
      <c r="O616" s="20"/>
      <c r="P616" s="20"/>
      <c r="Q616" s="20"/>
      <c r="R616" s="20"/>
      <c r="S616" s="188"/>
      <c r="T616" s="188"/>
      <c r="U616" s="188"/>
      <c r="V616" s="188"/>
      <c r="W616" s="20"/>
      <c r="X616" s="20"/>
      <c r="Y616" s="20"/>
      <c r="Z616" s="20"/>
      <c r="AA616" s="20"/>
      <c r="AB616" s="20"/>
    </row>
    <row r="617">
      <c r="A617" s="20"/>
      <c r="B617" s="20"/>
      <c r="C617" s="20"/>
      <c r="D617" s="20"/>
      <c r="E617" s="20"/>
      <c r="F617" s="282"/>
      <c r="G617" s="20"/>
      <c r="H617" s="20"/>
      <c r="I617" s="20"/>
      <c r="J617" s="20"/>
      <c r="K617" s="20"/>
      <c r="L617" s="20"/>
      <c r="M617" s="20"/>
      <c r="N617" s="20"/>
      <c r="O617" s="20"/>
      <c r="P617" s="20"/>
      <c r="Q617" s="20"/>
      <c r="R617" s="20"/>
      <c r="S617" s="188"/>
      <c r="T617" s="188"/>
      <c r="U617" s="188"/>
      <c r="V617" s="188"/>
      <c r="W617" s="20"/>
      <c r="X617" s="20"/>
      <c r="Y617" s="20"/>
      <c r="Z617" s="20"/>
      <c r="AA617" s="20"/>
      <c r="AB617" s="20"/>
    </row>
    <row r="618">
      <c r="A618" s="20"/>
      <c r="B618" s="20"/>
      <c r="C618" s="20"/>
      <c r="D618" s="20"/>
      <c r="E618" s="20"/>
      <c r="F618" s="282"/>
      <c r="G618" s="20"/>
      <c r="H618" s="20"/>
      <c r="I618" s="20"/>
      <c r="J618" s="20"/>
      <c r="K618" s="20"/>
      <c r="L618" s="20"/>
      <c r="M618" s="20"/>
      <c r="N618" s="20"/>
      <c r="O618" s="20"/>
      <c r="P618" s="20"/>
      <c r="Q618" s="20"/>
      <c r="R618" s="20"/>
      <c r="S618" s="188"/>
      <c r="T618" s="188"/>
      <c r="U618" s="188"/>
      <c r="V618" s="188"/>
      <c r="W618" s="20"/>
      <c r="X618" s="20"/>
      <c r="Y618" s="20"/>
      <c r="Z618" s="20"/>
      <c r="AA618" s="20"/>
      <c r="AB618" s="20"/>
    </row>
    <row r="619">
      <c r="A619" s="20"/>
      <c r="B619" s="20"/>
      <c r="C619" s="20"/>
      <c r="D619" s="20"/>
      <c r="E619" s="20"/>
      <c r="F619" s="282"/>
      <c r="G619" s="20"/>
      <c r="H619" s="20"/>
      <c r="I619" s="20"/>
      <c r="J619" s="20"/>
      <c r="K619" s="20"/>
      <c r="L619" s="20"/>
      <c r="M619" s="20"/>
      <c r="N619" s="20"/>
      <c r="O619" s="20"/>
      <c r="P619" s="20"/>
      <c r="Q619" s="20"/>
      <c r="R619" s="20"/>
      <c r="S619" s="188"/>
      <c r="T619" s="188"/>
      <c r="U619" s="188"/>
      <c r="V619" s="188"/>
      <c r="W619" s="20"/>
      <c r="X619" s="20"/>
      <c r="Y619" s="20"/>
      <c r="Z619" s="20"/>
      <c r="AA619" s="20"/>
      <c r="AB619" s="20"/>
    </row>
    <row r="620">
      <c r="A620" s="20"/>
      <c r="B620" s="20"/>
      <c r="C620" s="20"/>
      <c r="D620" s="20"/>
      <c r="E620" s="20"/>
      <c r="F620" s="282"/>
      <c r="G620" s="20"/>
      <c r="H620" s="20"/>
      <c r="I620" s="20"/>
      <c r="J620" s="20"/>
      <c r="K620" s="20"/>
      <c r="L620" s="20"/>
      <c r="M620" s="20"/>
      <c r="N620" s="20"/>
      <c r="O620" s="20"/>
      <c r="P620" s="20"/>
      <c r="Q620" s="20"/>
      <c r="R620" s="20"/>
      <c r="S620" s="188"/>
      <c r="T620" s="188"/>
      <c r="U620" s="188"/>
      <c r="V620" s="188"/>
      <c r="W620" s="20"/>
      <c r="X620" s="20"/>
      <c r="Y620" s="20"/>
      <c r="Z620" s="20"/>
      <c r="AA620" s="20"/>
      <c r="AB620" s="20"/>
    </row>
    <row r="621">
      <c r="A621" s="20"/>
      <c r="B621" s="20"/>
      <c r="C621" s="20"/>
      <c r="D621" s="20"/>
      <c r="E621" s="20"/>
      <c r="F621" s="282"/>
      <c r="G621" s="20"/>
      <c r="H621" s="20"/>
      <c r="I621" s="20"/>
      <c r="J621" s="20"/>
      <c r="K621" s="20"/>
      <c r="L621" s="20"/>
      <c r="M621" s="20"/>
      <c r="N621" s="20"/>
      <c r="O621" s="20"/>
      <c r="P621" s="20"/>
      <c r="Q621" s="20"/>
      <c r="R621" s="20"/>
      <c r="S621" s="188"/>
      <c r="T621" s="188"/>
      <c r="U621" s="188"/>
      <c r="V621" s="188"/>
      <c r="W621" s="20"/>
      <c r="X621" s="20"/>
      <c r="Y621" s="20"/>
      <c r="Z621" s="20"/>
      <c r="AA621" s="20"/>
      <c r="AB621" s="20"/>
    </row>
    <row r="622">
      <c r="A622" s="20"/>
      <c r="B622" s="20"/>
      <c r="C622" s="20"/>
      <c r="D622" s="20"/>
      <c r="E622" s="20"/>
      <c r="F622" s="282"/>
      <c r="G622" s="20"/>
      <c r="H622" s="20"/>
      <c r="I622" s="20"/>
      <c r="J622" s="20"/>
      <c r="K622" s="20"/>
      <c r="L622" s="20"/>
      <c r="M622" s="20"/>
      <c r="N622" s="20"/>
      <c r="O622" s="20"/>
      <c r="P622" s="20"/>
      <c r="Q622" s="20"/>
      <c r="R622" s="20"/>
      <c r="S622" s="188"/>
      <c r="T622" s="188"/>
      <c r="U622" s="188"/>
      <c r="V622" s="188"/>
      <c r="W622" s="20"/>
      <c r="X622" s="20"/>
      <c r="Y622" s="20"/>
      <c r="Z622" s="20"/>
      <c r="AA622" s="20"/>
      <c r="AB622" s="20"/>
    </row>
    <row r="623">
      <c r="A623" s="20"/>
      <c r="B623" s="20"/>
      <c r="C623" s="20"/>
      <c r="D623" s="20"/>
      <c r="E623" s="20"/>
      <c r="F623" s="282"/>
      <c r="G623" s="20"/>
      <c r="H623" s="20"/>
      <c r="I623" s="20"/>
      <c r="J623" s="20"/>
      <c r="K623" s="20"/>
      <c r="L623" s="20"/>
      <c r="M623" s="20"/>
      <c r="N623" s="20"/>
      <c r="O623" s="20"/>
      <c r="P623" s="20"/>
      <c r="Q623" s="20"/>
      <c r="R623" s="20"/>
      <c r="S623" s="188"/>
      <c r="T623" s="188"/>
      <c r="U623" s="188"/>
      <c r="V623" s="188"/>
      <c r="W623" s="20"/>
      <c r="X623" s="20"/>
      <c r="Y623" s="20"/>
      <c r="Z623" s="20"/>
      <c r="AA623" s="20"/>
      <c r="AB623" s="20"/>
    </row>
    <row r="624">
      <c r="A624" s="20"/>
      <c r="B624" s="20"/>
      <c r="C624" s="20"/>
      <c r="D624" s="20"/>
      <c r="E624" s="20"/>
      <c r="F624" s="282"/>
      <c r="G624" s="20"/>
      <c r="H624" s="20"/>
      <c r="I624" s="20"/>
      <c r="J624" s="20"/>
      <c r="K624" s="20"/>
      <c r="L624" s="20"/>
      <c r="M624" s="20"/>
      <c r="N624" s="20"/>
      <c r="O624" s="20"/>
      <c r="P624" s="20"/>
      <c r="Q624" s="20"/>
      <c r="R624" s="20"/>
      <c r="S624" s="188"/>
      <c r="T624" s="188"/>
      <c r="U624" s="188"/>
      <c r="V624" s="188"/>
      <c r="W624" s="20"/>
      <c r="X624" s="20"/>
      <c r="Y624" s="20"/>
      <c r="Z624" s="20"/>
      <c r="AA624" s="20"/>
      <c r="AB624" s="20"/>
    </row>
    <row r="625">
      <c r="A625" s="20"/>
      <c r="B625" s="20"/>
      <c r="C625" s="20"/>
      <c r="D625" s="20"/>
      <c r="E625" s="20"/>
      <c r="F625" s="282"/>
      <c r="G625" s="20"/>
      <c r="H625" s="20"/>
      <c r="I625" s="20"/>
      <c r="J625" s="20"/>
      <c r="K625" s="20"/>
      <c r="L625" s="20"/>
      <c r="M625" s="20"/>
      <c r="N625" s="20"/>
      <c r="O625" s="20"/>
      <c r="P625" s="20"/>
      <c r="Q625" s="20"/>
      <c r="R625" s="20"/>
      <c r="S625" s="188"/>
      <c r="T625" s="188"/>
      <c r="U625" s="188"/>
      <c r="V625" s="188"/>
      <c r="W625" s="20"/>
      <c r="X625" s="20"/>
      <c r="Y625" s="20"/>
      <c r="Z625" s="20"/>
      <c r="AA625" s="20"/>
      <c r="AB625" s="20"/>
    </row>
    <row r="626">
      <c r="A626" s="20"/>
      <c r="B626" s="20"/>
      <c r="C626" s="20"/>
      <c r="D626" s="20"/>
      <c r="E626" s="20"/>
      <c r="F626" s="282"/>
      <c r="G626" s="20"/>
      <c r="H626" s="20"/>
      <c r="I626" s="20"/>
      <c r="J626" s="20"/>
      <c r="K626" s="20"/>
      <c r="L626" s="20"/>
      <c r="M626" s="20"/>
      <c r="N626" s="20"/>
      <c r="O626" s="20"/>
      <c r="P626" s="20"/>
      <c r="Q626" s="20"/>
      <c r="R626" s="20"/>
      <c r="S626" s="188"/>
      <c r="T626" s="188"/>
      <c r="U626" s="188"/>
      <c r="V626" s="188"/>
      <c r="W626" s="20"/>
      <c r="X626" s="20"/>
      <c r="Y626" s="20"/>
      <c r="Z626" s="20"/>
      <c r="AA626" s="20"/>
      <c r="AB626" s="20"/>
    </row>
    <row r="627">
      <c r="A627" s="20"/>
      <c r="B627" s="20"/>
      <c r="C627" s="20"/>
      <c r="D627" s="20"/>
      <c r="E627" s="20"/>
      <c r="F627" s="282"/>
      <c r="G627" s="20"/>
      <c r="H627" s="20"/>
      <c r="I627" s="20"/>
      <c r="J627" s="20"/>
      <c r="K627" s="20"/>
      <c r="L627" s="20"/>
      <c r="M627" s="20"/>
      <c r="N627" s="20"/>
      <c r="O627" s="20"/>
      <c r="P627" s="20"/>
      <c r="Q627" s="20"/>
      <c r="R627" s="20"/>
      <c r="S627" s="188"/>
      <c r="T627" s="188"/>
      <c r="U627" s="188"/>
      <c r="V627" s="188"/>
      <c r="W627" s="20"/>
      <c r="X627" s="20"/>
      <c r="Y627" s="20"/>
      <c r="Z627" s="20"/>
      <c r="AA627" s="20"/>
      <c r="AB627" s="20"/>
    </row>
    <row r="628">
      <c r="A628" s="20"/>
      <c r="B628" s="20"/>
      <c r="C628" s="20"/>
      <c r="D628" s="20"/>
      <c r="E628" s="20"/>
      <c r="F628" s="282"/>
      <c r="G628" s="20"/>
      <c r="H628" s="20"/>
      <c r="I628" s="20"/>
      <c r="J628" s="20"/>
      <c r="K628" s="20"/>
      <c r="L628" s="20"/>
      <c r="M628" s="20"/>
      <c r="N628" s="20"/>
      <c r="O628" s="20"/>
      <c r="P628" s="20"/>
      <c r="Q628" s="20"/>
      <c r="R628" s="20"/>
      <c r="S628" s="188"/>
      <c r="T628" s="188"/>
      <c r="U628" s="188"/>
      <c r="V628" s="188"/>
      <c r="W628" s="20"/>
      <c r="X628" s="20"/>
      <c r="Y628" s="20"/>
      <c r="Z628" s="20"/>
      <c r="AA628" s="20"/>
      <c r="AB628" s="20"/>
    </row>
    <row r="629">
      <c r="A629" s="20"/>
      <c r="B629" s="20"/>
      <c r="C629" s="20"/>
      <c r="D629" s="20"/>
      <c r="E629" s="20"/>
      <c r="F629" s="282"/>
      <c r="G629" s="20"/>
      <c r="H629" s="20"/>
      <c r="I629" s="20"/>
      <c r="J629" s="20"/>
      <c r="K629" s="20"/>
      <c r="L629" s="20"/>
      <c r="M629" s="20"/>
      <c r="N629" s="20"/>
      <c r="O629" s="20"/>
      <c r="P629" s="20"/>
      <c r="Q629" s="20"/>
      <c r="R629" s="20"/>
      <c r="S629" s="188"/>
      <c r="T629" s="188"/>
      <c r="U629" s="188"/>
      <c r="V629" s="188"/>
      <c r="W629" s="20"/>
      <c r="X629" s="20"/>
      <c r="Y629" s="20"/>
      <c r="Z629" s="20"/>
      <c r="AA629" s="20"/>
      <c r="AB629" s="20"/>
    </row>
    <row r="630">
      <c r="A630" s="20"/>
      <c r="B630" s="20"/>
      <c r="C630" s="20"/>
      <c r="D630" s="20"/>
      <c r="E630" s="20"/>
      <c r="F630" s="282"/>
      <c r="G630" s="20"/>
      <c r="H630" s="20"/>
      <c r="I630" s="20"/>
      <c r="J630" s="20"/>
      <c r="K630" s="20"/>
      <c r="L630" s="20"/>
      <c r="M630" s="20"/>
      <c r="N630" s="20"/>
      <c r="O630" s="20"/>
      <c r="P630" s="20"/>
      <c r="Q630" s="20"/>
      <c r="R630" s="20"/>
      <c r="S630" s="188"/>
      <c r="T630" s="188"/>
      <c r="U630" s="188"/>
      <c r="V630" s="188"/>
      <c r="W630" s="20"/>
      <c r="X630" s="20"/>
      <c r="Y630" s="20"/>
      <c r="Z630" s="20"/>
      <c r="AA630" s="20"/>
      <c r="AB630" s="20"/>
    </row>
    <row r="631">
      <c r="A631" s="20"/>
      <c r="B631" s="20"/>
      <c r="C631" s="20"/>
      <c r="D631" s="20"/>
      <c r="E631" s="20"/>
      <c r="F631" s="282"/>
      <c r="G631" s="20"/>
      <c r="H631" s="20"/>
      <c r="I631" s="20"/>
      <c r="J631" s="20"/>
      <c r="K631" s="20"/>
      <c r="L631" s="20"/>
      <c r="M631" s="20"/>
      <c r="N631" s="20"/>
      <c r="O631" s="20"/>
      <c r="P631" s="20"/>
      <c r="Q631" s="20"/>
      <c r="R631" s="20"/>
      <c r="S631" s="188"/>
      <c r="T631" s="188"/>
      <c r="U631" s="188"/>
      <c r="V631" s="188"/>
      <c r="W631" s="20"/>
      <c r="X631" s="20"/>
      <c r="Y631" s="20"/>
      <c r="Z631" s="20"/>
      <c r="AA631" s="20"/>
      <c r="AB631" s="20"/>
    </row>
    <row r="632">
      <c r="A632" s="20"/>
      <c r="B632" s="20"/>
      <c r="C632" s="20"/>
      <c r="D632" s="20"/>
      <c r="E632" s="20"/>
      <c r="F632" s="282"/>
      <c r="G632" s="20"/>
      <c r="H632" s="20"/>
      <c r="I632" s="20"/>
      <c r="J632" s="20"/>
      <c r="K632" s="20"/>
      <c r="L632" s="20"/>
      <c r="M632" s="20"/>
      <c r="N632" s="20"/>
      <c r="O632" s="20"/>
      <c r="P632" s="20"/>
      <c r="Q632" s="20"/>
      <c r="R632" s="20"/>
      <c r="S632" s="188"/>
      <c r="T632" s="188"/>
      <c r="U632" s="188"/>
      <c r="V632" s="188"/>
      <c r="W632" s="20"/>
      <c r="X632" s="20"/>
      <c r="Y632" s="20"/>
      <c r="Z632" s="20"/>
      <c r="AA632" s="20"/>
      <c r="AB632" s="20"/>
    </row>
    <row r="633">
      <c r="A633" s="20"/>
      <c r="B633" s="20"/>
      <c r="C633" s="20"/>
      <c r="D633" s="20"/>
      <c r="E633" s="20"/>
      <c r="F633" s="282"/>
      <c r="G633" s="20"/>
      <c r="H633" s="20"/>
      <c r="I633" s="20"/>
      <c r="J633" s="20"/>
      <c r="K633" s="20"/>
      <c r="L633" s="20"/>
      <c r="M633" s="20"/>
      <c r="N633" s="20"/>
      <c r="O633" s="20"/>
      <c r="P633" s="20"/>
      <c r="Q633" s="20"/>
      <c r="R633" s="20"/>
      <c r="S633" s="188"/>
      <c r="T633" s="188"/>
      <c r="U633" s="188"/>
      <c r="V633" s="188"/>
      <c r="W633" s="20"/>
      <c r="X633" s="20"/>
      <c r="Y633" s="20"/>
      <c r="Z633" s="20"/>
      <c r="AA633" s="20"/>
      <c r="AB633" s="20"/>
    </row>
    <row r="634">
      <c r="A634" s="20"/>
      <c r="B634" s="20"/>
      <c r="C634" s="20"/>
      <c r="D634" s="20"/>
      <c r="E634" s="20"/>
      <c r="F634" s="282"/>
      <c r="G634" s="20"/>
      <c r="H634" s="20"/>
      <c r="I634" s="20"/>
      <c r="J634" s="20"/>
      <c r="K634" s="20"/>
      <c r="L634" s="20"/>
      <c r="M634" s="20"/>
      <c r="N634" s="20"/>
      <c r="O634" s="20"/>
      <c r="P634" s="20"/>
      <c r="Q634" s="20"/>
      <c r="R634" s="20"/>
      <c r="S634" s="188"/>
      <c r="T634" s="188"/>
      <c r="U634" s="188"/>
      <c r="V634" s="188"/>
      <c r="W634" s="20"/>
      <c r="X634" s="20"/>
      <c r="Y634" s="20"/>
      <c r="Z634" s="20"/>
      <c r="AA634" s="20"/>
      <c r="AB634" s="20"/>
    </row>
    <row r="635">
      <c r="A635" s="20"/>
      <c r="B635" s="20"/>
      <c r="C635" s="20"/>
      <c r="D635" s="20"/>
      <c r="E635" s="20"/>
      <c r="F635" s="282"/>
      <c r="G635" s="20"/>
      <c r="H635" s="20"/>
      <c r="I635" s="20"/>
      <c r="J635" s="20"/>
      <c r="K635" s="20"/>
      <c r="L635" s="20"/>
      <c r="M635" s="20"/>
      <c r="N635" s="20"/>
      <c r="O635" s="20"/>
      <c r="P635" s="20"/>
      <c r="Q635" s="20"/>
      <c r="R635" s="20"/>
      <c r="S635" s="188"/>
      <c r="T635" s="188"/>
      <c r="U635" s="188"/>
      <c r="V635" s="188"/>
      <c r="W635" s="20"/>
      <c r="X635" s="20"/>
      <c r="Y635" s="20"/>
      <c r="Z635" s="20"/>
      <c r="AA635" s="20"/>
      <c r="AB635" s="20"/>
    </row>
    <row r="636">
      <c r="A636" s="20"/>
      <c r="B636" s="20"/>
      <c r="C636" s="20"/>
      <c r="D636" s="20"/>
      <c r="E636" s="20"/>
      <c r="F636" s="282"/>
      <c r="G636" s="20"/>
      <c r="H636" s="20"/>
      <c r="I636" s="20"/>
      <c r="J636" s="20"/>
      <c r="K636" s="20"/>
      <c r="L636" s="20"/>
      <c r="M636" s="20"/>
      <c r="N636" s="20"/>
      <c r="O636" s="20"/>
      <c r="P636" s="20"/>
      <c r="Q636" s="20"/>
      <c r="R636" s="20"/>
      <c r="S636" s="188"/>
      <c r="T636" s="188"/>
      <c r="U636" s="188"/>
      <c r="V636" s="188"/>
      <c r="W636" s="20"/>
      <c r="X636" s="20"/>
      <c r="Y636" s="20"/>
      <c r="Z636" s="20"/>
      <c r="AA636" s="20"/>
      <c r="AB636" s="20"/>
    </row>
    <row r="637">
      <c r="A637" s="20"/>
      <c r="B637" s="20"/>
      <c r="C637" s="20"/>
      <c r="D637" s="20"/>
      <c r="E637" s="20"/>
      <c r="F637" s="282"/>
      <c r="G637" s="20"/>
      <c r="H637" s="20"/>
      <c r="I637" s="20"/>
      <c r="J637" s="20"/>
      <c r="K637" s="20"/>
      <c r="L637" s="20"/>
      <c r="M637" s="20"/>
      <c r="N637" s="20"/>
      <c r="O637" s="20"/>
      <c r="P637" s="20"/>
      <c r="Q637" s="20"/>
      <c r="R637" s="20"/>
      <c r="S637" s="188"/>
      <c r="T637" s="188"/>
      <c r="U637" s="188"/>
      <c r="V637" s="188"/>
      <c r="W637" s="20"/>
      <c r="X637" s="20"/>
      <c r="Y637" s="20"/>
      <c r="Z637" s="20"/>
      <c r="AA637" s="20"/>
      <c r="AB637" s="20"/>
    </row>
    <row r="638">
      <c r="A638" s="20"/>
      <c r="B638" s="20"/>
      <c r="C638" s="20"/>
      <c r="D638" s="20"/>
      <c r="E638" s="20"/>
      <c r="F638" s="282"/>
      <c r="G638" s="20"/>
      <c r="H638" s="20"/>
      <c r="I638" s="20"/>
      <c r="J638" s="20"/>
      <c r="K638" s="20"/>
      <c r="L638" s="20"/>
      <c r="M638" s="20"/>
      <c r="N638" s="20"/>
      <c r="O638" s="20"/>
      <c r="P638" s="20"/>
      <c r="Q638" s="20"/>
      <c r="R638" s="20"/>
      <c r="S638" s="188"/>
      <c r="T638" s="188"/>
      <c r="U638" s="188"/>
      <c r="V638" s="188"/>
      <c r="W638" s="20"/>
      <c r="X638" s="20"/>
      <c r="Y638" s="20"/>
      <c r="Z638" s="20"/>
      <c r="AA638" s="20"/>
      <c r="AB638" s="20"/>
    </row>
    <row r="639">
      <c r="A639" s="20"/>
      <c r="B639" s="20"/>
      <c r="C639" s="20"/>
      <c r="D639" s="20"/>
      <c r="E639" s="20"/>
      <c r="F639" s="282"/>
      <c r="G639" s="20"/>
      <c r="H639" s="20"/>
      <c r="I639" s="20"/>
      <c r="J639" s="20"/>
      <c r="K639" s="20"/>
      <c r="L639" s="20"/>
      <c r="M639" s="20"/>
      <c r="N639" s="20"/>
      <c r="O639" s="20"/>
      <c r="P639" s="20"/>
      <c r="Q639" s="20"/>
      <c r="R639" s="20"/>
      <c r="S639" s="188"/>
      <c r="T639" s="188"/>
      <c r="U639" s="188"/>
      <c r="V639" s="188"/>
      <c r="W639" s="20"/>
      <c r="X639" s="20"/>
      <c r="Y639" s="20"/>
      <c r="Z639" s="20"/>
      <c r="AA639" s="20"/>
      <c r="AB639" s="20"/>
    </row>
    <row r="640">
      <c r="A640" s="20"/>
      <c r="B640" s="20"/>
      <c r="C640" s="20"/>
      <c r="D640" s="20"/>
      <c r="E640" s="20"/>
      <c r="F640" s="282"/>
      <c r="G640" s="20"/>
      <c r="H640" s="20"/>
      <c r="I640" s="20"/>
      <c r="J640" s="20"/>
      <c r="K640" s="20"/>
      <c r="L640" s="20"/>
      <c r="M640" s="20"/>
      <c r="N640" s="20"/>
      <c r="O640" s="20"/>
      <c r="P640" s="20"/>
      <c r="Q640" s="20"/>
      <c r="R640" s="20"/>
      <c r="S640" s="188"/>
      <c r="T640" s="188"/>
      <c r="U640" s="188"/>
      <c r="V640" s="188"/>
      <c r="W640" s="20"/>
      <c r="X640" s="20"/>
      <c r="Y640" s="20"/>
      <c r="Z640" s="20"/>
      <c r="AA640" s="20"/>
      <c r="AB640" s="20"/>
    </row>
    <row r="641">
      <c r="A641" s="20"/>
      <c r="B641" s="20"/>
      <c r="C641" s="20"/>
      <c r="D641" s="20"/>
      <c r="E641" s="20"/>
      <c r="F641" s="282"/>
      <c r="G641" s="20"/>
      <c r="H641" s="20"/>
      <c r="I641" s="20"/>
      <c r="J641" s="20"/>
      <c r="K641" s="20"/>
      <c r="L641" s="20"/>
      <c r="M641" s="20"/>
      <c r="N641" s="20"/>
      <c r="O641" s="20"/>
      <c r="P641" s="20"/>
      <c r="Q641" s="20"/>
      <c r="R641" s="20"/>
      <c r="S641" s="188"/>
      <c r="T641" s="188"/>
      <c r="U641" s="188"/>
      <c r="V641" s="188"/>
      <c r="W641" s="20"/>
      <c r="X641" s="20"/>
      <c r="Y641" s="20"/>
      <c r="Z641" s="20"/>
      <c r="AA641" s="20"/>
      <c r="AB641" s="20"/>
    </row>
    <row r="642">
      <c r="A642" s="20"/>
      <c r="B642" s="20"/>
      <c r="C642" s="20"/>
      <c r="D642" s="20"/>
      <c r="E642" s="20"/>
      <c r="F642" s="282"/>
      <c r="G642" s="20"/>
      <c r="H642" s="20"/>
      <c r="I642" s="20"/>
      <c r="J642" s="20"/>
      <c r="K642" s="20"/>
      <c r="L642" s="20"/>
      <c r="M642" s="20"/>
      <c r="N642" s="20"/>
      <c r="O642" s="20"/>
      <c r="P642" s="20"/>
      <c r="Q642" s="20"/>
      <c r="R642" s="20"/>
      <c r="S642" s="188"/>
      <c r="T642" s="188"/>
      <c r="U642" s="188"/>
      <c r="V642" s="188"/>
      <c r="W642" s="20"/>
      <c r="X642" s="20"/>
      <c r="Y642" s="20"/>
      <c r="Z642" s="20"/>
      <c r="AA642" s="20"/>
      <c r="AB642" s="20"/>
    </row>
    <row r="643">
      <c r="A643" s="20"/>
      <c r="B643" s="20"/>
      <c r="C643" s="20"/>
      <c r="D643" s="20"/>
      <c r="E643" s="20"/>
      <c r="F643" s="282"/>
      <c r="G643" s="20"/>
      <c r="H643" s="20"/>
      <c r="I643" s="20"/>
      <c r="J643" s="20"/>
      <c r="K643" s="20"/>
      <c r="L643" s="20"/>
      <c r="M643" s="20"/>
      <c r="N643" s="20"/>
      <c r="O643" s="20"/>
      <c r="P643" s="20"/>
      <c r="Q643" s="20"/>
      <c r="R643" s="20"/>
      <c r="S643" s="188"/>
      <c r="T643" s="188"/>
      <c r="U643" s="188"/>
      <c r="V643" s="188"/>
      <c r="W643" s="20"/>
      <c r="X643" s="20"/>
      <c r="Y643" s="20"/>
      <c r="Z643" s="20"/>
      <c r="AA643" s="20"/>
      <c r="AB643" s="20"/>
    </row>
    <row r="644">
      <c r="A644" s="20"/>
      <c r="B644" s="20"/>
      <c r="C644" s="20"/>
      <c r="D644" s="20"/>
      <c r="E644" s="20"/>
      <c r="F644" s="282"/>
      <c r="G644" s="20"/>
      <c r="H644" s="20"/>
      <c r="I644" s="20"/>
      <c r="J644" s="20"/>
      <c r="K644" s="20"/>
      <c r="L644" s="20"/>
      <c r="M644" s="20"/>
      <c r="N644" s="20"/>
      <c r="O644" s="20"/>
      <c r="P644" s="20"/>
      <c r="Q644" s="20"/>
      <c r="R644" s="20"/>
      <c r="S644" s="188"/>
      <c r="T644" s="188"/>
      <c r="U644" s="188"/>
      <c r="V644" s="188"/>
      <c r="W644" s="20"/>
      <c r="X644" s="20"/>
      <c r="Y644" s="20"/>
      <c r="Z644" s="20"/>
      <c r="AA644" s="20"/>
      <c r="AB644" s="20"/>
    </row>
    <row r="645">
      <c r="A645" s="20"/>
      <c r="B645" s="20"/>
      <c r="C645" s="20"/>
      <c r="D645" s="20"/>
      <c r="E645" s="20"/>
      <c r="F645" s="282"/>
      <c r="G645" s="20"/>
      <c r="H645" s="20"/>
      <c r="I645" s="20"/>
      <c r="J645" s="20"/>
      <c r="K645" s="20"/>
      <c r="L645" s="20"/>
      <c r="M645" s="20"/>
      <c r="N645" s="20"/>
      <c r="O645" s="20"/>
      <c r="P645" s="20"/>
      <c r="Q645" s="20"/>
      <c r="R645" s="20"/>
      <c r="S645" s="188"/>
      <c r="T645" s="188"/>
      <c r="U645" s="188"/>
      <c r="V645" s="188"/>
      <c r="W645" s="20"/>
      <c r="X645" s="20"/>
      <c r="Y645" s="20"/>
      <c r="Z645" s="20"/>
      <c r="AA645" s="20"/>
      <c r="AB645" s="20"/>
    </row>
    <row r="646">
      <c r="A646" s="20"/>
      <c r="B646" s="20"/>
      <c r="C646" s="20"/>
      <c r="D646" s="20"/>
      <c r="E646" s="20"/>
      <c r="F646" s="282"/>
      <c r="G646" s="20"/>
      <c r="H646" s="20"/>
      <c r="I646" s="20"/>
      <c r="J646" s="20"/>
      <c r="K646" s="20"/>
      <c r="L646" s="20"/>
      <c r="M646" s="20"/>
      <c r="N646" s="20"/>
      <c r="O646" s="20"/>
      <c r="P646" s="20"/>
      <c r="Q646" s="20"/>
      <c r="R646" s="20"/>
      <c r="S646" s="188"/>
      <c r="T646" s="188"/>
      <c r="U646" s="188"/>
      <c r="V646" s="188"/>
      <c r="W646" s="20"/>
      <c r="X646" s="20"/>
      <c r="Y646" s="20"/>
      <c r="Z646" s="20"/>
      <c r="AA646" s="20"/>
      <c r="AB646" s="20"/>
    </row>
    <row r="647">
      <c r="A647" s="20"/>
      <c r="B647" s="20"/>
      <c r="C647" s="20"/>
      <c r="D647" s="20"/>
      <c r="E647" s="20"/>
      <c r="F647" s="282"/>
      <c r="G647" s="20"/>
      <c r="H647" s="20"/>
      <c r="I647" s="20"/>
      <c r="J647" s="20"/>
      <c r="K647" s="20"/>
      <c r="L647" s="20"/>
      <c r="M647" s="20"/>
      <c r="N647" s="20"/>
      <c r="O647" s="20"/>
      <c r="P647" s="20"/>
      <c r="Q647" s="20"/>
      <c r="R647" s="20"/>
      <c r="S647" s="188"/>
      <c r="T647" s="188"/>
      <c r="U647" s="188"/>
      <c r="V647" s="188"/>
      <c r="W647" s="20"/>
      <c r="X647" s="20"/>
      <c r="Y647" s="20"/>
      <c r="Z647" s="20"/>
      <c r="AA647" s="20"/>
      <c r="AB647" s="20"/>
    </row>
    <row r="648">
      <c r="A648" s="20"/>
      <c r="B648" s="20"/>
      <c r="C648" s="20"/>
      <c r="D648" s="20"/>
      <c r="E648" s="20"/>
      <c r="F648" s="282"/>
      <c r="G648" s="20"/>
      <c r="H648" s="20"/>
      <c r="I648" s="20"/>
      <c r="J648" s="20"/>
      <c r="K648" s="20"/>
      <c r="L648" s="20"/>
      <c r="M648" s="20"/>
      <c r="N648" s="20"/>
      <c r="O648" s="20"/>
      <c r="P648" s="20"/>
      <c r="Q648" s="20"/>
      <c r="R648" s="20"/>
      <c r="S648" s="188"/>
      <c r="T648" s="188"/>
      <c r="U648" s="188"/>
      <c r="V648" s="188"/>
      <c r="W648" s="20"/>
      <c r="X648" s="20"/>
      <c r="Y648" s="20"/>
      <c r="Z648" s="20"/>
      <c r="AA648" s="20"/>
      <c r="AB648" s="20"/>
    </row>
    <row r="649">
      <c r="A649" s="20"/>
      <c r="B649" s="20"/>
      <c r="C649" s="20"/>
      <c r="D649" s="20"/>
      <c r="E649" s="20"/>
      <c r="F649" s="282"/>
      <c r="G649" s="20"/>
      <c r="H649" s="20"/>
      <c r="I649" s="20"/>
      <c r="J649" s="20"/>
      <c r="K649" s="20"/>
      <c r="L649" s="20"/>
      <c r="M649" s="20"/>
      <c r="N649" s="20"/>
      <c r="O649" s="20"/>
      <c r="P649" s="20"/>
      <c r="Q649" s="20"/>
      <c r="R649" s="20"/>
      <c r="S649" s="188"/>
      <c r="T649" s="188"/>
      <c r="U649" s="188"/>
      <c r="V649" s="188"/>
      <c r="W649" s="20"/>
      <c r="X649" s="20"/>
      <c r="Y649" s="20"/>
      <c r="Z649" s="20"/>
      <c r="AA649" s="20"/>
      <c r="AB649" s="20"/>
    </row>
    <row r="650">
      <c r="A650" s="20"/>
      <c r="B650" s="20"/>
      <c r="C650" s="20"/>
      <c r="D650" s="20"/>
      <c r="E650" s="20"/>
      <c r="F650" s="282"/>
      <c r="G650" s="20"/>
      <c r="H650" s="20"/>
      <c r="I650" s="20"/>
      <c r="J650" s="20"/>
      <c r="K650" s="20"/>
      <c r="L650" s="20"/>
      <c r="M650" s="20"/>
      <c r="N650" s="20"/>
      <c r="O650" s="20"/>
      <c r="P650" s="20"/>
      <c r="Q650" s="20"/>
      <c r="R650" s="20"/>
      <c r="S650" s="188"/>
      <c r="T650" s="188"/>
      <c r="U650" s="188"/>
      <c r="V650" s="188"/>
      <c r="W650" s="20"/>
      <c r="X650" s="20"/>
      <c r="Y650" s="20"/>
      <c r="Z650" s="20"/>
      <c r="AA650" s="20"/>
      <c r="AB650" s="20"/>
    </row>
    <row r="651">
      <c r="A651" s="20"/>
      <c r="B651" s="20"/>
      <c r="C651" s="20"/>
      <c r="D651" s="20"/>
      <c r="E651" s="20"/>
      <c r="F651" s="282"/>
      <c r="G651" s="20"/>
      <c r="H651" s="20"/>
      <c r="I651" s="20"/>
      <c r="J651" s="20"/>
      <c r="K651" s="20"/>
      <c r="L651" s="20"/>
      <c r="M651" s="20"/>
      <c r="N651" s="20"/>
      <c r="O651" s="20"/>
      <c r="P651" s="20"/>
      <c r="Q651" s="20"/>
      <c r="R651" s="20"/>
      <c r="S651" s="188"/>
      <c r="T651" s="188"/>
      <c r="U651" s="188"/>
      <c r="V651" s="188"/>
      <c r="W651" s="20"/>
      <c r="X651" s="20"/>
      <c r="Y651" s="20"/>
      <c r="Z651" s="20"/>
      <c r="AA651" s="20"/>
      <c r="AB651" s="20"/>
    </row>
    <row r="652">
      <c r="A652" s="20"/>
      <c r="B652" s="20"/>
      <c r="C652" s="20"/>
      <c r="D652" s="20"/>
      <c r="E652" s="20"/>
      <c r="F652" s="282"/>
      <c r="G652" s="20"/>
      <c r="H652" s="20"/>
      <c r="I652" s="20"/>
      <c r="J652" s="20"/>
      <c r="K652" s="20"/>
      <c r="L652" s="20"/>
      <c r="M652" s="20"/>
      <c r="N652" s="20"/>
      <c r="O652" s="20"/>
      <c r="P652" s="20"/>
      <c r="Q652" s="20"/>
      <c r="R652" s="20"/>
      <c r="S652" s="188"/>
      <c r="T652" s="188"/>
      <c r="U652" s="188"/>
      <c r="V652" s="188"/>
      <c r="W652" s="20"/>
      <c r="X652" s="20"/>
      <c r="Y652" s="20"/>
      <c r="Z652" s="20"/>
      <c r="AA652" s="20"/>
      <c r="AB652" s="20"/>
    </row>
    <row r="653">
      <c r="A653" s="20"/>
      <c r="B653" s="20"/>
      <c r="C653" s="20"/>
      <c r="D653" s="20"/>
      <c r="E653" s="20"/>
      <c r="F653" s="282"/>
      <c r="G653" s="20"/>
      <c r="H653" s="20"/>
      <c r="I653" s="20"/>
      <c r="J653" s="20"/>
      <c r="K653" s="20"/>
      <c r="L653" s="20"/>
      <c r="M653" s="20"/>
      <c r="N653" s="20"/>
      <c r="O653" s="20"/>
      <c r="P653" s="20"/>
      <c r="Q653" s="20"/>
      <c r="R653" s="20"/>
      <c r="S653" s="188"/>
      <c r="T653" s="188"/>
      <c r="U653" s="188"/>
      <c r="V653" s="188"/>
      <c r="W653" s="20"/>
      <c r="X653" s="20"/>
      <c r="Y653" s="20"/>
      <c r="Z653" s="20"/>
      <c r="AA653" s="20"/>
      <c r="AB653" s="20"/>
    </row>
    <row r="654">
      <c r="A654" s="20"/>
      <c r="B654" s="20"/>
      <c r="C654" s="20"/>
      <c r="D654" s="20"/>
      <c r="E654" s="20"/>
      <c r="F654" s="282"/>
      <c r="G654" s="20"/>
      <c r="H654" s="20"/>
      <c r="I654" s="20"/>
      <c r="J654" s="20"/>
      <c r="K654" s="20"/>
      <c r="L654" s="20"/>
      <c r="M654" s="20"/>
      <c r="N654" s="20"/>
      <c r="O654" s="20"/>
      <c r="P654" s="20"/>
      <c r="Q654" s="20"/>
      <c r="R654" s="20"/>
      <c r="S654" s="188"/>
      <c r="T654" s="188"/>
      <c r="U654" s="188"/>
      <c r="V654" s="188"/>
      <c r="W654" s="20"/>
      <c r="X654" s="20"/>
      <c r="Y654" s="20"/>
      <c r="Z654" s="20"/>
      <c r="AA654" s="20"/>
      <c r="AB654" s="20"/>
    </row>
    <row r="655">
      <c r="A655" s="20"/>
      <c r="B655" s="20"/>
      <c r="C655" s="20"/>
      <c r="D655" s="20"/>
      <c r="E655" s="20"/>
      <c r="F655" s="282"/>
      <c r="G655" s="20"/>
      <c r="H655" s="20"/>
      <c r="I655" s="20"/>
      <c r="J655" s="20"/>
      <c r="K655" s="20"/>
      <c r="L655" s="20"/>
      <c r="M655" s="20"/>
      <c r="N655" s="20"/>
      <c r="O655" s="20"/>
      <c r="P655" s="20"/>
      <c r="Q655" s="20"/>
      <c r="R655" s="20"/>
      <c r="S655" s="188"/>
      <c r="T655" s="188"/>
      <c r="U655" s="188"/>
      <c r="V655" s="188"/>
      <c r="W655" s="20"/>
      <c r="X655" s="20"/>
      <c r="Y655" s="20"/>
      <c r="Z655" s="20"/>
      <c r="AA655" s="20"/>
      <c r="AB655" s="20"/>
    </row>
    <row r="656">
      <c r="A656" s="20"/>
      <c r="B656" s="20"/>
      <c r="C656" s="20"/>
      <c r="D656" s="20"/>
      <c r="E656" s="20"/>
      <c r="F656" s="282"/>
      <c r="G656" s="20"/>
      <c r="H656" s="20"/>
      <c r="I656" s="20"/>
      <c r="J656" s="20"/>
      <c r="K656" s="20"/>
      <c r="L656" s="20"/>
      <c r="M656" s="20"/>
      <c r="N656" s="20"/>
      <c r="O656" s="20"/>
      <c r="P656" s="20"/>
      <c r="Q656" s="20"/>
      <c r="R656" s="20"/>
      <c r="S656" s="188"/>
      <c r="T656" s="188"/>
      <c r="U656" s="188"/>
      <c r="V656" s="188"/>
      <c r="W656" s="20"/>
      <c r="X656" s="20"/>
      <c r="Y656" s="20"/>
      <c r="Z656" s="20"/>
      <c r="AA656" s="20"/>
      <c r="AB656" s="20"/>
    </row>
    <row r="657">
      <c r="A657" s="20"/>
      <c r="B657" s="20"/>
      <c r="C657" s="20"/>
      <c r="D657" s="20"/>
      <c r="E657" s="20"/>
      <c r="F657" s="282"/>
      <c r="G657" s="20"/>
      <c r="H657" s="20"/>
      <c r="I657" s="20"/>
      <c r="J657" s="20"/>
      <c r="K657" s="20"/>
      <c r="L657" s="20"/>
      <c r="M657" s="20"/>
      <c r="N657" s="20"/>
      <c r="O657" s="20"/>
      <c r="P657" s="20"/>
      <c r="Q657" s="20"/>
      <c r="R657" s="20"/>
      <c r="S657" s="188"/>
      <c r="T657" s="188"/>
      <c r="U657" s="188"/>
      <c r="V657" s="188"/>
      <c r="W657" s="20"/>
      <c r="X657" s="20"/>
      <c r="Y657" s="20"/>
      <c r="Z657" s="20"/>
      <c r="AA657" s="20"/>
      <c r="AB657" s="20"/>
    </row>
    <row r="658">
      <c r="A658" s="20"/>
      <c r="B658" s="20"/>
      <c r="C658" s="20"/>
      <c r="D658" s="20"/>
      <c r="E658" s="20"/>
      <c r="F658" s="282"/>
      <c r="G658" s="20"/>
      <c r="H658" s="20"/>
      <c r="I658" s="20"/>
      <c r="J658" s="20"/>
      <c r="K658" s="20"/>
      <c r="L658" s="20"/>
      <c r="M658" s="20"/>
      <c r="N658" s="20"/>
      <c r="O658" s="20"/>
      <c r="P658" s="20"/>
      <c r="Q658" s="20"/>
      <c r="R658" s="20"/>
      <c r="S658" s="188"/>
      <c r="T658" s="188"/>
      <c r="U658" s="188"/>
      <c r="V658" s="188"/>
      <c r="W658" s="20"/>
      <c r="X658" s="20"/>
      <c r="Y658" s="20"/>
      <c r="Z658" s="20"/>
      <c r="AA658" s="20"/>
      <c r="AB658" s="20"/>
    </row>
    <row r="659">
      <c r="A659" s="20"/>
      <c r="B659" s="20"/>
      <c r="C659" s="20"/>
      <c r="D659" s="20"/>
      <c r="E659" s="20"/>
      <c r="F659" s="282"/>
      <c r="G659" s="20"/>
      <c r="H659" s="20"/>
      <c r="I659" s="20"/>
      <c r="J659" s="20"/>
      <c r="K659" s="20"/>
      <c r="L659" s="20"/>
      <c r="M659" s="20"/>
      <c r="N659" s="20"/>
      <c r="O659" s="20"/>
      <c r="P659" s="20"/>
      <c r="Q659" s="20"/>
      <c r="R659" s="20"/>
      <c r="S659" s="188"/>
      <c r="T659" s="188"/>
      <c r="U659" s="188"/>
      <c r="V659" s="188"/>
      <c r="W659" s="20"/>
      <c r="X659" s="20"/>
      <c r="Y659" s="20"/>
      <c r="Z659" s="20"/>
      <c r="AA659" s="20"/>
      <c r="AB659" s="20"/>
    </row>
    <row r="660">
      <c r="A660" s="20"/>
      <c r="B660" s="20"/>
      <c r="C660" s="20"/>
      <c r="D660" s="20"/>
      <c r="E660" s="20"/>
      <c r="F660" s="282"/>
      <c r="G660" s="20"/>
      <c r="H660" s="20"/>
      <c r="I660" s="20"/>
      <c r="J660" s="20"/>
      <c r="K660" s="20"/>
      <c r="L660" s="20"/>
      <c r="M660" s="20"/>
      <c r="N660" s="20"/>
      <c r="O660" s="20"/>
      <c r="P660" s="20"/>
      <c r="Q660" s="20"/>
      <c r="R660" s="20"/>
      <c r="S660" s="188"/>
      <c r="T660" s="188"/>
      <c r="U660" s="188"/>
      <c r="V660" s="188"/>
      <c r="W660" s="20"/>
      <c r="X660" s="20"/>
      <c r="Y660" s="20"/>
      <c r="Z660" s="20"/>
      <c r="AA660" s="20"/>
      <c r="AB660" s="20"/>
    </row>
    <row r="661">
      <c r="A661" s="20"/>
      <c r="B661" s="20"/>
      <c r="C661" s="20"/>
      <c r="D661" s="20"/>
      <c r="E661" s="20"/>
      <c r="F661" s="282"/>
      <c r="G661" s="20"/>
      <c r="H661" s="20"/>
      <c r="I661" s="20"/>
      <c r="J661" s="20"/>
      <c r="K661" s="20"/>
      <c r="L661" s="20"/>
      <c r="M661" s="20"/>
      <c r="N661" s="20"/>
      <c r="O661" s="20"/>
      <c r="P661" s="20"/>
      <c r="Q661" s="20"/>
      <c r="R661" s="20"/>
      <c r="S661" s="188"/>
      <c r="T661" s="188"/>
      <c r="U661" s="188"/>
      <c r="V661" s="188"/>
      <c r="W661" s="20"/>
      <c r="X661" s="20"/>
      <c r="Y661" s="20"/>
      <c r="Z661" s="20"/>
      <c r="AA661" s="20"/>
      <c r="AB661" s="20"/>
    </row>
    <row r="662">
      <c r="A662" s="20"/>
      <c r="B662" s="20"/>
      <c r="C662" s="20"/>
      <c r="D662" s="20"/>
      <c r="E662" s="20"/>
      <c r="F662" s="282"/>
      <c r="G662" s="20"/>
      <c r="H662" s="20"/>
      <c r="I662" s="20"/>
      <c r="J662" s="20"/>
      <c r="K662" s="20"/>
      <c r="L662" s="20"/>
      <c r="M662" s="20"/>
      <c r="N662" s="20"/>
      <c r="O662" s="20"/>
      <c r="P662" s="20"/>
      <c r="Q662" s="20"/>
      <c r="R662" s="20"/>
      <c r="S662" s="188"/>
      <c r="T662" s="188"/>
      <c r="U662" s="188"/>
      <c r="V662" s="188"/>
      <c r="W662" s="20"/>
      <c r="X662" s="20"/>
      <c r="Y662" s="20"/>
      <c r="Z662" s="20"/>
      <c r="AA662" s="20"/>
      <c r="AB662" s="20"/>
    </row>
    <row r="663">
      <c r="A663" s="20"/>
      <c r="B663" s="20"/>
      <c r="C663" s="20"/>
      <c r="D663" s="20"/>
      <c r="E663" s="20"/>
      <c r="F663" s="282"/>
      <c r="G663" s="20"/>
      <c r="H663" s="20"/>
      <c r="I663" s="20"/>
      <c r="J663" s="20"/>
      <c r="K663" s="20"/>
      <c r="L663" s="20"/>
      <c r="M663" s="20"/>
      <c r="N663" s="20"/>
      <c r="O663" s="20"/>
      <c r="P663" s="20"/>
      <c r="Q663" s="20"/>
      <c r="R663" s="20"/>
      <c r="S663" s="188"/>
      <c r="T663" s="188"/>
      <c r="U663" s="188"/>
      <c r="V663" s="188"/>
      <c r="W663" s="20"/>
      <c r="X663" s="20"/>
      <c r="Y663" s="20"/>
      <c r="Z663" s="20"/>
      <c r="AA663" s="20"/>
      <c r="AB663" s="20"/>
    </row>
    <row r="664">
      <c r="A664" s="20"/>
      <c r="B664" s="20"/>
      <c r="C664" s="20"/>
      <c r="D664" s="20"/>
      <c r="E664" s="20"/>
      <c r="F664" s="282"/>
      <c r="G664" s="20"/>
      <c r="H664" s="20"/>
      <c r="I664" s="20"/>
      <c r="J664" s="20"/>
      <c r="K664" s="20"/>
      <c r="L664" s="20"/>
      <c r="M664" s="20"/>
      <c r="N664" s="20"/>
      <c r="O664" s="20"/>
      <c r="P664" s="20"/>
      <c r="Q664" s="20"/>
      <c r="R664" s="20"/>
      <c r="S664" s="188"/>
      <c r="T664" s="188"/>
      <c r="U664" s="188"/>
      <c r="V664" s="188"/>
      <c r="W664" s="20"/>
      <c r="X664" s="20"/>
      <c r="Y664" s="20"/>
      <c r="Z664" s="20"/>
      <c r="AA664" s="20"/>
      <c r="AB664" s="20"/>
    </row>
    <row r="665">
      <c r="A665" s="20"/>
      <c r="B665" s="20"/>
      <c r="C665" s="20"/>
      <c r="D665" s="20"/>
      <c r="E665" s="20"/>
      <c r="F665" s="282"/>
      <c r="G665" s="20"/>
      <c r="H665" s="20"/>
      <c r="I665" s="20"/>
      <c r="J665" s="20"/>
      <c r="K665" s="20"/>
      <c r="L665" s="20"/>
      <c r="M665" s="20"/>
      <c r="N665" s="20"/>
      <c r="O665" s="20"/>
      <c r="P665" s="20"/>
      <c r="Q665" s="20"/>
      <c r="R665" s="20"/>
      <c r="S665" s="188"/>
      <c r="T665" s="188"/>
      <c r="U665" s="188"/>
      <c r="V665" s="188"/>
      <c r="W665" s="20"/>
      <c r="X665" s="20"/>
      <c r="Y665" s="20"/>
      <c r="Z665" s="20"/>
      <c r="AA665" s="20"/>
      <c r="AB665" s="20"/>
    </row>
    <row r="666">
      <c r="A666" s="20"/>
      <c r="B666" s="20"/>
      <c r="C666" s="20"/>
      <c r="D666" s="20"/>
      <c r="E666" s="20"/>
      <c r="F666" s="282"/>
      <c r="G666" s="20"/>
      <c r="H666" s="20"/>
      <c r="I666" s="20"/>
      <c r="J666" s="20"/>
      <c r="K666" s="20"/>
      <c r="L666" s="20"/>
      <c r="M666" s="20"/>
      <c r="N666" s="20"/>
      <c r="O666" s="20"/>
      <c r="P666" s="20"/>
      <c r="Q666" s="20"/>
      <c r="R666" s="20"/>
      <c r="S666" s="188"/>
      <c r="T666" s="188"/>
      <c r="U666" s="188"/>
      <c r="V666" s="188"/>
      <c r="W666" s="20"/>
      <c r="X666" s="20"/>
      <c r="Y666" s="20"/>
      <c r="Z666" s="20"/>
      <c r="AA666" s="20"/>
      <c r="AB666" s="20"/>
    </row>
    <row r="667">
      <c r="A667" s="20"/>
      <c r="B667" s="20"/>
      <c r="C667" s="20"/>
      <c r="D667" s="20"/>
      <c r="E667" s="20"/>
      <c r="F667" s="282"/>
      <c r="G667" s="20"/>
      <c r="H667" s="20"/>
      <c r="I667" s="20"/>
      <c r="J667" s="20"/>
      <c r="K667" s="20"/>
      <c r="L667" s="20"/>
      <c r="M667" s="20"/>
      <c r="N667" s="20"/>
      <c r="O667" s="20"/>
      <c r="P667" s="20"/>
      <c r="Q667" s="20"/>
      <c r="R667" s="20"/>
      <c r="S667" s="188"/>
      <c r="T667" s="188"/>
      <c r="U667" s="188"/>
      <c r="V667" s="188"/>
      <c r="W667" s="20"/>
      <c r="X667" s="20"/>
      <c r="Y667" s="20"/>
      <c r="Z667" s="20"/>
      <c r="AA667" s="20"/>
      <c r="AB667" s="20"/>
    </row>
    <row r="668">
      <c r="A668" s="20"/>
      <c r="B668" s="20"/>
      <c r="C668" s="20"/>
      <c r="D668" s="20"/>
      <c r="E668" s="20"/>
      <c r="F668" s="282"/>
      <c r="G668" s="20"/>
      <c r="H668" s="20"/>
      <c r="I668" s="20"/>
      <c r="J668" s="20"/>
      <c r="K668" s="20"/>
      <c r="L668" s="20"/>
      <c r="M668" s="20"/>
      <c r="N668" s="20"/>
      <c r="O668" s="20"/>
      <c r="P668" s="20"/>
      <c r="Q668" s="20"/>
      <c r="R668" s="20"/>
      <c r="S668" s="188"/>
      <c r="T668" s="188"/>
      <c r="U668" s="188"/>
      <c r="V668" s="188"/>
      <c r="W668" s="20"/>
      <c r="X668" s="20"/>
      <c r="Y668" s="20"/>
      <c r="Z668" s="20"/>
      <c r="AA668" s="20"/>
      <c r="AB668" s="20"/>
    </row>
    <row r="669">
      <c r="A669" s="20"/>
      <c r="B669" s="20"/>
      <c r="C669" s="20"/>
      <c r="D669" s="20"/>
      <c r="E669" s="20"/>
      <c r="F669" s="282"/>
      <c r="G669" s="20"/>
      <c r="H669" s="20"/>
      <c r="I669" s="20"/>
      <c r="J669" s="20"/>
      <c r="K669" s="20"/>
      <c r="L669" s="20"/>
      <c r="M669" s="20"/>
      <c r="N669" s="20"/>
      <c r="O669" s="20"/>
      <c r="P669" s="20"/>
      <c r="Q669" s="20"/>
      <c r="R669" s="20"/>
      <c r="S669" s="188"/>
      <c r="T669" s="188"/>
      <c r="U669" s="188"/>
      <c r="V669" s="188"/>
      <c r="W669" s="20"/>
      <c r="X669" s="20"/>
      <c r="Y669" s="20"/>
      <c r="Z669" s="20"/>
      <c r="AA669" s="20"/>
      <c r="AB669" s="20"/>
    </row>
    <row r="670">
      <c r="A670" s="20"/>
      <c r="B670" s="20"/>
      <c r="C670" s="20"/>
      <c r="D670" s="20"/>
      <c r="E670" s="20"/>
      <c r="F670" s="282"/>
      <c r="G670" s="20"/>
      <c r="H670" s="20"/>
      <c r="I670" s="20"/>
      <c r="J670" s="20"/>
      <c r="K670" s="20"/>
      <c r="L670" s="20"/>
      <c r="M670" s="20"/>
      <c r="N670" s="20"/>
      <c r="O670" s="20"/>
      <c r="P670" s="20"/>
      <c r="Q670" s="20"/>
      <c r="R670" s="20"/>
      <c r="S670" s="188"/>
      <c r="T670" s="188"/>
      <c r="U670" s="188"/>
      <c r="V670" s="188"/>
      <c r="W670" s="20"/>
      <c r="X670" s="20"/>
      <c r="Y670" s="20"/>
      <c r="Z670" s="20"/>
      <c r="AA670" s="20"/>
      <c r="AB670" s="20"/>
    </row>
    <row r="671">
      <c r="A671" s="20"/>
      <c r="B671" s="20"/>
      <c r="C671" s="20"/>
      <c r="D671" s="20"/>
      <c r="E671" s="20"/>
      <c r="F671" s="282"/>
      <c r="G671" s="20"/>
      <c r="H671" s="20"/>
      <c r="I671" s="20"/>
      <c r="J671" s="20"/>
      <c r="K671" s="20"/>
      <c r="L671" s="20"/>
      <c r="M671" s="20"/>
      <c r="N671" s="20"/>
      <c r="O671" s="20"/>
      <c r="P671" s="20"/>
      <c r="Q671" s="20"/>
      <c r="R671" s="20"/>
      <c r="S671" s="188"/>
      <c r="T671" s="188"/>
      <c r="U671" s="188"/>
      <c r="V671" s="188"/>
      <c r="W671" s="20"/>
      <c r="X671" s="20"/>
      <c r="Y671" s="20"/>
      <c r="Z671" s="20"/>
      <c r="AA671" s="20"/>
      <c r="AB671" s="20"/>
    </row>
    <row r="672">
      <c r="A672" s="20"/>
      <c r="B672" s="20"/>
      <c r="C672" s="20"/>
      <c r="D672" s="20"/>
      <c r="E672" s="20"/>
      <c r="F672" s="282"/>
      <c r="G672" s="20"/>
      <c r="H672" s="20"/>
      <c r="I672" s="20"/>
      <c r="J672" s="20"/>
      <c r="K672" s="20"/>
      <c r="L672" s="20"/>
      <c r="M672" s="20"/>
      <c r="N672" s="20"/>
      <c r="O672" s="20"/>
      <c r="P672" s="20"/>
      <c r="Q672" s="20"/>
      <c r="R672" s="20"/>
      <c r="S672" s="188"/>
      <c r="T672" s="188"/>
      <c r="U672" s="188"/>
      <c r="V672" s="188"/>
      <c r="W672" s="20"/>
      <c r="X672" s="20"/>
      <c r="Y672" s="20"/>
      <c r="Z672" s="20"/>
      <c r="AA672" s="20"/>
      <c r="AB672" s="20"/>
    </row>
    <row r="673">
      <c r="A673" s="20"/>
      <c r="B673" s="20"/>
      <c r="C673" s="20"/>
      <c r="D673" s="20"/>
      <c r="E673" s="20"/>
      <c r="F673" s="282"/>
      <c r="G673" s="20"/>
      <c r="H673" s="20"/>
      <c r="I673" s="20"/>
      <c r="J673" s="20"/>
      <c r="K673" s="20"/>
      <c r="L673" s="20"/>
      <c r="M673" s="20"/>
      <c r="N673" s="20"/>
      <c r="O673" s="20"/>
      <c r="P673" s="20"/>
      <c r="Q673" s="20"/>
      <c r="R673" s="20"/>
      <c r="S673" s="188"/>
      <c r="T673" s="188"/>
      <c r="U673" s="188"/>
      <c r="V673" s="188"/>
      <c r="W673" s="20"/>
      <c r="X673" s="20"/>
      <c r="Y673" s="20"/>
      <c r="Z673" s="20"/>
      <c r="AA673" s="20"/>
      <c r="AB673" s="20"/>
    </row>
    <row r="674">
      <c r="A674" s="20"/>
      <c r="B674" s="20"/>
      <c r="C674" s="20"/>
      <c r="D674" s="20"/>
      <c r="E674" s="20"/>
      <c r="F674" s="282"/>
      <c r="G674" s="20"/>
      <c r="H674" s="20"/>
      <c r="I674" s="20"/>
      <c r="J674" s="20"/>
      <c r="K674" s="20"/>
      <c r="L674" s="20"/>
      <c r="M674" s="20"/>
      <c r="N674" s="20"/>
      <c r="O674" s="20"/>
      <c r="P674" s="20"/>
      <c r="Q674" s="20"/>
      <c r="R674" s="20"/>
      <c r="S674" s="188"/>
      <c r="T674" s="188"/>
      <c r="U674" s="188"/>
      <c r="V674" s="188"/>
      <c r="W674" s="20"/>
      <c r="X674" s="20"/>
      <c r="Y674" s="20"/>
      <c r="Z674" s="20"/>
      <c r="AA674" s="20"/>
      <c r="AB674" s="20"/>
    </row>
    <row r="675">
      <c r="A675" s="20"/>
      <c r="B675" s="20"/>
      <c r="C675" s="20"/>
      <c r="D675" s="20"/>
      <c r="E675" s="20"/>
      <c r="F675" s="282"/>
      <c r="G675" s="20"/>
      <c r="H675" s="20"/>
      <c r="I675" s="20"/>
      <c r="J675" s="20"/>
      <c r="K675" s="20"/>
      <c r="L675" s="20"/>
      <c r="M675" s="20"/>
      <c r="N675" s="20"/>
      <c r="O675" s="20"/>
      <c r="P675" s="20"/>
      <c r="Q675" s="20"/>
      <c r="R675" s="20"/>
      <c r="S675" s="188"/>
      <c r="T675" s="188"/>
      <c r="U675" s="188"/>
      <c r="V675" s="188"/>
      <c r="W675" s="20"/>
      <c r="X675" s="20"/>
      <c r="Y675" s="20"/>
      <c r="Z675" s="20"/>
      <c r="AA675" s="20"/>
      <c r="AB675" s="20"/>
    </row>
    <row r="676">
      <c r="A676" s="20"/>
      <c r="B676" s="20"/>
      <c r="C676" s="20"/>
      <c r="D676" s="20"/>
      <c r="E676" s="20"/>
      <c r="F676" s="282"/>
      <c r="G676" s="20"/>
      <c r="H676" s="20"/>
      <c r="I676" s="20"/>
      <c r="J676" s="20"/>
      <c r="K676" s="20"/>
      <c r="L676" s="20"/>
      <c r="M676" s="20"/>
      <c r="N676" s="20"/>
      <c r="O676" s="20"/>
      <c r="P676" s="20"/>
      <c r="Q676" s="20"/>
      <c r="R676" s="20"/>
      <c r="S676" s="188"/>
      <c r="T676" s="188"/>
      <c r="U676" s="188"/>
      <c r="V676" s="188"/>
      <c r="W676" s="20"/>
      <c r="X676" s="20"/>
      <c r="Y676" s="20"/>
      <c r="Z676" s="20"/>
      <c r="AA676" s="20"/>
      <c r="AB676" s="20"/>
    </row>
    <row r="677">
      <c r="A677" s="20"/>
      <c r="B677" s="20"/>
      <c r="C677" s="20"/>
      <c r="D677" s="20"/>
      <c r="E677" s="20"/>
      <c r="F677" s="282"/>
      <c r="G677" s="20"/>
      <c r="H677" s="20"/>
      <c r="I677" s="20"/>
      <c r="J677" s="20"/>
      <c r="K677" s="20"/>
      <c r="L677" s="20"/>
      <c r="M677" s="20"/>
      <c r="N677" s="20"/>
      <c r="O677" s="20"/>
      <c r="P677" s="20"/>
      <c r="Q677" s="20"/>
      <c r="R677" s="20"/>
      <c r="S677" s="188"/>
      <c r="T677" s="188"/>
      <c r="U677" s="188"/>
      <c r="V677" s="188"/>
      <c r="W677" s="20"/>
      <c r="X677" s="20"/>
      <c r="Y677" s="20"/>
      <c r="Z677" s="20"/>
      <c r="AA677" s="20"/>
      <c r="AB677" s="20"/>
    </row>
    <row r="678">
      <c r="A678" s="20"/>
      <c r="B678" s="20"/>
      <c r="C678" s="20"/>
      <c r="D678" s="20"/>
      <c r="E678" s="20"/>
      <c r="F678" s="282"/>
      <c r="G678" s="20"/>
      <c r="H678" s="20"/>
      <c r="I678" s="20"/>
      <c r="J678" s="20"/>
      <c r="K678" s="20"/>
      <c r="L678" s="20"/>
      <c r="M678" s="20"/>
      <c r="N678" s="20"/>
      <c r="O678" s="20"/>
      <c r="P678" s="20"/>
      <c r="Q678" s="20"/>
      <c r="R678" s="20"/>
      <c r="S678" s="188"/>
      <c r="T678" s="188"/>
      <c r="U678" s="188"/>
      <c r="V678" s="188"/>
      <c r="W678" s="20"/>
      <c r="X678" s="20"/>
      <c r="Y678" s="20"/>
      <c r="Z678" s="20"/>
      <c r="AA678" s="20"/>
      <c r="AB678" s="20"/>
    </row>
    <row r="679">
      <c r="A679" s="20"/>
      <c r="B679" s="20"/>
      <c r="C679" s="20"/>
      <c r="D679" s="20"/>
      <c r="E679" s="20"/>
      <c r="F679" s="282"/>
      <c r="G679" s="20"/>
      <c r="H679" s="20"/>
      <c r="I679" s="20"/>
      <c r="J679" s="20"/>
      <c r="K679" s="20"/>
      <c r="L679" s="20"/>
      <c r="M679" s="20"/>
      <c r="N679" s="20"/>
      <c r="O679" s="20"/>
      <c r="P679" s="20"/>
      <c r="Q679" s="20"/>
      <c r="R679" s="20"/>
      <c r="S679" s="188"/>
      <c r="T679" s="188"/>
      <c r="U679" s="188"/>
      <c r="V679" s="188"/>
      <c r="W679" s="20"/>
      <c r="X679" s="20"/>
      <c r="Y679" s="20"/>
      <c r="Z679" s="20"/>
      <c r="AA679" s="20"/>
      <c r="AB679" s="20"/>
    </row>
    <row r="680">
      <c r="A680" s="20"/>
      <c r="B680" s="20"/>
      <c r="C680" s="20"/>
      <c r="D680" s="20"/>
      <c r="E680" s="20"/>
      <c r="F680" s="282"/>
      <c r="G680" s="20"/>
      <c r="H680" s="20"/>
      <c r="I680" s="20"/>
      <c r="J680" s="20"/>
      <c r="K680" s="20"/>
      <c r="L680" s="20"/>
      <c r="M680" s="20"/>
      <c r="N680" s="20"/>
      <c r="O680" s="20"/>
      <c r="P680" s="20"/>
      <c r="Q680" s="20"/>
      <c r="R680" s="20"/>
      <c r="S680" s="188"/>
      <c r="T680" s="188"/>
      <c r="U680" s="188"/>
      <c r="V680" s="188"/>
      <c r="W680" s="20"/>
      <c r="X680" s="20"/>
      <c r="Y680" s="20"/>
      <c r="Z680" s="20"/>
      <c r="AA680" s="20"/>
      <c r="AB680" s="20"/>
    </row>
    <row r="681">
      <c r="A681" s="20"/>
      <c r="B681" s="20"/>
      <c r="C681" s="20"/>
      <c r="D681" s="20"/>
      <c r="E681" s="20"/>
      <c r="F681" s="282"/>
      <c r="G681" s="20"/>
      <c r="H681" s="20"/>
      <c r="I681" s="20"/>
      <c r="J681" s="20"/>
      <c r="K681" s="20"/>
      <c r="L681" s="20"/>
      <c r="M681" s="20"/>
      <c r="N681" s="20"/>
      <c r="O681" s="20"/>
      <c r="P681" s="20"/>
      <c r="Q681" s="20"/>
      <c r="R681" s="20"/>
      <c r="S681" s="188"/>
      <c r="T681" s="188"/>
      <c r="U681" s="188"/>
      <c r="V681" s="188"/>
      <c r="W681" s="20"/>
      <c r="X681" s="20"/>
      <c r="Y681" s="20"/>
      <c r="Z681" s="20"/>
      <c r="AA681" s="20"/>
      <c r="AB681" s="20"/>
    </row>
    <row r="682">
      <c r="A682" s="20"/>
      <c r="B682" s="20"/>
      <c r="C682" s="20"/>
      <c r="D682" s="20"/>
      <c r="E682" s="20"/>
      <c r="F682" s="282"/>
      <c r="G682" s="20"/>
      <c r="H682" s="20"/>
      <c r="I682" s="20"/>
      <c r="J682" s="20"/>
      <c r="K682" s="20"/>
      <c r="L682" s="20"/>
      <c r="M682" s="20"/>
      <c r="N682" s="20"/>
      <c r="O682" s="20"/>
      <c r="P682" s="20"/>
      <c r="Q682" s="20"/>
      <c r="R682" s="20"/>
      <c r="S682" s="188"/>
      <c r="T682" s="188"/>
      <c r="U682" s="188"/>
      <c r="V682" s="188"/>
      <c r="W682" s="20"/>
      <c r="X682" s="20"/>
      <c r="Y682" s="20"/>
      <c r="Z682" s="20"/>
      <c r="AA682" s="20"/>
      <c r="AB682" s="20"/>
    </row>
    <row r="683">
      <c r="A683" s="20"/>
      <c r="B683" s="20"/>
      <c r="C683" s="20"/>
      <c r="D683" s="20"/>
      <c r="E683" s="20"/>
      <c r="F683" s="282"/>
      <c r="G683" s="20"/>
      <c r="H683" s="20"/>
      <c r="I683" s="20"/>
      <c r="J683" s="20"/>
      <c r="K683" s="20"/>
      <c r="L683" s="20"/>
      <c r="M683" s="20"/>
      <c r="N683" s="20"/>
      <c r="O683" s="20"/>
      <c r="P683" s="20"/>
      <c r="Q683" s="20"/>
      <c r="R683" s="20"/>
      <c r="S683" s="188"/>
      <c r="T683" s="188"/>
      <c r="U683" s="188"/>
      <c r="V683" s="188"/>
      <c r="W683" s="20"/>
      <c r="X683" s="20"/>
      <c r="Y683" s="20"/>
      <c r="Z683" s="20"/>
      <c r="AA683" s="20"/>
      <c r="AB683" s="20"/>
    </row>
    <row r="684">
      <c r="A684" s="20"/>
      <c r="B684" s="20"/>
      <c r="C684" s="20"/>
      <c r="D684" s="20"/>
      <c r="E684" s="20"/>
      <c r="F684" s="282"/>
      <c r="G684" s="20"/>
      <c r="H684" s="20"/>
      <c r="I684" s="20"/>
      <c r="J684" s="20"/>
      <c r="K684" s="20"/>
      <c r="L684" s="20"/>
      <c r="M684" s="20"/>
      <c r="N684" s="20"/>
      <c r="O684" s="20"/>
      <c r="P684" s="20"/>
      <c r="Q684" s="20"/>
      <c r="R684" s="20"/>
      <c r="S684" s="188"/>
      <c r="T684" s="188"/>
      <c r="U684" s="188"/>
      <c r="V684" s="188"/>
      <c r="W684" s="20"/>
      <c r="X684" s="20"/>
      <c r="Y684" s="20"/>
      <c r="Z684" s="20"/>
      <c r="AA684" s="20"/>
      <c r="AB684" s="20"/>
    </row>
    <row r="685">
      <c r="A685" s="20"/>
      <c r="B685" s="20"/>
      <c r="C685" s="20"/>
      <c r="D685" s="20"/>
      <c r="E685" s="20"/>
      <c r="F685" s="282"/>
      <c r="G685" s="20"/>
      <c r="H685" s="20"/>
      <c r="I685" s="20"/>
      <c r="J685" s="20"/>
      <c r="K685" s="20"/>
      <c r="L685" s="20"/>
      <c r="M685" s="20"/>
      <c r="N685" s="20"/>
      <c r="O685" s="20"/>
      <c r="P685" s="20"/>
      <c r="Q685" s="20"/>
      <c r="R685" s="20"/>
      <c r="S685" s="188"/>
      <c r="T685" s="188"/>
      <c r="U685" s="188"/>
      <c r="V685" s="188"/>
      <c r="W685" s="20"/>
      <c r="X685" s="20"/>
      <c r="Y685" s="20"/>
      <c r="Z685" s="20"/>
      <c r="AA685" s="20"/>
      <c r="AB685" s="20"/>
    </row>
    <row r="686">
      <c r="A686" s="20"/>
      <c r="B686" s="20"/>
      <c r="C686" s="20"/>
      <c r="D686" s="20"/>
      <c r="E686" s="20"/>
      <c r="F686" s="282"/>
      <c r="G686" s="20"/>
      <c r="H686" s="20"/>
      <c r="I686" s="20"/>
      <c r="J686" s="20"/>
      <c r="K686" s="20"/>
      <c r="L686" s="20"/>
      <c r="M686" s="20"/>
      <c r="N686" s="20"/>
      <c r="O686" s="20"/>
      <c r="P686" s="20"/>
      <c r="Q686" s="20"/>
      <c r="R686" s="20"/>
      <c r="S686" s="188"/>
      <c r="T686" s="188"/>
      <c r="U686" s="188"/>
      <c r="V686" s="188"/>
      <c r="W686" s="20"/>
      <c r="X686" s="20"/>
      <c r="Y686" s="20"/>
      <c r="Z686" s="20"/>
      <c r="AA686" s="20"/>
      <c r="AB686" s="20"/>
    </row>
    <row r="687">
      <c r="A687" s="20"/>
      <c r="B687" s="20"/>
      <c r="C687" s="20"/>
      <c r="D687" s="20"/>
      <c r="E687" s="20"/>
      <c r="F687" s="282"/>
      <c r="G687" s="20"/>
      <c r="H687" s="20"/>
      <c r="I687" s="20"/>
      <c r="J687" s="20"/>
      <c r="K687" s="20"/>
      <c r="L687" s="20"/>
      <c r="M687" s="20"/>
      <c r="N687" s="20"/>
      <c r="O687" s="20"/>
      <c r="P687" s="20"/>
      <c r="Q687" s="20"/>
      <c r="R687" s="20"/>
      <c r="S687" s="188"/>
      <c r="T687" s="188"/>
      <c r="U687" s="188"/>
      <c r="V687" s="188"/>
      <c r="W687" s="20"/>
      <c r="X687" s="20"/>
      <c r="Y687" s="20"/>
      <c r="Z687" s="20"/>
      <c r="AA687" s="20"/>
      <c r="AB687" s="20"/>
    </row>
    <row r="688">
      <c r="A688" s="20"/>
      <c r="B688" s="20"/>
      <c r="C688" s="20"/>
      <c r="D688" s="20"/>
      <c r="E688" s="20"/>
      <c r="F688" s="282"/>
      <c r="G688" s="20"/>
      <c r="H688" s="20"/>
      <c r="I688" s="20"/>
      <c r="J688" s="20"/>
      <c r="K688" s="20"/>
      <c r="L688" s="20"/>
      <c r="M688" s="20"/>
      <c r="N688" s="20"/>
      <c r="O688" s="20"/>
      <c r="P688" s="20"/>
      <c r="Q688" s="20"/>
      <c r="R688" s="20"/>
      <c r="S688" s="188"/>
      <c r="T688" s="188"/>
      <c r="U688" s="188"/>
      <c r="V688" s="188"/>
      <c r="W688" s="20"/>
      <c r="X688" s="20"/>
      <c r="Y688" s="20"/>
      <c r="Z688" s="20"/>
      <c r="AA688" s="20"/>
      <c r="AB688" s="20"/>
    </row>
    <row r="689">
      <c r="A689" s="20"/>
      <c r="B689" s="20"/>
      <c r="C689" s="20"/>
      <c r="D689" s="20"/>
      <c r="E689" s="20"/>
      <c r="F689" s="282"/>
      <c r="G689" s="20"/>
      <c r="H689" s="20"/>
      <c r="I689" s="20"/>
      <c r="J689" s="20"/>
      <c r="K689" s="20"/>
      <c r="L689" s="20"/>
      <c r="M689" s="20"/>
      <c r="N689" s="20"/>
      <c r="O689" s="20"/>
      <c r="P689" s="20"/>
      <c r="Q689" s="20"/>
      <c r="R689" s="20"/>
      <c r="S689" s="188"/>
      <c r="T689" s="188"/>
      <c r="U689" s="188"/>
      <c r="V689" s="188"/>
      <c r="W689" s="20"/>
      <c r="X689" s="20"/>
      <c r="Y689" s="20"/>
      <c r="Z689" s="20"/>
      <c r="AA689" s="20"/>
      <c r="AB689" s="20"/>
    </row>
    <row r="690">
      <c r="A690" s="20"/>
      <c r="B690" s="20"/>
      <c r="C690" s="20"/>
      <c r="D690" s="20"/>
      <c r="E690" s="20"/>
      <c r="F690" s="282"/>
      <c r="G690" s="20"/>
      <c r="H690" s="20"/>
      <c r="I690" s="20"/>
      <c r="J690" s="20"/>
      <c r="K690" s="20"/>
      <c r="L690" s="20"/>
      <c r="M690" s="20"/>
      <c r="N690" s="20"/>
      <c r="O690" s="20"/>
      <c r="P690" s="20"/>
      <c r="Q690" s="20"/>
      <c r="R690" s="20"/>
      <c r="S690" s="188"/>
      <c r="T690" s="188"/>
      <c r="U690" s="188"/>
      <c r="V690" s="188"/>
      <c r="W690" s="20"/>
      <c r="X690" s="20"/>
      <c r="Y690" s="20"/>
      <c r="Z690" s="20"/>
      <c r="AA690" s="20"/>
      <c r="AB690" s="20"/>
    </row>
    <row r="691">
      <c r="A691" s="20"/>
      <c r="B691" s="20"/>
      <c r="C691" s="20"/>
      <c r="D691" s="20"/>
      <c r="E691" s="20"/>
      <c r="F691" s="282"/>
      <c r="G691" s="20"/>
      <c r="H691" s="20"/>
      <c r="I691" s="20"/>
      <c r="J691" s="20"/>
      <c r="K691" s="20"/>
      <c r="L691" s="20"/>
      <c r="M691" s="20"/>
      <c r="N691" s="20"/>
      <c r="O691" s="20"/>
      <c r="P691" s="20"/>
      <c r="Q691" s="20"/>
      <c r="R691" s="20"/>
      <c r="S691" s="188"/>
      <c r="T691" s="188"/>
      <c r="U691" s="188"/>
      <c r="V691" s="188"/>
      <c r="W691" s="20"/>
      <c r="X691" s="20"/>
      <c r="Y691" s="20"/>
      <c r="Z691" s="20"/>
      <c r="AA691" s="20"/>
      <c r="AB691" s="20"/>
    </row>
    <row r="692">
      <c r="A692" s="20"/>
      <c r="B692" s="20"/>
      <c r="C692" s="20"/>
      <c r="D692" s="20"/>
      <c r="E692" s="20"/>
      <c r="F692" s="282"/>
      <c r="G692" s="20"/>
      <c r="H692" s="20"/>
      <c r="I692" s="20"/>
      <c r="J692" s="20"/>
      <c r="K692" s="20"/>
      <c r="L692" s="20"/>
      <c r="M692" s="20"/>
      <c r="N692" s="20"/>
      <c r="O692" s="20"/>
      <c r="P692" s="20"/>
      <c r="Q692" s="20"/>
      <c r="R692" s="20"/>
      <c r="S692" s="188"/>
      <c r="T692" s="188"/>
      <c r="U692" s="188"/>
      <c r="V692" s="188"/>
      <c r="W692" s="20"/>
      <c r="X692" s="20"/>
      <c r="Y692" s="20"/>
      <c r="Z692" s="20"/>
      <c r="AA692" s="20"/>
      <c r="AB692" s="20"/>
    </row>
    <row r="693">
      <c r="A693" s="20"/>
      <c r="B693" s="20"/>
      <c r="C693" s="20"/>
      <c r="D693" s="20"/>
      <c r="E693" s="20"/>
      <c r="F693" s="282"/>
      <c r="G693" s="20"/>
      <c r="H693" s="20"/>
      <c r="I693" s="20"/>
      <c r="J693" s="20"/>
      <c r="K693" s="20"/>
      <c r="L693" s="20"/>
      <c r="M693" s="20"/>
      <c r="N693" s="20"/>
      <c r="O693" s="20"/>
      <c r="P693" s="20"/>
      <c r="Q693" s="20"/>
      <c r="R693" s="20"/>
      <c r="S693" s="188"/>
      <c r="T693" s="188"/>
      <c r="U693" s="188"/>
      <c r="V693" s="188"/>
      <c r="W693" s="20"/>
      <c r="X693" s="20"/>
      <c r="Y693" s="20"/>
      <c r="Z693" s="20"/>
      <c r="AA693" s="20"/>
      <c r="AB693" s="20"/>
    </row>
    <row r="694">
      <c r="A694" s="20"/>
      <c r="B694" s="20"/>
      <c r="C694" s="20"/>
      <c r="D694" s="20"/>
      <c r="E694" s="20"/>
      <c r="F694" s="282"/>
      <c r="G694" s="20"/>
      <c r="H694" s="20"/>
      <c r="I694" s="20"/>
      <c r="J694" s="20"/>
      <c r="K694" s="20"/>
      <c r="L694" s="20"/>
      <c r="M694" s="20"/>
      <c r="N694" s="20"/>
      <c r="O694" s="20"/>
      <c r="P694" s="20"/>
      <c r="Q694" s="20"/>
      <c r="R694" s="20"/>
      <c r="S694" s="188"/>
      <c r="T694" s="188"/>
      <c r="U694" s="188"/>
      <c r="V694" s="188"/>
      <c r="W694" s="20"/>
      <c r="X694" s="20"/>
      <c r="Y694" s="20"/>
      <c r="Z694" s="20"/>
      <c r="AA694" s="20"/>
      <c r="AB694" s="20"/>
    </row>
    <row r="695">
      <c r="A695" s="20"/>
      <c r="B695" s="20"/>
      <c r="C695" s="20"/>
      <c r="D695" s="20"/>
      <c r="E695" s="20"/>
      <c r="F695" s="282"/>
      <c r="G695" s="20"/>
      <c r="H695" s="20"/>
      <c r="I695" s="20"/>
      <c r="J695" s="20"/>
      <c r="K695" s="20"/>
      <c r="L695" s="20"/>
      <c r="M695" s="20"/>
      <c r="N695" s="20"/>
      <c r="O695" s="20"/>
      <c r="P695" s="20"/>
      <c r="Q695" s="20"/>
      <c r="R695" s="20"/>
      <c r="S695" s="188"/>
      <c r="T695" s="188"/>
      <c r="U695" s="188"/>
      <c r="V695" s="188"/>
      <c r="W695" s="20"/>
      <c r="X695" s="20"/>
      <c r="Y695" s="20"/>
      <c r="Z695" s="20"/>
      <c r="AA695" s="20"/>
      <c r="AB695" s="20"/>
    </row>
    <row r="696">
      <c r="A696" s="20"/>
      <c r="B696" s="20"/>
      <c r="C696" s="20"/>
      <c r="D696" s="20"/>
      <c r="E696" s="20"/>
      <c r="F696" s="282"/>
      <c r="G696" s="20"/>
      <c r="H696" s="20"/>
      <c r="I696" s="20"/>
      <c r="J696" s="20"/>
      <c r="K696" s="20"/>
      <c r="L696" s="20"/>
      <c r="M696" s="20"/>
      <c r="N696" s="20"/>
      <c r="O696" s="20"/>
      <c r="P696" s="20"/>
      <c r="Q696" s="20"/>
      <c r="R696" s="20"/>
      <c r="S696" s="188"/>
      <c r="T696" s="188"/>
      <c r="U696" s="188"/>
      <c r="V696" s="188"/>
      <c r="W696" s="20"/>
      <c r="X696" s="20"/>
      <c r="Y696" s="20"/>
      <c r="Z696" s="20"/>
      <c r="AA696" s="20"/>
      <c r="AB696" s="20"/>
    </row>
    <row r="697">
      <c r="A697" s="20"/>
      <c r="B697" s="20"/>
      <c r="C697" s="20"/>
      <c r="D697" s="20"/>
      <c r="E697" s="20"/>
      <c r="F697" s="282"/>
      <c r="G697" s="20"/>
      <c r="H697" s="20"/>
      <c r="I697" s="20"/>
      <c r="J697" s="20"/>
      <c r="K697" s="20"/>
      <c r="L697" s="20"/>
      <c r="M697" s="20"/>
      <c r="N697" s="20"/>
      <c r="O697" s="20"/>
      <c r="P697" s="20"/>
      <c r="Q697" s="20"/>
      <c r="R697" s="20"/>
      <c r="S697" s="188"/>
      <c r="T697" s="188"/>
      <c r="U697" s="188"/>
      <c r="V697" s="188"/>
      <c r="W697" s="20"/>
      <c r="X697" s="20"/>
      <c r="Y697" s="20"/>
      <c r="Z697" s="20"/>
      <c r="AA697" s="20"/>
      <c r="AB697" s="20"/>
    </row>
    <row r="698">
      <c r="A698" s="20"/>
      <c r="B698" s="20"/>
      <c r="C698" s="20"/>
      <c r="D698" s="20"/>
      <c r="E698" s="20"/>
      <c r="F698" s="282"/>
      <c r="G698" s="20"/>
      <c r="H698" s="20"/>
      <c r="I698" s="20"/>
      <c r="J698" s="20"/>
      <c r="K698" s="20"/>
      <c r="L698" s="20"/>
      <c r="M698" s="20"/>
      <c r="N698" s="20"/>
      <c r="O698" s="20"/>
      <c r="P698" s="20"/>
      <c r="Q698" s="20"/>
      <c r="R698" s="20"/>
      <c r="S698" s="188"/>
      <c r="T698" s="188"/>
      <c r="U698" s="188"/>
      <c r="V698" s="188"/>
      <c r="W698" s="20"/>
      <c r="X698" s="20"/>
      <c r="Y698" s="20"/>
      <c r="Z698" s="20"/>
      <c r="AA698" s="20"/>
      <c r="AB698" s="20"/>
    </row>
    <row r="699">
      <c r="A699" s="20"/>
      <c r="B699" s="20"/>
      <c r="C699" s="20"/>
      <c r="D699" s="20"/>
      <c r="E699" s="20"/>
      <c r="F699" s="282"/>
      <c r="G699" s="20"/>
      <c r="H699" s="20"/>
      <c r="I699" s="20"/>
      <c r="J699" s="20"/>
      <c r="K699" s="20"/>
      <c r="L699" s="20"/>
      <c r="M699" s="20"/>
      <c r="N699" s="20"/>
      <c r="O699" s="20"/>
      <c r="P699" s="20"/>
      <c r="Q699" s="20"/>
      <c r="R699" s="20"/>
      <c r="S699" s="188"/>
      <c r="T699" s="188"/>
      <c r="U699" s="188"/>
      <c r="V699" s="188"/>
      <c r="W699" s="20"/>
      <c r="X699" s="20"/>
      <c r="Y699" s="20"/>
      <c r="Z699" s="20"/>
      <c r="AA699" s="20"/>
      <c r="AB699" s="20"/>
    </row>
    <row r="700">
      <c r="A700" s="20"/>
      <c r="B700" s="20"/>
      <c r="C700" s="20"/>
      <c r="D700" s="20"/>
      <c r="E700" s="20"/>
      <c r="F700" s="282"/>
      <c r="G700" s="20"/>
      <c r="H700" s="20"/>
      <c r="I700" s="20"/>
      <c r="J700" s="20"/>
      <c r="K700" s="20"/>
      <c r="L700" s="20"/>
      <c r="M700" s="20"/>
      <c r="N700" s="20"/>
      <c r="O700" s="20"/>
      <c r="P700" s="20"/>
      <c r="Q700" s="20"/>
      <c r="R700" s="20"/>
      <c r="S700" s="188"/>
      <c r="T700" s="188"/>
      <c r="U700" s="188"/>
      <c r="V700" s="188"/>
      <c r="W700" s="20"/>
      <c r="X700" s="20"/>
      <c r="Y700" s="20"/>
      <c r="Z700" s="20"/>
      <c r="AA700" s="20"/>
      <c r="AB700" s="20"/>
    </row>
    <row r="701">
      <c r="A701" s="20"/>
      <c r="B701" s="20"/>
      <c r="C701" s="20"/>
      <c r="D701" s="20"/>
      <c r="E701" s="20"/>
      <c r="F701" s="282"/>
      <c r="G701" s="20"/>
      <c r="H701" s="20"/>
      <c r="I701" s="20"/>
      <c r="J701" s="20"/>
      <c r="K701" s="20"/>
      <c r="L701" s="20"/>
      <c r="M701" s="20"/>
      <c r="N701" s="20"/>
      <c r="O701" s="20"/>
      <c r="P701" s="20"/>
      <c r="Q701" s="20"/>
      <c r="R701" s="20"/>
      <c r="S701" s="188"/>
      <c r="T701" s="188"/>
      <c r="U701" s="188"/>
      <c r="V701" s="188"/>
      <c r="W701" s="20"/>
      <c r="X701" s="20"/>
      <c r="Y701" s="20"/>
      <c r="Z701" s="20"/>
      <c r="AA701" s="20"/>
      <c r="AB701" s="20"/>
    </row>
    <row r="702">
      <c r="A702" s="20"/>
      <c r="B702" s="20"/>
      <c r="C702" s="20"/>
      <c r="D702" s="20"/>
      <c r="E702" s="20"/>
      <c r="F702" s="282"/>
      <c r="G702" s="20"/>
      <c r="H702" s="20"/>
      <c r="I702" s="20"/>
      <c r="J702" s="20"/>
      <c r="K702" s="20"/>
      <c r="L702" s="20"/>
      <c r="M702" s="20"/>
      <c r="N702" s="20"/>
      <c r="O702" s="20"/>
      <c r="P702" s="20"/>
      <c r="Q702" s="20"/>
      <c r="R702" s="20"/>
      <c r="S702" s="188"/>
      <c r="T702" s="188"/>
      <c r="U702" s="188"/>
      <c r="V702" s="188"/>
      <c r="W702" s="20"/>
      <c r="X702" s="20"/>
      <c r="Y702" s="20"/>
      <c r="Z702" s="20"/>
      <c r="AA702" s="20"/>
      <c r="AB702" s="20"/>
    </row>
    <row r="703">
      <c r="A703" s="20"/>
      <c r="B703" s="20"/>
      <c r="C703" s="20"/>
      <c r="D703" s="20"/>
      <c r="E703" s="20"/>
      <c r="F703" s="282"/>
      <c r="G703" s="20"/>
      <c r="H703" s="20"/>
      <c r="I703" s="20"/>
      <c r="J703" s="20"/>
      <c r="K703" s="20"/>
      <c r="L703" s="20"/>
      <c r="M703" s="20"/>
      <c r="N703" s="20"/>
      <c r="O703" s="20"/>
      <c r="P703" s="20"/>
      <c r="Q703" s="20"/>
      <c r="R703" s="20"/>
      <c r="S703" s="188"/>
      <c r="T703" s="188"/>
      <c r="U703" s="188"/>
      <c r="V703" s="188"/>
      <c r="W703" s="20"/>
      <c r="X703" s="20"/>
      <c r="Y703" s="20"/>
      <c r="Z703" s="20"/>
      <c r="AA703" s="20"/>
      <c r="AB703" s="20"/>
    </row>
    <row r="704">
      <c r="A704" s="20"/>
      <c r="B704" s="20"/>
      <c r="C704" s="20"/>
      <c r="D704" s="20"/>
      <c r="E704" s="20"/>
      <c r="F704" s="282"/>
      <c r="G704" s="20"/>
      <c r="H704" s="20"/>
      <c r="I704" s="20"/>
      <c r="J704" s="20"/>
      <c r="K704" s="20"/>
      <c r="L704" s="20"/>
      <c r="M704" s="20"/>
      <c r="N704" s="20"/>
      <c r="O704" s="20"/>
      <c r="P704" s="20"/>
      <c r="Q704" s="20"/>
      <c r="R704" s="20"/>
      <c r="S704" s="188"/>
      <c r="T704" s="188"/>
      <c r="U704" s="188"/>
      <c r="V704" s="188"/>
      <c r="W704" s="20"/>
      <c r="X704" s="20"/>
      <c r="Y704" s="20"/>
      <c r="Z704" s="20"/>
      <c r="AA704" s="20"/>
      <c r="AB704" s="20"/>
    </row>
    <row r="705">
      <c r="A705" s="20"/>
      <c r="B705" s="20"/>
      <c r="C705" s="20"/>
      <c r="D705" s="20"/>
      <c r="E705" s="20"/>
      <c r="F705" s="282"/>
      <c r="G705" s="20"/>
      <c r="H705" s="20"/>
      <c r="I705" s="20"/>
      <c r="J705" s="20"/>
      <c r="K705" s="20"/>
      <c r="L705" s="20"/>
      <c r="M705" s="20"/>
      <c r="N705" s="20"/>
      <c r="O705" s="20"/>
      <c r="P705" s="20"/>
      <c r="Q705" s="20"/>
      <c r="R705" s="20"/>
      <c r="S705" s="188"/>
      <c r="T705" s="188"/>
      <c r="U705" s="188"/>
      <c r="V705" s="188"/>
      <c r="W705" s="20"/>
      <c r="X705" s="20"/>
      <c r="Y705" s="20"/>
      <c r="Z705" s="20"/>
      <c r="AA705" s="20"/>
      <c r="AB705" s="20"/>
    </row>
    <row r="706">
      <c r="A706" s="20"/>
      <c r="B706" s="20"/>
      <c r="C706" s="20"/>
      <c r="D706" s="20"/>
      <c r="E706" s="20"/>
      <c r="F706" s="282"/>
      <c r="G706" s="20"/>
      <c r="H706" s="20"/>
      <c r="I706" s="20"/>
      <c r="J706" s="20"/>
      <c r="K706" s="20"/>
      <c r="L706" s="20"/>
      <c r="M706" s="20"/>
      <c r="N706" s="20"/>
      <c r="O706" s="20"/>
      <c r="P706" s="20"/>
      <c r="Q706" s="20"/>
      <c r="R706" s="20"/>
      <c r="S706" s="188"/>
      <c r="T706" s="188"/>
      <c r="U706" s="188"/>
      <c r="V706" s="188"/>
      <c r="W706" s="20"/>
      <c r="X706" s="20"/>
      <c r="Y706" s="20"/>
      <c r="Z706" s="20"/>
      <c r="AA706" s="20"/>
      <c r="AB706" s="20"/>
    </row>
    <row r="707">
      <c r="A707" s="20"/>
      <c r="B707" s="20"/>
      <c r="C707" s="20"/>
      <c r="D707" s="20"/>
      <c r="E707" s="20"/>
      <c r="F707" s="282"/>
      <c r="G707" s="20"/>
      <c r="H707" s="20"/>
      <c r="I707" s="20"/>
      <c r="J707" s="20"/>
      <c r="K707" s="20"/>
      <c r="L707" s="20"/>
      <c r="M707" s="20"/>
      <c r="N707" s="20"/>
      <c r="O707" s="20"/>
      <c r="P707" s="20"/>
      <c r="Q707" s="20"/>
      <c r="R707" s="20"/>
      <c r="S707" s="188"/>
      <c r="T707" s="188"/>
      <c r="U707" s="188"/>
      <c r="V707" s="188"/>
      <c r="W707" s="20"/>
      <c r="X707" s="20"/>
      <c r="Y707" s="20"/>
      <c r="Z707" s="20"/>
      <c r="AA707" s="20"/>
      <c r="AB707" s="20"/>
    </row>
    <row r="708">
      <c r="A708" s="20"/>
      <c r="B708" s="20"/>
      <c r="C708" s="20"/>
      <c r="D708" s="20"/>
      <c r="E708" s="20"/>
      <c r="F708" s="282"/>
      <c r="G708" s="20"/>
      <c r="H708" s="20"/>
      <c r="I708" s="20"/>
      <c r="J708" s="20"/>
      <c r="K708" s="20"/>
      <c r="L708" s="20"/>
      <c r="M708" s="20"/>
      <c r="N708" s="20"/>
      <c r="O708" s="20"/>
      <c r="P708" s="20"/>
      <c r="Q708" s="20"/>
      <c r="R708" s="20"/>
      <c r="S708" s="188"/>
      <c r="T708" s="188"/>
      <c r="U708" s="188"/>
      <c r="V708" s="188"/>
      <c r="W708" s="20"/>
      <c r="X708" s="20"/>
      <c r="Y708" s="20"/>
      <c r="Z708" s="20"/>
      <c r="AA708" s="20"/>
      <c r="AB708" s="20"/>
    </row>
    <row r="709">
      <c r="A709" s="20"/>
      <c r="B709" s="20"/>
      <c r="C709" s="20"/>
      <c r="D709" s="20"/>
      <c r="E709" s="20"/>
      <c r="F709" s="282"/>
      <c r="G709" s="20"/>
      <c r="H709" s="20"/>
      <c r="I709" s="20"/>
      <c r="J709" s="20"/>
      <c r="K709" s="20"/>
      <c r="L709" s="20"/>
      <c r="M709" s="20"/>
      <c r="N709" s="20"/>
      <c r="O709" s="20"/>
      <c r="P709" s="20"/>
      <c r="Q709" s="20"/>
      <c r="R709" s="20"/>
      <c r="S709" s="188"/>
      <c r="T709" s="188"/>
      <c r="U709" s="188"/>
      <c r="V709" s="188"/>
      <c r="W709" s="20"/>
      <c r="X709" s="20"/>
      <c r="Y709" s="20"/>
      <c r="Z709" s="20"/>
      <c r="AA709" s="20"/>
      <c r="AB709" s="20"/>
    </row>
    <row r="710">
      <c r="A710" s="20"/>
      <c r="B710" s="20"/>
      <c r="C710" s="20"/>
      <c r="D710" s="20"/>
      <c r="E710" s="20"/>
      <c r="F710" s="282"/>
      <c r="G710" s="20"/>
      <c r="H710" s="20"/>
      <c r="I710" s="20"/>
      <c r="J710" s="20"/>
      <c r="K710" s="20"/>
      <c r="L710" s="20"/>
      <c r="M710" s="20"/>
      <c r="N710" s="20"/>
      <c r="O710" s="20"/>
      <c r="P710" s="20"/>
      <c r="Q710" s="20"/>
      <c r="R710" s="20"/>
      <c r="S710" s="188"/>
      <c r="T710" s="188"/>
      <c r="U710" s="188"/>
      <c r="V710" s="188"/>
      <c r="W710" s="20"/>
      <c r="X710" s="20"/>
      <c r="Y710" s="20"/>
      <c r="Z710" s="20"/>
      <c r="AA710" s="20"/>
      <c r="AB710" s="20"/>
    </row>
    <row r="711">
      <c r="A711" s="20"/>
      <c r="B711" s="20"/>
      <c r="C711" s="20"/>
      <c r="D711" s="20"/>
      <c r="E711" s="20"/>
      <c r="F711" s="282"/>
      <c r="G711" s="20"/>
      <c r="H711" s="20"/>
      <c r="I711" s="20"/>
      <c r="J711" s="20"/>
      <c r="K711" s="20"/>
      <c r="L711" s="20"/>
      <c r="M711" s="20"/>
      <c r="N711" s="20"/>
      <c r="O711" s="20"/>
      <c r="P711" s="20"/>
      <c r="Q711" s="20"/>
      <c r="R711" s="20"/>
      <c r="S711" s="188"/>
      <c r="T711" s="188"/>
      <c r="U711" s="188"/>
      <c r="V711" s="188"/>
      <c r="W711" s="20"/>
      <c r="X711" s="20"/>
      <c r="Y711" s="20"/>
      <c r="Z711" s="20"/>
      <c r="AA711" s="20"/>
      <c r="AB711" s="20"/>
    </row>
    <row r="712">
      <c r="A712" s="20"/>
      <c r="B712" s="20"/>
      <c r="C712" s="20"/>
      <c r="D712" s="20"/>
      <c r="E712" s="20"/>
      <c r="F712" s="282"/>
      <c r="G712" s="20"/>
      <c r="H712" s="20"/>
      <c r="I712" s="20"/>
      <c r="J712" s="20"/>
      <c r="K712" s="20"/>
      <c r="L712" s="20"/>
      <c r="M712" s="20"/>
      <c r="N712" s="20"/>
      <c r="O712" s="20"/>
      <c r="P712" s="20"/>
      <c r="Q712" s="20"/>
      <c r="R712" s="20"/>
      <c r="S712" s="188"/>
      <c r="T712" s="188"/>
      <c r="U712" s="188"/>
      <c r="V712" s="188"/>
      <c r="W712" s="20"/>
      <c r="X712" s="20"/>
      <c r="Y712" s="20"/>
      <c r="Z712" s="20"/>
      <c r="AA712" s="20"/>
      <c r="AB712" s="20"/>
    </row>
    <row r="713">
      <c r="A713" s="20"/>
      <c r="B713" s="20"/>
      <c r="C713" s="20"/>
      <c r="D713" s="20"/>
      <c r="E713" s="20"/>
      <c r="F713" s="282"/>
      <c r="G713" s="20"/>
      <c r="H713" s="20"/>
      <c r="I713" s="20"/>
      <c r="J713" s="20"/>
      <c r="K713" s="20"/>
      <c r="L713" s="20"/>
      <c r="M713" s="20"/>
      <c r="N713" s="20"/>
      <c r="O713" s="20"/>
      <c r="P713" s="20"/>
      <c r="Q713" s="20"/>
      <c r="R713" s="20"/>
      <c r="S713" s="188"/>
      <c r="T713" s="188"/>
      <c r="U713" s="188"/>
      <c r="V713" s="188"/>
      <c r="W713" s="20"/>
      <c r="X713" s="20"/>
      <c r="Y713" s="20"/>
      <c r="Z713" s="20"/>
      <c r="AA713" s="20"/>
      <c r="AB713" s="20"/>
    </row>
    <row r="714">
      <c r="A714" s="20"/>
      <c r="B714" s="20"/>
      <c r="C714" s="20"/>
      <c r="D714" s="20"/>
      <c r="E714" s="20"/>
      <c r="F714" s="282"/>
      <c r="G714" s="20"/>
      <c r="H714" s="20"/>
      <c r="I714" s="20"/>
      <c r="J714" s="20"/>
      <c r="K714" s="20"/>
      <c r="L714" s="20"/>
      <c r="M714" s="20"/>
      <c r="N714" s="20"/>
      <c r="O714" s="20"/>
      <c r="P714" s="20"/>
      <c r="Q714" s="20"/>
      <c r="R714" s="20"/>
      <c r="S714" s="188"/>
      <c r="T714" s="188"/>
      <c r="U714" s="188"/>
      <c r="V714" s="188"/>
      <c r="W714" s="20"/>
      <c r="X714" s="20"/>
      <c r="Y714" s="20"/>
      <c r="Z714" s="20"/>
      <c r="AA714" s="20"/>
      <c r="AB714" s="20"/>
    </row>
    <row r="715">
      <c r="A715" s="20"/>
      <c r="B715" s="20"/>
      <c r="C715" s="20"/>
      <c r="D715" s="20"/>
      <c r="E715" s="20"/>
      <c r="F715" s="282"/>
      <c r="G715" s="20"/>
      <c r="H715" s="20"/>
      <c r="I715" s="20"/>
      <c r="J715" s="20"/>
      <c r="K715" s="20"/>
      <c r="L715" s="20"/>
      <c r="M715" s="20"/>
      <c r="N715" s="20"/>
      <c r="O715" s="20"/>
      <c r="P715" s="20"/>
      <c r="Q715" s="20"/>
      <c r="R715" s="20"/>
      <c r="S715" s="188"/>
      <c r="T715" s="188"/>
      <c r="U715" s="188"/>
      <c r="V715" s="188"/>
      <c r="W715" s="20"/>
      <c r="X715" s="20"/>
      <c r="Y715" s="20"/>
      <c r="Z715" s="20"/>
      <c r="AA715" s="20"/>
      <c r="AB715" s="20"/>
    </row>
    <row r="716">
      <c r="A716" s="20"/>
      <c r="B716" s="20"/>
      <c r="C716" s="20"/>
      <c r="D716" s="20"/>
      <c r="E716" s="20"/>
      <c r="F716" s="282"/>
      <c r="G716" s="20"/>
      <c r="H716" s="20"/>
      <c r="I716" s="20"/>
      <c r="J716" s="20"/>
      <c r="K716" s="20"/>
      <c r="L716" s="20"/>
      <c r="M716" s="20"/>
      <c r="N716" s="20"/>
      <c r="O716" s="20"/>
      <c r="P716" s="20"/>
      <c r="Q716" s="20"/>
      <c r="R716" s="20"/>
      <c r="S716" s="188"/>
      <c r="T716" s="188"/>
      <c r="U716" s="188"/>
      <c r="V716" s="188"/>
      <c r="W716" s="20"/>
      <c r="X716" s="20"/>
      <c r="Y716" s="20"/>
      <c r="Z716" s="20"/>
      <c r="AA716" s="20"/>
      <c r="AB716" s="20"/>
    </row>
    <row r="717">
      <c r="A717" s="20"/>
      <c r="B717" s="20"/>
      <c r="C717" s="20"/>
      <c r="D717" s="20"/>
      <c r="E717" s="20"/>
      <c r="F717" s="282"/>
      <c r="G717" s="20"/>
      <c r="H717" s="20"/>
      <c r="I717" s="20"/>
      <c r="J717" s="20"/>
      <c r="K717" s="20"/>
      <c r="L717" s="20"/>
      <c r="M717" s="20"/>
      <c r="N717" s="20"/>
      <c r="O717" s="20"/>
      <c r="P717" s="20"/>
      <c r="Q717" s="20"/>
      <c r="R717" s="20"/>
      <c r="S717" s="188"/>
      <c r="T717" s="188"/>
      <c r="U717" s="188"/>
      <c r="V717" s="188"/>
      <c r="W717" s="20"/>
      <c r="X717" s="20"/>
      <c r="Y717" s="20"/>
      <c r="Z717" s="20"/>
      <c r="AA717" s="20"/>
      <c r="AB717" s="20"/>
    </row>
    <row r="718">
      <c r="A718" s="20"/>
      <c r="B718" s="20"/>
      <c r="C718" s="20"/>
      <c r="D718" s="20"/>
      <c r="E718" s="20"/>
      <c r="F718" s="282"/>
      <c r="G718" s="20"/>
      <c r="H718" s="20"/>
      <c r="I718" s="20"/>
      <c r="J718" s="20"/>
      <c r="K718" s="20"/>
      <c r="L718" s="20"/>
      <c r="M718" s="20"/>
      <c r="N718" s="20"/>
      <c r="O718" s="20"/>
      <c r="P718" s="20"/>
      <c r="Q718" s="20"/>
      <c r="R718" s="20"/>
      <c r="S718" s="188"/>
      <c r="T718" s="188"/>
      <c r="U718" s="188"/>
      <c r="V718" s="188"/>
      <c r="W718" s="20"/>
      <c r="X718" s="20"/>
      <c r="Y718" s="20"/>
      <c r="Z718" s="20"/>
      <c r="AA718" s="20"/>
      <c r="AB718" s="20"/>
    </row>
    <row r="719">
      <c r="A719" s="20"/>
      <c r="B719" s="20"/>
      <c r="C719" s="20"/>
      <c r="D719" s="20"/>
      <c r="E719" s="20"/>
      <c r="F719" s="282"/>
      <c r="G719" s="20"/>
      <c r="H719" s="20"/>
      <c r="I719" s="20"/>
      <c r="J719" s="20"/>
      <c r="K719" s="20"/>
      <c r="L719" s="20"/>
      <c r="M719" s="20"/>
      <c r="N719" s="20"/>
      <c r="O719" s="20"/>
      <c r="P719" s="20"/>
      <c r="Q719" s="20"/>
      <c r="R719" s="20"/>
      <c r="S719" s="188"/>
      <c r="T719" s="188"/>
      <c r="U719" s="188"/>
      <c r="V719" s="188"/>
      <c r="W719" s="20"/>
      <c r="X719" s="20"/>
      <c r="Y719" s="20"/>
      <c r="Z719" s="20"/>
      <c r="AA719" s="20"/>
      <c r="AB719" s="20"/>
    </row>
    <row r="720">
      <c r="A720" s="20"/>
      <c r="B720" s="20"/>
      <c r="C720" s="20"/>
      <c r="D720" s="20"/>
      <c r="E720" s="20"/>
      <c r="F720" s="282"/>
      <c r="G720" s="20"/>
      <c r="H720" s="20"/>
      <c r="I720" s="20"/>
      <c r="J720" s="20"/>
      <c r="K720" s="20"/>
      <c r="L720" s="20"/>
      <c r="M720" s="20"/>
      <c r="N720" s="20"/>
      <c r="O720" s="20"/>
      <c r="P720" s="20"/>
      <c r="Q720" s="20"/>
      <c r="R720" s="20"/>
      <c r="S720" s="188"/>
      <c r="T720" s="188"/>
      <c r="U720" s="188"/>
      <c r="V720" s="188"/>
      <c r="W720" s="20"/>
      <c r="X720" s="20"/>
      <c r="Y720" s="20"/>
      <c r="Z720" s="20"/>
      <c r="AA720" s="20"/>
      <c r="AB720" s="20"/>
    </row>
    <row r="721">
      <c r="A721" s="20"/>
      <c r="B721" s="20"/>
      <c r="C721" s="20"/>
      <c r="D721" s="20"/>
      <c r="E721" s="20"/>
      <c r="F721" s="282"/>
      <c r="G721" s="20"/>
      <c r="H721" s="20"/>
      <c r="I721" s="20"/>
      <c r="J721" s="20"/>
      <c r="K721" s="20"/>
      <c r="L721" s="20"/>
      <c r="M721" s="20"/>
      <c r="N721" s="20"/>
      <c r="O721" s="20"/>
      <c r="P721" s="20"/>
      <c r="Q721" s="20"/>
      <c r="R721" s="20"/>
      <c r="S721" s="188"/>
      <c r="T721" s="188"/>
      <c r="U721" s="188"/>
      <c r="V721" s="188"/>
      <c r="W721" s="20"/>
      <c r="X721" s="20"/>
      <c r="Y721" s="20"/>
      <c r="Z721" s="20"/>
      <c r="AA721" s="20"/>
      <c r="AB721" s="20"/>
    </row>
    <row r="722">
      <c r="A722" s="20"/>
      <c r="B722" s="20"/>
      <c r="C722" s="20"/>
      <c r="D722" s="20"/>
      <c r="E722" s="20"/>
      <c r="F722" s="282"/>
      <c r="G722" s="20"/>
      <c r="H722" s="20"/>
      <c r="I722" s="20"/>
      <c r="J722" s="20"/>
      <c r="K722" s="20"/>
      <c r="L722" s="20"/>
      <c r="M722" s="20"/>
      <c r="N722" s="20"/>
      <c r="O722" s="20"/>
      <c r="P722" s="20"/>
      <c r="Q722" s="20"/>
      <c r="R722" s="20"/>
      <c r="S722" s="188"/>
      <c r="T722" s="188"/>
      <c r="U722" s="188"/>
      <c r="V722" s="188"/>
      <c r="W722" s="20"/>
      <c r="X722" s="20"/>
      <c r="Y722" s="20"/>
      <c r="Z722" s="20"/>
      <c r="AA722" s="20"/>
      <c r="AB722" s="20"/>
    </row>
    <row r="723">
      <c r="A723" s="20"/>
      <c r="B723" s="20"/>
      <c r="C723" s="20"/>
      <c r="D723" s="20"/>
      <c r="E723" s="20"/>
      <c r="F723" s="282"/>
      <c r="G723" s="20"/>
      <c r="H723" s="20"/>
      <c r="I723" s="20"/>
      <c r="J723" s="20"/>
      <c r="K723" s="20"/>
      <c r="L723" s="20"/>
      <c r="M723" s="20"/>
      <c r="N723" s="20"/>
      <c r="O723" s="20"/>
      <c r="P723" s="20"/>
      <c r="Q723" s="20"/>
      <c r="R723" s="20"/>
      <c r="S723" s="188"/>
      <c r="T723" s="188"/>
      <c r="U723" s="188"/>
      <c r="V723" s="188"/>
      <c r="W723" s="20"/>
      <c r="X723" s="20"/>
      <c r="Y723" s="20"/>
      <c r="Z723" s="20"/>
      <c r="AA723" s="20"/>
      <c r="AB723" s="20"/>
    </row>
    <row r="724">
      <c r="A724" s="20"/>
      <c r="B724" s="20"/>
      <c r="C724" s="20"/>
      <c r="D724" s="20"/>
      <c r="E724" s="20"/>
      <c r="F724" s="282"/>
      <c r="G724" s="20"/>
      <c r="H724" s="20"/>
      <c r="I724" s="20"/>
      <c r="J724" s="20"/>
      <c r="K724" s="20"/>
      <c r="L724" s="20"/>
      <c r="M724" s="20"/>
      <c r="N724" s="20"/>
      <c r="O724" s="20"/>
      <c r="P724" s="20"/>
      <c r="Q724" s="20"/>
      <c r="R724" s="20"/>
      <c r="S724" s="188"/>
      <c r="T724" s="188"/>
      <c r="U724" s="188"/>
      <c r="V724" s="188"/>
      <c r="W724" s="20"/>
      <c r="X724" s="20"/>
      <c r="Y724" s="20"/>
      <c r="Z724" s="20"/>
      <c r="AA724" s="20"/>
      <c r="AB724" s="20"/>
    </row>
    <row r="725">
      <c r="A725" s="20"/>
      <c r="B725" s="20"/>
      <c r="C725" s="20"/>
      <c r="D725" s="20"/>
      <c r="E725" s="20"/>
      <c r="F725" s="282"/>
      <c r="G725" s="20"/>
      <c r="H725" s="20"/>
      <c r="I725" s="20"/>
      <c r="J725" s="20"/>
      <c r="K725" s="20"/>
      <c r="L725" s="20"/>
      <c r="M725" s="20"/>
      <c r="N725" s="20"/>
      <c r="O725" s="20"/>
      <c r="P725" s="20"/>
      <c r="Q725" s="20"/>
      <c r="R725" s="20"/>
      <c r="S725" s="188"/>
      <c r="T725" s="188"/>
      <c r="U725" s="188"/>
      <c r="V725" s="188"/>
      <c r="W725" s="20"/>
      <c r="X725" s="20"/>
      <c r="Y725" s="20"/>
      <c r="Z725" s="20"/>
      <c r="AA725" s="20"/>
      <c r="AB725" s="20"/>
    </row>
    <row r="726">
      <c r="A726" s="20"/>
      <c r="B726" s="20"/>
      <c r="C726" s="20"/>
      <c r="D726" s="20"/>
      <c r="E726" s="20"/>
      <c r="F726" s="282"/>
      <c r="G726" s="20"/>
      <c r="H726" s="20"/>
      <c r="I726" s="20"/>
      <c r="J726" s="20"/>
      <c r="K726" s="20"/>
      <c r="L726" s="20"/>
      <c r="M726" s="20"/>
      <c r="N726" s="20"/>
      <c r="O726" s="20"/>
      <c r="P726" s="20"/>
      <c r="Q726" s="20"/>
      <c r="R726" s="20"/>
      <c r="S726" s="188"/>
      <c r="T726" s="188"/>
      <c r="U726" s="188"/>
      <c r="V726" s="188"/>
      <c r="W726" s="20"/>
      <c r="X726" s="20"/>
      <c r="Y726" s="20"/>
      <c r="Z726" s="20"/>
      <c r="AA726" s="20"/>
      <c r="AB726" s="20"/>
    </row>
    <row r="727">
      <c r="A727" s="20"/>
      <c r="B727" s="20"/>
      <c r="C727" s="20"/>
      <c r="D727" s="20"/>
      <c r="E727" s="20"/>
      <c r="F727" s="282"/>
      <c r="G727" s="20"/>
      <c r="H727" s="20"/>
      <c r="I727" s="20"/>
      <c r="J727" s="20"/>
      <c r="K727" s="20"/>
      <c r="L727" s="20"/>
      <c r="M727" s="20"/>
      <c r="N727" s="20"/>
      <c r="O727" s="20"/>
      <c r="P727" s="20"/>
      <c r="Q727" s="20"/>
      <c r="R727" s="20"/>
      <c r="S727" s="188"/>
      <c r="T727" s="188"/>
      <c r="U727" s="188"/>
      <c r="V727" s="188"/>
      <c r="W727" s="20"/>
      <c r="X727" s="20"/>
      <c r="Y727" s="20"/>
      <c r="Z727" s="20"/>
      <c r="AA727" s="20"/>
      <c r="AB727" s="20"/>
    </row>
    <row r="728">
      <c r="A728" s="20"/>
      <c r="B728" s="20"/>
      <c r="C728" s="20"/>
      <c r="D728" s="20"/>
      <c r="E728" s="20"/>
      <c r="F728" s="282"/>
      <c r="G728" s="20"/>
      <c r="H728" s="20"/>
      <c r="I728" s="20"/>
      <c r="J728" s="20"/>
      <c r="K728" s="20"/>
      <c r="L728" s="20"/>
      <c r="M728" s="20"/>
      <c r="N728" s="20"/>
      <c r="O728" s="20"/>
      <c r="P728" s="20"/>
      <c r="Q728" s="20"/>
      <c r="R728" s="20"/>
      <c r="S728" s="188"/>
      <c r="T728" s="188"/>
      <c r="U728" s="188"/>
      <c r="V728" s="188"/>
      <c r="W728" s="20"/>
      <c r="X728" s="20"/>
      <c r="Y728" s="20"/>
      <c r="Z728" s="20"/>
      <c r="AA728" s="20"/>
      <c r="AB728" s="20"/>
    </row>
    <row r="729">
      <c r="A729" s="20"/>
      <c r="B729" s="20"/>
      <c r="C729" s="20"/>
      <c r="D729" s="20"/>
      <c r="E729" s="20"/>
      <c r="F729" s="282"/>
      <c r="G729" s="20"/>
      <c r="H729" s="20"/>
      <c r="I729" s="20"/>
      <c r="J729" s="20"/>
      <c r="K729" s="20"/>
      <c r="L729" s="20"/>
      <c r="M729" s="20"/>
      <c r="N729" s="20"/>
      <c r="O729" s="20"/>
      <c r="P729" s="20"/>
      <c r="Q729" s="20"/>
      <c r="R729" s="20"/>
      <c r="S729" s="188"/>
      <c r="T729" s="188"/>
      <c r="U729" s="188"/>
      <c r="V729" s="188"/>
      <c r="W729" s="20"/>
      <c r="X729" s="20"/>
      <c r="Y729" s="20"/>
      <c r="Z729" s="20"/>
      <c r="AA729" s="20"/>
      <c r="AB729" s="20"/>
    </row>
    <row r="730">
      <c r="A730" s="20"/>
      <c r="B730" s="20"/>
      <c r="C730" s="20"/>
      <c r="D730" s="20"/>
      <c r="E730" s="20"/>
      <c r="F730" s="282"/>
      <c r="G730" s="20"/>
      <c r="H730" s="20"/>
      <c r="I730" s="20"/>
      <c r="J730" s="20"/>
      <c r="K730" s="20"/>
      <c r="L730" s="20"/>
      <c r="M730" s="20"/>
      <c r="N730" s="20"/>
      <c r="O730" s="20"/>
      <c r="P730" s="20"/>
      <c r="Q730" s="20"/>
      <c r="R730" s="20"/>
      <c r="S730" s="188"/>
      <c r="T730" s="188"/>
      <c r="U730" s="188"/>
      <c r="V730" s="188"/>
      <c r="W730" s="20"/>
      <c r="X730" s="20"/>
      <c r="Y730" s="20"/>
      <c r="Z730" s="20"/>
      <c r="AA730" s="20"/>
      <c r="AB730" s="20"/>
    </row>
    <row r="731">
      <c r="A731" s="20"/>
      <c r="B731" s="20"/>
      <c r="C731" s="20"/>
      <c r="D731" s="20"/>
      <c r="E731" s="20"/>
      <c r="F731" s="282"/>
      <c r="G731" s="20"/>
      <c r="H731" s="20"/>
      <c r="I731" s="20"/>
      <c r="J731" s="20"/>
      <c r="K731" s="20"/>
      <c r="L731" s="20"/>
      <c r="M731" s="20"/>
      <c r="N731" s="20"/>
      <c r="O731" s="20"/>
      <c r="P731" s="20"/>
      <c r="Q731" s="20"/>
      <c r="R731" s="20"/>
      <c r="S731" s="188"/>
      <c r="T731" s="188"/>
      <c r="U731" s="188"/>
      <c r="V731" s="188"/>
      <c r="W731" s="20"/>
      <c r="X731" s="20"/>
      <c r="Y731" s="20"/>
      <c r="Z731" s="20"/>
      <c r="AA731" s="20"/>
      <c r="AB731" s="20"/>
    </row>
    <row r="732">
      <c r="A732" s="20"/>
      <c r="B732" s="20"/>
      <c r="C732" s="20"/>
      <c r="D732" s="20"/>
      <c r="E732" s="20"/>
      <c r="F732" s="282"/>
      <c r="G732" s="20"/>
      <c r="H732" s="20"/>
      <c r="I732" s="20"/>
      <c r="J732" s="20"/>
      <c r="K732" s="20"/>
      <c r="L732" s="20"/>
      <c r="M732" s="20"/>
      <c r="N732" s="20"/>
      <c r="O732" s="20"/>
      <c r="P732" s="20"/>
      <c r="Q732" s="20"/>
      <c r="R732" s="20"/>
      <c r="S732" s="188"/>
      <c r="T732" s="188"/>
      <c r="U732" s="188"/>
      <c r="V732" s="188"/>
      <c r="W732" s="20"/>
      <c r="X732" s="20"/>
      <c r="Y732" s="20"/>
      <c r="Z732" s="20"/>
      <c r="AA732" s="20"/>
      <c r="AB732" s="20"/>
    </row>
    <row r="733">
      <c r="A733" s="20"/>
      <c r="B733" s="20"/>
      <c r="C733" s="20"/>
      <c r="D733" s="20"/>
      <c r="E733" s="20"/>
      <c r="F733" s="282"/>
      <c r="G733" s="20"/>
      <c r="H733" s="20"/>
      <c r="I733" s="20"/>
      <c r="J733" s="20"/>
      <c r="K733" s="20"/>
      <c r="L733" s="20"/>
      <c r="M733" s="20"/>
      <c r="N733" s="20"/>
      <c r="O733" s="20"/>
      <c r="P733" s="20"/>
      <c r="Q733" s="20"/>
      <c r="R733" s="20"/>
      <c r="S733" s="188"/>
      <c r="T733" s="188"/>
      <c r="U733" s="188"/>
      <c r="V733" s="188"/>
      <c r="W733" s="20"/>
      <c r="X733" s="20"/>
      <c r="Y733" s="20"/>
      <c r="Z733" s="20"/>
      <c r="AA733" s="20"/>
      <c r="AB733" s="20"/>
    </row>
    <row r="734">
      <c r="A734" s="20"/>
      <c r="B734" s="20"/>
      <c r="C734" s="20"/>
      <c r="D734" s="20"/>
      <c r="E734" s="20"/>
      <c r="F734" s="282"/>
      <c r="G734" s="20"/>
      <c r="H734" s="20"/>
      <c r="I734" s="20"/>
      <c r="J734" s="20"/>
      <c r="K734" s="20"/>
      <c r="L734" s="20"/>
      <c r="M734" s="20"/>
      <c r="N734" s="20"/>
      <c r="O734" s="20"/>
      <c r="P734" s="20"/>
      <c r="Q734" s="20"/>
      <c r="R734" s="20"/>
      <c r="S734" s="188"/>
      <c r="T734" s="188"/>
      <c r="U734" s="188"/>
      <c r="V734" s="188"/>
      <c r="W734" s="20"/>
      <c r="X734" s="20"/>
      <c r="Y734" s="20"/>
      <c r="Z734" s="20"/>
      <c r="AA734" s="20"/>
      <c r="AB734" s="20"/>
    </row>
    <row r="735">
      <c r="A735" s="20"/>
      <c r="B735" s="20"/>
      <c r="C735" s="20"/>
      <c r="D735" s="20"/>
      <c r="E735" s="20"/>
      <c r="F735" s="282"/>
      <c r="G735" s="20"/>
      <c r="H735" s="20"/>
      <c r="I735" s="20"/>
      <c r="J735" s="20"/>
      <c r="K735" s="20"/>
      <c r="L735" s="20"/>
      <c r="M735" s="20"/>
      <c r="N735" s="20"/>
      <c r="O735" s="20"/>
      <c r="P735" s="20"/>
      <c r="Q735" s="20"/>
      <c r="R735" s="20"/>
      <c r="S735" s="188"/>
      <c r="T735" s="188"/>
      <c r="U735" s="188"/>
      <c r="V735" s="188"/>
      <c r="W735" s="20"/>
      <c r="X735" s="20"/>
      <c r="Y735" s="20"/>
      <c r="Z735" s="20"/>
      <c r="AA735" s="20"/>
      <c r="AB735" s="20"/>
    </row>
    <row r="736">
      <c r="A736" s="20"/>
      <c r="B736" s="20"/>
      <c r="C736" s="20"/>
      <c r="D736" s="20"/>
      <c r="E736" s="20"/>
      <c r="F736" s="282"/>
      <c r="G736" s="20"/>
      <c r="H736" s="20"/>
      <c r="I736" s="20"/>
      <c r="J736" s="20"/>
      <c r="K736" s="20"/>
      <c r="L736" s="20"/>
      <c r="M736" s="20"/>
      <c r="N736" s="20"/>
      <c r="O736" s="20"/>
      <c r="P736" s="20"/>
      <c r="Q736" s="20"/>
      <c r="R736" s="20"/>
      <c r="S736" s="188"/>
      <c r="T736" s="188"/>
      <c r="U736" s="188"/>
      <c r="V736" s="188"/>
      <c r="W736" s="20"/>
      <c r="X736" s="20"/>
      <c r="Y736" s="20"/>
      <c r="Z736" s="20"/>
      <c r="AA736" s="20"/>
      <c r="AB736" s="20"/>
    </row>
    <row r="737">
      <c r="A737" s="20"/>
      <c r="B737" s="20"/>
      <c r="C737" s="20"/>
      <c r="D737" s="20"/>
      <c r="E737" s="20"/>
      <c r="F737" s="282"/>
      <c r="G737" s="20"/>
      <c r="H737" s="20"/>
      <c r="I737" s="20"/>
      <c r="J737" s="20"/>
      <c r="K737" s="20"/>
      <c r="L737" s="20"/>
      <c r="M737" s="20"/>
      <c r="N737" s="20"/>
      <c r="O737" s="20"/>
      <c r="P737" s="20"/>
      <c r="Q737" s="20"/>
      <c r="R737" s="20"/>
      <c r="S737" s="188"/>
      <c r="T737" s="188"/>
      <c r="U737" s="188"/>
      <c r="V737" s="188"/>
      <c r="W737" s="20"/>
      <c r="X737" s="20"/>
      <c r="Y737" s="20"/>
      <c r="Z737" s="20"/>
      <c r="AA737" s="20"/>
      <c r="AB737" s="20"/>
    </row>
    <row r="738">
      <c r="A738" s="20"/>
      <c r="B738" s="20"/>
      <c r="C738" s="20"/>
      <c r="D738" s="20"/>
      <c r="E738" s="20"/>
      <c r="F738" s="282"/>
      <c r="G738" s="20"/>
      <c r="H738" s="20"/>
      <c r="I738" s="20"/>
      <c r="J738" s="20"/>
      <c r="K738" s="20"/>
      <c r="L738" s="20"/>
      <c r="M738" s="20"/>
      <c r="N738" s="20"/>
      <c r="O738" s="20"/>
      <c r="P738" s="20"/>
      <c r="Q738" s="20"/>
      <c r="R738" s="20"/>
      <c r="S738" s="188"/>
      <c r="T738" s="188"/>
      <c r="U738" s="188"/>
      <c r="V738" s="188"/>
      <c r="W738" s="20"/>
      <c r="X738" s="20"/>
      <c r="Y738" s="20"/>
      <c r="Z738" s="20"/>
      <c r="AA738" s="20"/>
      <c r="AB738" s="20"/>
    </row>
    <row r="739">
      <c r="A739" s="20"/>
      <c r="B739" s="20"/>
      <c r="C739" s="20"/>
      <c r="D739" s="20"/>
      <c r="E739" s="20"/>
      <c r="F739" s="282"/>
      <c r="G739" s="20"/>
      <c r="H739" s="20"/>
      <c r="I739" s="20"/>
      <c r="J739" s="20"/>
      <c r="K739" s="20"/>
      <c r="L739" s="20"/>
      <c r="M739" s="20"/>
      <c r="N739" s="20"/>
      <c r="O739" s="20"/>
      <c r="P739" s="20"/>
      <c r="Q739" s="20"/>
      <c r="R739" s="20"/>
      <c r="S739" s="188"/>
      <c r="T739" s="188"/>
      <c r="U739" s="188"/>
      <c r="V739" s="188"/>
      <c r="W739" s="20"/>
      <c r="X739" s="20"/>
      <c r="Y739" s="20"/>
      <c r="Z739" s="20"/>
      <c r="AA739" s="20"/>
      <c r="AB739" s="20"/>
    </row>
    <row r="740">
      <c r="A740" s="20"/>
      <c r="B740" s="20"/>
      <c r="C740" s="20"/>
      <c r="D740" s="20"/>
      <c r="E740" s="20"/>
      <c r="F740" s="282"/>
      <c r="G740" s="20"/>
      <c r="H740" s="20"/>
      <c r="I740" s="20"/>
      <c r="J740" s="20"/>
      <c r="K740" s="20"/>
      <c r="L740" s="20"/>
      <c r="M740" s="20"/>
      <c r="N740" s="20"/>
      <c r="O740" s="20"/>
      <c r="P740" s="20"/>
      <c r="Q740" s="20"/>
      <c r="R740" s="20"/>
      <c r="S740" s="188"/>
      <c r="T740" s="188"/>
      <c r="U740" s="188"/>
      <c r="V740" s="188"/>
      <c r="W740" s="20"/>
      <c r="X740" s="20"/>
      <c r="Y740" s="20"/>
      <c r="Z740" s="20"/>
      <c r="AA740" s="20"/>
      <c r="AB740" s="20"/>
    </row>
    <row r="741">
      <c r="A741" s="20"/>
      <c r="B741" s="20"/>
      <c r="C741" s="20"/>
      <c r="D741" s="20"/>
      <c r="E741" s="20"/>
      <c r="F741" s="282"/>
      <c r="G741" s="20"/>
      <c r="H741" s="20"/>
      <c r="I741" s="20"/>
      <c r="J741" s="20"/>
      <c r="K741" s="20"/>
      <c r="L741" s="20"/>
      <c r="M741" s="20"/>
      <c r="N741" s="20"/>
      <c r="O741" s="20"/>
      <c r="P741" s="20"/>
      <c r="Q741" s="20"/>
      <c r="R741" s="20"/>
      <c r="S741" s="188"/>
      <c r="T741" s="188"/>
      <c r="U741" s="188"/>
      <c r="V741" s="188"/>
      <c r="W741" s="20"/>
      <c r="X741" s="20"/>
      <c r="Y741" s="20"/>
      <c r="Z741" s="20"/>
      <c r="AA741" s="20"/>
      <c r="AB741" s="20"/>
    </row>
    <row r="742">
      <c r="A742" s="20"/>
      <c r="B742" s="20"/>
      <c r="C742" s="20"/>
      <c r="D742" s="20"/>
      <c r="E742" s="20"/>
      <c r="F742" s="282"/>
      <c r="G742" s="20"/>
      <c r="H742" s="20"/>
      <c r="I742" s="20"/>
      <c r="J742" s="20"/>
      <c r="K742" s="20"/>
      <c r="L742" s="20"/>
      <c r="M742" s="20"/>
      <c r="N742" s="20"/>
      <c r="O742" s="20"/>
      <c r="P742" s="20"/>
      <c r="Q742" s="20"/>
      <c r="R742" s="20"/>
      <c r="S742" s="188"/>
      <c r="T742" s="188"/>
      <c r="U742" s="188"/>
      <c r="V742" s="188"/>
      <c r="W742" s="20"/>
      <c r="X742" s="20"/>
      <c r="Y742" s="20"/>
      <c r="Z742" s="20"/>
      <c r="AA742" s="20"/>
      <c r="AB742" s="20"/>
    </row>
    <row r="743">
      <c r="A743" s="20"/>
      <c r="B743" s="20"/>
      <c r="C743" s="20"/>
      <c r="D743" s="20"/>
      <c r="E743" s="20"/>
      <c r="F743" s="282"/>
      <c r="G743" s="20"/>
      <c r="H743" s="20"/>
      <c r="I743" s="20"/>
      <c r="J743" s="20"/>
      <c r="K743" s="20"/>
      <c r="L743" s="20"/>
      <c r="M743" s="20"/>
      <c r="N743" s="20"/>
      <c r="O743" s="20"/>
      <c r="P743" s="20"/>
      <c r="Q743" s="20"/>
      <c r="R743" s="20"/>
      <c r="S743" s="188"/>
      <c r="T743" s="188"/>
      <c r="U743" s="188"/>
      <c r="V743" s="188"/>
      <c r="W743" s="20"/>
      <c r="X743" s="20"/>
      <c r="Y743" s="20"/>
      <c r="Z743" s="20"/>
      <c r="AA743" s="20"/>
      <c r="AB743" s="20"/>
    </row>
    <row r="744">
      <c r="A744" s="20"/>
      <c r="B744" s="20"/>
      <c r="C744" s="20"/>
      <c r="D744" s="20"/>
      <c r="E744" s="20"/>
      <c r="F744" s="282"/>
      <c r="G744" s="20"/>
      <c r="H744" s="20"/>
      <c r="I744" s="20"/>
      <c r="J744" s="20"/>
      <c r="K744" s="20"/>
      <c r="L744" s="20"/>
      <c r="M744" s="20"/>
      <c r="N744" s="20"/>
      <c r="O744" s="20"/>
      <c r="P744" s="20"/>
      <c r="Q744" s="20"/>
      <c r="R744" s="20"/>
      <c r="S744" s="188"/>
      <c r="T744" s="188"/>
      <c r="U744" s="188"/>
      <c r="V744" s="188"/>
      <c r="W744" s="20"/>
      <c r="X744" s="20"/>
      <c r="Y744" s="20"/>
      <c r="Z744" s="20"/>
      <c r="AA744" s="20"/>
      <c r="AB744" s="20"/>
    </row>
    <row r="745">
      <c r="A745" s="20"/>
      <c r="B745" s="20"/>
      <c r="C745" s="20"/>
      <c r="D745" s="20"/>
      <c r="E745" s="20"/>
      <c r="F745" s="282"/>
      <c r="G745" s="20"/>
      <c r="H745" s="20"/>
      <c r="I745" s="20"/>
      <c r="J745" s="20"/>
      <c r="K745" s="20"/>
      <c r="L745" s="20"/>
      <c r="M745" s="20"/>
      <c r="N745" s="20"/>
      <c r="O745" s="20"/>
      <c r="P745" s="20"/>
      <c r="Q745" s="20"/>
      <c r="R745" s="20"/>
      <c r="S745" s="188"/>
      <c r="T745" s="188"/>
      <c r="U745" s="188"/>
      <c r="V745" s="188"/>
      <c r="W745" s="20"/>
      <c r="X745" s="20"/>
      <c r="Y745" s="20"/>
      <c r="Z745" s="20"/>
      <c r="AA745" s="20"/>
      <c r="AB745" s="20"/>
    </row>
    <row r="746">
      <c r="A746" s="20"/>
      <c r="B746" s="20"/>
      <c r="C746" s="20"/>
      <c r="D746" s="20"/>
      <c r="E746" s="20"/>
      <c r="F746" s="282"/>
      <c r="G746" s="20"/>
      <c r="H746" s="20"/>
      <c r="I746" s="20"/>
      <c r="J746" s="20"/>
      <c r="K746" s="20"/>
      <c r="L746" s="20"/>
      <c r="M746" s="20"/>
      <c r="N746" s="20"/>
      <c r="O746" s="20"/>
      <c r="P746" s="20"/>
      <c r="Q746" s="20"/>
      <c r="R746" s="20"/>
      <c r="S746" s="188"/>
      <c r="T746" s="188"/>
      <c r="U746" s="188"/>
      <c r="V746" s="188"/>
      <c r="W746" s="20"/>
      <c r="X746" s="20"/>
      <c r="Y746" s="20"/>
      <c r="Z746" s="20"/>
      <c r="AA746" s="20"/>
      <c r="AB746" s="20"/>
    </row>
    <row r="747">
      <c r="A747" s="20"/>
      <c r="B747" s="20"/>
      <c r="C747" s="20"/>
      <c r="D747" s="20"/>
      <c r="E747" s="20"/>
      <c r="F747" s="282"/>
      <c r="G747" s="20"/>
      <c r="H747" s="20"/>
      <c r="I747" s="20"/>
      <c r="J747" s="20"/>
      <c r="K747" s="20"/>
      <c r="L747" s="20"/>
      <c r="M747" s="20"/>
      <c r="N747" s="20"/>
      <c r="O747" s="20"/>
      <c r="P747" s="20"/>
      <c r="Q747" s="20"/>
      <c r="R747" s="20"/>
      <c r="S747" s="188"/>
      <c r="T747" s="188"/>
      <c r="U747" s="188"/>
      <c r="V747" s="188"/>
      <c r="W747" s="20"/>
      <c r="X747" s="20"/>
      <c r="Y747" s="20"/>
      <c r="Z747" s="20"/>
      <c r="AA747" s="20"/>
      <c r="AB747" s="20"/>
    </row>
    <row r="748">
      <c r="A748" s="20"/>
      <c r="B748" s="20"/>
      <c r="C748" s="20"/>
      <c r="D748" s="20"/>
      <c r="E748" s="20"/>
      <c r="F748" s="282"/>
      <c r="G748" s="20"/>
      <c r="H748" s="20"/>
      <c r="I748" s="20"/>
      <c r="J748" s="20"/>
      <c r="K748" s="20"/>
      <c r="L748" s="20"/>
      <c r="M748" s="20"/>
      <c r="N748" s="20"/>
      <c r="O748" s="20"/>
      <c r="P748" s="20"/>
      <c r="Q748" s="20"/>
      <c r="R748" s="20"/>
      <c r="S748" s="188"/>
      <c r="T748" s="188"/>
      <c r="U748" s="188"/>
      <c r="V748" s="188"/>
      <c r="W748" s="20"/>
      <c r="X748" s="20"/>
      <c r="Y748" s="20"/>
      <c r="Z748" s="20"/>
      <c r="AA748" s="20"/>
      <c r="AB748" s="20"/>
    </row>
    <row r="749">
      <c r="A749" s="20"/>
      <c r="B749" s="20"/>
      <c r="C749" s="20"/>
      <c r="D749" s="20"/>
      <c r="E749" s="20"/>
      <c r="F749" s="282"/>
      <c r="G749" s="20"/>
      <c r="H749" s="20"/>
      <c r="I749" s="20"/>
      <c r="J749" s="20"/>
      <c r="K749" s="20"/>
      <c r="L749" s="20"/>
      <c r="M749" s="20"/>
      <c r="N749" s="20"/>
      <c r="O749" s="20"/>
      <c r="P749" s="20"/>
      <c r="Q749" s="20"/>
      <c r="R749" s="20"/>
      <c r="S749" s="188"/>
      <c r="T749" s="188"/>
      <c r="U749" s="188"/>
      <c r="V749" s="188"/>
      <c r="W749" s="20"/>
      <c r="X749" s="20"/>
      <c r="Y749" s="20"/>
      <c r="Z749" s="20"/>
      <c r="AA749" s="20"/>
      <c r="AB749" s="20"/>
    </row>
    <row r="750">
      <c r="A750" s="20"/>
      <c r="B750" s="20"/>
      <c r="C750" s="20"/>
      <c r="D750" s="20"/>
      <c r="E750" s="20"/>
      <c r="F750" s="282"/>
      <c r="G750" s="20"/>
      <c r="H750" s="20"/>
      <c r="I750" s="20"/>
      <c r="J750" s="20"/>
      <c r="K750" s="20"/>
      <c r="L750" s="20"/>
      <c r="M750" s="20"/>
      <c r="N750" s="20"/>
      <c r="O750" s="20"/>
      <c r="P750" s="20"/>
      <c r="Q750" s="20"/>
      <c r="R750" s="20"/>
      <c r="S750" s="188"/>
      <c r="T750" s="188"/>
      <c r="U750" s="188"/>
      <c r="V750" s="188"/>
      <c r="W750" s="20"/>
      <c r="X750" s="20"/>
      <c r="Y750" s="20"/>
      <c r="Z750" s="20"/>
      <c r="AA750" s="20"/>
      <c r="AB750" s="20"/>
    </row>
    <row r="751">
      <c r="A751" s="20"/>
      <c r="B751" s="20"/>
      <c r="C751" s="20"/>
      <c r="D751" s="20"/>
      <c r="E751" s="20"/>
      <c r="F751" s="282"/>
      <c r="G751" s="20"/>
      <c r="H751" s="20"/>
      <c r="I751" s="20"/>
      <c r="J751" s="20"/>
      <c r="K751" s="20"/>
      <c r="L751" s="20"/>
      <c r="M751" s="20"/>
      <c r="N751" s="20"/>
      <c r="O751" s="20"/>
      <c r="P751" s="20"/>
      <c r="Q751" s="20"/>
      <c r="R751" s="20"/>
      <c r="S751" s="188"/>
      <c r="T751" s="188"/>
      <c r="U751" s="188"/>
      <c r="V751" s="188"/>
      <c r="W751" s="20"/>
      <c r="X751" s="20"/>
      <c r="Y751" s="20"/>
      <c r="Z751" s="20"/>
      <c r="AA751" s="20"/>
      <c r="AB751" s="20"/>
    </row>
    <row r="752">
      <c r="A752" s="20"/>
      <c r="B752" s="20"/>
      <c r="C752" s="20"/>
      <c r="D752" s="20"/>
      <c r="E752" s="20"/>
      <c r="F752" s="282"/>
      <c r="G752" s="20"/>
      <c r="H752" s="20"/>
      <c r="I752" s="20"/>
      <c r="J752" s="20"/>
      <c r="K752" s="20"/>
      <c r="L752" s="20"/>
      <c r="M752" s="20"/>
      <c r="N752" s="20"/>
      <c r="O752" s="20"/>
      <c r="P752" s="20"/>
      <c r="Q752" s="20"/>
      <c r="R752" s="20"/>
      <c r="S752" s="188"/>
      <c r="T752" s="188"/>
      <c r="U752" s="188"/>
      <c r="V752" s="188"/>
      <c r="W752" s="20"/>
      <c r="X752" s="20"/>
      <c r="Y752" s="20"/>
      <c r="Z752" s="20"/>
      <c r="AA752" s="20"/>
      <c r="AB752" s="20"/>
    </row>
    <row r="753">
      <c r="A753" s="20"/>
      <c r="B753" s="20"/>
      <c r="C753" s="20"/>
      <c r="D753" s="20"/>
      <c r="E753" s="20"/>
      <c r="F753" s="282"/>
      <c r="G753" s="20"/>
      <c r="H753" s="20"/>
      <c r="I753" s="20"/>
      <c r="J753" s="20"/>
      <c r="K753" s="20"/>
      <c r="L753" s="20"/>
      <c r="M753" s="20"/>
      <c r="N753" s="20"/>
      <c r="O753" s="20"/>
      <c r="P753" s="20"/>
      <c r="Q753" s="20"/>
      <c r="R753" s="20"/>
      <c r="S753" s="188"/>
      <c r="T753" s="188"/>
      <c r="U753" s="188"/>
      <c r="V753" s="188"/>
      <c r="W753" s="20"/>
      <c r="X753" s="20"/>
      <c r="Y753" s="20"/>
      <c r="Z753" s="20"/>
      <c r="AA753" s="20"/>
      <c r="AB753" s="20"/>
    </row>
    <row r="754">
      <c r="A754" s="20"/>
      <c r="B754" s="20"/>
      <c r="C754" s="20"/>
      <c r="D754" s="20"/>
      <c r="E754" s="20"/>
      <c r="F754" s="282"/>
      <c r="G754" s="20"/>
      <c r="H754" s="20"/>
      <c r="I754" s="20"/>
      <c r="J754" s="20"/>
      <c r="K754" s="20"/>
      <c r="L754" s="20"/>
      <c r="M754" s="20"/>
      <c r="N754" s="20"/>
      <c r="O754" s="20"/>
      <c r="P754" s="20"/>
      <c r="Q754" s="20"/>
      <c r="R754" s="20"/>
      <c r="S754" s="188"/>
      <c r="T754" s="188"/>
      <c r="U754" s="188"/>
      <c r="V754" s="188"/>
      <c r="W754" s="20"/>
      <c r="X754" s="20"/>
      <c r="Y754" s="20"/>
      <c r="Z754" s="20"/>
      <c r="AA754" s="20"/>
      <c r="AB754" s="20"/>
    </row>
    <row r="755">
      <c r="A755" s="20"/>
      <c r="B755" s="20"/>
      <c r="C755" s="20"/>
      <c r="D755" s="20"/>
      <c r="E755" s="20"/>
      <c r="F755" s="282"/>
      <c r="G755" s="20"/>
      <c r="H755" s="20"/>
      <c r="I755" s="20"/>
      <c r="J755" s="20"/>
      <c r="K755" s="20"/>
      <c r="L755" s="20"/>
      <c r="M755" s="20"/>
      <c r="N755" s="20"/>
      <c r="O755" s="20"/>
      <c r="P755" s="20"/>
      <c r="Q755" s="20"/>
      <c r="R755" s="20"/>
      <c r="S755" s="188"/>
      <c r="T755" s="188"/>
      <c r="U755" s="188"/>
      <c r="V755" s="188"/>
      <c r="W755" s="20"/>
      <c r="X755" s="20"/>
      <c r="Y755" s="20"/>
      <c r="Z755" s="20"/>
      <c r="AA755" s="20"/>
      <c r="AB755" s="20"/>
    </row>
    <row r="756">
      <c r="A756" s="20"/>
      <c r="B756" s="20"/>
      <c r="C756" s="20"/>
      <c r="D756" s="20"/>
      <c r="E756" s="20"/>
      <c r="F756" s="282"/>
      <c r="G756" s="20"/>
      <c r="H756" s="20"/>
      <c r="I756" s="20"/>
      <c r="J756" s="20"/>
      <c r="K756" s="20"/>
      <c r="L756" s="20"/>
      <c r="M756" s="20"/>
      <c r="N756" s="20"/>
      <c r="O756" s="20"/>
      <c r="P756" s="20"/>
      <c r="Q756" s="20"/>
      <c r="R756" s="20"/>
      <c r="S756" s="188"/>
      <c r="T756" s="188"/>
      <c r="U756" s="188"/>
      <c r="V756" s="188"/>
      <c r="W756" s="20"/>
      <c r="X756" s="20"/>
      <c r="Y756" s="20"/>
      <c r="Z756" s="20"/>
      <c r="AA756" s="20"/>
      <c r="AB756" s="20"/>
    </row>
    <row r="757">
      <c r="A757" s="20"/>
      <c r="B757" s="20"/>
      <c r="C757" s="20"/>
      <c r="D757" s="20"/>
      <c r="E757" s="20"/>
      <c r="F757" s="282"/>
      <c r="G757" s="20"/>
      <c r="H757" s="20"/>
      <c r="I757" s="20"/>
      <c r="J757" s="20"/>
      <c r="K757" s="20"/>
      <c r="L757" s="20"/>
      <c r="M757" s="20"/>
      <c r="N757" s="20"/>
      <c r="O757" s="20"/>
      <c r="P757" s="20"/>
      <c r="Q757" s="20"/>
      <c r="R757" s="20"/>
      <c r="S757" s="188"/>
      <c r="T757" s="188"/>
      <c r="U757" s="188"/>
      <c r="V757" s="188"/>
      <c r="W757" s="20"/>
      <c r="X757" s="20"/>
      <c r="Y757" s="20"/>
      <c r="Z757" s="20"/>
      <c r="AA757" s="20"/>
      <c r="AB757" s="20"/>
    </row>
    <row r="758">
      <c r="A758" s="20"/>
      <c r="B758" s="20"/>
      <c r="C758" s="20"/>
      <c r="D758" s="20"/>
      <c r="E758" s="20"/>
      <c r="F758" s="282"/>
      <c r="G758" s="20"/>
      <c r="H758" s="20"/>
      <c r="I758" s="20"/>
      <c r="J758" s="20"/>
      <c r="K758" s="20"/>
      <c r="L758" s="20"/>
      <c r="M758" s="20"/>
      <c r="N758" s="20"/>
      <c r="O758" s="20"/>
      <c r="P758" s="20"/>
      <c r="Q758" s="20"/>
      <c r="R758" s="20"/>
      <c r="S758" s="188"/>
      <c r="T758" s="188"/>
      <c r="U758" s="188"/>
      <c r="V758" s="188"/>
      <c r="W758" s="20"/>
      <c r="X758" s="20"/>
      <c r="Y758" s="20"/>
      <c r="Z758" s="20"/>
      <c r="AA758" s="20"/>
      <c r="AB758" s="20"/>
    </row>
    <row r="759">
      <c r="A759" s="20"/>
      <c r="B759" s="20"/>
      <c r="C759" s="20"/>
      <c r="D759" s="20"/>
      <c r="E759" s="20"/>
      <c r="F759" s="282"/>
      <c r="G759" s="20"/>
      <c r="H759" s="20"/>
      <c r="I759" s="20"/>
      <c r="J759" s="20"/>
      <c r="K759" s="20"/>
      <c r="L759" s="20"/>
      <c r="M759" s="20"/>
      <c r="N759" s="20"/>
      <c r="O759" s="20"/>
      <c r="P759" s="20"/>
      <c r="Q759" s="20"/>
      <c r="R759" s="20"/>
      <c r="S759" s="188"/>
      <c r="T759" s="188"/>
      <c r="U759" s="188"/>
      <c r="V759" s="188"/>
      <c r="W759" s="20"/>
      <c r="X759" s="20"/>
      <c r="Y759" s="20"/>
      <c r="Z759" s="20"/>
      <c r="AA759" s="20"/>
      <c r="AB759" s="20"/>
    </row>
    <row r="760">
      <c r="A760" s="20"/>
      <c r="B760" s="20"/>
      <c r="C760" s="20"/>
      <c r="D760" s="20"/>
      <c r="E760" s="20"/>
      <c r="F760" s="282"/>
      <c r="G760" s="20"/>
      <c r="H760" s="20"/>
      <c r="I760" s="20"/>
      <c r="J760" s="20"/>
      <c r="K760" s="20"/>
      <c r="L760" s="20"/>
      <c r="M760" s="20"/>
      <c r="N760" s="20"/>
      <c r="O760" s="20"/>
      <c r="P760" s="20"/>
      <c r="Q760" s="20"/>
      <c r="R760" s="20"/>
      <c r="S760" s="188"/>
      <c r="T760" s="188"/>
      <c r="U760" s="188"/>
      <c r="V760" s="188"/>
      <c r="W760" s="20"/>
      <c r="X760" s="20"/>
      <c r="Y760" s="20"/>
      <c r="Z760" s="20"/>
      <c r="AA760" s="20"/>
      <c r="AB760" s="20"/>
    </row>
    <row r="761">
      <c r="A761" s="20"/>
      <c r="B761" s="20"/>
      <c r="C761" s="20"/>
      <c r="D761" s="20"/>
      <c r="E761" s="20"/>
      <c r="F761" s="282"/>
      <c r="G761" s="20"/>
      <c r="H761" s="20"/>
      <c r="I761" s="20"/>
      <c r="J761" s="20"/>
      <c r="K761" s="20"/>
      <c r="L761" s="20"/>
      <c r="M761" s="20"/>
      <c r="N761" s="20"/>
      <c r="O761" s="20"/>
      <c r="P761" s="20"/>
      <c r="Q761" s="20"/>
      <c r="R761" s="20"/>
      <c r="S761" s="188"/>
      <c r="T761" s="188"/>
      <c r="U761" s="188"/>
      <c r="V761" s="188"/>
      <c r="W761" s="20"/>
      <c r="X761" s="20"/>
      <c r="Y761" s="20"/>
      <c r="Z761" s="20"/>
      <c r="AA761" s="20"/>
      <c r="AB761" s="20"/>
    </row>
    <row r="762">
      <c r="A762" s="20"/>
      <c r="B762" s="20"/>
      <c r="C762" s="20"/>
      <c r="D762" s="20"/>
      <c r="E762" s="20"/>
      <c r="F762" s="282"/>
      <c r="G762" s="20"/>
      <c r="H762" s="20"/>
      <c r="I762" s="20"/>
      <c r="J762" s="20"/>
      <c r="K762" s="20"/>
      <c r="L762" s="20"/>
      <c r="M762" s="20"/>
      <c r="N762" s="20"/>
      <c r="O762" s="20"/>
      <c r="P762" s="20"/>
      <c r="Q762" s="20"/>
      <c r="R762" s="20"/>
      <c r="S762" s="188"/>
      <c r="T762" s="188"/>
      <c r="U762" s="188"/>
      <c r="V762" s="188"/>
      <c r="W762" s="20"/>
      <c r="X762" s="20"/>
      <c r="Y762" s="20"/>
      <c r="Z762" s="20"/>
      <c r="AA762" s="20"/>
      <c r="AB762" s="20"/>
    </row>
    <row r="763">
      <c r="A763" s="20"/>
      <c r="B763" s="20"/>
      <c r="C763" s="20"/>
      <c r="D763" s="20"/>
      <c r="E763" s="20"/>
      <c r="F763" s="282"/>
      <c r="G763" s="20"/>
      <c r="H763" s="20"/>
      <c r="I763" s="20"/>
      <c r="J763" s="20"/>
      <c r="K763" s="20"/>
      <c r="L763" s="20"/>
      <c r="M763" s="20"/>
      <c r="N763" s="20"/>
      <c r="O763" s="20"/>
      <c r="P763" s="20"/>
      <c r="Q763" s="20"/>
      <c r="R763" s="20"/>
      <c r="S763" s="188"/>
      <c r="T763" s="188"/>
      <c r="U763" s="188"/>
      <c r="V763" s="188"/>
      <c r="W763" s="20"/>
      <c r="X763" s="20"/>
      <c r="Y763" s="20"/>
      <c r="Z763" s="20"/>
      <c r="AA763" s="20"/>
      <c r="AB763" s="20"/>
    </row>
    <row r="764">
      <c r="A764" s="20"/>
      <c r="B764" s="20"/>
      <c r="C764" s="20"/>
      <c r="D764" s="20"/>
      <c r="E764" s="20"/>
      <c r="F764" s="282"/>
      <c r="G764" s="20"/>
      <c r="H764" s="20"/>
      <c r="I764" s="20"/>
      <c r="J764" s="20"/>
      <c r="K764" s="20"/>
      <c r="L764" s="20"/>
      <c r="M764" s="20"/>
      <c r="N764" s="20"/>
      <c r="O764" s="20"/>
      <c r="P764" s="20"/>
      <c r="Q764" s="20"/>
      <c r="R764" s="20"/>
      <c r="S764" s="188"/>
      <c r="T764" s="188"/>
      <c r="U764" s="188"/>
      <c r="V764" s="188"/>
      <c r="W764" s="20"/>
      <c r="X764" s="20"/>
      <c r="Y764" s="20"/>
      <c r="Z764" s="20"/>
      <c r="AA764" s="20"/>
      <c r="AB764" s="20"/>
    </row>
    <row r="765">
      <c r="A765" s="20"/>
      <c r="B765" s="20"/>
      <c r="C765" s="20"/>
      <c r="D765" s="20"/>
      <c r="E765" s="20"/>
      <c r="F765" s="282"/>
      <c r="G765" s="20"/>
      <c r="H765" s="20"/>
      <c r="I765" s="20"/>
      <c r="J765" s="20"/>
      <c r="K765" s="20"/>
      <c r="L765" s="20"/>
      <c r="M765" s="20"/>
      <c r="N765" s="20"/>
      <c r="O765" s="20"/>
      <c r="P765" s="20"/>
      <c r="Q765" s="20"/>
      <c r="R765" s="20"/>
      <c r="S765" s="188"/>
      <c r="T765" s="188"/>
      <c r="U765" s="188"/>
      <c r="V765" s="188"/>
      <c r="W765" s="20"/>
      <c r="X765" s="20"/>
      <c r="Y765" s="20"/>
      <c r="Z765" s="20"/>
      <c r="AA765" s="20"/>
      <c r="AB765" s="20"/>
    </row>
    <row r="766">
      <c r="A766" s="20"/>
      <c r="B766" s="20"/>
      <c r="C766" s="20"/>
      <c r="D766" s="20"/>
      <c r="E766" s="20"/>
      <c r="F766" s="282"/>
      <c r="G766" s="20"/>
      <c r="H766" s="20"/>
      <c r="I766" s="20"/>
      <c r="J766" s="20"/>
      <c r="K766" s="20"/>
      <c r="L766" s="20"/>
      <c r="M766" s="20"/>
      <c r="N766" s="20"/>
      <c r="O766" s="20"/>
      <c r="P766" s="20"/>
      <c r="Q766" s="20"/>
      <c r="R766" s="20"/>
      <c r="S766" s="188"/>
      <c r="T766" s="188"/>
      <c r="U766" s="188"/>
      <c r="V766" s="188"/>
      <c r="W766" s="20"/>
      <c r="X766" s="20"/>
      <c r="Y766" s="20"/>
      <c r="Z766" s="20"/>
      <c r="AA766" s="20"/>
      <c r="AB766" s="20"/>
    </row>
    <row r="767">
      <c r="A767" s="20"/>
      <c r="B767" s="20"/>
      <c r="C767" s="20"/>
      <c r="D767" s="20"/>
      <c r="E767" s="20"/>
      <c r="F767" s="282"/>
      <c r="G767" s="20"/>
      <c r="H767" s="20"/>
      <c r="I767" s="20"/>
      <c r="J767" s="20"/>
      <c r="K767" s="20"/>
      <c r="L767" s="20"/>
      <c r="M767" s="20"/>
      <c r="N767" s="20"/>
      <c r="O767" s="20"/>
      <c r="P767" s="20"/>
      <c r="Q767" s="20"/>
      <c r="R767" s="20"/>
      <c r="S767" s="188"/>
      <c r="T767" s="188"/>
      <c r="U767" s="188"/>
      <c r="V767" s="188"/>
      <c r="W767" s="20"/>
      <c r="X767" s="20"/>
      <c r="Y767" s="20"/>
      <c r="Z767" s="20"/>
      <c r="AA767" s="20"/>
      <c r="AB767" s="20"/>
    </row>
    <row r="768">
      <c r="A768" s="20"/>
      <c r="B768" s="20"/>
      <c r="C768" s="20"/>
      <c r="D768" s="20"/>
      <c r="E768" s="20"/>
      <c r="F768" s="282"/>
      <c r="G768" s="20"/>
      <c r="H768" s="20"/>
      <c r="I768" s="20"/>
      <c r="J768" s="20"/>
      <c r="K768" s="20"/>
      <c r="L768" s="20"/>
      <c r="M768" s="20"/>
      <c r="N768" s="20"/>
      <c r="O768" s="20"/>
      <c r="P768" s="20"/>
      <c r="Q768" s="20"/>
      <c r="R768" s="20"/>
      <c r="S768" s="188"/>
      <c r="T768" s="188"/>
      <c r="U768" s="188"/>
      <c r="V768" s="188"/>
      <c r="W768" s="20"/>
      <c r="X768" s="20"/>
      <c r="Y768" s="20"/>
      <c r="Z768" s="20"/>
      <c r="AA768" s="20"/>
      <c r="AB768" s="20"/>
    </row>
    <row r="769">
      <c r="A769" s="20"/>
      <c r="B769" s="20"/>
      <c r="C769" s="20"/>
      <c r="D769" s="20"/>
      <c r="E769" s="20"/>
      <c r="F769" s="282"/>
      <c r="G769" s="20"/>
      <c r="H769" s="20"/>
      <c r="I769" s="20"/>
      <c r="J769" s="20"/>
      <c r="K769" s="20"/>
      <c r="L769" s="20"/>
      <c r="M769" s="20"/>
      <c r="N769" s="20"/>
      <c r="O769" s="20"/>
      <c r="P769" s="20"/>
      <c r="Q769" s="20"/>
      <c r="R769" s="20"/>
      <c r="S769" s="188"/>
      <c r="T769" s="188"/>
      <c r="U769" s="188"/>
      <c r="V769" s="188"/>
      <c r="W769" s="20"/>
      <c r="X769" s="20"/>
      <c r="Y769" s="20"/>
      <c r="Z769" s="20"/>
      <c r="AA769" s="20"/>
      <c r="AB769" s="20"/>
    </row>
    <row r="770">
      <c r="A770" s="20"/>
      <c r="B770" s="20"/>
      <c r="C770" s="20"/>
      <c r="D770" s="20"/>
      <c r="E770" s="20"/>
      <c r="F770" s="282"/>
      <c r="G770" s="20"/>
      <c r="H770" s="20"/>
      <c r="I770" s="20"/>
      <c r="J770" s="20"/>
      <c r="K770" s="20"/>
      <c r="L770" s="20"/>
      <c r="M770" s="20"/>
      <c r="N770" s="20"/>
      <c r="O770" s="20"/>
      <c r="P770" s="20"/>
      <c r="Q770" s="20"/>
      <c r="R770" s="20"/>
      <c r="S770" s="188"/>
      <c r="T770" s="188"/>
      <c r="U770" s="188"/>
      <c r="V770" s="188"/>
      <c r="W770" s="20"/>
      <c r="X770" s="20"/>
      <c r="Y770" s="20"/>
      <c r="Z770" s="20"/>
      <c r="AA770" s="20"/>
      <c r="AB770" s="20"/>
    </row>
    <row r="771">
      <c r="A771" s="20"/>
      <c r="B771" s="20"/>
      <c r="C771" s="20"/>
      <c r="D771" s="20"/>
      <c r="E771" s="20"/>
      <c r="F771" s="282"/>
      <c r="G771" s="20"/>
      <c r="H771" s="20"/>
      <c r="I771" s="20"/>
      <c r="J771" s="20"/>
      <c r="K771" s="20"/>
      <c r="L771" s="20"/>
      <c r="M771" s="20"/>
      <c r="N771" s="20"/>
      <c r="O771" s="20"/>
      <c r="P771" s="20"/>
      <c r="Q771" s="20"/>
      <c r="R771" s="20"/>
      <c r="S771" s="188"/>
      <c r="T771" s="188"/>
      <c r="U771" s="188"/>
      <c r="V771" s="188"/>
      <c r="W771" s="20"/>
      <c r="X771" s="20"/>
      <c r="Y771" s="20"/>
      <c r="Z771" s="20"/>
      <c r="AA771" s="20"/>
      <c r="AB771" s="20"/>
    </row>
    <row r="772">
      <c r="A772" s="20"/>
      <c r="B772" s="20"/>
      <c r="C772" s="20"/>
      <c r="D772" s="20"/>
      <c r="E772" s="20"/>
      <c r="F772" s="282"/>
      <c r="G772" s="20"/>
      <c r="H772" s="20"/>
      <c r="I772" s="20"/>
      <c r="J772" s="20"/>
      <c r="K772" s="20"/>
      <c r="L772" s="20"/>
      <c r="M772" s="20"/>
      <c r="N772" s="20"/>
      <c r="O772" s="20"/>
      <c r="P772" s="20"/>
      <c r="Q772" s="20"/>
      <c r="R772" s="20"/>
      <c r="S772" s="188"/>
      <c r="T772" s="188"/>
      <c r="U772" s="188"/>
      <c r="V772" s="188"/>
      <c r="W772" s="20"/>
      <c r="X772" s="20"/>
      <c r="Y772" s="20"/>
      <c r="Z772" s="20"/>
      <c r="AA772" s="20"/>
      <c r="AB772" s="20"/>
    </row>
    <row r="773">
      <c r="A773" s="20"/>
      <c r="B773" s="20"/>
      <c r="C773" s="20"/>
      <c r="D773" s="20"/>
      <c r="E773" s="20"/>
      <c r="F773" s="282"/>
      <c r="G773" s="20"/>
      <c r="H773" s="20"/>
      <c r="I773" s="20"/>
      <c r="J773" s="20"/>
      <c r="K773" s="20"/>
      <c r="L773" s="20"/>
      <c r="M773" s="20"/>
      <c r="N773" s="20"/>
      <c r="O773" s="20"/>
      <c r="P773" s="20"/>
      <c r="Q773" s="20"/>
      <c r="R773" s="20"/>
      <c r="S773" s="188"/>
      <c r="T773" s="188"/>
      <c r="U773" s="188"/>
      <c r="V773" s="188"/>
      <c r="W773" s="20"/>
      <c r="X773" s="20"/>
      <c r="Y773" s="20"/>
      <c r="Z773" s="20"/>
      <c r="AA773" s="20"/>
      <c r="AB773" s="20"/>
    </row>
    <row r="774">
      <c r="A774" s="20"/>
      <c r="B774" s="20"/>
      <c r="C774" s="20"/>
      <c r="D774" s="20"/>
      <c r="E774" s="20"/>
      <c r="F774" s="282"/>
      <c r="G774" s="20"/>
      <c r="H774" s="20"/>
      <c r="I774" s="20"/>
      <c r="J774" s="20"/>
      <c r="K774" s="20"/>
      <c r="L774" s="20"/>
      <c r="M774" s="20"/>
      <c r="N774" s="20"/>
      <c r="O774" s="20"/>
      <c r="P774" s="20"/>
      <c r="Q774" s="20"/>
      <c r="R774" s="20"/>
      <c r="S774" s="188"/>
      <c r="T774" s="188"/>
      <c r="U774" s="188"/>
      <c r="V774" s="188"/>
      <c r="W774" s="20"/>
      <c r="X774" s="20"/>
      <c r="Y774" s="20"/>
      <c r="Z774" s="20"/>
      <c r="AA774" s="20"/>
      <c r="AB774" s="20"/>
    </row>
    <row r="775">
      <c r="A775" s="20"/>
      <c r="B775" s="20"/>
      <c r="C775" s="20"/>
      <c r="D775" s="20"/>
      <c r="E775" s="20"/>
      <c r="F775" s="282"/>
      <c r="G775" s="20"/>
      <c r="H775" s="20"/>
      <c r="I775" s="20"/>
      <c r="J775" s="20"/>
      <c r="K775" s="20"/>
      <c r="L775" s="20"/>
      <c r="M775" s="20"/>
      <c r="N775" s="20"/>
      <c r="O775" s="20"/>
      <c r="P775" s="20"/>
      <c r="Q775" s="20"/>
      <c r="R775" s="20"/>
      <c r="S775" s="188"/>
      <c r="T775" s="188"/>
      <c r="U775" s="188"/>
      <c r="V775" s="188"/>
      <c r="W775" s="20"/>
      <c r="X775" s="20"/>
      <c r="Y775" s="20"/>
      <c r="Z775" s="20"/>
      <c r="AA775" s="20"/>
      <c r="AB775" s="20"/>
    </row>
    <row r="776">
      <c r="A776" s="20"/>
      <c r="B776" s="20"/>
      <c r="C776" s="20"/>
      <c r="D776" s="20"/>
      <c r="E776" s="20"/>
      <c r="F776" s="282"/>
      <c r="G776" s="20"/>
      <c r="H776" s="20"/>
      <c r="I776" s="20"/>
      <c r="J776" s="20"/>
      <c r="K776" s="20"/>
      <c r="L776" s="20"/>
      <c r="M776" s="20"/>
      <c r="N776" s="20"/>
      <c r="O776" s="20"/>
      <c r="P776" s="20"/>
      <c r="Q776" s="20"/>
      <c r="R776" s="20"/>
      <c r="S776" s="188"/>
      <c r="T776" s="188"/>
      <c r="U776" s="188"/>
      <c r="V776" s="188"/>
      <c r="W776" s="20"/>
      <c r="X776" s="20"/>
      <c r="Y776" s="20"/>
      <c r="Z776" s="20"/>
      <c r="AA776" s="20"/>
      <c r="AB776" s="20"/>
    </row>
    <row r="777">
      <c r="A777" s="20"/>
      <c r="B777" s="20"/>
      <c r="C777" s="20"/>
      <c r="D777" s="20"/>
      <c r="E777" s="20"/>
      <c r="F777" s="282"/>
      <c r="G777" s="20"/>
      <c r="H777" s="20"/>
      <c r="I777" s="20"/>
      <c r="J777" s="20"/>
      <c r="K777" s="20"/>
      <c r="L777" s="20"/>
      <c r="M777" s="20"/>
      <c r="N777" s="20"/>
      <c r="O777" s="20"/>
      <c r="P777" s="20"/>
      <c r="Q777" s="20"/>
      <c r="R777" s="20"/>
      <c r="S777" s="188"/>
      <c r="T777" s="188"/>
      <c r="U777" s="188"/>
      <c r="V777" s="188"/>
      <c r="W777" s="20"/>
      <c r="X777" s="20"/>
      <c r="Y777" s="20"/>
      <c r="Z777" s="20"/>
      <c r="AA777" s="20"/>
      <c r="AB777" s="20"/>
    </row>
    <row r="778">
      <c r="A778" s="20"/>
      <c r="B778" s="20"/>
      <c r="C778" s="20"/>
      <c r="D778" s="20"/>
      <c r="E778" s="20"/>
      <c r="F778" s="282"/>
      <c r="G778" s="20"/>
      <c r="H778" s="20"/>
      <c r="I778" s="20"/>
      <c r="J778" s="20"/>
      <c r="K778" s="20"/>
      <c r="L778" s="20"/>
      <c r="M778" s="20"/>
      <c r="N778" s="20"/>
      <c r="O778" s="20"/>
      <c r="P778" s="20"/>
      <c r="Q778" s="20"/>
      <c r="R778" s="20"/>
      <c r="S778" s="188"/>
      <c r="T778" s="188"/>
      <c r="U778" s="188"/>
      <c r="V778" s="188"/>
      <c r="W778" s="20"/>
      <c r="X778" s="20"/>
      <c r="Y778" s="20"/>
      <c r="Z778" s="20"/>
      <c r="AA778" s="20"/>
      <c r="AB778" s="20"/>
    </row>
    <row r="779">
      <c r="A779" s="20"/>
      <c r="B779" s="20"/>
      <c r="C779" s="20"/>
      <c r="D779" s="20"/>
      <c r="E779" s="20"/>
      <c r="F779" s="282"/>
      <c r="G779" s="20"/>
      <c r="H779" s="20"/>
      <c r="I779" s="20"/>
      <c r="J779" s="20"/>
      <c r="K779" s="20"/>
      <c r="L779" s="20"/>
      <c r="M779" s="20"/>
      <c r="N779" s="20"/>
      <c r="O779" s="20"/>
      <c r="P779" s="20"/>
      <c r="Q779" s="20"/>
      <c r="R779" s="20"/>
      <c r="S779" s="188"/>
      <c r="T779" s="188"/>
      <c r="U779" s="188"/>
      <c r="V779" s="188"/>
      <c r="W779" s="20"/>
      <c r="X779" s="20"/>
      <c r="Y779" s="20"/>
      <c r="Z779" s="20"/>
      <c r="AA779" s="20"/>
      <c r="AB779" s="20"/>
    </row>
    <row r="780">
      <c r="A780" s="20"/>
      <c r="B780" s="20"/>
      <c r="C780" s="20"/>
      <c r="D780" s="20"/>
      <c r="E780" s="20"/>
      <c r="F780" s="282"/>
      <c r="G780" s="20"/>
      <c r="H780" s="20"/>
      <c r="I780" s="20"/>
      <c r="J780" s="20"/>
      <c r="K780" s="20"/>
      <c r="L780" s="20"/>
      <c r="M780" s="20"/>
      <c r="N780" s="20"/>
      <c r="O780" s="20"/>
      <c r="P780" s="20"/>
      <c r="Q780" s="20"/>
      <c r="R780" s="20"/>
      <c r="S780" s="188"/>
      <c r="T780" s="188"/>
      <c r="U780" s="188"/>
      <c r="V780" s="188"/>
      <c r="W780" s="20"/>
      <c r="X780" s="20"/>
      <c r="Y780" s="20"/>
      <c r="Z780" s="20"/>
      <c r="AA780" s="20"/>
      <c r="AB780" s="20"/>
    </row>
    <row r="781">
      <c r="A781" s="20"/>
      <c r="B781" s="20"/>
      <c r="C781" s="20"/>
      <c r="D781" s="20"/>
      <c r="E781" s="20"/>
      <c r="F781" s="282"/>
      <c r="G781" s="20"/>
      <c r="H781" s="20"/>
      <c r="I781" s="20"/>
      <c r="J781" s="20"/>
      <c r="K781" s="20"/>
      <c r="L781" s="20"/>
      <c r="M781" s="20"/>
      <c r="N781" s="20"/>
      <c r="O781" s="20"/>
      <c r="P781" s="20"/>
      <c r="Q781" s="20"/>
      <c r="R781" s="20"/>
      <c r="S781" s="188"/>
      <c r="T781" s="188"/>
      <c r="U781" s="188"/>
      <c r="V781" s="188"/>
      <c r="W781" s="20"/>
      <c r="X781" s="20"/>
      <c r="Y781" s="20"/>
      <c r="Z781" s="20"/>
      <c r="AA781" s="20"/>
      <c r="AB781" s="20"/>
    </row>
    <row r="782">
      <c r="A782" s="20"/>
      <c r="B782" s="20"/>
      <c r="C782" s="20"/>
      <c r="D782" s="20"/>
      <c r="E782" s="20"/>
      <c r="F782" s="282"/>
      <c r="G782" s="20"/>
      <c r="H782" s="20"/>
      <c r="I782" s="20"/>
      <c r="J782" s="20"/>
      <c r="K782" s="20"/>
      <c r="L782" s="20"/>
      <c r="M782" s="20"/>
      <c r="N782" s="20"/>
      <c r="O782" s="20"/>
      <c r="P782" s="20"/>
      <c r="Q782" s="20"/>
      <c r="R782" s="20"/>
      <c r="S782" s="188"/>
      <c r="T782" s="188"/>
      <c r="U782" s="188"/>
      <c r="V782" s="188"/>
      <c r="W782" s="20"/>
      <c r="X782" s="20"/>
      <c r="Y782" s="20"/>
      <c r="Z782" s="20"/>
      <c r="AA782" s="20"/>
      <c r="AB782" s="20"/>
    </row>
    <row r="783">
      <c r="A783" s="20"/>
      <c r="B783" s="20"/>
      <c r="C783" s="20"/>
      <c r="D783" s="20"/>
      <c r="E783" s="20"/>
      <c r="F783" s="282"/>
      <c r="G783" s="20"/>
      <c r="H783" s="20"/>
      <c r="I783" s="20"/>
      <c r="J783" s="20"/>
      <c r="K783" s="20"/>
      <c r="L783" s="20"/>
      <c r="M783" s="20"/>
      <c r="N783" s="20"/>
      <c r="O783" s="20"/>
      <c r="P783" s="20"/>
      <c r="Q783" s="20"/>
      <c r="R783" s="20"/>
      <c r="S783" s="188"/>
      <c r="T783" s="188"/>
      <c r="U783" s="188"/>
      <c r="V783" s="188"/>
      <c r="W783" s="20"/>
      <c r="X783" s="20"/>
      <c r="Y783" s="20"/>
      <c r="Z783" s="20"/>
      <c r="AA783" s="20"/>
      <c r="AB783" s="20"/>
    </row>
    <row r="784">
      <c r="A784" s="20"/>
      <c r="B784" s="20"/>
      <c r="C784" s="20"/>
      <c r="D784" s="20"/>
      <c r="E784" s="20"/>
      <c r="F784" s="282"/>
      <c r="G784" s="20"/>
      <c r="H784" s="20"/>
      <c r="I784" s="20"/>
      <c r="J784" s="20"/>
      <c r="K784" s="20"/>
      <c r="L784" s="20"/>
      <c r="M784" s="20"/>
      <c r="N784" s="20"/>
      <c r="O784" s="20"/>
      <c r="P784" s="20"/>
      <c r="Q784" s="20"/>
      <c r="R784" s="20"/>
      <c r="S784" s="188"/>
      <c r="T784" s="188"/>
      <c r="U784" s="188"/>
      <c r="V784" s="188"/>
      <c r="W784" s="20"/>
      <c r="X784" s="20"/>
      <c r="Y784" s="20"/>
      <c r="Z784" s="20"/>
      <c r="AA784" s="20"/>
      <c r="AB784" s="20"/>
    </row>
    <row r="785">
      <c r="A785" s="20"/>
      <c r="B785" s="20"/>
      <c r="C785" s="20"/>
      <c r="D785" s="20"/>
      <c r="E785" s="20"/>
      <c r="F785" s="282"/>
      <c r="G785" s="20"/>
      <c r="H785" s="20"/>
      <c r="I785" s="20"/>
      <c r="J785" s="20"/>
      <c r="K785" s="20"/>
      <c r="L785" s="20"/>
      <c r="M785" s="20"/>
      <c r="N785" s="20"/>
      <c r="O785" s="20"/>
      <c r="P785" s="20"/>
      <c r="Q785" s="20"/>
      <c r="R785" s="20"/>
      <c r="S785" s="188"/>
      <c r="T785" s="188"/>
      <c r="U785" s="188"/>
      <c r="V785" s="188"/>
      <c r="W785" s="20"/>
      <c r="X785" s="20"/>
      <c r="Y785" s="20"/>
      <c r="Z785" s="20"/>
      <c r="AA785" s="20"/>
      <c r="AB785" s="20"/>
    </row>
    <row r="786">
      <c r="A786" s="20"/>
      <c r="B786" s="20"/>
      <c r="C786" s="20"/>
      <c r="D786" s="20"/>
      <c r="E786" s="20"/>
      <c r="F786" s="282"/>
      <c r="G786" s="20"/>
      <c r="H786" s="20"/>
      <c r="I786" s="20"/>
      <c r="J786" s="20"/>
      <c r="K786" s="20"/>
      <c r="L786" s="20"/>
      <c r="M786" s="20"/>
      <c r="N786" s="20"/>
      <c r="O786" s="20"/>
      <c r="P786" s="20"/>
      <c r="Q786" s="20"/>
      <c r="R786" s="20"/>
      <c r="S786" s="188"/>
      <c r="T786" s="188"/>
      <c r="U786" s="188"/>
      <c r="V786" s="188"/>
      <c r="W786" s="20"/>
      <c r="X786" s="20"/>
      <c r="Y786" s="20"/>
      <c r="Z786" s="20"/>
      <c r="AA786" s="20"/>
      <c r="AB786" s="20"/>
    </row>
    <row r="787">
      <c r="A787" s="20"/>
      <c r="B787" s="20"/>
      <c r="C787" s="20"/>
      <c r="D787" s="20"/>
      <c r="E787" s="20"/>
      <c r="F787" s="282"/>
      <c r="G787" s="20"/>
      <c r="H787" s="20"/>
      <c r="I787" s="20"/>
      <c r="J787" s="20"/>
      <c r="K787" s="20"/>
      <c r="L787" s="20"/>
      <c r="M787" s="20"/>
      <c r="N787" s="20"/>
      <c r="O787" s="20"/>
      <c r="P787" s="20"/>
      <c r="Q787" s="20"/>
      <c r="R787" s="20"/>
      <c r="S787" s="188"/>
      <c r="T787" s="188"/>
      <c r="U787" s="188"/>
      <c r="V787" s="188"/>
      <c r="W787" s="20"/>
      <c r="X787" s="20"/>
      <c r="Y787" s="20"/>
      <c r="Z787" s="20"/>
      <c r="AA787" s="20"/>
      <c r="AB787" s="20"/>
    </row>
    <row r="788">
      <c r="A788" s="20"/>
      <c r="B788" s="20"/>
      <c r="C788" s="20"/>
      <c r="D788" s="20"/>
      <c r="E788" s="20"/>
      <c r="F788" s="282"/>
      <c r="G788" s="20"/>
      <c r="H788" s="20"/>
      <c r="I788" s="20"/>
      <c r="J788" s="20"/>
      <c r="K788" s="20"/>
      <c r="L788" s="20"/>
      <c r="M788" s="20"/>
      <c r="N788" s="20"/>
      <c r="O788" s="20"/>
      <c r="P788" s="20"/>
      <c r="Q788" s="20"/>
      <c r="R788" s="20"/>
      <c r="S788" s="188"/>
      <c r="T788" s="188"/>
      <c r="U788" s="188"/>
      <c r="V788" s="188"/>
      <c r="W788" s="20"/>
      <c r="X788" s="20"/>
      <c r="Y788" s="20"/>
      <c r="Z788" s="20"/>
      <c r="AA788" s="20"/>
      <c r="AB788" s="20"/>
    </row>
    <row r="789">
      <c r="A789" s="20"/>
      <c r="B789" s="20"/>
      <c r="C789" s="20"/>
      <c r="D789" s="20"/>
      <c r="E789" s="20"/>
      <c r="F789" s="282"/>
      <c r="G789" s="20"/>
      <c r="H789" s="20"/>
      <c r="I789" s="20"/>
      <c r="J789" s="20"/>
      <c r="K789" s="20"/>
      <c r="L789" s="20"/>
      <c r="M789" s="20"/>
      <c r="N789" s="20"/>
      <c r="O789" s="20"/>
      <c r="P789" s="20"/>
      <c r="Q789" s="20"/>
      <c r="R789" s="20"/>
      <c r="S789" s="188"/>
      <c r="T789" s="188"/>
      <c r="U789" s="188"/>
      <c r="V789" s="188"/>
      <c r="W789" s="20"/>
      <c r="X789" s="20"/>
      <c r="Y789" s="20"/>
      <c r="Z789" s="20"/>
      <c r="AA789" s="20"/>
      <c r="AB789" s="20"/>
    </row>
    <row r="790">
      <c r="A790" s="20"/>
      <c r="B790" s="20"/>
      <c r="C790" s="20"/>
      <c r="D790" s="20"/>
      <c r="E790" s="20"/>
      <c r="F790" s="282"/>
      <c r="G790" s="20"/>
      <c r="H790" s="20"/>
      <c r="I790" s="20"/>
      <c r="J790" s="20"/>
      <c r="K790" s="20"/>
      <c r="L790" s="20"/>
      <c r="M790" s="20"/>
      <c r="N790" s="20"/>
      <c r="O790" s="20"/>
      <c r="P790" s="20"/>
      <c r="Q790" s="20"/>
      <c r="R790" s="20"/>
      <c r="S790" s="188"/>
      <c r="T790" s="188"/>
      <c r="U790" s="188"/>
      <c r="V790" s="188"/>
      <c r="W790" s="20"/>
      <c r="X790" s="20"/>
      <c r="Y790" s="20"/>
      <c r="Z790" s="20"/>
      <c r="AA790" s="20"/>
      <c r="AB790" s="20"/>
    </row>
    <row r="791">
      <c r="A791" s="20"/>
      <c r="B791" s="20"/>
      <c r="C791" s="20"/>
      <c r="D791" s="20"/>
      <c r="E791" s="20"/>
      <c r="F791" s="282"/>
      <c r="G791" s="20"/>
      <c r="H791" s="20"/>
      <c r="I791" s="20"/>
      <c r="J791" s="20"/>
      <c r="K791" s="20"/>
      <c r="L791" s="20"/>
      <c r="M791" s="20"/>
      <c r="N791" s="20"/>
      <c r="O791" s="20"/>
      <c r="P791" s="20"/>
      <c r="Q791" s="20"/>
      <c r="R791" s="20"/>
      <c r="S791" s="188"/>
      <c r="T791" s="188"/>
      <c r="U791" s="188"/>
      <c r="V791" s="188"/>
      <c r="W791" s="20"/>
      <c r="X791" s="20"/>
      <c r="Y791" s="20"/>
      <c r="Z791" s="20"/>
      <c r="AA791" s="20"/>
      <c r="AB791" s="20"/>
    </row>
    <row r="792">
      <c r="A792" s="20"/>
      <c r="B792" s="20"/>
      <c r="C792" s="20"/>
      <c r="D792" s="20"/>
      <c r="E792" s="20"/>
      <c r="F792" s="282"/>
      <c r="G792" s="20"/>
      <c r="H792" s="20"/>
      <c r="I792" s="20"/>
      <c r="J792" s="20"/>
      <c r="K792" s="20"/>
      <c r="L792" s="20"/>
      <c r="M792" s="20"/>
      <c r="N792" s="20"/>
      <c r="O792" s="20"/>
      <c r="P792" s="20"/>
      <c r="Q792" s="20"/>
      <c r="R792" s="20"/>
      <c r="S792" s="188"/>
      <c r="T792" s="188"/>
      <c r="U792" s="188"/>
      <c r="V792" s="188"/>
      <c r="W792" s="20"/>
      <c r="X792" s="20"/>
      <c r="Y792" s="20"/>
      <c r="Z792" s="20"/>
      <c r="AA792" s="20"/>
      <c r="AB792" s="20"/>
    </row>
    <row r="793">
      <c r="A793" s="20"/>
      <c r="B793" s="20"/>
      <c r="C793" s="20"/>
      <c r="D793" s="20"/>
      <c r="E793" s="20"/>
      <c r="F793" s="282"/>
      <c r="G793" s="20"/>
      <c r="H793" s="20"/>
      <c r="I793" s="20"/>
      <c r="J793" s="20"/>
      <c r="K793" s="20"/>
      <c r="L793" s="20"/>
      <c r="M793" s="20"/>
      <c r="N793" s="20"/>
      <c r="O793" s="20"/>
      <c r="P793" s="20"/>
      <c r="Q793" s="20"/>
      <c r="R793" s="20"/>
      <c r="S793" s="188"/>
      <c r="T793" s="188"/>
      <c r="U793" s="188"/>
      <c r="V793" s="188"/>
      <c r="W793" s="20"/>
      <c r="X793" s="20"/>
      <c r="Y793" s="20"/>
      <c r="Z793" s="20"/>
      <c r="AA793" s="20"/>
      <c r="AB793" s="20"/>
    </row>
    <row r="794">
      <c r="A794" s="20"/>
      <c r="B794" s="20"/>
      <c r="C794" s="20"/>
      <c r="D794" s="20"/>
      <c r="E794" s="20"/>
      <c r="F794" s="282"/>
      <c r="G794" s="20"/>
      <c r="H794" s="20"/>
      <c r="I794" s="20"/>
      <c r="J794" s="20"/>
      <c r="K794" s="20"/>
      <c r="L794" s="20"/>
      <c r="M794" s="20"/>
      <c r="N794" s="20"/>
      <c r="O794" s="20"/>
      <c r="P794" s="20"/>
      <c r="Q794" s="20"/>
      <c r="R794" s="20"/>
      <c r="S794" s="188"/>
      <c r="T794" s="188"/>
      <c r="U794" s="188"/>
      <c r="V794" s="188"/>
      <c r="W794" s="20"/>
      <c r="X794" s="20"/>
      <c r="Y794" s="20"/>
      <c r="Z794" s="20"/>
      <c r="AA794" s="20"/>
      <c r="AB794" s="20"/>
    </row>
    <row r="795">
      <c r="A795" s="20"/>
      <c r="B795" s="20"/>
      <c r="C795" s="20"/>
      <c r="D795" s="20"/>
      <c r="E795" s="20"/>
      <c r="F795" s="282"/>
      <c r="G795" s="20"/>
      <c r="H795" s="20"/>
      <c r="I795" s="20"/>
      <c r="J795" s="20"/>
      <c r="K795" s="20"/>
      <c r="L795" s="20"/>
      <c r="M795" s="20"/>
      <c r="N795" s="20"/>
      <c r="O795" s="20"/>
      <c r="P795" s="20"/>
      <c r="Q795" s="20"/>
      <c r="R795" s="20"/>
      <c r="S795" s="188"/>
      <c r="T795" s="188"/>
      <c r="U795" s="188"/>
      <c r="V795" s="188"/>
      <c r="W795" s="20"/>
      <c r="X795" s="20"/>
      <c r="Y795" s="20"/>
      <c r="Z795" s="20"/>
      <c r="AA795" s="20"/>
      <c r="AB795" s="20"/>
    </row>
    <row r="796">
      <c r="A796" s="20"/>
      <c r="B796" s="20"/>
      <c r="C796" s="20"/>
      <c r="D796" s="20"/>
      <c r="E796" s="20"/>
      <c r="F796" s="282"/>
      <c r="G796" s="20"/>
      <c r="H796" s="20"/>
      <c r="I796" s="20"/>
      <c r="J796" s="20"/>
      <c r="K796" s="20"/>
      <c r="L796" s="20"/>
      <c r="M796" s="20"/>
      <c r="N796" s="20"/>
      <c r="O796" s="20"/>
      <c r="P796" s="20"/>
      <c r="Q796" s="20"/>
      <c r="R796" s="20"/>
      <c r="S796" s="188"/>
      <c r="T796" s="188"/>
      <c r="U796" s="188"/>
      <c r="V796" s="188"/>
      <c r="W796" s="20"/>
      <c r="X796" s="20"/>
      <c r="Y796" s="20"/>
      <c r="Z796" s="20"/>
      <c r="AA796" s="20"/>
      <c r="AB796" s="20"/>
    </row>
    <row r="797">
      <c r="A797" s="20"/>
      <c r="B797" s="20"/>
      <c r="C797" s="20"/>
      <c r="D797" s="20"/>
      <c r="E797" s="20"/>
      <c r="F797" s="282"/>
      <c r="G797" s="20"/>
      <c r="H797" s="20"/>
      <c r="I797" s="20"/>
      <c r="J797" s="20"/>
      <c r="K797" s="20"/>
      <c r="L797" s="20"/>
      <c r="M797" s="20"/>
      <c r="N797" s="20"/>
      <c r="O797" s="20"/>
      <c r="P797" s="20"/>
      <c r="Q797" s="20"/>
      <c r="R797" s="20"/>
      <c r="S797" s="188"/>
      <c r="T797" s="188"/>
      <c r="U797" s="188"/>
      <c r="V797" s="188"/>
      <c r="W797" s="20"/>
      <c r="X797" s="20"/>
      <c r="Y797" s="20"/>
      <c r="Z797" s="20"/>
      <c r="AA797" s="20"/>
      <c r="AB797" s="20"/>
    </row>
    <row r="798">
      <c r="A798" s="20"/>
      <c r="B798" s="20"/>
      <c r="C798" s="20"/>
      <c r="D798" s="20"/>
      <c r="E798" s="20"/>
      <c r="F798" s="282"/>
      <c r="G798" s="20"/>
      <c r="H798" s="20"/>
      <c r="I798" s="20"/>
      <c r="J798" s="20"/>
      <c r="K798" s="20"/>
      <c r="L798" s="20"/>
      <c r="M798" s="20"/>
      <c r="N798" s="20"/>
      <c r="O798" s="20"/>
      <c r="P798" s="20"/>
      <c r="Q798" s="20"/>
      <c r="R798" s="20"/>
      <c r="S798" s="188"/>
      <c r="T798" s="188"/>
      <c r="U798" s="188"/>
      <c r="V798" s="188"/>
      <c r="W798" s="20"/>
      <c r="X798" s="20"/>
      <c r="Y798" s="20"/>
      <c r="Z798" s="20"/>
      <c r="AA798" s="20"/>
      <c r="AB798" s="20"/>
    </row>
    <row r="799">
      <c r="A799" s="20"/>
      <c r="B799" s="20"/>
      <c r="C799" s="20"/>
      <c r="D799" s="20"/>
      <c r="E799" s="20"/>
      <c r="F799" s="282"/>
      <c r="G799" s="20"/>
      <c r="H799" s="20"/>
      <c r="I799" s="20"/>
      <c r="J799" s="20"/>
      <c r="K799" s="20"/>
      <c r="L799" s="20"/>
      <c r="M799" s="20"/>
      <c r="N799" s="20"/>
      <c r="O799" s="20"/>
      <c r="P799" s="20"/>
      <c r="Q799" s="20"/>
      <c r="R799" s="20"/>
      <c r="S799" s="188"/>
      <c r="T799" s="188"/>
      <c r="U799" s="188"/>
      <c r="V799" s="188"/>
      <c r="W799" s="20"/>
      <c r="X799" s="20"/>
      <c r="Y799" s="20"/>
      <c r="Z799" s="20"/>
      <c r="AA799" s="20"/>
      <c r="AB799" s="20"/>
    </row>
    <row r="800">
      <c r="A800" s="20"/>
      <c r="B800" s="20"/>
      <c r="C800" s="20"/>
      <c r="D800" s="20"/>
      <c r="E800" s="20"/>
      <c r="F800" s="282"/>
      <c r="G800" s="20"/>
      <c r="H800" s="20"/>
      <c r="I800" s="20"/>
      <c r="J800" s="20"/>
      <c r="K800" s="20"/>
      <c r="L800" s="20"/>
      <c r="M800" s="20"/>
      <c r="N800" s="20"/>
      <c r="O800" s="20"/>
      <c r="P800" s="20"/>
      <c r="Q800" s="20"/>
      <c r="R800" s="20"/>
      <c r="S800" s="188"/>
      <c r="T800" s="188"/>
      <c r="U800" s="188"/>
      <c r="V800" s="188"/>
      <c r="W800" s="20"/>
      <c r="X800" s="20"/>
      <c r="Y800" s="20"/>
      <c r="Z800" s="20"/>
      <c r="AA800" s="20"/>
      <c r="AB800" s="20"/>
    </row>
    <row r="801">
      <c r="A801" s="20"/>
      <c r="B801" s="20"/>
      <c r="C801" s="20"/>
      <c r="D801" s="20"/>
      <c r="E801" s="20"/>
      <c r="F801" s="282"/>
      <c r="G801" s="20"/>
      <c r="H801" s="20"/>
      <c r="I801" s="20"/>
      <c r="J801" s="20"/>
      <c r="K801" s="20"/>
      <c r="L801" s="20"/>
      <c r="M801" s="20"/>
      <c r="N801" s="20"/>
      <c r="O801" s="20"/>
      <c r="P801" s="20"/>
      <c r="Q801" s="20"/>
      <c r="R801" s="20"/>
      <c r="S801" s="188"/>
      <c r="T801" s="188"/>
      <c r="U801" s="188"/>
      <c r="V801" s="188"/>
      <c r="W801" s="20"/>
      <c r="X801" s="20"/>
      <c r="Y801" s="20"/>
      <c r="Z801" s="20"/>
      <c r="AA801" s="20"/>
      <c r="AB801" s="20"/>
    </row>
    <row r="802">
      <c r="A802" s="20"/>
      <c r="B802" s="20"/>
      <c r="C802" s="20"/>
      <c r="D802" s="20"/>
      <c r="E802" s="20"/>
      <c r="F802" s="282"/>
      <c r="G802" s="20"/>
      <c r="H802" s="20"/>
      <c r="I802" s="20"/>
      <c r="J802" s="20"/>
      <c r="K802" s="20"/>
      <c r="L802" s="20"/>
      <c r="M802" s="20"/>
      <c r="N802" s="20"/>
      <c r="O802" s="20"/>
      <c r="P802" s="20"/>
      <c r="Q802" s="20"/>
      <c r="R802" s="20"/>
      <c r="S802" s="188"/>
      <c r="T802" s="188"/>
      <c r="U802" s="188"/>
      <c r="V802" s="188"/>
      <c r="W802" s="20"/>
      <c r="X802" s="20"/>
      <c r="Y802" s="20"/>
      <c r="Z802" s="20"/>
      <c r="AA802" s="20"/>
      <c r="AB802" s="20"/>
    </row>
    <row r="803">
      <c r="A803" s="20"/>
      <c r="B803" s="20"/>
      <c r="C803" s="20"/>
      <c r="D803" s="20"/>
      <c r="E803" s="20"/>
      <c r="F803" s="282"/>
      <c r="G803" s="20"/>
      <c r="H803" s="20"/>
      <c r="I803" s="20"/>
      <c r="J803" s="20"/>
      <c r="K803" s="20"/>
      <c r="L803" s="20"/>
      <c r="M803" s="20"/>
      <c r="N803" s="20"/>
      <c r="O803" s="20"/>
      <c r="P803" s="20"/>
      <c r="Q803" s="20"/>
      <c r="R803" s="20"/>
      <c r="S803" s="188"/>
      <c r="T803" s="188"/>
      <c r="U803" s="188"/>
      <c r="V803" s="188"/>
      <c r="W803" s="20"/>
      <c r="X803" s="20"/>
      <c r="Y803" s="20"/>
      <c r="Z803" s="20"/>
      <c r="AA803" s="20"/>
      <c r="AB803" s="20"/>
    </row>
    <row r="804">
      <c r="A804" s="20"/>
      <c r="B804" s="20"/>
      <c r="C804" s="20"/>
      <c r="D804" s="20"/>
      <c r="E804" s="20"/>
      <c r="F804" s="282"/>
      <c r="G804" s="20"/>
      <c r="H804" s="20"/>
      <c r="I804" s="20"/>
      <c r="J804" s="20"/>
      <c r="K804" s="20"/>
      <c r="L804" s="20"/>
      <c r="M804" s="20"/>
      <c r="N804" s="20"/>
      <c r="O804" s="20"/>
      <c r="P804" s="20"/>
      <c r="Q804" s="20"/>
      <c r="R804" s="20"/>
      <c r="S804" s="188"/>
      <c r="T804" s="188"/>
      <c r="U804" s="188"/>
      <c r="V804" s="188"/>
      <c r="W804" s="20"/>
      <c r="X804" s="20"/>
      <c r="Y804" s="20"/>
      <c r="Z804" s="20"/>
      <c r="AA804" s="20"/>
      <c r="AB804" s="20"/>
    </row>
    <row r="805">
      <c r="A805" s="20"/>
      <c r="B805" s="20"/>
      <c r="C805" s="20"/>
      <c r="D805" s="20"/>
      <c r="E805" s="20"/>
      <c r="F805" s="282"/>
      <c r="G805" s="20"/>
      <c r="H805" s="20"/>
      <c r="I805" s="20"/>
      <c r="J805" s="20"/>
      <c r="K805" s="20"/>
      <c r="L805" s="20"/>
      <c r="M805" s="20"/>
      <c r="N805" s="20"/>
      <c r="O805" s="20"/>
      <c r="P805" s="20"/>
      <c r="Q805" s="20"/>
      <c r="R805" s="20"/>
      <c r="S805" s="188"/>
      <c r="T805" s="188"/>
      <c r="U805" s="188"/>
      <c r="V805" s="188"/>
      <c r="W805" s="20"/>
      <c r="X805" s="20"/>
      <c r="Y805" s="20"/>
      <c r="Z805" s="20"/>
      <c r="AA805" s="20"/>
      <c r="AB805" s="20"/>
    </row>
    <row r="806">
      <c r="A806" s="20"/>
      <c r="B806" s="20"/>
      <c r="C806" s="20"/>
      <c r="D806" s="20"/>
      <c r="E806" s="20"/>
      <c r="F806" s="282"/>
      <c r="G806" s="20"/>
      <c r="H806" s="20"/>
      <c r="I806" s="20"/>
      <c r="J806" s="20"/>
      <c r="K806" s="20"/>
      <c r="L806" s="20"/>
      <c r="M806" s="20"/>
      <c r="N806" s="20"/>
      <c r="O806" s="20"/>
      <c r="P806" s="20"/>
      <c r="Q806" s="20"/>
      <c r="R806" s="20"/>
      <c r="S806" s="188"/>
      <c r="T806" s="188"/>
      <c r="U806" s="188"/>
      <c r="V806" s="188"/>
      <c r="W806" s="20"/>
      <c r="X806" s="20"/>
      <c r="Y806" s="20"/>
      <c r="Z806" s="20"/>
      <c r="AA806" s="20"/>
      <c r="AB806" s="20"/>
    </row>
    <row r="807">
      <c r="A807" s="20"/>
      <c r="B807" s="20"/>
      <c r="C807" s="20"/>
      <c r="D807" s="20"/>
      <c r="E807" s="20"/>
      <c r="F807" s="282"/>
      <c r="G807" s="20"/>
      <c r="H807" s="20"/>
      <c r="I807" s="20"/>
      <c r="J807" s="20"/>
      <c r="K807" s="20"/>
      <c r="L807" s="20"/>
      <c r="M807" s="20"/>
      <c r="N807" s="20"/>
      <c r="O807" s="20"/>
      <c r="P807" s="20"/>
      <c r="Q807" s="20"/>
      <c r="R807" s="20"/>
      <c r="S807" s="188"/>
      <c r="T807" s="188"/>
      <c r="U807" s="188"/>
      <c r="V807" s="188"/>
      <c r="W807" s="20"/>
      <c r="X807" s="20"/>
      <c r="Y807" s="20"/>
      <c r="Z807" s="20"/>
      <c r="AA807" s="20"/>
      <c r="AB807" s="20"/>
    </row>
    <row r="808">
      <c r="A808" s="20"/>
      <c r="B808" s="20"/>
      <c r="C808" s="20"/>
      <c r="D808" s="20"/>
      <c r="E808" s="20"/>
      <c r="F808" s="282"/>
      <c r="G808" s="20"/>
      <c r="H808" s="20"/>
      <c r="I808" s="20"/>
      <c r="J808" s="20"/>
      <c r="K808" s="20"/>
      <c r="L808" s="20"/>
      <c r="M808" s="20"/>
      <c r="N808" s="20"/>
      <c r="O808" s="20"/>
      <c r="P808" s="20"/>
      <c r="Q808" s="20"/>
      <c r="R808" s="20"/>
      <c r="S808" s="188"/>
      <c r="T808" s="188"/>
      <c r="U808" s="188"/>
      <c r="V808" s="188"/>
      <c r="W808" s="20"/>
      <c r="X808" s="20"/>
      <c r="Y808" s="20"/>
      <c r="Z808" s="20"/>
      <c r="AA808" s="20"/>
      <c r="AB808" s="20"/>
    </row>
    <row r="809">
      <c r="A809" s="20"/>
      <c r="B809" s="20"/>
      <c r="C809" s="20"/>
      <c r="D809" s="20"/>
      <c r="E809" s="20"/>
      <c r="F809" s="282"/>
      <c r="G809" s="20"/>
      <c r="H809" s="20"/>
      <c r="I809" s="20"/>
      <c r="J809" s="20"/>
      <c r="K809" s="20"/>
      <c r="L809" s="20"/>
      <c r="M809" s="20"/>
      <c r="N809" s="20"/>
      <c r="O809" s="20"/>
      <c r="P809" s="20"/>
      <c r="Q809" s="20"/>
      <c r="R809" s="20"/>
      <c r="S809" s="188"/>
      <c r="T809" s="188"/>
      <c r="U809" s="188"/>
      <c r="V809" s="188"/>
      <c r="W809" s="20"/>
      <c r="X809" s="20"/>
      <c r="Y809" s="20"/>
      <c r="Z809" s="20"/>
      <c r="AA809" s="20"/>
      <c r="AB809" s="20"/>
    </row>
    <row r="810">
      <c r="A810" s="20"/>
      <c r="B810" s="20"/>
      <c r="C810" s="20"/>
      <c r="D810" s="20"/>
      <c r="E810" s="20"/>
      <c r="F810" s="282"/>
      <c r="G810" s="20"/>
      <c r="H810" s="20"/>
      <c r="I810" s="20"/>
      <c r="J810" s="20"/>
      <c r="K810" s="20"/>
      <c r="L810" s="20"/>
      <c r="M810" s="20"/>
      <c r="N810" s="20"/>
      <c r="O810" s="20"/>
      <c r="P810" s="20"/>
      <c r="Q810" s="20"/>
      <c r="R810" s="20"/>
      <c r="S810" s="188"/>
      <c r="T810" s="188"/>
      <c r="U810" s="188"/>
      <c r="V810" s="188"/>
      <c r="W810" s="20"/>
      <c r="X810" s="20"/>
      <c r="Y810" s="20"/>
      <c r="Z810" s="20"/>
      <c r="AA810" s="20"/>
      <c r="AB810" s="20"/>
    </row>
    <row r="811">
      <c r="A811" s="20"/>
      <c r="B811" s="20"/>
      <c r="C811" s="20"/>
      <c r="D811" s="20"/>
      <c r="E811" s="20"/>
      <c r="F811" s="282"/>
      <c r="G811" s="20"/>
      <c r="H811" s="20"/>
      <c r="I811" s="20"/>
      <c r="J811" s="20"/>
      <c r="K811" s="20"/>
      <c r="L811" s="20"/>
      <c r="M811" s="20"/>
      <c r="N811" s="20"/>
      <c r="O811" s="20"/>
      <c r="P811" s="20"/>
      <c r="Q811" s="20"/>
      <c r="R811" s="20"/>
      <c r="S811" s="188"/>
      <c r="T811" s="188"/>
      <c r="U811" s="188"/>
      <c r="V811" s="188"/>
      <c r="W811" s="20"/>
      <c r="X811" s="20"/>
      <c r="Y811" s="20"/>
      <c r="Z811" s="20"/>
      <c r="AA811" s="20"/>
      <c r="AB811" s="20"/>
    </row>
    <row r="812">
      <c r="A812" s="20"/>
      <c r="B812" s="20"/>
      <c r="C812" s="20"/>
      <c r="D812" s="20"/>
      <c r="E812" s="20"/>
      <c r="F812" s="282"/>
      <c r="G812" s="20"/>
      <c r="H812" s="20"/>
      <c r="I812" s="20"/>
      <c r="J812" s="20"/>
      <c r="K812" s="20"/>
      <c r="L812" s="20"/>
      <c r="M812" s="20"/>
      <c r="N812" s="20"/>
      <c r="O812" s="20"/>
      <c r="P812" s="20"/>
      <c r="Q812" s="20"/>
      <c r="R812" s="20"/>
      <c r="S812" s="188"/>
      <c r="T812" s="188"/>
      <c r="U812" s="188"/>
      <c r="V812" s="188"/>
      <c r="W812" s="20"/>
      <c r="X812" s="20"/>
      <c r="Y812" s="20"/>
      <c r="Z812" s="20"/>
      <c r="AA812" s="20"/>
      <c r="AB812" s="20"/>
    </row>
    <row r="813">
      <c r="A813" s="20"/>
      <c r="B813" s="20"/>
      <c r="C813" s="20"/>
      <c r="D813" s="20"/>
      <c r="E813" s="20"/>
      <c r="F813" s="282"/>
      <c r="G813" s="20"/>
      <c r="H813" s="20"/>
      <c r="I813" s="20"/>
      <c r="J813" s="20"/>
      <c r="K813" s="20"/>
      <c r="L813" s="20"/>
      <c r="M813" s="20"/>
      <c r="N813" s="20"/>
      <c r="O813" s="20"/>
      <c r="P813" s="20"/>
      <c r="Q813" s="20"/>
      <c r="R813" s="20"/>
      <c r="S813" s="188"/>
      <c r="T813" s="188"/>
      <c r="U813" s="188"/>
      <c r="V813" s="188"/>
      <c r="W813" s="20"/>
      <c r="X813" s="20"/>
      <c r="Y813" s="20"/>
      <c r="Z813" s="20"/>
      <c r="AA813" s="20"/>
      <c r="AB813" s="20"/>
    </row>
    <row r="814">
      <c r="A814" s="20"/>
      <c r="B814" s="20"/>
      <c r="C814" s="20"/>
      <c r="D814" s="20"/>
      <c r="E814" s="20"/>
      <c r="F814" s="282"/>
      <c r="G814" s="20"/>
      <c r="H814" s="20"/>
      <c r="I814" s="20"/>
      <c r="J814" s="20"/>
      <c r="K814" s="20"/>
      <c r="L814" s="20"/>
      <c r="M814" s="20"/>
      <c r="N814" s="20"/>
      <c r="O814" s="20"/>
      <c r="P814" s="20"/>
      <c r="Q814" s="20"/>
      <c r="R814" s="20"/>
      <c r="S814" s="188"/>
      <c r="T814" s="188"/>
      <c r="U814" s="188"/>
      <c r="V814" s="188"/>
      <c r="W814" s="20"/>
      <c r="X814" s="20"/>
      <c r="Y814" s="20"/>
      <c r="Z814" s="20"/>
      <c r="AA814" s="20"/>
      <c r="AB814" s="20"/>
    </row>
    <row r="815">
      <c r="A815" s="20"/>
      <c r="B815" s="20"/>
      <c r="C815" s="20"/>
      <c r="D815" s="20"/>
      <c r="E815" s="20"/>
      <c r="F815" s="282"/>
      <c r="G815" s="20"/>
      <c r="H815" s="20"/>
      <c r="I815" s="20"/>
      <c r="J815" s="20"/>
      <c r="K815" s="20"/>
      <c r="L815" s="20"/>
      <c r="M815" s="20"/>
      <c r="N815" s="20"/>
      <c r="O815" s="20"/>
      <c r="P815" s="20"/>
      <c r="Q815" s="20"/>
      <c r="R815" s="20"/>
      <c r="S815" s="188"/>
      <c r="T815" s="188"/>
      <c r="U815" s="188"/>
      <c r="V815" s="188"/>
      <c r="W815" s="20"/>
      <c r="X815" s="20"/>
      <c r="Y815" s="20"/>
      <c r="Z815" s="20"/>
      <c r="AA815" s="20"/>
      <c r="AB815" s="20"/>
    </row>
    <row r="816">
      <c r="A816" s="20"/>
      <c r="B816" s="20"/>
      <c r="C816" s="20"/>
      <c r="D816" s="20"/>
      <c r="E816" s="20"/>
      <c r="F816" s="282"/>
      <c r="G816" s="20"/>
      <c r="H816" s="20"/>
      <c r="I816" s="20"/>
      <c r="J816" s="20"/>
      <c r="K816" s="20"/>
      <c r="L816" s="20"/>
      <c r="M816" s="20"/>
      <c r="N816" s="20"/>
      <c r="O816" s="20"/>
      <c r="P816" s="20"/>
      <c r="Q816" s="20"/>
      <c r="R816" s="20"/>
      <c r="S816" s="188"/>
      <c r="T816" s="188"/>
      <c r="U816" s="188"/>
      <c r="V816" s="188"/>
      <c r="W816" s="20"/>
      <c r="X816" s="20"/>
      <c r="Y816" s="20"/>
      <c r="Z816" s="20"/>
      <c r="AA816" s="20"/>
      <c r="AB816" s="20"/>
    </row>
    <row r="817">
      <c r="A817" s="20"/>
      <c r="B817" s="20"/>
      <c r="C817" s="20"/>
      <c r="D817" s="20"/>
      <c r="E817" s="20"/>
      <c r="F817" s="282"/>
      <c r="G817" s="20"/>
      <c r="H817" s="20"/>
      <c r="I817" s="20"/>
      <c r="J817" s="20"/>
      <c r="K817" s="20"/>
      <c r="L817" s="20"/>
      <c r="M817" s="20"/>
      <c r="N817" s="20"/>
      <c r="O817" s="20"/>
      <c r="P817" s="20"/>
      <c r="Q817" s="20"/>
      <c r="R817" s="20"/>
      <c r="S817" s="188"/>
      <c r="T817" s="188"/>
      <c r="U817" s="188"/>
      <c r="V817" s="188"/>
      <c r="W817" s="20"/>
      <c r="X817" s="20"/>
      <c r="Y817" s="20"/>
      <c r="Z817" s="20"/>
      <c r="AA817" s="20"/>
      <c r="AB817" s="20"/>
    </row>
    <row r="818">
      <c r="A818" s="20"/>
      <c r="B818" s="20"/>
      <c r="C818" s="20"/>
      <c r="D818" s="20"/>
      <c r="E818" s="20"/>
      <c r="F818" s="282"/>
      <c r="G818" s="20"/>
      <c r="H818" s="20"/>
      <c r="I818" s="20"/>
      <c r="J818" s="20"/>
      <c r="K818" s="20"/>
      <c r="L818" s="20"/>
      <c r="M818" s="20"/>
      <c r="N818" s="20"/>
      <c r="O818" s="20"/>
      <c r="P818" s="20"/>
      <c r="Q818" s="20"/>
      <c r="R818" s="20"/>
      <c r="S818" s="188"/>
      <c r="T818" s="188"/>
      <c r="U818" s="188"/>
      <c r="V818" s="188"/>
      <c r="W818" s="20"/>
      <c r="X818" s="20"/>
      <c r="Y818" s="20"/>
      <c r="Z818" s="20"/>
      <c r="AA818" s="20"/>
      <c r="AB818" s="20"/>
    </row>
    <row r="819">
      <c r="A819" s="20"/>
      <c r="B819" s="20"/>
      <c r="C819" s="20"/>
      <c r="D819" s="20"/>
      <c r="E819" s="20"/>
      <c r="F819" s="282"/>
      <c r="G819" s="20"/>
      <c r="H819" s="20"/>
      <c r="I819" s="20"/>
      <c r="J819" s="20"/>
      <c r="K819" s="20"/>
      <c r="L819" s="20"/>
      <c r="M819" s="20"/>
      <c r="N819" s="20"/>
      <c r="O819" s="20"/>
      <c r="P819" s="20"/>
      <c r="Q819" s="20"/>
      <c r="R819" s="20"/>
      <c r="S819" s="188"/>
      <c r="T819" s="188"/>
      <c r="U819" s="188"/>
      <c r="V819" s="188"/>
      <c r="W819" s="20"/>
      <c r="X819" s="20"/>
      <c r="Y819" s="20"/>
      <c r="Z819" s="20"/>
      <c r="AA819" s="20"/>
      <c r="AB819" s="20"/>
    </row>
    <row r="820">
      <c r="A820" s="20"/>
      <c r="B820" s="20"/>
      <c r="C820" s="20"/>
      <c r="D820" s="20"/>
      <c r="E820" s="20"/>
      <c r="F820" s="282"/>
      <c r="G820" s="20"/>
      <c r="H820" s="20"/>
      <c r="I820" s="20"/>
      <c r="J820" s="20"/>
      <c r="K820" s="20"/>
      <c r="L820" s="20"/>
      <c r="M820" s="20"/>
      <c r="N820" s="20"/>
      <c r="O820" s="20"/>
      <c r="P820" s="20"/>
      <c r="Q820" s="20"/>
      <c r="R820" s="20"/>
      <c r="S820" s="188"/>
      <c r="T820" s="188"/>
      <c r="U820" s="188"/>
      <c r="V820" s="188"/>
      <c r="W820" s="20"/>
      <c r="X820" s="20"/>
      <c r="Y820" s="20"/>
      <c r="Z820" s="20"/>
      <c r="AA820" s="20"/>
      <c r="AB820" s="20"/>
    </row>
    <row r="821">
      <c r="A821" s="20"/>
      <c r="B821" s="20"/>
      <c r="C821" s="20"/>
      <c r="D821" s="20"/>
      <c r="E821" s="20"/>
      <c r="F821" s="282"/>
      <c r="G821" s="20"/>
      <c r="H821" s="20"/>
      <c r="I821" s="20"/>
      <c r="J821" s="20"/>
      <c r="K821" s="20"/>
      <c r="L821" s="20"/>
      <c r="M821" s="20"/>
      <c r="N821" s="20"/>
      <c r="O821" s="20"/>
      <c r="P821" s="20"/>
      <c r="Q821" s="20"/>
      <c r="R821" s="20"/>
      <c r="S821" s="188"/>
      <c r="T821" s="188"/>
      <c r="U821" s="188"/>
      <c r="V821" s="188"/>
      <c r="W821" s="20"/>
      <c r="X821" s="20"/>
      <c r="Y821" s="20"/>
      <c r="Z821" s="20"/>
      <c r="AA821" s="20"/>
      <c r="AB821" s="20"/>
    </row>
    <row r="822">
      <c r="A822" s="20"/>
      <c r="B822" s="20"/>
      <c r="C822" s="20"/>
      <c r="D822" s="20"/>
      <c r="E822" s="20"/>
      <c r="F822" s="282"/>
      <c r="G822" s="20"/>
      <c r="H822" s="20"/>
      <c r="I822" s="20"/>
      <c r="J822" s="20"/>
      <c r="K822" s="20"/>
      <c r="L822" s="20"/>
      <c r="M822" s="20"/>
      <c r="N822" s="20"/>
      <c r="O822" s="20"/>
      <c r="P822" s="20"/>
      <c r="Q822" s="20"/>
      <c r="R822" s="20"/>
      <c r="S822" s="188"/>
      <c r="T822" s="188"/>
      <c r="U822" s="188"/>
      <c r="V822" s="188"/>
      <c r="W822" s="20"/>
      <c r="X822" s="20"/>
      <c r="Y822" s="20"/>
      <c r="Z822" s="20"/>
      <c r="AA822" s="20"/>
      <c r="AB822" s="20"/>
    </row>
    <row r="823">
      <c r="A823" s="20"/>
      <c r="B823" s="20"/>
      <c r="C823" s="20"/>
      <c r="D823" s="20"/>
      <c r="E823" s="20"/>
      <c r="F823" s="282"/>
      <c r="G823" s="20"/>
      <c r="H823" s="20"/>
      <c r="I823" s="20"/>
      <c r="J823" s="20"/>
      <c r="K823" s="20"/>
      <c r="L823" s="20"/>
      <c r="M823" s="20"/>
      <c r="N823" s="20"/>
      <c r="O823" s="20"/>
      <c r="P823" s="20"/>
      <c r="Q823" s="20"/>
      <c r="R823" s="20"/>
      <c r="S823" s="188"/>
      <c r="T823" s="188"/>
      <c r="U823" s="188"/>
      <c r="V823" s="188"/>
      <c r="W823" s="20"/>
      <c r="X823" s="20"/>
      <c r="Y823" s="20"/>
      <c r="Z823" s="20"/>
      <c r="AA823" s="20"/>
      <c r="AB823" s="20"/>
    </row>
    <row r="824">
      <c r="A824" s="20"/>
      <c r="B824" s="20"/>
      <c r="C824" s="20"/>
      <c r="D824" s="20"/>
      <c r="E824" s="20"/>
      <c r="F824" s="282"/>
      <c r="G824" s="20"/>
      <c r="H824" s="20"/>
      <c r="I824" s="20"/>
      <c r="J824" s="20"/>
      <c r="K824" s="20"/>
      <c r="L824" s="20"/>
      <c r="M824" s="20"/>
      <c r="N824" s="20"/>
      <c r="O824" s="20"/>
      <c r="P824" s="20"/>
      <c r="Q824" s="20"/>
      <c r="R824" s="20"/>
      <c r="S824" s="188"/>
      <c r="T824" s="188"/>
      <c r="U824" s="188"/>
      <c r="V824" s="188"/>
      <c r="W824" s="20"/>
      <c r="X824" s="20"/>
      <c r="Y824" s="20"/>
      <c r="Z824" s="20"/>
      <c r="AA824" s="20"/>
      <c r="AB824" s="20"/>
    </row>
    <row r="825">
      <c r="A825" s="20"/>
      <c r="B825" s="20"/>
      <c r="C825" s="20"/>
      <c r="D825" s="20"/>
      <c r="E825" s="20"/>
      <c r="F825" s="282"/>
      <c r="G825" s="20"/>
      <c r="H825" s="20"/>
      <c r="I825" s="20"/>
      <c r="J825" s="20"/>
      <c r="K825" s="20"/>
      <c r="L825" s="20"/>
      <c r="M825" s="20"/>
      <c r="N825" s="20"/>
      <c r="O825" s="20"/>
      <c r="P825" s="20"/>
      <c r="Q825" s="20"/>
      <c r="R825" s="20"/>
      <c r="S825" s="188"/>
      <c r="T825" s="188"/>
      <c r="U825" s="188"/>
      <c r="V825" s="188"/>
      <c r="W825" s="20"/>
      <c r="X825" s="20"/>
      <c r="Y825" s="20"/>
      <c r="Z825" s="20"/>
      <c r="AA825" s="20"/>
      <c r="AB825" s="20"/>
    </row>
    <row r="826">
      <c r="A826" s="20"/>
      <c r="B826" s="20"/>
      <c r="C826" s="20"/>
      <c r="D826" s="20"/>
      <c r="E826" s="20"/>
      <c r="F826" s="282"/>
      <c r="G826" s="20"/>
      <c r="H826" s="20"/>
      <c r="I826" s="20"/>
      <c r="J826" s="20"/>
      <c r="K826" s="20"/>
      <c r="L826" s="20"/>
      <c r="M826" s="20"/>
      <c r="N826" s="20"/>
      <c r="O826" s="20"/>
      <c r="P826" s="20"/>
      <c r="Q826" s="20"/>
      <c r="R826" s="20"/>
      <c r="S826" s="188"/>
      <c r="T826" s="188"/>
      <c r="U826" s="188"/>
      <c r="V826" s="188"/>
      <c r="W826" s="20"/>
      <c r="X826" s="20"/>
      <c r="Y826" s="20"/>
      <c r="Z826" s="20"/>
      <c r="AA826" s="20"/>
      <c r="AB826" s="20"/>
    </row>
    <row r="827">
      <c r="A827" s="20"/>
      <c r="B827" s="20"/>
      <c r="C827" s="20"/>
      <c r="D827" s="20"/>
      <c r="E827" s="20"/>
      <c r="F827" s="282"/>
      <c r="G827" s="20"/>
      <c r="H827" s="20"/>
      <c r="I827" s="20"/>
      <c r="J827" s="20"/>
      <c r="K827" s="20"/>
      <c r="L827" s="20"/>
      <c r="M827" s="20"/>
      <c r="N827" s="20"/>
      <c r="O827" s="20"/>
      <c r="P827" s="20"/>
      <c r="Q827" s="20"/>
      <c r="R827" s="20"/>
      <c r="S827" s="188"/>
      <c r="T827" s="188"/>
      <c r="U827" s="188"/>
      <c r="V827" s="188"/>
      <c r="W827" s="20"/>
      <c r="X827" s="20"/>
      <c r="Y827" s="20"/>
      <c r="Z827" s="20"/>
      <c r="AA827" s="20"/>
      <c r="AB827" s="20"/>
    </row>
    <row r="828">
      <c r="A828" s="20"/>
      <c r="B828" s="20"/>
      <c r="C828" s="20"/>
      <c r="D828" s="20"/>
      <c r="E828" s="20"/>
      <c r="F828" s="282"/>
      <c r="G828" s="20"/>
      <c r="H828" s="20"/>
      <c r="I828" s="20"/>
      <c r="J828" s="20"/>
      <c r="K828" s="20"/>
      <c r="L828" s="20"/>
      <c r="M828" s="20"/>
      <c r="N828" s="20"/>
      <c r="O828" s="20"/>
      <c r="P828" s="20"/>
      <c r="Q828" s="20"/>
      <c r="R828" s="20"/>
      <c r="S828" s="188"/>
      <c r="T828" s="188"/>
      <c r="U828" s="188"/>
      <c r="V828" s="188"/>
      <c r="W828" s="20"/>
      <c r="X828" s="20"/>
      <c r="Y828" s="20"/>
      <c r="Z828" s="20"/>
      <c r="AA828" s="20"/>
      <c r="AB828" s="20"/>
    </row>
    <row r="829">
      <c r="A829" s="20"/>
      <c r="B829" s="20"/>
      <c r="C829" s="20"/>
      <c r="D829" s="20"/>
      <c r="E829" s="20"/>
      <c r="F829" s="282"/>
      <c r="G829" s="20"/>
      <c r="H829" s="20"/>
      <c r="I829" s="20"/>
      <c r="J829" s="20"/>
      <c r="K829" s="20"/>
      <c r="L829" s="20"/>
      <c r="M829" s="20"/>
      <c r="N829" s="20"/>
      <c r="O829" s="20"/>
      <c r="P829" s="20"/>
      <c r="Q829" s="20"/>
      <c r="R829" s="20"/>
      <c r="S829" s="188"/>
      <c r="T829" s="188"/>
      <c r="U829" s="188"/>
      <c r="V829" s="188"/>
      <c r="W829" s="20"/>
      <c r="X829" s="20"/>
      <c r="Y829" s="20"/>
      <c r="Z829" s="20"/>
      <c r="AA829" s="20"/>
      <c r="AB829" s="20"/>
    </row>
    <row r="830">
      <c r="A830" s="20"/>
      <c r="B830" s="20"/>
      <c r="C830" s="20"/>
      <c r="D830" s="20"/>
      <c r="E830" s="20"/>
      <c r="F830" s="282"/>
      <c r="G830" s="20"/>
      <c r="H830" s="20"/>
      <c r="I830" s="20"/>
      <c r="J830" s="20"/>
      <c r="K830" s="20"/>
      <c r="L830" s="20"/>
      <c r="M830" s="20"/>
      <c r="N830" s="20"/>
      <c r="O830" s="20"/>
      <c r="P830" s="20"/>
      <c r="Q830" s="20"/>
      <c r="R830" s="20"/>
      <c r="S830" s="188"/>
      <c r="T830" s="188"/>
      <c r="U830" s="188"/>
      <c r="V830" s="188"/>
      <c r="W830" s="20"/>
      <c r="X830" s="20"/>
      <c r="Y830" s="20"/>
      <c r="Z830" s="20"/>
      <c r="AA830" s="20"/>
      <c r="AB830" s="20"/>
    </row>
    <row r="831">
      <c r="A831" s="20"/>
      <c r="B831" s="20"/>
      <c r="C831" s="20"/>
      <c r="D831" s="20"/>
      <c r="E831" s="20"/>
      <c r="F831" s="282"/>
      <c r="G831" s="20"/>
      <c r="H831" s="20"/>
      <c r="I831" s="20"/>
      <c r="J831" s="20"/>
      <c r="K831" s="20"/>
      <c r="L831" s="20"/>
      <c r="M831" s="20"/>
      <c r="N831" s="20"/>
      <c r="O831" s="20"/>
      <c r="P831" s="20"/>
      <c r="Q831" s="20"/>
      <c r="R831" s="20"/>
      <c r="S831" s="188"/>
      <c r="T831" s="188"/>
      <c r="U831" s="188"/>
      <c r="V831" s="188"/>
      <c r="W831" s="20"/>
      <c r="X831" s="20"/>
      <c r="Y831" s="20"/>
      <c r="Z831" s="20"/>
      <c r="AA831" s="20"/>
      <c r="AB831" s="20"/>
    </row>
    <row r="832">
      <c r="A832" s="20"/>
      <c r="B832" s="20"/>
      <c r="C832" s="20"/>
      <c r="D832" s="20"/>
      <c r="E832" s="20"/>
      <c r="F832" s="282"/>
      <c r="G832" s="20"/>
      <c r="H832" s="20"/>
      <c r="I832" s="20"/>
      <c r="J832" s="20"/>
      <c r="K832" s="20"/>
      <c r="L832" s="20"/>
      <c r="M832" s="20"/>
      <c r="N832" s="20"/>
      <c r="O832" s="20"/>
      <c r="P832" s="20"/>
      <c r="Q832" s="20"/>
      <c r="R832" s="20"/>
      <c r="S832" s="188"/>
      <c r="T832" s="188"/>
      <c r="U832" s="188"/>
      <c r="V832" s="188"/>
      <c r="W832" s="20"/>
      <c r="X832" s="20"/>
      <c r="Y832" s="20"/>
      <c r="Z832" s="20"/>
      <c r="AA832" s="20"/>
      <c r="AB832" s="20"/>
    </row>
    <row r="833">
      <c r="A833" s="20"/>
      <c r="B833" s="20"/>
      <c r="C833" s="20"/>
      <c r="D833" s="20"/>
      <c r="E833" s="20"/>
      <c r="F833" s="282"/>
      <c r="G833" s="20"/>
      <c r="H833" s="20"/>
      <c r="I833" s="20"/>
      <c r="J833" s="20"/>
      <c r="K833" s="20"/>
      <c r="L833" s="20"/>
      <c r="M833" s="20"/>
      <c r="N833" s="20"/>
      <c r="O833" s="20"/>
      <c r="P833" s="20"/>
      <c r="Q833" s="20"/>
      <c r="R833" s="20"/>
      <c r="S833" s="188"/>
      <c r="T833" s="188"/>
      <c r="U833" s="188"/>
      <c r="V833" s="188"/>
      <c r="W833" s="20"/>
      <c r="X833" s="20"/>
      <c r="Y833" s="20"/>
      <c r="Z833" s="20"/>
      <c r="AA833" s="20"/>
      <c r="AB833" s="20"/>
    </row>
    <row r="834">
      <c r="A834" s="20"/>
      <c r="B834" s="20"/>
      <c r="C834" s="20"/>
      <c r="D834" s="20"/>
      <c r="E834" s="20"/>
      <c r="F834" s="282"/>
      <c r="G834" s="20"/>
      <c r="H834" s="20"/>
      <c r="I834" s="20"/>
      <c r="J834" s="20"/>
      <c r="K834" s="20"/>
      <c r="L834" s="20"/>
      <c r="M834" s="20"/>
      <c r="N834" s="20"/>
      <c r="O834" s="20"/>
      <c r="P834" s="20"/>
      <c r="Q834" s="20"/>
      <c r="R834" s="20"/>
      <c r="S834" s="188"/>
      <c r="T834" s="188"/>
      <c r="U834" s="188"/>
      <c r="V834" s="188"/>
      <c r="W834" s="20"/>
      <c r="X834" s="20"/>
      <c r="Y834" s="20"/>
      <c r="Z834" s="20"/>
      <c r="AA834" s="20"/>
      <c r="AB834" s="20"/>
    </row>
    <row r="835">
      <c r="A835" s="20"/>
      <c r="B835" s="20"/>
      <c r="C835" s="20"/>
      <c r="D835" s="20"/>
      <c r="E835" s="20"/>
      <c r="F835" s="282"/>
      <c r="G835" s="20"/>
      <c r="H835" s="20"/>
      <c r="I835" s="20"/>
      <c r="J835" s="20"/>
      <c r="K835" s="20"/>
      <c r="L835" s="20"/>
      <c r="M835" s="20"/>
      <c r="N835" s="20"/>
      <c r="O835" s="20"/>
      <c r="P835" s="20"/>
      <c r="Q835" s="20"/>
      <c r="R835" s="20"/>
      <c r="S835" s="188"/>
      <c r="T835" s="188"/>
      <c r="U835" s="188"/>
      <c r="V835" s="188"/>
      <c r="W835" s="20"/>
      <c r="X835" s="20"/>
      <c r="Y835" s="20"/>
      <c r="Z835" s="20"/>
      <c r="AA835" s="20"/>
      <c r="AB835" s="20"/>
    </row>
    <row r="836">
      <c r="A836" s="20"/>
      <c r="B836" s="20"/>
      <c r="C836" s="20"/>
      <c r="D836" s="20"/>
      <c r="E836" s="20"/>
      <c r="F836" s="282"/>
      <c r="G836" s="20"/>
      <c r="H836" s="20"/>
      <c r="I836" s="20"/>
      <c r="J836" s="20"/>
      <c r="K836" s="20"/>
      <c r="L836" s="20"/>
      <c r="M836" s="20"/>
      <c r="N836" s="20"/>
      <c r="O836" s="20"/>
      <c r="P836" s="20"/>
      <c r="Q836" s="20"/>
      <c r="R836" s="20"/>
      <c r="S836" s="188"/>
      <c r="T836" s="188"/>
      <c r="U836" s="188"/>
      <c r="V836" s="188"/>
      <c r="W836" s="20"/>
      <c r="X836" s="20"/>
      <c r="Y836" s="20"/>
      <c r="Z836" s="20"/>
      <c r="AA836" s="20"/>
      <c r="AB836" s="20"/>
    </row>
    <row r="837">
      <c r="A837" s="20"/>
      <c r="B837" s="20"/>
      <c r="C837" s="20"/>
      <c r="D837" s="20"/>
      <c r="E837" s="20"/>
      <c r="F837" s="282"/>
      <c r="G837" s="20"/>
      <c r="H837" s="20"/>
      <c r="I837" s="20"/>
      <c r="J837" s="20"/>
      <c r="K837" s="20"/>
      <c r="L837" s="20"/>
      <c r="M837" s="20"/>
      <c r="N837" s="20"/>
      <c r="O837" s="20"/>
      <c r="P837" s="20"/>
      <c r="Q837" s="20"/>
      <c r="R837" s="20"/>
      <c r="S837" s="188"/>
      <c r="T837" s="188"/>
      <c r="U837" s="188"/>
      <c r="V837" s="188"/>
      <c r="W837" s="20"/>
      <c r="X837" s="20"/>
      <c r="Y837" s="20"/>
      <c r="Z837" s="20"/>
      <c r="AA837" s="20"/>
      <c r="AB837" s="20"/>
    </row>
    <row r="838">
      <c r="A838" s="20"/>
      <c r="B838" s="20"/>
      <c r="C838" s="20"/>
      <c r="D838" s="20"/>
      <c r="E838" s="20"/>
      <c r="F838" s="282"/>
      <c r="G838" s="20"/>
      <c r="H838" s="20"/>
      <c r="I838" s="20"/>
      <c r="J838" s="20"/>
      <c r="K838" s="20"/>
      <c r="L838" s="20"/>
      <c r="M838" s="20"/>
      <c r="N838" s="20"/>
      <c r="O838" s="20"/>
      <c r="P838" s="20"/>
      <c r="Q838" s="20"/>
      <c r="R838" s="20"/>
      <c r="S838" s="188"/>
      <c r="T838" s="188"/>
      <c r="U838" s="188"/>
      <c r="V838" s="188"/>
      <c r="W838" s="20"/>
      <c r="X838" s="20"/>
      <c r="Y838" s="20"/>
      <c r="Z838" s="20"/>
      <c r="AA838" s="20"/>
      <c r="AB838" s="20"/>
    </row>
    <row r="839">
      <c r="A839" s="20"/>
      <c r="B839" s="20"/>
      <c r="C839" s="20"/>
      <c r="D839" s="20"/>
      <c r="E839" s="20"/>
      <c r="F839" s="282"/>
      <c r="G839" s="20"/>
      <c r="H839" s="20"/>
      <c r="I839" s="20"/>
      <c r="J839" s="20"/>
      <c r="K839" s="20"/>
      <c r="L839" s="20"/>
      <c r="M839" s="20"/>
      <c r="N839" s="20"/>
      <c r="O839" s="20"/>
      <c r="P839" s="20"/>
      <c r="Q839" s="20"/>
      <c r="R839" s="20"/>
      <c r="S839" s="188"/>
      <c r="T839" s="188"/>
      <c r="U839" s="188"/>
      <c r="V839" s="188"/>
      <c r="W839" s="20"/>
      <c r="X839" s="20"/>
      <c r="Y839" s="20"/>
      <c r="Z839" s="20"/>
      <c r="AA839" s="20"/>
      <c r="AB839" s="20"/>
    </row>
    <row r="840">
      <c r="A840" s="20"/>
      <c r="B840" s="20"/>
      <c r="C840" s="20"/>
      <c r="D840" s="20"/>
      <c r="E840" s="20"/>
      <c r="F840" s="282"/>
      <c r="G840" s="20"/>
      <c r="H840" s="20"/>
      <c r="I840" s="20"/>
      <c r="J840" s="20"/>
      <c r="K840" s="20"/>
      <c r="L840" s="20"/>
      <c r="M840" s="20"/>
      <c r="N840" s="20"/>
      <c r="O840" s="20"/>
      <c r="P840" s="20"/>
      <c r="Q840" s="20"/>
      <c r="R840" s="20"/>
      <c r="S840" s="188"/>
      <c r="T840" s="188"/>
      <c r="U840" s="188"/>
      <c r="V840" s="188"/>
      <c r="W840" s="20"/>
      <c r="X840" s="20"/>
      <c r="Y840" s="20"/>
      <c r="Z840" s="20"/>
      <c r="AA840" s="20"/>
      <c r="AB840" s="20"/>
    </row>
    <row r="841">
      <c r="A841" s="20"/>
      <c r="B841" s="20"/>
      <c r="C841" s="20"/>
      <c r="D841" s="20"/>
      <c r="E841" s="20"/>
      <c r="F841" s="282"/>
      <c r="G841" s="20"/>
      <c r="H841" s="20"/>
      <c r="I841" s="20"/>
      <c r="J841" s="20"/>
      <c r="K841" s="20"/>
      <c r="L841" s="20"/>
      <c r="M841" s="20"/>
      <c r="N841" s="20"/>
      <c r="O841" s="20"/>
      <c r="P841" s="20"/>
      <c r="Q841" s="20"/>
      <c r="R841" s="20"/>
      <c r="S841" s="188"/>
      <c r="T841" s="188"/>
      <c r="U841" s="188"/>
      <c r="V841" s="188"/>
      <c r="W841" s="20"/>
      <c r="X841" s="20"/>
      <c r="Y841" s="20"/>
      <c r="Z841" s="20"/>
      <c r="AA841" s="20"/>
      <c r="AB841" s="20"/>
    </row>
    <row r="842">
      <c r="A842" s="20"/>
      <c r="B842" s="20"/>
      <c r="C842" s="20"/>
      <c r="D842" s="20"/>
      <c r="E842" s="20"/>
      <c r="F842" s="282"/>
      <c r="G842" s="20"/>
      <c r="H842" s="20"/>
      <c r="I842" s="20"/>
      <c r="J842" s="20"/>
      <c r="K842" s="20"/>
      <c r="L842" s="20"/>
      <c r="M842" s="20"/>
      <c r="N842" s="20"/>
      <c r="O842" s="20"/>
      <c r="P842" s="20"/>
      <c r="Q842" s="20"/>
      <c r="R842" s="20"/>
      <c r="S842" s="188"/>
      <c r="T842" s="188"/>
      <c r="U842" s="188"/>
      <c r="V842" s="188"/>
      <c r="W842" s="20"/>
      <c r="X842" s="20"/>
      <c r="Y842" s="20"/>
      <c r="Z842" s="20"/>
      <c r="AA842" s="20"/>
      <c r="AB842" s="20"/>
    </row>
    <row r="843">
      <c r="A843" s="20"/>
      <c r="B843" s="20"/>
      <c r="C843" s="20"/>
      <c r="D843" s="20"/>
      <c r="E843" s="20"/>
      <c r="F843" s="282"/>
      <c r="G843" s="20"/>
      <c r="H843" s="20"/>
      <c r="I843" s="20"/>
      <c r="J843" s="20"/>
      <c r="K843" s="20"/>
      <c r="L843" s="20"/>
      <c r="M843" s="20"/>
      <c r="N843" s="20"/>
      <c r="O843" s="20"/>
      <c r="P843" s="20"/>
      <c r="Q843" s="20"/>
      <c r="R843" s="20"/>
      <c r="S843" s="188"/>
      <c r="T843" s="188"/>
      <c r="U843" s="188"/>
      <c r="V843" s="188"/>
      <c r="W843" s="20"/>
      <c r="X843" s="20"/>
      <c r="Y843" s="20"/>
      <c r="Z843" s="20"/>
      <c r="AA843" s="20"/>
      <c r="AB843" s="20"/>
    </row>
    <row r="844">
      <c r="A844" s="20"/>
      <c r="B844" s="20"/>
      <c r="C844" s="20"/>
      <c r="D844" s="20"/>
      <c r="E844" s="20"/>
      <c r="F844" s="282"/>
      <c r="G844" s="20"/>
      <c r="H844" s="20"/>
      <c r="I844" s="20"/>
      <c r="J844" s="20"/>
      <c r="K844" s="20"/>
      <c r="L844" s="20"/>
      <c r="M844" s="20"/>
      <c r="N844" s="20"/>
      <c r="O844" s="20"/>
      <c r="P844" s="20"/>
      <c r="Q844" s="20"/>
      <c r="R844" s="20"/>
      <c r="S844" s="188"/>
      <c r="T844" s="188"/>
      <c r="U844" s="188"/>
      <c r="V844" s="188"/>
      <c r="W844" s="20"/>
      <c r="X844" s="20"/>
      <c r="Y844" s="20"/>
      <c r="Z844" s="20"/>
      <c r="AA844" s="20"/>
      <c r="AB844" s="20"/>
    </row>
    <row r="845">
      <c r="A845" s="20"/>
      <c r="B845" s="20"/>
      <c r="C845" s="20"/>
      <c r="D845" s="20"/>
      <c r="E845" s="20"/>
      <c r="F845" s="282"/>
      <c r="G845" s="20"/>
      <c r="H845" s="20"/>
      <c r="I845" s="20"/>
      <c r="J845" s="20"/>
      <c r="K845" s="20"/>
      <c r="L845" s="20"/>
      <c r="M845" s="20"/>
      <c r="N845" s="20"/>
      <c r="O845" s="20"/>
      <c r="P845" s="20"/>
      <c r="Q845" s="20"/>
      <c r="R845" s="20"/>
      <c r="S845" s="188"/>
      <c r="T845" s="188"/>
      <c r="U845" s="188"/>
      <c r="V845" s="188"/>
      <c r="W845" s="20"/>
      <c r="X845" s="20"/>
      <c r="Y845" s="20"/>
      <c r="Z845" s="20"/>
      <c r="AA845" s="20"/>
      <c r="AB845" s="20"/>
    </row>
    <row r="846">
      <c r="A846" s="20"/>
      <c r="B846" s="20"/>
      <c r="C846" s="20"/>
      <c r="D846" s="20"/>
      <c r="E846" s="20"/>
      <c r="F846" s="282"/>
      <c r="G846" s="20"/>
      <c r="H846" s="20"/>
      <c r="I846" s="20"/>
      <c r="J846" s="20"/>
      <c r="K846" s="20"/>
      <c r="L846" s="20"/>
      <c r="M846" s="20"/>
      <c r="N846" s="20"/>
      <c r="O846" s="20"/>
      <c r="P846" s="20"/>
      <c r="Q846" s="20"/>
      <c r="R846" s="20"/>
      <c r="S846" s="188"/>
      <c r="T846" s="188"/>
      <c r="U846" s="188"/>
      <c r="V846" s="188"/>
      <c r="W846" s="20"/>
      <c r="X846" s="20"/>
      <c r="Y846" s="20"/>
      <c r="Z846" s="20"/>
      <c r="AA846" s="20"/>
      <c r="AB846" s="20"/>
    </row>
    <row r="847">
      <c r="A847" s="20"/>
      <c r="B847" s="20"/>
      <c r="C847" s="20"/>
      <c r="D847" s="20"/>
      <c r="E847" s="20"/>
      <c r="F847" s="282"/>
      <c r="G847" s="20"/>
      <c r="H847" s="20"/>
      <c r="I847" s="20"/>
      <c r="J847" s="20"/>
      <c r="K847" s="20"/>
      <c r="L847" s="20"/>
      <c r="M847" s="20"/>
      <c r="N847" s="20"/>
      <c r="O847" s="20"/>
      <c r="P847" s="20"/>
      <c r="Q847" s="20"/>
      <c r="R847" s="20"/>
      <c r="S847" s="188"/>
      <c r="T847" s="188"/>
      <c r="U847" s="188"/>
      <c r="V847" s="188"/>
      <c r="W847" s="20"/>
      <c r="X847" s="20"/>
      <c r="Y847" s="20"/>
      <c r="Z847" s="20"/>
      <c r="AA847" s="20"/>
      <c r="AB847" s="20"/>
    </row>
    <row r="848">
      <c r="A848" s="20"/>
      <c r="B848" s="20"/>
      <c r="C848" s="20"/>
      <c r="D848" s="20"/>
      <c r="E848" s="20"/>
      <c r="F848" s="282"/>
      <c r="G848" s="20"/>
      <c r="H848" s="20"/>
      <c r="I848" s="20"/>
      <c r="J848" s="20"/>
      <c r="K848" s="20"/>
      <c r="L848" s="20"/>
      <c r="M848" s="20"/>
      <c r="N848" s="20"/>
      <c r="O848" s="20"/>
      <c r="P848" s="20"/>
      <c r="Q848" s="20"/>
      <c r="R848" s="20"/>
      <c r="S848" s="188"/>
      <c r="T848" s="188"/>
      <c r="U848" s="188"/>
      <c r="V848" s="188"/>
      <c r="W848" s="20"/>
      <c r="X848" s="20"/>
      <c r="Y848" s="20"/>
      <c r="Z848" s="20"/>
      <c r="AA848" s="20"/>
      <c r="AB848" s="20"/>
    </row>
    <row r="849">
      <c r="A849" s="20"/>
      <c r="B849" s="20"/>
      <c r="C849" s="20"/>
      <c r="D849" s="20"/>
      <c r="E849" s="20"/>
      <c r="F849" s="282"/>
      <c r="G849" s="20"/>
      <c r="H849" s="20"/>
      <c r="I849" s="20"/>
      <c r="J849" s="20"/>
      <c r="K849" s="20"/>
      <c r="L849" s="20"/>
      <c r="M849" s="20"/>
      <c r="N849" s="20"/>
      <c r="O849" s="20"/>
      <c r="P849" s="20"/>
      <c r="Q849" s="20"/>
      <c r="R849" s="20"/>
      <c r="S849" s="188"/>
      <c r="T849" s="188"/>
      <c r="U849" s="188"/>
      <c r="V849" s="188"/>
      <c r="W849" s="20"/>
      <c r="X849" s="20"/>
      <c r="Y849" s="20"/>
      <c r="Z849" s="20"/>
      <c r="AA849" s="20"/>
      <c r="AB849" s="20"/>
    </row>
    <row r="850">
      <c r="A850" s="20"/>
      <c r="B850" s="20"/>
      <c r="C850" s="20"/>
      <c r="D850" s="20"/>
      <c r="E850" s="20"/>
      <c r="F850" s="282"/>
      <c r="G850" s="20"/>
      <c r="H850" s="20"/>
      <c r="I850" s="20"/>
      <c r="J850" s="20"/>
      <c r="K850" s="20"/>
      <c r="L850" s="20"/>
      <c r="M850" s="20"/>
      <c r="N850" s="20"/>
      <c r="O850" s="20"/>
      <c r="P850" s="20"/>
      <c r="Q850" s="20"/>
      <c r="R850" s="20"/>
      <c r="S850" s="188"/>
      <c r="T850" s="188"/>
      <c r="U850" s="188"/>
      <c r="V850" s="188"/>
      <c r="W850" s="20"/>
      <c r="X850" s="20"/>
      <c r="Y850" s="20"/>
      <c r="Z850" s="20"/>
      <c r="AA850" s="20"/>
      <c r="AB850" s="20"/>
    </row>
    <row r="851">
      <c r="A851" s="20"/>
      <c r="B851" s="20"/>
      <c r="C851" s="20"/>
      <c r="D851" s="20"/>
      <c r="E851" s="20"/>
      <c r="F851" s="282"/>
      <c r="G851" s="20"/>
      <c r="H851" s="20"/>
      <c r="I851" s="20"/>
      <c r="J851" s="20"/>
      <c r="K851" s="20"/>
      <c r="L851" s="20"/>
      <c r="M851" s="20"/>
      <c r="N851" s="20"/>
      <c r="O851" s="20"/>
      <c r="P851" s="20"/>
      <c r="Q851" s="20"/>
      <c r="R851" s="20"/>
      <c r="S851" s="188"/>
      <c r="T851" s="188"/>
      <c r="U851" s="188"/>
      <c r="V851" s="188"/>
      <c r="W851" s="20"/>
      <c r="X851" s="20"/>
      <c r="Y851" s="20"/>
      <c r="Z851" s="20"/>
      <c r="AA851" s="20"/>
      <c r="AB851" s="20"/>
    </row>
    <row r="852">
      <c r="A852" s="20"/>
      <c r="B852" s="20"/>
      <c r="C852" s="20"/>
      <c r="D852" s="20"/>
      <c r="E852" s="20"/>
      <c r="F852" s="282"/>
      <c r="G852" s="20"/>
      <c r="H852" s="20"/>
      <c r="I852" s="20"/>
      <c r="J852" s="20"/>
      <c r="K852" s="20"/>
      <c r="L852" s="20"/>
      <c r="M852" s="20"/>
      <c r="N852" s="20"/>
      <c r="O852" s="20"/>
      <c r="P852" s="20"/>
      <c r="Q852" s="20"/>
      <c r="R852" s="20"/>
      <c r="S852" s="188"/>
      <c r="T852" s="188"/>
      <c r="U852" s="188"/>
      <c r="V852" s="188"/>
      <c r="W852" s="20"/>
      <c r="X852" s="20"/>
      <c r="Y852" s="20"/>
      <c r="Z852" s="20"/>
      <c r="AA852" s="20"/>
      <c r="AB852" s="20"/>
    </row>
    <row r="853">
      <c r="A853" s="20"/>
      <c r="B853" s="20"/>
      <c r="C853" s="20"/>
      <c r="D853" s="20"/>
      <c r="E853" s="20"/>
      <c r="F853" s="282"/>
      <c r="G853" s="20"/>
      <c r="H853" s="20"/>
      <c r="I853" s="20"/>
      <c r="J853" s="20"/>
      <c r="K853" s="20"/>
      <c r="L853" s="20"/>
      <c r="M853" s="20"/>
      <c r="N853" s="20"/>
      <c r="O853" s="20"/>
      <c r="P853" s="20"/>
      <c r="Q853" s="20"/>
      <c r="R853" s="20"/>
      <c r="S853" s="188"/>
      <c r="T853" s="188"/>
      <c r="U853" s="188"/>
      <c r="V853" s="188"/>
      <c r="W853" s="20"/>
      <c r="X853" s="20"/>
      <c r="Y853" s="20"/>
      <c r="Z853" s="20"/>
      <c r="AA853" s="20"/>
      <c r="AB853" s="20"/>
    </row>
    <row r="854">
      <c r="A854" s="20"/>
      <c r="B854" s="20"/>
      <c r="C854" s="20"/>
      <c r="D854" s="20"/>
      <c r="E854" s="20"/>
      <c r="F854" s="282"/>
      <c r="G854" s="20"/>
      <c r="H854" s="20"/>
      <c r="I854" s="20"/>
      <c r="J854" s="20"/>
      <c r="K854" s="20"/>
      <c r="L854" s="20"/>
      <c r="M854" s="20"/>
      <c r="N854" s="20"/>
      <c r="O854" s="20"/>
      <c r="P854" s="20"/>
      <c r="Q854" s="20"/>
      <c r="R854" s="20"/>
      <c r="S854" s="188"/>
      <c r="T854" s="188"/>
      <c r="U854" s="188"/>
      <c r="V854" s="188"/>
      <c r="W854" s="20"/>
      <c r="X854" s="20"/>
      <c r="Y854" s="20"/>
      <c r="Z854" s="20"/>
      <c r="AA854" s="20"/>
      <c r="AB854" s="20"/>
    </row>
    <row r="855">
      <c r="A855" s="20"/>
      <c r="B855" s="20"/>
      <c r="C855" s="20"/>
      <c r="D855" s="20"/>
      <c r="E855" s="20"/>
      <c r="F855" s="282"/>
      <c r="G855" s="20"/>
      <c r="H855" s="20"/>
      <c r="I855" s="20"/>
      <c r="J855" s="20"/>
      <c r="K855" s="20"/>
      <c r="L855" s="20"/>
      <c r="M855" s="20"/>
      <c r="N855" s="20"/>
      <c r="O855" s="20"/>
      <c r="P855" s="20"/>
      <c r="Q855" s="20"/>
      <c r="R855" s="20"/>
      <c r="S855" s="188"/>
      <c r="T855" s="188"/>
      <c r="U855" s="188"/>
      <c r="V855" s="188"/>
      <c r="W855" s="20"/>
      <c r="X855" s="20"/>
      <c r="Y855" s="20"/>
      <c r="Z855" s="20"/>
      <c r="AA855" s="20"/>
      <c r="AB855" s="20"/>
    </row>
    <row r="856">
      <c r="A856" s="20"/>
      <c r="B856" s="20"/>
      <c r="C856" s="20"/>
      <c r="D856" s="20"/>
      <c r="E856" s="20"/>
      <c r="F856" s="282"/>
      <c r="G856" s="20"/>
      <c r="H856" s="20"/>
      <c r="I856" s="20"/>
      <c r="J856" s="20"/>
      <c r="K856" s="20"/>
      <c r="L856" s="20"/>
      <c r="M856" s="20"/>
      <c r="N856" s="20"/>
      <c r="O856" s="20"/>
      <c r="P856" s="20"/>
      <c r="Q856" s="20"/>
      <c r="R856" s="20"/>
      <c r="S856" s="188"/>
      <c r="T856" s="188"/>
      <c r="U856" s="188"/>
      <c r="V856" s="188"/>
      <c r="W856" s="20"/>
      <c r="X856" s="20"/>
      <c r="Y856" s="20"/>
      <c r="Z856" s="20"/>
      <c r="AA856" s="20"/>
      <c r="AB856" s="20"/>
    </row>
    <row r="857">
      <c r="A857" s="20"/>
      <c r="B857" s="20"/>
      <c r="C857" s="20"/>
      <c r="D857" s="20"/>
      <c r="E857" s="20"/>
      <c r="F857" s="282"/>
      <c r="G857" s="20"/>
      <c r="H857" s="20"/>
      <c r="I857" s="20"/>
      <c r="J857" s="20"/>
      <c r="K857" s="20"/>
      <c r="L857" s="20"/>
      <c r="M857" s="20"/>
      <c r="N857" s="20"/>
      <c r="O857" s="20"/>
      <c r="P857" s="20"/>
      <c r="Q857" s="20"/>
      <c r="R857" s="20"/>
      <c r="S857" s="188"/>
      <c r="T857" s="188"/>
      <c r="U857" s="188"/>
      <c r="V857" s="188"/>
      <c r="W857" s="20"/>
      <c r="X857" s="20"/>
      <c r="Y857" s="20"/>
      <c r="Z857" s="20"/>
      <c r="AA857" s="20"/>
      <c r="AB857" s="20"/>
    </row>
    <row r="858">
      <c r="A858" s="20"/>
      <c r="B858" s="20"/>
      <c r="C858" s="20"/>
      <c r="D858" s="20"/>
      <c r="E858" s="20"/>
      <c r="F858" s="282"/>
      <c r="G858" s="20"/>
      <c r="H858" s="20"/>
      <c r="I858" s="20"/>
      <c r="J858" s="20"/>
      <c r="K858" s="20"/>
      <c r="L858" s="20"/>
      <c r="M858" s="20"/>
      <c r="N858" s="20"/>
      <c r="O858" s="20"/>
      <c r="P858" s="20"/>
      <c r="Q858" s="20"/>
      <c r="R858" s="20"/>
      <c r="S858" s="188"/>
      <c r="T858" s="188"/>
      <c r="U858" s="188"/>
      <c r="V858" s="188"/>
      <c r="W858" s="20"/>
      <c r="X858" s="20"/>
      <c r="Y858" s="20"/>
      <c r="Z858" s="20"/>
      <c r="AA858" s="20"/>
      <c r="AB858" s="20"/>
    </row>
    <row r="859">
      <c r="A859" s="20"/>
      <c r="B859" s="20"/>
      <c r="C859" s="20"/>
      <c r="D859" s="20"/>
      <c r="E859" s="20"/>
      <c r="F859" s="282"/>
      <c r="G859" s="20"/>
      <c r="H859" s="20"/>
      <c r="I859" s="20"/>
      <c r="J859" s="20"/>
      <c r="K859" s="20"/>
      <c r="L859" s="20"/>
      <c r="M859" s="20"/>
      <c r="N859" s="20"/>
      <c r="O859" s="20"/>
      <c r="P859" s="20"/>
      <c r="Q859" s="20"/>
      <c r="R859" s="20"/>
      <c r="S859" s="188"/>
      <c r="T859" s="188"/>
      <c r="U859" s="188"/>
      <c r="V859" s="188"/>
      <c r="W859" s="20"/>
      <c r="X859" s="20"/>
      <c r="Y859" s="20"/>
      <c r="Z859" s="20"/>
      <c r="AA859" s="20"/>
      <c r="AB859" s="20"/>
    </row>
    <row r="860">
      <c r="A860" s="20"/>
      <c r="B860" s="20"/>
      <c r="C860" s="20"/>
      <c r="D860" s="20"/>
      <c r="E860" s="20"/>
      <c r="F860" s="282"/>
      <c r="G860" s="20"/>
      <c r="H860" s="20"/>
      <c r="I860" s="20"/>
      <c r="J860" s="20"/>
      <c r="K860" s="20"/>
      <c r="L860" s="20"/>
      <c r="M860" s="20"/>
      <c r="N860" s="20"/>
      <c r="O860" s="20"/>
      <c r="P860" s="20"/>
      <c r="Q860" s="20"/>
      <c r="R860" s="20"/>
      <c r="S860" s="188"/>
      <c r="T860" s="188"/>
      <c r="U860" s="188"/>
      <c r="V860" s="188"/>
      <c r="W860" s="20"/>
      <c r="X860" s="20"/>
      <c r="Y860" s="20"/>
      <c r="Z860" s="20"/>
      <c r="AA860" s="20"/>
      <c r="AB860" s="20"/>
    </row>
    <row r="861">
      <c r="A861" s="20"/>
      <c r="B861" s="20"/>
      <c r="C861" s="20"/>
      <c r="D861" s="20"/>
      <c r="E861" s="20"/>
      <c r="F861" s="282"/>
      <c r="G861" s="20"/>
      <c r="H861" s="20"/>
      <c r="I861" s="20"/>
      <c r="J861" s="20"/>
      <c r="K861" s="20"/>
      <c r="L861" s="20"/>
      <c r="M861" s="20"/>
      <c r="N861" s="20"/>
      <c r="O861" s="20"/>
      <c r="P861" s="20"/>
      <c r="Q861" s="20"/>
      <c r="R861" s="20"/>
      <c r="S861" s="188"/>
      <c r="T861" s="188"/>
      <c r="U861" s="188"/>
      <c r="V861" s="188"/>
      <c r="W861" s="20"/>
      <c r="X861" s="20"/>
      <c r="Y861" s="20"/>
      <c r="Z861" s="20"/>
      <c r="AA861" s="20"/>
      <c r="AB861" s="20"/>
    </row>
    <row r="862">
      <c r="A862" s="20"/>
      <c r="B862" s="20"/>
      <c r="C862" s="20"/>
      <c r="D862" s="20"/>
      <c r="E862" s="20"/>
      <c r="F862" s="282"/>
      <c r="G862" s="20"/>
      <c r="H862" s="20"/>
      <c r="I862" s="20"/>
      <c r="J862" s="20"/>
      <c r="K862" s="20"/>
      <c r="L862" s="20"/>
      <c r="M862" s="20"/>
      <c r="N862" s="20"/>
      <c r="O862" s="20"/>
      <c r="P862" s="20"/>
      <c r="Q862" s="20"/>
      <c r="R862" s="20"/>
      <c r="S862" s="188"/>
      <c r="T862" s="188"/>
      <c r="U862" s="188"/>
      <c r="V862" s="188"/>
      <c r="W862" s="20"/>
      <c r="X862" s="20"/>
      <c r="Y862" s="20"/>
      <c r="Z862" s="20"/>
      <c r="AA862" s="20"/>
      <c r="AB862" s="20"/>
    </row>
    <row r="863">
      <c r="A863" s="20"/>
      <c r="B863" s="20"/>
      <c r="C863" s="20"/>
      <c r="D863" s="20"/>
      <c r="E863" s="20"/>
      <c r="F863" s="282"/>
      <c r="G863" s="20"/>
      <c r="H863" s="20"/>
      <c r="I863" s="20"/>
      <c r="J863" s="20"/>
      <c r="K863" s="20"/>
      <c r="L863" s="20"/>
      <c r="M863" s="20"/>
      <c r="N863" s="20"/>
      <c r="O863" s="20"/>
      <c r="P863" s="20"/>
      <c r="Q863" s="20"/>
      <c r="R863" s="20"/>
      <c r="S863" s="188"/>
      <c r="T863" s="188"/>
      <c r="U863" s="188"/>
      <c r="V863" s="188"/>
      <c r="W863" s="20"/>
      <c r="X863" s="20"/>
      <c r="Y863" s="20"/>
      <c r="Z863" s="20"/>
      <c r="AA863" s="20"/>
      <c r="AB863" s="20"/>
    </row>
    <row r="864">
      <c r="A864" s="20"/>
      <c r="B864" s="20"/>
      <c r="C864" s="20"/>
      <c r="D864" s="20"/>
      <c r="E864" s="20"/>
      <c r="F864" s="282"/>
      <c r="G864" s="20"/>
      <c r="H864" s="20"/>
      <c r="I864" s="20"/>
      <c r="J864" s="20"/>
      <c r="K864" s="20"/>
      <c r="L864" s="20"/>
      <c r="M864" s="20"/>
      <c r="N864" s="20"/>
      <c r="O864" s="20"/>
      <c r="P864" s="20"/>
      <c r="Q864" s="20"/>
      <c r="R864" s="20"/>
      <c r="S864" s="188"/>
      <c r="T864" s="188"/>
      <c r="U864" s="188"/>
      <c r="V864" s="188"/>
      <c r="W864" s="20"/>
      <c r="X864" s="20"/>
      <c r="Y864" s="20"/>
      <c r="Z864" s="20"/>
      <c r="AA864" s="20"/>
      <c r="AB864" s="20"/>
    </row>
    <row r="865">
      <c r="A865" s="20"/>
      <c r="B865" s="20"/>
      <c r="C865" s="20"/>
      <c r="D865" s="20"/>
      <c r="E865" s="20"/>
      <c r="F865" s="282"/>
      <c r="G865" s="20"/>
      <c r="H865" s="20"/>
      <c r="I865" s="20"/>
      <c r="J865" s="20"/>
      <c r="K865" s="20"/>
      <c r="L865" s="20"/>
      <c r="M865" s="20"/>
      <c r="N865" s="20"/>
      <c r="O865" s="20"/>
      <c r="P865" s="20"/>
      <c r="Q865" s="20"/>
      <c r="R865" s="20"/>
      <c r="S865" s="188"/>
      <c r="T865" s="188"/>
      <c r="U865" s="188"/>
      <c r="V865" s="188"/>
      <c r="W865" s="20"/>
      <c r="X865" s="20"/>
      <c r="Y865" s="20"/>
      <c r="Z865" s="20"/>
      <c r="AA865" s="20"/>
      <c r="AB865" s="20"/>
    </row>
    <row r="866">
      <c r="A866" s="20"/>
      <c r="B866" s="20"/>
      <c r="C866" s="20"/>
      <c r="D866" s="20"/>
      <c r="E866" s="20"/>
      <c r="F866" s="282"/>
      <c r="G866" s="20"/>
      <c r="H866" s="20"/>
      <c r="I866" s="20"/>
      <c r="J866" s="20"/>
      <c r="K866" s="20"/>
      <c r="L866" s="20"/>
      <c r="M866" s="20"/>
      <c r="N866" s="20"/>
      <c r="O866" s="20"/>
      <c r="P866" s="20"/>
      <c r="Q866" s="20"/>
      <c r="R866" s="20"/>
      <c r="S866" s="188"/>
      <c r="T866" s="188"/>
      <c r="U866" s="188"/>
      <c r="V866" s="188"/>
      <c r="W866" s="20"/>
      <c r="X866" s="20"/>
      <c r="Y866" s="20"/>
      <c r="Z866" s="20"/>
      <c r="AA866" s="20"/>
      <c r="AB866" s="20"/>
    </row>
    <row r="867">
      <c r="A867" s="20"/>
      <c r="B867" s="20"/>
      <c r="C867" s="20"/>
      <c r="D867" s="20"/>
      <c r="E867" s="20"/>
      <c r="F867" s="282"/>
      <c r="G867" s="20"/>
      <c r="H867" s="20"/>
      <c r="I867" s="20"/>
      <c r="J867" s="20"/>
      <c r="K867" s="20"/>
      <c r="L867" s="20"/>
      <c r="M867" s="20"/>
      <c r="N867" s="20"/>
      <c r="O867" s="20"/>
      <c r="P867" s="20"/>
      <c r="Q867" s="20"/>
      <c r="R867" s="20"/>
      <c r="S867" s="188"/>
      <c r="T867" s="188"/>
      <c r="U867" s="188"/>
      <c r="V867" s="188"/>
      <c r="W867" s="20"/>
      <c r="X867" s="20"/>
      <c r="Y867" s="20"/>
      <c r="Z867" s="20"/>
      <c r="AA867" s="20"/>
      <c r="AB867" s="20"/>
    </row>
    <row r="868">
      <c r="A868" s="20"/>
      <c r="B868" s="20"/>
      <c r="C868" s="20"/>
      <c r="D868" s="20"/>
      <c r="E868" s="20"/>
      <c r="F868" s="282"/>
      <c r="G868" s="20"/>
      <c r="H868" s="20"/>
      <c r="I868" s="20"/>
      <c r="J868" s="20"/>
      <c r="K868" s="20"/>
      <c r="L868" s="20"/>
      <c r="M868" s="20"/>
      <c r="N868" s="20"/>
      <c r="O868" s="20"/>
      <c r="P868" s="20"/>
      <c r="Q868" s="20"/>
      <c r="R868" s="20"/>
      <c r="S868" s="188"/>
      <c r="T868" s="188"/>
      <c r="U868" s="188"/>
      <c r="V868" s="188"/>
      <c r="W868" s="20"/>
      <c r="X868" s="20"/>
      <c r="Y868" s="20"/>
      <c r="Z868" s="20"/>
      <c r="AA868" s="20"/>
      <c r="AB868" s="20"/>
    </row>
    <row r="869">
      <c r="A869" s="20"/>
      <c r="B869" s="20"/>
      <c r="C869" s="20"/>
      <c r="D869" s="20"/>
      <c r="E869" s="20"/>
      <c r="F869" s="282"/>
      <c r="G869" s="20"/>
      <c r="H869" s="20"/>
      <c r="I869" s="20"/>
      <c r="J869" s="20"/>
      <c r="K869" s="20"/>
      <c r="L869" s="20"/>
      <c r="M869" s="20"/>
      <c r="N869" s="20"/>
      <c r="O869" s="20"/>
      <c r="P869" s="20"/>
      <c r="Q869" s="20"/>
      <c r="R869" s="20"/>
      <c r="S869" s="188"/>
      <c r="T869" s="188"/>
      <c r="U869" s="188"/>
      <c r="V869" s="188"/>
      <c r="W869" s="20"/>
      <c r="X869" s="20"/>
      <c r="Y869" s="20"/>
      <c r="Z869" s="20"/>
      <c r="AA869" s="20"/>
      <c r="AB869" s="20"/>
    </row>
    <row r="870">
      <c r="A870" s="20"/>
      <c r="B870" s="20"/>
      <c r="C870" s="20"/>
      <c r="D870" s="20"/>
      <c r="E870" s="20"/>
      <c r="F870" s="282"/>
      <c r="G870" s="20"/>
      <c r="H870" s="20"/>
      <c r="I870" s="20"/>
      <c r="J870" s="20"/>
      <c r="K870" s="20"/>
      <c r="L870" s="20"/>
      <c r="M870" s="20"/>
      <c r="N870" s="20"/>
      <c r="O870" s="20"/>
      <c r="P870" s="20"/>
      <c r="Q870" s="20"/>
      <c r="R870" s="20"/>
      <c r="S870" s="188"/>
      <c r="T870" s="188"/>
      <c r="U870" s="188"/>
      <c r="V870" s="188"/>
      <c r="W870" s="20"/>
      <c r="X870" s="20"/>
      <c r="Y870" s="20"/>
      <c r="Z870" s="20"/>
      <c r="AA870" s="20"/>
      <c r="AB870" s="20"/>
    </row>
    <row r="871">
      <c r="A871" s="20"/>
      <c r="B871" s="20"/>
      <c r="C871" s="20"/>
      <c r="D871" s="20"/>
      <c r="E871" s="20"/>
      <c r="F871" s="282"/>
      <c r="G871" s="20"/>
      <c r="H871" s="20"/>
      <c r="I871" s="20"/>
      <c r="J871" s="20"/>
      <c r="K871" s="20"/>
      <c r="L871" s="20"/>
      <c r="M871" s="20"/>
      <c r="N871" s="20"/>
      <c r="O871" s="20"/>
      <c r="P871" s="20"/>
      <c r="Q871" s="20"/>
      <c r="R871" s="20"/>
      <c r="S871" s="188"/>
      <c r="T871" s="188"/>
      <c r="U871" s="188"/>
      <c r="V871" s="188"/>
      <c r="W871" s="20"/>
      <c r="X871" s="20"/>
      <c r="Y871" s="20"/>
      <c r="Z871" s="20"/>
      <c r="AA871" s="20"/>
      <c r="AB871" s="20"/>
    </row>
    <row r="872">
      <c r="A872" s="20"/>
      <c r="B872" s="20"/>
      <c r="C872" s="20"/>
      <c r="D872" s="20"/>
      <c r="E872" s="20"/>
      <c r="F872" s="282"/>
      <c r="G872" s="20"/>
      <c r="H872" s="20"/>
      <c r="I872" s="20"/>
      <c r="J872" s="20"/>
      <c r="K872" s="20"/>
      <c r="L872" s="20"/>
      <c r="M872" s="20"/>
      <c r="N872" s="20"/>
      <c r="O872" s="20"/>
      <c r="P872" s="20"/>
      <c r="Q872" s="20"/>
      <c r="R872" s="20"/>
      <c r="S872" s="188"/>
      <c r="T872" s="188"/>
      <c r="U872" s="188"/>
      <c r="V872" s="188"/>
      <c r="W872" s="20"/>
      <c r="X872" s="20"/>
      <c r="Y872" s="20"/>
      <c r="Z872" s="20"/>
      <c r="AA872" s="20"/>
      <c r="AB872" s="20"/>
    </row>
    <row r="873">
      <c r="A873" s="20"/>
      <c r="B873" s="20"/>
      <c r="C873" s="20"/>
      <c r="D873" s="20"/>
      <c r="E873" s="20"/>
      <c r="F873" s="282"/>
      <c r="G873" s="20"/>
      <c r="H873" s="20"/>
      <c r="I873" s="20"/>
      <c r="J873" s="20"/>
      <c r="K873" s="20"/>
      <c r="L873" s="20"/>
      <c r="M873" s="20"/>
      <c r="N873" s="20"/>
      <c r="O873" s="20"/>
      <c r="P873" s="20"/>
      <c r="Q873" s="20"/>
      <c r="R873" s="20"/>
      <c r="S873" s="188"/>
      <c r="T873" s="188"/>
      <c r="U873" s="188"/>
      <c r="V873" s="188"/>
      <c r="W873" s="20"/>
      <c r="X873" s="20"/>
      <c r="Y873" s="20"/>
      <c r="Z873" s="20"/>
      <c r="AA873" s="20"/>
      <c r="AB873" s="20"/>
    </row>
    <row r="874">
      <c r="A874" s="20"/>
      <c r="B874" s="20"/>
      <c r="C874" s="20"/>
      <c r="D874" s="20"/>
      <c r="E874" s="20"/>
      <c r="F874" s="282"/>
      <c r="G874" s="20"/>
      <c r="H874" s="20"/>
      <c r="I874" s="20"/>
      <c r="J874" s="20"/>
      <c r="K874" s="20"/>
      <c r="L874" s="20"/>
      <c r="M874" s="20"/>
      <c r="N874" s="20"/>
      <c r="O874" s="20"/>
      <c r="P874" s="20"/>
      <c r="Q874" s="20"/>
      <c r="R874" s="20"/>
      <c r="S874" s="188"/>
      <c r="T874" s="188"/>
      <c r="U874" s="188"/>
      <c r="V874" s="188"/>
      <c r="W874" s="20"/>
      <c r="X874" s="20"/>
      <c r="Y874" s="20"/>
      <c r="Z874" s="20"/>
      <c r="AA874" s="20"/>
      <c r="AB874" s="20"/>
    </row>
    <row r="875">
      <c r="A875" s="20"/>
      <c r="B875" s="20"/>
      <c r="C875" s="20"/>
      <c r="D875" s="20"/>
      <c r="E875" s="20"/>
      <c r="F875" s="282"/>
      <c r="G875" s="20"/>
      <c r="H875" s="20"/>
      <c r="I875" s="20"/>
      <c r="J875" s="20"/>
      <c r="K875" s="20"/>
      <c r="L875" s="20"/>
      <c r="M875" s="20"/>
      <c r="N875" s="20"/>
      <c r="O875" s="20"/>
      <c r="P875" s="20"/>
      <c r="Q875" s="20"/>
      <c r="R875" s="20"/>
      <c r="S875" s="188"/>
      <c r="T875" s="188"/>
      <c r="U875" s="188"/>
      <c r="V875" s="188"/>
      <c r="W875" s="20"/>
      <c r="X875" s="20"/>
      <c r="Y875" s="20"/>
      <c r="Z875" s="20"/>
      <c r="AA875" s="20"/>
      <c r="AB875" s="20"/>
    </row>
    <row r="876">
      <c r="A876" s="20"/>
      <c r="B876" s="20"/>
      <c r="C876" s="20"/>
      <c r="D876" s="20"/>
      <c r="E876" s="20"/>
      <c r="F876" s="282"/>
      <c r="G876" s="20"/>
      <c r="H876" s="20"/>
      <c r="I876" s="20"/>
      <c r="J876" s="20"/>
      <c r="K876" s="20"/>
      <c r="L876" s="20"/>
      <c r="M876" s="20"/>
      <c r="N876" s="20"/>
      <c r="O876" s="20"/>
      <c r="P876" s="20"/>
      <c r="Q876" s="20"/>
      <c r="R876" s="20"/>
      <c r="S876" s="188"/>
      <c r="T876" s="188"/>
      <c r="U876" s="188"/>
      <c r="V876" s="188"/>
      <c r="W876" s="20"/>
      <c r="X876" s="20"/>
      <c r="Y876" s="20"/>
      <c r="Z876" s="20"/>
      <c r="AA876" s="20"/>
      <c r="AB876" s="20"/>
    </row>
    <row r="877">
      <c r="A877" s="20"/>
      <c r="B877" s="20"/>
      <c r="C877" s="20"/>
      <c r="D877" s="20"/>
      <c r="E877" s="20"/>
      <c r="F877" s="282"/>
      <c r="G877" s="20"/>
      <c r="H877" s="20"/>
      <c r="I877" s="20"/>
      <c r="J877" s="20"/>
      <c r="K877" s="20"/>
      <c r="L877" s="20"/>
      <c r="M877" s="20"/>
      <c r="N877" s="20"/>
      <c r="O877" s="20"/>
      <c r="P877" s="20"/>
      <c r="Q877" s="20"/>
      <c r="R877" s="20"/>
      <c r="S877" s="188"/>
      <c r="T877" s="188"/>
      <c r="U877" s="188"/>
      <c r="V877" s="188"/>
      <c r="W877" s="20"/>
      <c r="X877" s="20"/>
      <c r="Y877" s="20"/>
      <c r="Z877" s="20"/>
      <c r="AA877" s="20"/>
      <c r="AB877" s="20"/>
    </row>
    <row r="878">
      <c r="A878" s="20"/>
      <c r="B878" s="20"/>
      <c r="C878" s="20"/>
      <c r="D878" s="20"/>
      <c r="E878" s="20"/>
      <c r="F878" s="282"/>
      <c r="G878" s="20"/>
      <c r="H878" s="20"/>
      <c r="I878" s="20"/>
      <c r="J878" s="20"/>
      <c r="K878" s="20"/>
      <c r="L878" s="20"/>
      <c r="M878" s="20"/>
      <c r="N878" s="20"/>
      <c r="O878" s="20"/>
      <c r="P878" s="20"/>
      <c r="Q878" s="20"/>
      <c r="R878" s="20"/>
      <c r="S878" s="188"/>
      <c r="T878" s="188"/>
      <c r="U878" s="188"/>
      <c r="V878" s="188"/>
      <c r="W878" s="20"/>
      <c r="X878" s="20"/>
      <c r="Y878" s="20"/>
      <c r="Z878" s="20"/>
      <c r="AA878" s="20"/>
      <c r="AB878" s="20"/>
    </row>
    <row r="879">
      <c r="A879" s="20"/>
      <c r="B879" s="20"/>
      <c r="C879" s="20"/>
      <c r="D879" s="20"/>
      <c r="E879" s="20"/>
      <c r="F879" s="282"/>
      <c r="G879" s="20"/>
      <c r="H879" s="20"/>
      <c r="I879" s="20"/>
      <c r="J879" s="20"/>
      <c r="K879" s="20"/>
      <c r="L879" s="20"/>
      <c r="M879" s="20"/>
      <c r="N879" s="20"/>
      <c r="O879" s="20"/>
      <c r="P879" s="20"/>
      <c r="Q879" s="20"/>
      <c r="R879" s="20"/>
      <c r="S879" s="188"/>
      <c r="T879" s="188"/>
      <c r="U879" s="188"/>
      <c r="V879" s="188"/>
      <c r="W879" s="20"/>
      <c r="X879" s="20"/>
      <c r="Y879" s="20"/>
      <c r="Z879" s="20"/>
      <c r="AA879" s="20"/>
      <c r="AB879" s="20"/>
    </row>
    <row r="880">
      <c r="A880" s="20"/>
      <c r="B880" s="20"/>
      <c r="C880" s="20"/>
      <c r="D880" s="20"/>
      <c r="E880" s="20"/>
      <c r="F880" s="282"/>
      <c r="G880" s="20"/>
      <c r="H880" s="20"/>
      <c r="I880" s="20"/>
      <c r="J880" s="20"/>
      <c r="K880" s="20"/>
      <c r="L880" s="20"/>
      <c r="M880" s="20"/>
      <c r="N880" s="20"/>
      <c r="O880" s="20"/>
      <c r="P880" s="20"/>
      <c r="Q880" s="20"/>
      <c r="R880" s="20"/>
      <c r="S880" s="188"/>
      <c r="T880" s="188"/>
      <c r="U880" s="188"/>
      <c r="V880" s="188"/>
      <c r="W880" s="20"/>
      <c r="X880" s="20"/>
      <c r="Y880" s="20"/>
      <c r="Z880" s="20"/>
      <c r="AA880" s="20"/>
      <c r="AB880" s="20"/>
    </row>
    <row r="881">
      <c r="A881" s="20"/>
      <c r="B881" s="20"/>
      <c r="C881" s="20"/>
      <c r="D881" s="20"/>
      <c r="E881" s="20"/>
      <c r="F881" s="282"/>
      <c r="G881" s="20"/>
      <c r="H881" s="20"/>
      <c r="I881" s="20"/>
      <c r="J881" s="20"/>
      <c r="K881" s="20"/>
      <c r="L881" s="20"/>
      <c r="M881" s="20"/>
      <c r="N881" s="20"/>
      <c r="O881" s="20"/>
      <c r="P881" s="20"/>
      <c r="Q881" s="20"/>
      <c r="R881" s="20"/>
      <c r="S881" s="188"/>
      <c r="T881" s="188"/>
      <c r="U881" s="188"/>
      <c r="V881" s="188"/>
      <c r="W881" s="20"/>
      <c r="X881" s="20"/>
      <c r="Y881" s="20"/>
      <c r="Z881" s="20"/>
      <c r="AA881" s="20"/>
      <c r="AB881" s="20"/>
    </row>
    <row r="882">
      <c r="A882" s="20"/>
      <c r="B882" s="20"/>
      <c r="C882" s="20"/>
      <c r="D882" s="20"/>
      <c r="E882" s="20"/>
      <c r="F882" s="282"/>
      <c r="G882" s="20"/>
      <c r="H882" s="20"/>
      <c r="I882" s="20"/>
      <c r="J882" s="20"/>
      <c r="K882" s="20"/>
      <c r="L882" s="20"/>
      <c r="M882" s="20"/>
      <c r="N882" s="20"/>
      <c r="O882" s="20"/>
      <c r="P882" s="20"/>
      <c r="Q882" s="20"/>
      <c r="R882" s="20"/>
      <c r="S882" s="188"/>
      <c r="T882" s="188"/>
      <c r="U882" s="188"/>
      <c r="V882" s="188"/>
      <c r="W882" s="20"/>
      <c r="X882" s="20"/>
      <c r="Y882" s="20"/>
      <c r="Z882" s="20"/>
      <c r="AA882" s="20"/>
      <c r="AB882" s="20"/>
    </row>
    <row r="883">
      <c r="A883" s="20"/>
      <c r="B883" s="20"/>
      <c r="C883" s="20"/>
      <c r="D883" s="20"/>
      <c r="E883" s="20"/>
      <c r="F883" s="282"/>
      <c r="G883" s="20"/>
      <c r="H883" s="20"/>
      <c r="I883" s="20"/>
      <c r="J883" s="20"/>
      <c r="K883" s="20"/>
      <c r="L883" s="20"/>
      <c r="M883" s="20"/>
      <c r="N883" s="20"/>
      <c r="O883" s="20"/>
      <c r="P883" s="20"/>
      <c r="Q883" s="20"/>
      <c r="R883" s="20"/>
      <c r="S883" s="188"/>
      <c r="T883" s="188"/>
      <c r="U883" s="188"/>
      <c r="V883" s="188"/>
      <c r="W883" s="20"/>
      <c r="X883" s="20"/>
      <c r="Y883" s="20"/>
      <c r="Z883" s="20"/>
      <c r="AA883" s="20"/>
      <c r="AB883" s="20"/>
    </row>
    <row r="884">
      <c r="A884" s="20"/>
      <c r="B884" s="20"/>
      <c r="C884" s="20"/>
      <c r="D884" s="20"/>
      <c r="E884" s="20"/>
      <c r="F884" s="282"/>
      <c r="G884" s="20"/>
      <c r="H884" s="20"/>
      <c r="I884" s="20"/>
      <c r="J884" s="20"/>
      <c r="K884" s="20"/>
      <c r="L884" s="20"/>
      <c r="M884" s="20"/>
      <c r="N884" s="20"/>
      <c r="O884" s="20"/>
      <c r="P884" s="20"/>
      <c r="Q884" s="20"/>
      <c r="R884" s="20"/>
      <c r="S884" s="188"/>
      <c r="T884" s="188"/>
      <c r="U884" s="188"/>
      <c r="V884" s="188"/>
      <c r="W884" s="20"/>
      <c r="X884" s="20"/>
      <c r="Y884" s="20"/>
      <c r="Z884" s="20"/>
      <c r="AA884" s="20"/>
      <c r="AB884" s="20"/>
    </row>
    <row r="885">
      <c r="A885" s="20"/>
      <c r="B885" s="20"/>
      <c r="C885" s="20"/>
      <c r="D885" s="20"/>
      <c r="E885" s="20"/>
      <c r="F885" s="282"/>
      <c r="G885" s="20"/>
      <c r="H885" s="20"/>
      <c r="I885" s="20"/>
      <c r="J885" s="20"/>
      <c r="K885" s="20"/>
      <c r="L885" s="20"/>
      <c r="M885" s="20"/>
      <c r="N885" s="20"/>
      <c r="O885" s="20"/>
      <c r="P885" s="20"/>
      <c r="Q885" s="20"/>
      <c r="R885" s="20"/>
      <c r="S885" s="188"/>
      <c r="T885" s="188"/>
      <c r="U885" s="188"/>
      <c r="V885" s="188"/>
      <c r="W885" s="20"/>
      <c r="X885" s="20"/>
      <c r="Y885" s="20"/>
      <c r="Z885" s="20"/>
      <c r="AA885" s="20"/>
      <c r="AB885" s="20"/>
    </row>
    <row r="886">
      <c r="A886" s="20"/>
      <c r="B886" s="20"/>
      <c r="C886" s="20"/>
      <c r="D886" s="20"/>
      <c r="E886" s="20"/>
      <c r="F886" s="282"/>
      <c r="G886" s="20"/>
      <c r="H886" s="20"/>
      <c r="I886" s="20"/>
      <c r="J886" s="20"/>
      <c r="K886" s="20"/>
      <c r="L886" s="20"/>
      <c r="M886" s="20"/>
      <c r="N886" s="20"/>
      <c r="O886" s="20"/>
      <c r="P886" s="20"/>
      <c r="Q886" s="20"/>
      <c r="R886" s="20"/>
      <c r="S886" s="188"/>
      <c r="T886" s="188"/>
      <c r="U886" s="188"/>
      <c r="V886" s="188"/>
      <c r="W886" s="20"/>
      <c r="X886" s="20"/>
      <c r="Y886" s="20"/>
      <c r="Z886" s="20"/>
      <c r="AA886" s="20"/>
      <c r="AB886" s="20"/>
    </row>
    <row r="887">
      <c r="A887" s="20"/>
      <c r="B887" s="20"/>
      <c r="C887" s="20"/>
      <c r="D887" s="20"/>
      <c r="E887" s="20"/>
      <c r="F887" s="282"/>
      <c r="G887" s="20"/>
      <c r="H887" s="20"/>
      <c r="I887" s="20"/>
      <c r="J887" s="20"/>
      <c r="K887" s="20"/>
      <c r="L887" s="20"/>
      <c r="M887" s="20"/>
      <c r="N887" s="20"/>
      <c r="O887" s="20"/>
      <c r="P887" s="20"/>
      <c r="Q887" s="20"/>
      <c r="R887" s="20"/>
      <c r="S887" s="188"/>
      <c r="T887" s="188"/>
      <c r="U887" s="188"/>
      <c r="V887" s="188"/>
      <c r="W887" s="20"/>
      <c r="X887" s="20"/>
      <c r="Y887" s="20"/>
      <c r="Z887" s="20"/>
      <c r="AA887" s="20"/>
      <c r="AB887" s="20"/>
    </row>
    <row r="888">
      <c r="A888" s="20"/>
      <c r="B888" s="20"/>
      <c r="C888" s="20"/>
      <c r="D888" s="20"/>
      <c r="E888" s="20"/>
      <c r="F888" s="282"/>
      <c r="G888" s="20"/>
      <c r="H888" s="20"/>
      <c r="I888" s="20"/>
      <c r="J888" s="20"/>
      <c r="K888" s="20"/>
      <c r="L888" s="20"/>
      <c r="M888" s="20"/>
      <c r="N888" s="20"/>
      <c r="O888" s="20"/>
      <c r="P888" s="20"/>
      <c r="Q888" s="20"/>
      <c r="R888" s="20"/>
      <c r="S888" s="188"/>
      <c r="T888" s="188"/>
      <c r="U888" s="188"/>
      <c r="V888" s="188"/>
      <c r="W888" s="20"/>
      <c r="X888" s="20"/>
      <c r="Y888" s="20"/>
      <c r="Z888" s="20"/>
      <c r="AA888" s="20"/>
      <c r="AB888" s="20"/>
    </row>
    <row r="889">
      <c r="A889" s="20"/>
      <c r="B889" s="20"/>
      <c r="C889" s="20"/>
      <c r="D889" s="20"/>
      <c r="E889" s="20"/>
      <c r="F889" s="282"/>
      <c r="G889" s="20"/>
      <c r="H889" s="20"/>
      <c r="I889" s="20"/>
      <c r="J889" s="20"/>
      <c r="K889" s="20"/>
      <c r="L889" s="20"/>
      <c r="M889" s="20"/>
      <c r="N889" s="20"/>
      <c r="O889" s="20"/>
      <c r="P889" s="20"/>
      <c r="Q889" s="20"/>
      <c r="R889" s="20"/>
      <c r="S889" s="188"/>
      <c r="T889" s="188"/>
      <c r="U889" s="188"/>
      <c r="V889" s="188"/>
      <c r="W889" s="20"/>
      <c r="X889" s="20"/>
      <c r="Y889" s="20"/>
      <c r="Z889" s="20"/>
      <c r="AA889" s="20"/>
      <c r="AB889" s="20"/>
    </row>
    <row r="890">
      <c r="A890" s="20"/>
      <c r="B890" s="20"/>
      <c r="C890" s="20"/>
      <c r="D890" s="20"/>
      <c r="E890" s="20"/>
      <c r="F890" s="282"/>
      <c r="G890" s="20"/>
      <c r="H890" s="20"/>
      <c r="I890" s="20"/>
      <c r="J890" s="20"/>
      <c r="K890" s="20"/>
      <c r="L890" s="20"/>
      <c r="M890" s="20"/>
      <c r="N890" s="20"/>
      <c r="O890" s="20"/>
      <c r="P890" s="20"/>
      <c r="Q890" s="20"/>
      <c r="R890" s="20"/>
      <c r="S890" s="188"/>
      <c r="T890" s="188"/>
      <c r="U890" s="188"/>
      <c r="V890" s="188"/>
      <c r="W890" s="20"/>
      <c r="X890" s="20"/>
      <c r="Y890" s="20"/>
      <c r="Z890" s="20"/>
      <c r="AA890" s="20"/>
      <c r="AB890" s="20"/>
    </row>
    <row r="891">
      <c r="A891" s="20"/>
      <c r="B891" s="20"/>
      <c r="C891" s="20"/>
      <c r="D891" s="20"/>
      <c r="E891" s="20"/>
      <c r="F891" s="282"/>
      <c r="G891" s="20"/>
      <c r="H891" s="20"/>
      <c r="I891" s="20"/>
      <c r="J891" s="20"/>
      <c r="K891" s="20"/>
      <c r="L891" s="20"/>
      <c r="M891" s="20"/>
      <c r="N891" s="20"/>
      <c r="O891" s="20"/>
      <c r="P891" s="20"/>
      <c r="Q891" s="20"/>
      <c r="R891" s="20"/>
      <c r="S891" s="188"/>
      <c r="T891" s="188"/>
      <c r="U891" s="188"/>
      <c r="V891" s="188"/>
      <c r="W891" s="20"/>
      <c r="X891" s="20"/>
      <c r="Y891" s="20"/>
      <c r="Z891" s="20"/>
      <c r="AA891" s="20"/>
      <c r="AB891" s="20"/>
    </row>
    <row r="892">
      <c r="A892" s="20"/>
      <c r="B892" s="20"/>
      <c r="C892" s="20"/>
      <c r="D892" s="20"/>
      <c r="E892" s="20"/>
      <c r="F892" s="282"/>
      <c r="G892" s="20"/>
      <c r="H892" s="20"/>
      <c r="I892" s="20"/>
      <c r="J892" s="20"/>
      <c r="K892" s="20"/>
      <c r="L892" s="20"/>
      <c r="M892" s="20"/>
      <c r="N892" s="20"/>
      <c r="O892" s="20"/>
      <c r="P892" s="20"/>
      <c r="Q892" s="20"/>
      <c r="R892" s="20"/>
      <c r="S892" s="188"/>
      <c r="T892" s="188"/>
      <c r="U892" s="188"/>
      <c r="V892" s="188"/>
      <c r="W892" s="20"/>
      <c r="X892" s="20"/>
      <c r="Y892" s="20"/>
      <c r="Z892" s="20"/>
      <c r="AA892" s="20"/>
      <c r="AB892" s="20"/>
    </row>
    <row r="893">
      <c r="A893" s="20"/>
      <c r="B893" s="20"/>
      <c r="C893" s="20"/>
      <c r="D893" s="20"/>
      <c r="E893" s="20"/>
      <c r="F893" s="282"/>
      <c r="G893" s="20"/>
      <c r="H893" s="20"/>
      <c r="I893" s="20"/>
      <c r="J893" s="20"/>
      <c r="K893" s="20"/>
      <c r="L893" s="20"/>
      <c r="M893" s="20"/>
      <c r="N893" s="20"/>
      <c r="O893" s="20"/>
      <c r="P893" s="20"/>
      <c r="Q893" s="20"/>
      <c r="R893" s="20"/>
      <c r="S893" s="188"/>
      <c r="T893" s="188"/>
      <c r="U893" s="188"/>
      <c r="V893" s="188"/>
      <c r="W893" s="20"/>
      <c r="X893" s="20"/>
      <c r="Y893" s="20"/>
      <c r="Z893" s="20"/>
      <c r="AA893" s="20"/>
      <c r="AB893" s="20"/>
    </row>
    <row r="894">
      <c r="A894" s="20"/>
      <c r="B894" s="20"/>
      <c r="C894" s="20"/>
      <c r="D894" s="20"/>
      <c r="E894" s="20"/>
      <c r="F894" s="282"/>
      <c r="G894" s="20"/>
      <c r="H894" s="20"/>
      <c r="I894" s="20"/>
      <c r="J894" s="20"/>
      <c r="K894" s="20"/>
      <c r="L894" s="20"/>
      <c r="M894" s="20"/>
      <c r="N894" s="20"/>
      <c r="O894" s="20"/>
      <c r="P894" s="20"/>
      <c r="Q894" s="20"/>
      <c r="R894" s="20"/>
      <c r="S894" s="188"/>
      <c r="T894" s="188"/>
      <c r="U894" s="188"/>
      <c r="V894" s="188"/>
      <c r="W894" s="20"/>
      <c r="X894" s="20"/>
      <c r="Y894" s="20"/>
      <c r="Z894" s="20"/>
      <c r="AA894" s="20"/>
      <c r="AB894" s="20"/>
    </row>
    <row r="895">
      <c r="A895" s="20"/>
      <c r="B895" s="20"/>
      <c r="C895" s="20"/>
      <c r="D895" s="20"/>
      <c r="E895" s="20"/>
      <c r="F895" s="282"/>
      <c r="G895" s="20"/>
      <c r="H895" s="20"/>
      <c r="I895" s="20"/>
      <c r="J895" s="20"/>
      <c r="K895" s="20"/>
      <c r="L895" s="20"/>
      <c r="M895" s="20"/>
      <c r="N895" s="20"/>
      <c r="O895" s="20"/>
      <c r="P895" s="20"/>
      <c r="Q895" s="20"/>
      <c r="R895" s="20"/>
      <c r="S895" s="188"/>
      <c r="T895" s="188"/>
      <c r="U895" s="188"/>
      <c r="V895" s="188"/>
      <c r="W895" s="20"/>
      <c r="X895" s="20"/>
      <c r="Y895" s="20"/>
      <c r="Z895" s="20"/>
      <c r="AA895" s="20"/>
      <c r="AB895" s="20"/>
    </row>
    <row r="896">
      <c r="A896" s="20"/>
      <c r="B896" s="20"/>
      <c r="C896" s="20"/>
      <c r="D896" s="20"/>
      <c r="E896" s="20"/>
      <c r="F896" s="282"/>
      <c r="G896" s="20"/>
      <c r="H896" s="20"/>
      <c r="I896" s="20"/>
      <c r="J896" s="20"/>
      <c r="K896" s="20"/>
      <c r="L896" s="20"/>
      <c r="M896" s="20"/>
      <c r="N896" s="20"/>
      <c r="O896" s="20"/>
      <c r="P896" s="20"/>
      <c r="Q896" s="20"/>
      <c r="R896" s="20"/>
      <c r="S896" s="188"/>
      <c r="T896" s="188"/>
      <c r="U896" s="188"/>
      <c r="V896" s="188"/>
      <c r="W896" s="20"/>
      <c r="X896" s="20"/>
      <c r="Y896" s="20"/>
      <c r="Z896" s="20"/>
      <c r="AA896" s="20"/>
      <c r="AB896" s="20"/>
    </row>
    <row r="897">
      <c r="A897" s="20"/>
      <c r="B897" s="20"/>
      <c r="C897" s="20"/>
      <c r="D897" s="20"/>
      <c r="E897" s="20"/>
      <c r="F897" s="282"/>
      <c r="G897" s="20"/>
      <c r="H897" s="20"/>
      <c r="I897" s="20"/>
      <c r="J897" s="20"/>
      <c r="K897" s="20"/>
      <c r="L897" s="20"/>
      <c r="M897" s="20"/>
      <c r="N897" s="20"/>
      <c r="O897" s="20"/>
      <c r="P897" s="20"/>
      <c r="Q897" s="20"/>
      <c r="R897" s="20"/>
      <c r="S897" s="188"/>
      <c r="T897" s="188"/>
      <c r="U897" s="188"/>
      <c r="V897" s="188"/>
      <c r="W897" s="20"/>
      <c r="X897" s="20"/>
      <c r="Y897" s="20"/>
      <c r="Z897" s="20"/>
      <c r="AA897" s="20"/>
      <c r="AB897" s="20"/>
    </row>
    <row r="898">
      <c r="A898" s="20"/>
      <c r="B898" s="20"/>
      <c r="C898" s="20"/>
      <c r="D898" s="20"/>
      <c r="E898" s="20"/>
      <c r="F898" s="282"/>
      <c r="G898" s="20"/>
      <c r="H898" s="20"/>
      <c r="I898" s="20"/>
      <c r="J898" s="20"/>
      <c r="K898" s="20"/>
      <c r="L898" s="20"/>
      <c r="M898" s="20"/>
      <c r="N898" s="20"/>
      <c r="O898" s="20"/>
      <c r="P898" s="20"/>
      <c r="Q898" s="20"/>
      <c r="R898" s="20"/>
      <c r="S898" s="188"/>
      <c r="T898" s="188"/>
      <c r="U898" s="188"/>
      <c r="V898" s="188"/>
      <c r="W898" s="20"/>
      <c r="X898" s="20"/>
      <c r="Y898" s="20"/>
      <c r="Z898" s="20"/>
      <c r="AA898" s="20"/>
      <c r="AB898" s="20"/>
    </row>
    <row r="899">
      <c r="A899" s="20"/>
      <c r="B899" s="20"/>
      <c r="C899" s="20"/>
      <c r="D899" s="20"/>
      <c r="E899" s="20"/>
      <c r="F899" s="282"/>
      <c r="G899" s="20"/>
      <c r="H899" s="20"/>
      <c r="I899" s="20"/>
      <c r="J899" s="20"/>
      <c r="K899" s="20"/>
      <c r="L899" s="20"/>
      <c r="M899" s="20"/>
      <c r="N899" s="20"/>
      <c r="O899" s="20"/>
      <c r="P899" s="20"/>
      <c r="Q899" s="20"/>
      <c r="R899" s="20"/>
      <c r="S899" s="188"/>
      <c r="T899" s="188"/>
      <c r="U899" s="188"/>
      <c r="V899" s="188"/>
      <c r="W899" s="20"/>
      <c r="X899" s="20"/>
      <c r="Y899" s="20"/>
      <c r="Z899" s="20"/>
      <c r="AA899" s="20"/>
      <c r="AB899" s="20"/>
    </row>
    <row r="900">
      <c r="A900" s="20"/>
      <c r="B900" s="20"/>
      <c r="C900" s="20"/>
      <c r="D900" s="20"/>
      <c r="E900" s="20"/>
      <c r="F900" s="282"/>
      <c r="G900" s="20"/>
      <c r="H900" s="20"/>
      <c r="I900" s="20"/>
      <c r="J900" s="20"/>
      <c r="K900" s="20"/>
      <c r="L900" s="20"/>
      <c r="M900" s="20"/>
      <c r="N900" s="20"/>
      <c r="O900" s="20"/>
      <c r="P900" s="20"/>
      <c r="Q900" s="20"/>
      <c r="R900" s="20"/>
      <c r="S900" s="188"/>
      <c r="T900" s="188"/>
      <c r="U900" s="188"/>
      <c r="V900" s="188"/>
      <c r="W900" s="20"/>
      <c r="X900" s="20"/>
      <c r="Y900" s="20"/>
      <c r="Z900" s="20"/>
      <c r="AA900" s="20"/>
      <c r="AB900" s="20"/>
    </row>
    <row r="901">
      <c r="A901" s="20"/>
      <c r="B901" s="20"/>
      <c r="C901" s="20"/>
      <c r="D901" s="20"/>
      <c r="E901" s="20"/>
      <c r="F901" s="282"/>
      <c r="G901" s="20"/>
      <c r="H901" s="20"/>
      <c r="I901" s="20"/>
      <c r="J901" s="20"/>
      <c r="K901" s="20"/>
      <c r="L901" s="20"/>
      <c r="M901" s="20"/>
      <c r="N901" s="20"/>
      <c r="O901" s="20"/>
      <c r="P901" s="20"/>
      <c r="Q901" s="20"/>
      <c r="R901" s="20"/>
      <c r="S901" s="188"/>
      <c r="T901" s="188"/>
      <c r="U901" s="188"/>
      <c r="V901" s="188"/>
      <c r="W901" s="20"/>
      <c r="X901" s="20"/>
      <c r="Y901" s="20"/>
      <c r="Z901" s="20"/>
      <c r="AA901" s="20"/>
      <c r="AB901" s="20"/>
    </row>
    <row r="902">
      <c r="A902" s="20"/>
      <c r="B902" s="20"/>
      <c r="C902" s="20"/>
      <c r="D902" s="20"/>
      <c r="E902" s="20"/>
      <c r="F902" s="282"/>
      <c r="G902" s="20"/>
      <c r="H902" s="20"/>
      <c r="I902" s="20"/>
      <c r="J902" s="20"/>
      <c r="K902" s="20"/>
      <c r="L902" s="20"/>
      <c r="M902" s="20"/>
      <c r="N902" s="20"/>
      <c r="O902" s="20"/>
      <c r="P902" s="20"/>
      <c r="Q902" s="20"/>
      <c r="R902" s="20"/>
      <c r="S902" s="188"/>
      <c r="T902" s="188"/>
      <c r="U902" s="188"/>
      <c r="V902" s="188"/>
      <c r="W902" s="20"/>
      <c r="X902" s="20"/>
      <c r="Y902" s="20"/>
      <c r="Z902" s="20"/>
      <c r="AA902" s="20"/>
      <c r="AB902" s="20"/>
    </row>
    <row r="903">
      <c r="A903" s="20"/>
      <c r="B903" s="20"/>
      <c r="C903" s="20"/>
      <c r="D903" s="20"/>
      <c r="E903" s="20"/>
      <c r="F903" s="282"/>
      <c r="G903" s="20"/>
      <c r="H903" s="20"/>
      <c r="I903" s="20"/>
      <c r="J903" s="20"/>
      <c r="K903" s="20"/>
      <c r="L903" s="20"/>
      <c r="M903" s="20"/>
      <c r="N903" s="20"/>
      <c r="O903" s="20"/>
      <c r="P903" s="20"/>
      <c r="Q903" s="20"/>
      <c r="R903" s="20"/>
      <c r="S903" s="188"/>
      <c r="T903" s="188"/>
      <c r="U903" s="188"/>
      <c r="V903" s="188"/>
      <c r="W903" s="20"/>
      <c r="X903" s="20"/>
      <c r="Y903" s="20"/>
      <c r="Z903" s="20"/>
      <c r="AA903" s="20"/>
      <c r="AB903" s="20"/>
    </row>
    <row r="904">
      <c r="A904" s="20"/>
      <c r="B904" s="20"/>
      <c r="C904" s="20"/>
      <c r="D904" s="20"/>
      <c r="E904" s="20"/>
      <c r="F904" s="282"/>
      <c r="G904" s="20"/>
      <c r="H904" s="20"/>
      <c r="I904" s="20"/>
      <c r="J904" s="20"/>
      <c r="K904" s="20"/>
      <c r="L904" s="20"/>
      <c r="M904" s="20"/>
      <c r="N904" s="20"/>
      <c r="O904" s="20"/>
      <c r="P904" s="20"/>
      <c r="Q904" s="20"/>
      <c r="R904" s="20"/>
      <c r="S904" s="188"/>
      <c r="T904" s="188"/>
      <c r="U904" s="188"/>
      <c r="V904" s="188"/>
      <c r="W904" s="20"/>
      <c r="X904" s="20"/>
      <c r="Y904" s="20"/>
      <c r="Z904" s="20"/>
      <c r="AA904" s="20"/>
      <c r="AB904" s="20"/>
    </row>
    <row r="905">
      <c r="A905" s="20"/>
      <c r="B905" s="20"/>
      <c r="C905" s="20"/>
      <c r="D905" s="20"/>
      <c r="E905" s="20"/>
      <c r="F905" s="282"/>
      <c r="G905" s="20"/>
      <c r="H905" s="20"/>
      <c r="I905" s="20"/>
      <c r="J905" s="20"/>
      <c r="K905" s="20"/>
      <c r="L905" s="20"/>
      <c r="M905" s="20"/>
      <c r="N905" s="20"/>
      <c r="O905" s="20"/>
      <c r="P905" s="20"/>
      <c r="Q905" s="20"/>
      <c r="R905" s="20"/>
      <c r="S905" s="188"/>
      <c r="T905" s="188"/>
      <c r="U905" s="188"/>
      <c r="V905" s="188"/>
      <c r="W905" s="20"/>
      <c r="X905" s="20"/>
      <c r="Y905" s="20"/>
      <c r="Z905" s="20"/>
      <c r="AA905" s="20"/>
      <c r="AB905" s="20"/>
    </row>
    <row r="906">
      <c r="A906" s="20"/>
      <c r="B906" s="20"/>
      <c r="C906" s="20"/>
      <c r="D906" s="20"/>
      <c r="E906" s="20"/>
      <c r="F906" s="282"/>
      <c r="G906" s="20"/>
      <c r="H906" s="20"/>
      <c r="I906" s="20"/>
      <c r="J906" s="20"/>
      <c r="K906" s="20"/>
      <c r="L906" s="20"/>
      <c r="M906" s="20"/>
      <c r="N906" s="20"/>
      <c r="O906" s="20"/>
      <c r="P906" s="20"/>
      <c r="Q906" s="20"/>
      <c r="R906" s="20"/>
      <c r="S906" s="188"/>
      <c r="T906" s="188"/>
      <c r="U906" s="188"/>
      <c r="V906" s="188"/>
      <c r="W906" s="20"/>
      <c r="X906" s="20"/>
      <c r="Y906" s="20"/>
      <c r="Z906" s="20"/>
      <c r="AA906" s="20"/>
      <c r="AB906" s="20"/>
    </row>
    <row r="907">
      <c r="A907" s="20"/>
      <c r="B907" s="20"/>
      <c r="C907" s="20"/>
      <c r="D907" s="20"/>
      <c r="E907" s="20"/>
      <c r="F907" s="282"/>
      <c r="G907" s="20"/>
      <c r="H907" s="20"/>
      <c r="I907" s="20"/>
      <c r="J907" s="20"/>
      <c r="K907" s="20"/>
      <c r="L907" s="20"/>
      <c r="M907" s="20"/>
      <c r="N907" s="20"/>
      <c r="O907" s="20"/>
      <c r="P907" s="20"/>
      <c r="Q907" s="20"/>
      <c r="R907" s="20"/>
      <c r="S907" s="188"/>
      <c r="T907" s="188"/>
      <c r="U907" s="188"/>
      <c r="V907" s="188"/>
      <c r="W907" s="20"/>
      <c r="X907" s="20"/>
      <c r="Y907" s="20"/>
      <c r="Z907" s="20"/>
      <c r="AA907" s="20"/>
      <c r="AB907" s="20"/>
    </row>
    <row r="908">
      <c r="A908" s="20"/>
      <c r="B908" s="20"/>
      <c r="C908" s="20"/>
      <c r="D908" s="20"/>
      <c r="E908" s="20"/>
      <c r="F908" s="282"/>
      <c r="G908" s="20"/>
      <c r="H908" s="20"/>
      <c r="I908" s="20"/>
      <c r="J908" s="20"/>
      <c r="K908" s="20"/>
      <c r="L908" s="20"/>
      <c r="M908" s="20"/>
      <c r="N908" s="20"/>
      <c r="O908" s="20"/>
      <c r="P908" s="20"/>
      <c r="Q908" s="20"/>
      <c r="R908" s="20"/>
      <c r="S908" s="188"/>
      <c r="T908" s="188"/>
      <c r="U908" s="188"/>
      <c r="V908" s="188"/>
      <c r="W908" s="20"/>
      <c r="X908" s="20"/>
      <c r="Y908" s="20"/>
      <c r="Z908" s="20"/>
      <c r="AA908" s="20"/>
      <c r="AB908" s="20"/>
    </row>
    <row r="909">
      <c r="A909" s="20"/>
      <c r="B909" s="20"/>
      <c r="C909" s="20"/>
      <c r="D909" s="20"/>
      <c r="E909" s="20"/>
      <c r="F909" s="282"/>
      <c r="G909" s="20"/>
      <c r="H909" s="20"/>
      <c r="I909" s="20"/>
      <c r="J909" s="20"/>
      <c r="K909" s="20"/>
      <c r="L909" s="20"/>
      <c r="M909" s="20"/>
      <c r="N909" s="20"/>
      <c r="O909" s="20"/>
      <c r="P909" s="20"/>
      <c r="Q909" s="20"/>
      <c r="R909" s="20"/>
      <c r="S909" s="188"/>
      <c r="T909" s="188"/>
      <c r="U909" s="188"/>
      <c r="V909" s="188"/>
      <c r="W909" s="20"/>
      <c r="X909" s="20"/>
      <c r="Y909" s="20"/>
      <c r="Z909" s="20"/>
      <c r="AA909" s="20"/>
      <c r="AB909" s="20"/>
    </row>
    <row r="910">
      <c r="A910" s="20"/>
      <c r="B910" s="20"/>
      <c r="C910" s="20"/>
      <c r="D910" s="20"/>
      <c r="E910" s="20"/>
      <c r="F910" s="282"/>
      <c r="G910" s="20"/>
      <c r="H910" s="20"/>
      <c r="I910" s="20"/>
      <c r="J910" s="20"/>
      <c r="K910" s="20"/>
      <c r="L910" s="20"/>
      <c r="M910" s="20"/>
      <c r="N910" s="20"/>
      <c r="O910" s="20"/>
      <c r="P910" s="20"/>
      <c r="Q910" s="20"/>
      <c r="R910" s="20"/>
      <c r="S910" s="188"/>
      <c r="T910" s="188"/>
      <c r="U910" s="188"/>
      <c r="V910" s="188"/>
      <c r="W910" s="20"/>
      <c r="X910" s="20"/>
      <c r="Y910" s="20"/>
      <c r="Z910" s="20"/>
      <c r="AA910" s="20"/>
      <c r="AB910" s="20"/>
    </row>
    <row r="911">
      <c r="A911" s="20"/>
      <c r="B911" s="20"/>
      <c r="C911" s="20"/>
      <c r="D911" s="20"/>
      <c r="E911" s="20"/>
      <c r="F911" s="282"/>
      <c r="G911" s="20"/>
      <c r="H911" s="20"/>
      <c r="I911" s="20"/>
      <c r="J911" s="20"/>
      <c r="K911" s="20"/>
      <c r="L911" s="20"/>
      <c r="M911" s="20"/>
      <c r="N911" s="20"/>
      <c r="O911" s="20"/>
      <c r="P911" s="20"/>
      <c r="Q911" s="20"/>
      <c r="R911" s="20"/>
      <c r="S911" s="188"/>
      <c r="T911" s="188"/>
      <c r="U911" s="188"/>
      <c r="V911" s="188"/>
      <c r="W911" s="20"/>
      <c r="X911" s="20"/>
      <c r="Y911" s="20"/>
      <c r="Z911" s="20"/>
      <c r="AA911" s="20"/>
      <c r="AB911" s="20"/>
    </row>
    <row r="912">
      <c r="A912" s="20"/>
      <c r="B912" s="20"/>
      <c r="C912" s="20"/>
      <c r="D912" s="20"/>
      <c r="E912" s="20"/>
      <c r="F912" s="282"/>
      <c r="G912" s="20"/>
      <c r="H912" s="20"/>
      <c r="I912" s="20"/>
      <c r="J912" s="20"/>
      <c r="K912" s="20"/>
      <c r="L912" s="20"/>
      <c r="M912" s="20"/>
      <c r="N912" s="20"/>
      <c r="O912" s="20"/>
      <c r="P912" s="20"/>
      <c r="Q912" s="20"/>
      <c r="R912" s="20"/>
      <c r="S912" s="188"/>
      <c r="T912" s="188"/>
      <c r="U912" s="188"/>
      <c r="V912" s="188"/>
      <c r="W912" s="20"/>
      <c r="X912" s="20"/>
      <c r="Y912" s="20"/>
      <c r="Z912" s="20"/>
      <c r="AA912" s="20"/>
      <c r="AB912" s="20"/>
    </row>
    <row r="913">
      <c r="A913" s="20"/>
      <c r="B913" s="20"/>
      <c r="C913" s="20"/>
      <c r="D913" s="20"/>
      <c r="E913" s="20"/>
      <c r="F913" s="282"/>
      <c r="G913" s="20"/>
      <c r="H913" s="20"/>
      <c r="I913" s="20"/>
      <c r="J913" s="20"/>
      <c r="K913" s="20"/>
      <c r="L913" s="20"/>
      <c r="M913" s="20"/>
      <c r="N913" s="20"/>
      <c r="O913" s="20"/>
      <c r="P913" s="20"/>
      <c r="Q913" s="20"/>
      <c r="R913" s="20"/>
      <c r="S913" s="188"/>
      <c r="T913" s="188"/>
      <c r="U913" s="188"/>
      <c r="V913" s="188"/>
      <c r="W913" s="20"/>
      <c r="X913" s="20"/>
      <c r="Y913" s="20"/>
      <c r="Z913" s="20"/>
      <c r="AA913" s="20"/>
      <c r="AB913" s="20"/>
    </row>
    <row r="914">
      <c r="A914" s="20"/>
      <c r="B914" s="20"/>
      <c r="C914" s="20"/>
      <c r="D914" s="20"/>
      <c r="E914" s="20"/>
      <c r="F914" s="282"/>
      <c r="G914" s="20"/>
      <c r="H914" s="20"/>
      <c r="I914" s="20"/>
      <c r="J914" s="20"/>
      <c r="K914" s="20"/>
      <c r="L914" s="20"/>
      <c r="M914" s="20"/>
      <c r="N914" s="20"/>
      <c r="O914" s="20"/>
      <c r="P914" s="20"/>
      <c r="Q914" s="20"/>
      <c r="R914" s="20"/>
      <c r="S914" s="188"/>
      <c r="T914" s="188"/>
      <c r="U914" s="188"/>
      <c r="V914" s="188"/>
      <c r="W914" s="20"/>
      <c r="X914" s="20"/>
      <c r="Y914" s="20"/>
      <c r="Z914" s="20"/>
      <c r="AA914" s="20"/>
      <c r="AB914" s="20"/>
    </row>
    <row r="915">
      <c r="A915" s="20"/>
      <c r="B915" s="20"/>
      <c r="C915" s="20"/>
      <c r="D915" s="20"/>
      <c r="E915" s="20"/>
      <c r="F915" s="282"/>
      <c r="G915" s="20"/>
      <c r="H915" s="20"/>
      <c r="I915" s="20"/>
      <c r="J915" s="20"/>
      <c r="K915" s="20"/>
      <c r="L915" s="20"/>
      <c r="M915" s="20"/>
      <c r="N915" s="20"/>
      <c r="O915" s="20"/>
      <c r="P915" s="20"/>
      <c r="Q915" s="20"/>
      <c r="R915" s="20"/>
      <c r="S915" s="188"/>
      <c r="T915" s="188"/>
      <c r="U915" s="188"/>
      <c r="V915" s="188"/>
      <c r="W915" s="20"/>
      <c r="X915" s="20"/>
      <c r="Y915" s="20"/>
      <c r="Z915" s="20"/>
      <c r="AA915" s="20"/>
      <c r="AB915" s="20"/>
    </row>
    <row r="916">
      <c r="A916" s="20"/>
      <c r="B916" s="20"/>
      <c r="C916" s="20"/>
      <c r="D916" s="20"/>
      <c r="E916" s="20"/>
      <c r="F916" s="282"/>
      <c r="G916" s="20"/>
      <c r="H916" s="20"/>
      <c r="I916" s="20"/>
      <c r="J916" s="20"/>
      <c r="K916" s="20"/>
      <c r="L916" s="20"/>
      <c r="M916" s="20"/>
      <c r="N916" s="20"/>
      <c r="O916" s="20"/>
      <c r="P916" s="20"/>
      <c r="Q916" s="20"/>
      <c r="R916" s="20"/>
      <c r="S916" s="188"/>
      <c r="T916" s="188"/>
      <c r="U916" s="188"/>
      <c r="V916" s="188"/>
      <c r="W916" s="20"/>
      <c r="X916" s="20"/>
      <c r="Y916" s="20"/>
      <c r="Z916" s="20"/>
      <c r="AA916" s="20"/>
      <c r="AB916" s="20"/>
    </row>
    <row r="917">
      <c r="A917" s="20"/>
      <c r="B917" s="20"/>
      <c r="C917" s="20"/>
      <c r="D917" s="20"/>
      <c r="E917" s="20"/>
      <c r="F917" s="282"/>
      <c r="G917" s="20"/>
      <c r="H917" s="20"/>
      <c r="I917" s="20"/>
      <c r="J917" s="20"/>
      <c r="K917" s="20"/>
      <c r="L917" s="20"/>
      <c r="M917" s="20"/>
      <c r="N917" s="20"/>
      <c r="O917" s="20"/>
      <c r="P917" s="20"/>
      <c r="Q917" s="20"/>
      <c r="R917" s="20"/>
      <c r="S917" s="188"/>
      <c r="T917" s="188"/>
      <c r="U917" s="188"/>
      <c r="V917" s="188"/>
      <c r="W917" s="20"/>
      <c r="X917" s="20"/>
      <c r="Y917" s="20"/>
      <c r="Z917" s="20"/>
      <c r="AA917" s="20"/>
      <c r="AB917" s="20"/>
    </row>
    <row r="918">
      <c r="A918" s="20"/>
      <c r="B918" s="20"/>
      <c r="C918" s="20"/>
      <c r="D918" s="20"/>
      <c r="E918" s="20"/>
      <c r="F918" s="282"/>
      <c r="G918" s="20"/>
      <c r="H918" s="20"/>
      <c r="I918" s="20"/>
      <c r="J918" s="20"/>
      <c r="K918" s="20"/>
      <c r="L918" s="20"/>
      <c r="M918" s="20"/>
      <c r="N918" s="20"/>
      <c r="O918" s="20"/>
      <c r="P918" s="20"/>
      <c r="Q918" s="20"/>
      <c r="R918" s="20"/>
      <c r="S918" s="188"/>
      <c r="T918" s="188"/>
      <c r="U918" s="188"/>
      <c r="V918" s="188"/>
      <c r="W918" s="20"/>
      <c r="X918" s="20"/>
      <c r="Y918" s="20"/>
      <c r="Z918" s="20"/>
      <c r="AA918" s="20"/>
      <c r="AB918" s="20"/>
    </row>
    <row r="919">
      <c r="A919" s="20"/>
      <c r="B919" s="20"/>
      <c r="C919" s="20"/>
      <c r="D919" s="20"/>
      <c r="E919" s="20"/>
      <c r="F919" s="282"/>
      <c r="G919" s="20"/>
      <c r="H919" s="20"/>
      <c r="I919" s="20"/>
      <c r="J919" s="20"/>
      <c r="K919" s="20"/>
      <c r="L919" s="20"/>
      <c r="M919" s="20"/>
      <c r="N919" s="20"/>
      <c r="O919" s="20"/>
      <c r="P919" s="20"/>
      <c r="Q919" s="20"/>
      <c r="R919" s="20"/>
      <c r="S919" s="188"/>
      <c r="T919" s="188"/>
      <c r="U919" s="188"/>
      <c r="V919" s="188"/>
      <c r="W919" s="20"/>
      <c r="X919" s="20"/>
      <c r="Y919" s="20"/>
      <c r="Z919" s="20"/>
      <c r="AA919" s="20"/>
      <c r="AB919" s="20"/>
    </row>
    <row r="920">
      <c r="A920" s="20"/>
      <c r="B920" s="20"/>
      <c r="C920" s="20"/>
      <c r="D920" s="20"/>
      <c r="E920" s="20"/>
      <c r="F920" s="282"/>
      <c r="G920" s="20"/>
      <c r="H920" s="20"/>
      <c r="I920" s="20"/>
      <c r="J920" s="20"/>
      <c r="K920" s="20"/>
      <c r="L920" s="20"/>
      <c r="M920" s="20"/>
      <c r="N920" s="20"/>
      <c r="O920" s="20"/>
      <c r="P920" s="20"/>
      <c r="Q920" s="20"/>
      <c r="R920" s="20"/>
      <c r="S920" s="188"/>
      <c r="T920" s="188"/>
      <c r="U920" s="188"/>
      <c r="V920" s="188"/>
      <c r="W920" s="20"/>
      <c r="X920" s="20"/>
      <c r="Y920" s="20"/>
      <c r="Z920" s="20"/>
      <c r="AA920" s="20"/>
      <c r="AB920" s="20"/>
    </row>
    <row r="921">
      <c r="A921" s="20"/>
      <c r="B921" s="20"/>
      <c r="C921" s="20"/>
      <c r="D921" s="20"/>
      <c r="E921" s="20"/>
      <c r="F921" s="282"/>
      <c r="G921" s="20"/>
      <c r="H921" s="20"/>
      <c r="I921" s="20"/>
      <c r="J921" s="20"/>
      <c r="K921" s="20"/>
      <c r="L921" s="20"/>
      <c r="M921" s="20"/>
      <c r="N921" s="20"/>
      <c r="O921" s="20"/>
      <c r="P921" s="20"/>
      <c r="Q921" s="20"/>
      <c r="R921" s="20"/>
      <c r="S921" s="188"/>
      <c r="T921" s="188"/>
      <c r="U921" s="188"/>
      <c r="V921" s="188"/>
      <c r="W921" s="20"/>
      <c r="X921" s="20"/>
      <c r="Y921" s="20"/>
      <c r="Z921" s="20"/>
      <c r="AA921" s="20"/>
      <c r="AB921" s="20"/>
    </row>
    <row r="922">
      <c r="A922" s="20"/>
      <c r="B922" s="20"/>
      <c r="C922" s="20"/>
      <c r="D922" s="20"/>
      <c r="E922" s="20"/>
      <c r="F922" s="282"/>
      <c r="G922" s="20"/>
      <c r="H922" s="20"/>
      <c r="I922" s="20"/>
      <c r="J922" s="20"/>
      <c r="K922" s="20"/>
      <c r="L922" s="20"/>
      <c r="M922" s="20"/>
      <c r="N922" s="20"/>
      <c r="O922" s="20"/>
      <c r="P922" s="20"/>
      <c r="Q922" s="20"/>
      <c r="R922" s="20"/>
      <c r="S922" s="188"/>
      <c r="T922" s="188"/>
      <c r="U922" s="188"/>
      <c r="V922" s="188"/>
      <c r="W922" s="20"/>
      <c r="X922" s="20"/>
      <c r="Y922" s="20"/>
      <c r="Z922" s="20"/>
      <c r="AA922" s="20"/>
      <c r="AB922" s="20"/>
    </row>
    <row r="923">
      <c r="A923" s="20"/>
      <c r="B923" s="20"/>
      <c r="C923" s="20"/>
      <c r="D923" s="20"/>
      <c r="E923" s="20"/>
      <c r="F923" s="282"/>
      <c r="G923" s="20"/>
      <c r="H923" s="20"/>
      <c r="I923" s="20"/>
      <c r="J923" s="20"/>
      <c r="K923" s="20"/>
      <c r="L923" s="20"/>
      <c r="M923" s="20"/>
      <c r="N923" s="20"/>
      <c r="O923" s="20"/>
      <c r="P923" s="20"/>
      <c r="Q923" s="20"/>
      <c r="R923" s="20"/>
      <c r="S923" s="188"/>
      <c r="T923" s="188"/>
      <c r="U923" s="188"/>
      <c r="V923" s="188"/>
      <c r="W923" s="20"/>
      <c r="X923" s="20"/>
      <c r="Y923" s="20"/>
      <c r="Z923" s="20"/>
      <c r="AA923" s="20"/>
      <c r="AB923" s="20"/>
    </row>
    <row r="924">
      <c r="A924" s="20"/>
      <c r="B924" s="20"/>
      <c r="C924" s="20"/>
      <c r="D924" s="20"/>
      <c r="E924" s="20"/>
      <c r="F924" s="282"/>
      <c r="G924" s="20"/>
      <c r="H924" s="20"/>
      <c r="I924" s="20"/>
      <c r="J924" s="20"/>
      <c r="K924" s="20"/>
      <c r="L924" s="20"/>
      <c r="M924" s="20"/>
      <c r="N924" s="20"/>
      <c r="O924" s="20"/>
      <c r="P924" s="20"/>
      <c r="Q924" s="20"/>
      <c r="R924" s="20"/>
      <c r="S924" s="188"/>
      <c r="T924" s="188"/>
      <c r="U924" s="188"/>
      <c r="V924" s="188"/>
      <c r="W924" s="20"/>
      <c r="X924" s="20"/>
      <c r="Y924" s="20"/>
      <c r="Z924" s="20"/>
      <c r="AA924" s="20"/>
      <c r="AB924" s="20"/>
    </row>
    <row r="925">
      <c r="A925" s="20"/>
      <c r="B925" s="20"/>
      <c r="C925" s="20"/>
      <c r="D925" s="20"/>
      <c r="E925" s="20"/>
      <c r="F925" s="282"/>
      <c r="G925" s="20"/>
      <c r="H925" s="20"/>
      <c r="I925" s="20"/>
      <c r="J925" s="20"/>
      <c r="K925" s="20"/>
      <c r="L925" s="20"/>
      <c r="M925" s="20"/>
      <c r="N925" s="20"/>
      <c r="O925" s="20"/>
      <c r="P925" s="20"/>
      <c r="Q925" s="20"/>
      <c r="R925" s="20"/>
      <c r="S925" s="188"/>
      <c r="T925" s="188"/>
      <c r="U925" s="188"/>
      <c r="V925" s="188"/>
      <c r="W925" s="20"/>
      <c r="X925" s="20"/>
      <c r="Y925" s="20"/>
      <c r="Z925" s="20"/>
      <c r="AA925" s="20"/>
      <c r="AB925" s="20"/>
    </row>
    <row r="926">
      <c r="A926" s="20"/>
      <c r="B926" s="20"/>
      <c r="C926" s="20"/>
      <c r="D926" s="20"/>
      <c r="E926" s="20"/>
      <c r="F926" s="282"/>
      <c r="G926" s="20"/>
      <c r="H926" s="20"/>
      <c r="I926" s="20"/>
      <c r="J926" s="20"/>
      <c r="K926" s="20"/>
      <c r="L926" s="20"/>
      <c r="M926" s="20"/>
      <c r="N926" s="20"/>
      <c r="O926" s="20"/>
      <c r="P926" s="20"/>
      <c r="Q926" s="20"/>
      <c r="R926" s="20"/>
      <c r="S926" s="188"/>
      <c r="T926" s="188"/>
      <c r="U926" s="188"/>
      <c r="V926" s="188"/>
      <c r="W926" s="20"/>
      <c r="X926" s="20"/>
      <c r="Y926" s="20"/>
      <c r="Z926" s="20"/>
      <c r="AA926" s="20"/>
      <c r="AB926" s="20"/>
    </row>
    <row r="927">
      <c r="A927" s="20"/>
      <c r="B927" s="20"/>
      <c r="C927" s="20"/>
      <c r="D927" s="20"/>
      <c r="E927" s="20"/>
      <c r="F927" s="282"/>
      <c r="G927" s="20"/>
      <c r="H927" s="20"/>
      <c r="I927" s="20"/>
      <c r="J927" s="20"/>
      <c r="K927" s="20"/>
      <c r="L927" s="20"/>
      <c r="M927" s="20"/>
      <c r="N927" s="20"/>
      <c r="O927" s="20"/>
      <c r="P927" s="20"/>
      <c r="Q927" s="20"/>
      <c r="R927" s="20"/>
      <c r="S927" s="188"/>
      <c r="T927" s="188"/>
      <c r="U927" s="188"/>
      <c r="V927" s="188"/>
      <c r="W927" s="20"/>
      <c r="X927" s="20"/>
      <c r="Y927" s="20"/>
      <c r="Z927" s="20"/>
      <c r="AA927" s="20"/>
      <c r="AB927" s="20"/>
    </row>
    <row r="928">
      <c r="A928" s="20"/>
      <c r="B928" s="20"/>
      <c r="C928" s="20"/>
      <c r="D928" s="20"/>
      <c r="E928" s="20"/>
      <c r="F928" s="282"/>
      <c r="G928" s="20"/>
      <c r="H928" s="20"/>
      <c r="I928" s="20"/>
      <c r="J928" s="20"/>
      <c r="K928" s="20"/>
      <c r="L928" s="20"/>
      <c r="M928" s="20"/>
      <c r="N928" s="20"/>
      <c r="O928" s="20"/>
      <c r="P928" s="20"/>
      <c r="Q928" s="20"/>
      <c r="R928" s="20"/>
      <c r="S928" s="188"/>
      <c r="T928" s="188"/>
      <c r="U928" s="188"/>
      <c r="V928" s="188"/>
      <c r="W928" s="20"/>
      <c r="X928" s="20"/>
      <c r="Y928" s="20"/>
      <c r="Z928" s="20"/>
      <c r="AA928" s="20"/>
      <c r="AB928" s="20"/>
    </row>
    <row r="929">
      <c r="A929" s="20"/>
      <c r="B929" s="20"/>
      <c r="C929" s="20"/>
      <c r="D929" s="20"/>
      <c r="E929" s="20"/>
      <c r="F929" s="282"/>
      <c r="G929" s="20"/>
      <c r="H929" s="20"/>
      <c r="I929" s="20"/>
      <c r="J929" s="20"/>
      <c r="K929" s="20"/>
      <c r="L929" s="20"/>
      <c r="M929" s="20"/>
      <c r="N929" s="20"/>
      <c r="O929" s="20"/>
      <c r="P929" s="20"/>
      <c r="Q929" s="20"/>
      <c r="R929" s="20"/>
      <c r="S929" s="188"/>
      <c r="T929" s="188"/>
      <c r="U929" s="188"/>
      <c r="V929" s="188"/>
      <c r="W929" s="20"/>
      <c r="X929" s="20"/>
      <c r="Y929" s="20"/>
      <c r="Z929" s="20"/>
      <c r="AA929" s="20"/>
      <c r="AB929" s="20"/>
    </row>
    <row r="930">
      <c r="A930" s="20"/>
      <c r="B930" s="20"/>
      <c r="C930" s="20"/>
      <c r="D930" s="20"/>
      <c r="E930" s="20"/>
      <c r="F930" s="282"/>
      <c r="G930" s="20"/>
      <c r="H930" s="20"/>
      <c r="I930" s="20"/>
      <c r="J930" s="20"/>
      <c r="K930" s="20"/>
      <c r="L930" s="20"/>
      <c r="M930" s="20"/>
      <c r="N930" s="20"/>
      <c r="O930" s="20"/>
      <c r="P930" s="20"/>
      <c r="Q930" s="20"/>
      <c r="R930" s="20"/>
      <c r="S930" s="188"/>
      <c r="T930" s="188"/>
      <c r="U930" s="188"/>
      <c r="V930" s="188"/>
      <c r="W930" s="20"/>
      <c r="X930" s="20"/>
      <c r="Y930" s="20"/>
      <c r="Z930" s="20"/>
      <c r="AA930" s="20"/>
      <c r="AB930" s="20"/>
    </row>
    <row r="931">
      <c r="A931" s="20"/>
      <c r="B931" s="20"/>
      <c r="C931" s="20"/>
      <c r="D931" s="20"/>
      <c r="E931" s="20"/>
      <c r="F931" s="282"/>
      <c r="G931" s="20"/>
      <c r="H931" s="20"/>
      <c r="I931" s="20"/>
      <c r="J931" s="20"/>
      <c r="K931" s="20"/>
      <c r="L931" s="20"/>
      <c r="M931" s="20"/>
      <c r="N931" s="20"/>
      <c r="O931" s="20"/>
      <c r="P931" s="20"/>
      <c r="Q931" s="20"/>
      <c r="R931" s="20"/>
      <c r="S931" s="188"/>
      <c r="T931" s="188"/>
      <c r="U931" s="188"/>
      <c r="V931" s="188"/>
      <c r="W931" s="20"/>
      <c r="X931" s="20"/>
      <c r="Y931" s="20"/>
      <c r="Z931" s="20"/>
      <c r="AA931" s="20"/>
      <c r="AB931" s="20"/>
    </row>
    <row r="932">
      <c r="A932" s="20"/>
      <c r="B932" s="20"/>
      <c r="C932" s="20"/>
      <c r="D932" s="20"/>
      <c r="E932" s="20"/>
      <c r="F932" s="282"/>
      <c r="G932" s="20"/>
      <c r="H932" s="20"/>
      <c r="I932" s="20"/>
      <c r="J932" s="20"/>
      <c r="K932" s="20"/>
      <c r="L932" s="20"/>
      <c r="M932" s="20"/>
      <c r="N932" s="20"/>
      <c r="O932" s="20"/>
      <c r="P932" s="20"/>
      <c r="Q932" s="20"/>
      <c r="R932" s="20"/>
      <c r="S932" s="188"/>
      <c r="T932" s="188"/>
      <c r="U932" s="188"/>
      <c r="V932" s="188"/>
      <c r="W932" s="20"/>
      <c r="X932" s="20"/>
      <c r="Y932" s="20"/>
      <c r="Z932" s="20"/>
      <c r="AA932" s="20"/>
      <c r="AB932" s="20"/>
    </row>
    <row r="933">
      <c r="A933" s="20"/>
      <c r="B933" s="20"/>
      <c r="C933" s="20"/>
      <c r="D933" s="20"/>
      <c r="E933" s="20"/>
      <c r="F933" s="282"/>
      <c r="G933" s="20"/>
      <c r="H933" s="20"/>
      <c r="I933" s="20"/>
      <c r="J933" s="20"/>
      <c r="K933" s="20"/>
      <c r="L933" s="20"/>
      <c r="M933" s="20"/>
      <c r="N933" s="20"/>
      <c r="O933" s="20"/>
      <c r="P933" s="20"/>
      <c r="Q933" s="20"/>
      <c r="R933" s="20"/>
      <c r="S933" s="188"/>
      <c r="T933" s="188"/>
      <c r="U933" s="188"/>
      <c r="V933" s="188"/>
      <c r="W933" s="20"/>
      <c r="X933" s="20"/>
      <c r="Y933" s="20"/>
      <c r="Z933" s="20"/>
      <c r="AA933" s="20"/>
      <c r="AB933" s="20"/>
    </row>
    <row r="934">
      <c r="A934" s="20"/>
      <c r="B934" s="20"/>
      <c r="C934" s="20"/>
      <c r="D934" s="20"/>
      <c r="E934" s="20"/>
      <c r="F934" s="282"/>
      <c r="G934" s="20"/>
      <c r="H934" s="20"/>
      <c r="I934" s="20"/>
      <c r="J934" s="20"/>
      <c r="K934" s="20"/>
      <c r="L934" s="20"/>
      <c r="M934" s="20"/>
      <c r="N934" s="20"/>
      <c r="O934" s="20"/>
      <c r="P934" s="20"/>
      <c r="Q934" s="20"/>
      <c r="R934" s="20"/>
      <c r="S934" s="188"/>
      <c r="T934" s="188"/>
      <c r="U934" s="188"/>
      <c r="V934" s="188"/>
      <c r="W934" s="20"/>
      <c r="X934" s="20"/>
      <c r="Y934" s="20"/>
      <c r="Z934" s="20"/>
      <c r="AA934" s="20"/>
      <c r="AB934" s="20"/>
    </row>
    <row r="935">
      <c r="A935" s="20"/>
      <c r="B935" s="20"/>
      <c r="C935" s="20"/>
      <c r="D935" s="20"/>
      <c r="E935" s="20"/>
      <c r="F935" s="282"/>
      <c r="G935" s="20"/>
      <c r="H935" s="20"/>
      <c r="I935" s="20"/>
      <c r="J935" s="20"/>
      <c r="K935" s="20"/>
      <c r="L935" s="20"/>
      <c r="M935" s="20"/>
      <c r="N935" s="20"/>
      <c r="O935" s="20"/>
      <c r="P935" s="20"/>
      <c r="Q935" s="20"/>
      <c r="R935" s="20"/>
      <c r="S935" s="188"/>
      <c r="T935" s="188"/>
      <c r="U935" s="188"/>
      <c r="V935" s="188"/>
      <c r="W935" s="20"/>
      <c r="X935" s="20"/>
      <c r="Y935" s="20"/>
      <c r="Z935" s="20"/>
      <c r="AA935" s="20"/>
      <c r="AB935" s="20"/>
    </row>
    <row r="936">
      <c r="A936" s="20"/>
      <c r="B936" s="20"/>
      <c r="C936" s="20"/>
      <c r="D936" s="20"/>
      <c r="E936" s="20"/>
      <c r="F936" s="282"/>
      <c r="G936" s="20"/>
      <c r="H936" s="20"/>
      <c r="I936" s="20"/>
      <c r="J936" s="20"/>
      <c r="K936" s="20"/>
      <c r="L936" s="20"/>
      <c r="M936" s="20"/>
      <c r="N936" s="20"/>
      <c r="O936" s="20"/>
      <c r="P936" s="20"/>
      <c r="Q936" s="20"/>
      <c r="R936" s="20"/>
      <c r="S936" s="188"/>
      <c r="T936" s="188"/>
      <c r="U936" s="188"/>
      <c r="V936" s="188"/>
      <c r="W936" s="20"/>
      <c r="X936" s="20"/>
      <c r="Y936" s="20"/>
      <c r="Z936" s="20"/>
      <c r="AA936" s="20"/>
      <c r="AB936" s="20"/>
    </row>
    <row r="937">
      <c r="A937" s="20"/>
      <c r="B937" s="20"/>
      <c r="C937" s="20"/>
      <c r="D937" s="20"/>
      <c r="E937" s="20"/>
      <c r="F937" s="282"/>
      <c r="G937" s="20"/>
      <c r="H937" s="20"/>
      <c r="I937" s="20"/>
      <c r="J937" s="20"/>
      <c r="K937" s="20"/>
      <c r="L937" s="20"/>
      <c r="M937" s="20"/>
      <c r="N937" s="20"/>
      <c r="O937" s="20"/>
      <c r="P937" s="20"/>
      <c r="Q937" s="20"/>
      <c r="R937" s="20"/>
      <c r="S937" s="188"/>
      <c r="T937" s="188"/>
      <c r="U937" s="188"/>
      <c r="V937" s="188"/>
      <c r="W937" s="20"/>
      <c r="X937" s="20"/>
      <c r="Y937" s="20"/>
      <c r="Z937" s="20"/>
      <c r="AA937" s="20"/>
      <c r="AB937" s="20"/>
    </row>
    <row r="938">
      <c r="A938" s="20"/>
      <c r="B938" s="20"/>
      <c r="C938" s="20"/>
      <c r="D938" s="20"/>
      <c r="E938" s="20"/>
      <c r="F938" s="282"/>
      <c r="G938" s="20"/>
      <c r="H938" s="20"/>
      <c r="I938" s="20"/>
      <c r="J938" s="20"/>
      <c r="K938" s="20"/>
      <c r="L938" s="20"/>
      <c r="M938" s="20"/>
      <c r="N938" s="20"/>
      <c r="O938" s="20"/>
      <c r="P938" s="20"/>
      <c r="Q938" s="20"/>
      <c r="R938" s="20"/>
      <c r="S938" s="188"/>
      <c r="T938" s="188"/>
      <c r="U938" s="188"/>
      <c r="V938" s="188"/>
      <c r="W938" s="20"/>
      <c r="X938" s="20"/>
      <c r="Y938" s="20"/>
      <c r="Z938" s="20"/>
      <c r="AA938" s="20"/>
      <c r="AB938" s="20"/>
    </row>
    <row r="939">
      <c r="A939" s="20"/>
      <c r="B939" s="20"/>
      <c r="C939" s="20"/>
      <c r="D939" s="20"/>
      <c r="E939" s="20"/>
      <c r="F939" s="282"/>
      <c r="G939" s="20"/>
      <c r="H939" s="20"/>
      <c r="I939" s="20"/>
      <c r="J939" s="20"/>
      <c r="K939" s="20"/>
      <c r="L939" s="20"/>
      <c r="M939" s="20"/>
      <c r="N939" s="20"/>
      <c r="O939" s="20"/>
      <c r="P939" s="20"/>
      <c r="Q939" s="20"/>
      <c r="R939" s="20"/>
      <c r="S939" s="188"/>
      <c r="T939" s="188"/>
      <c r="U939" s="188"/>
      <c r="V939" s="188"/>
      <c r="W939" s="20"/>
      <c r="X939" s="20"/>
      <c r="Y939" s="20"/>
      <c r="Z939" s="20"/>
      <c r="AA939" s="20"/>
      <c r="AB939" s="20"/>
    </row>
    <row r="940">
      <c r="A940" s="20"/>
      <c r="B940" s="20"/>
      <c r="C940" s="20"/>
      <c r="D940" s="20"/>
      <c r="E940" s="20"/>
      <c r="F940" s="282"/>
      <c r="G940" s="20"/>
      <c r="H940" s="20"/>
      <c r="I940" s="20"/>
      <c r="J940" s="20"/>
      <c r="K940" s="20"/>
      <c r="L940" s="20"/>
      <c r="M940" s="20"/>
      <c r="N940" s="20"/>
      <c r="O940" s="20"/>
      <c r="P940" s="20"/>
      <c r="Q940" s="20"/>
      <c r="R940" s="20"/>
      <c r="S940" s="188"/>
      <c r="T940" s="188"/>
      <c r="U940" s="188"/>
      <c r="V940" s="188"/>
      <c r="W940" s="20"/>
      <c r="X940" s="20"/>
      <c r="Y940" s="20"/>
      <c r="Z940" s="20"/>
      <c r="AA940" s="20"/>
      <c r="AB940" s="20"/>
    </row>
    <row r="941">
      <c r="A941" s="20"/>
      <c r="B941" s="20"/>
      <c r="C941" s="20"/>
      <c r="D941" s="20"/>
      <c r="E941" s="20"/>
      <c r="F941" s="282"/>
      <c r="G941" s="20"/>
      <c r="H941" s="20"/>
      <c r="I941" s="20"/>
      <c r="J941" s="20"/>
      <c r="K941" s="20"/>
      <c r="L941" s="20"/>
      <c r="M941" s="20"/>
      <c r="N941" s="20"/>
      <c r="O941" s="20"/>
      <c r="P941" s="20"/>
      <c r="Q941" s="20"/>
      <c r="R941" s="20"/>
      <c r="S941" s="188"/>
      <c r="T941" s="188"/>
      <c r="U941" s="188"/>
      <c r="V941" s="188"/>
      <c r="W941" s="20"/>
      <c r="X941" s="20"/>
      <c r="Y941" s="20"/>
      <c r="Z941" s="20"/>
      <c r="AA941" s="20"/>
      <c r="AB941" s="20"/>
    </row>
    <row r="942">
      <c r="A942" s="20"/>
      <c r="B942" s="20"/>
      <c r="C942" s="20"/>
      <c r="D942" s="20"/>
      <c r="E942" s="20"/>
      <c r="F942" s="282"/>
      <c r="G942" s="20"/>
      <c r="H942" s="20"/>
      <c r="I942" s="20"/>
      <c r="J942" s="20"/>
      <c r="K942" s="20"/>
      <c r="L942" s="20"/>
      <c r="M942" s="20"/>
      <c r="N942" s="20"/>
      <c r="O942" s="20"/>
      <c r="P942" s="20"/>
      <c r="Q942" s="20"/>
      <c r="R942" s="20"/>
      <c r="S942" s="188"/>
      <c r="T942" s="188"/>
      <c r="U942" s="188"/>
      <c r="V942" s="188"/>
      <c r="W942" s="20"/>
      <c r="X942" s="20"/>
      <c r="Y942" s="20"/>
      <c r="Z942" s="20"/>
      <c r="AA942" s="20"/>
      <c r="AB942" s="20"/>
    </row>
    <row r="943">
      <c r="A943" s="20"/>
      <c r="B943" s="20"/>
      <c r="C943" s="20"/>
      <c r="D943" s="20"/>
      <c r="E943" s="20"/>
      <c r="F943" s="282"/>
      <c r="G943" s="20"/>
      <c r="H943" s="20"/>
      <c r="I943" s="20"/>
      <c r="J943" s="20"/>
      <c r="K943" s="20"/>
      <c r="L943" s="20"/>
      <c r="M943" s="20"/>
      <c r="N943" s="20"/>
      <c r="O943" s="20"/>
      <c r="P943" s="20"/>
      <c r="Q943" s="20"/>
      <c r="R943" s="20"/>
      <c r="S943" s="188"/>
      <c r="T943" s="188"/>
      <c r="U943" s="188"/>
      <c r="V943" s="188"/>
      <c r="W943" s="20"/>
      <c r="X943" s="20"/>
      <c r="Y943" s="20"/>
      <c r="Z943" s="20"/>
      <c r="AA943" s="20"/>
      <c r="AB943" s="20"/>
    </row>
    <row r="944">
      <c r="A944" s="20"/>
      <c r="B944" s="20"/>
      <c r="C944" s="20"/>
      <c r="D944" s="20"/>
      <c r="E944" s="20"/>
      <c r="F944" s="282"/>
      <c r="G944" s="20"/>
      <c r="H944" s="20"/>
      <c r="I944" s="20"/>
      <c r="J944" s="20"/>
      <c r="K944" s="20"/>
      <c r="L944" s="20"/>
      <c r="M944" s="20"/>
      <c r="N944" s="20"/>
      <c r="O944" s="20"/>
      <c r="P944" s="20"/>
      <c r="Q944" s="20"/>
      <c r="R944" s="20"/>
      <c r="S944" s="188"/>
      <c r="T944" s="188"/>
      <c r="U944" s="188"/>
      <c r="V944" s="188"/>
      <c r="W944" s="20"/>
      <c r="X944" s="20"/>
      <c r="Y944" s="20"/>
      <c r="Z944" s="20"/>
      <c r="AA944" s="20"/>
      <c r="AB944" s="20"/>
    </row>
    <row r="945">
      <c r="A945" s="20"/>
      <c r="B945" s="20"/>
      <c r="C945" s="20"/>
      <c r="D945" s="20"/>
      <c r="E945" s="20"/>
      <c r="F945" s="282"/>
      <c r="G945" s="20"/>
      <c r="H945" s="20"/>
      <c r="I945" s="20"/>
      <c r="J945" s="20"/>
      <c r="K945" s="20"/>
      <c r="L945" s="20"/>
      <c r="M945" s="20"/>
      <c r="N945" s="20"/>
      <c r="O945" s="20"/>
      <c r="P945" s="20"/>
      <c r="Q945" s="20"/>
      <c r="R945" s="20"/>
      <c r="S945" s="188"/>
      <c r="T945" s="188"/>
      <c r="U945" s="188"/>
      <c r="V945" s="188"/>
      <c r="W945" s="20"/>
      <c r="X945" s="20"/>
      <c r="Y945" s="20"/>
      <c r="Z945" s="20"/>
      <c r="AA945" s="20"/>
      <c r="AB945" s="20"/>
    </row>
    <row r="946">
      <c r="A946" s="20"/>
      <c r="B946" s="20"/>
      <c r="C946" s="20"/>
      <c r="D946" s="20"/>
      <c r="E946" s="20"/>
      <c r="F946" s="282"/>
      <c r="G946" s="20"/>
      <c r="H946" s="20"/>
      <c r="I946" s="20"/>
      <c r="J946" s="20"/>
      <c r="K946" s="20"/>
      <c r="L946" s="20"/>
      <c r="M946" s="20"/>
      <c r="N946" s="20"/>
      <c r="O946" s="20"/>
      <c r="P946" s="20"/>
      <c r="Q946" s="20"/>
      <c r="R946" s="20"/>
      <c r="S946" s="188"/>
      <c r="T946" s="188"/>
      <c r="U946" s="188"/>
      <c r="V946" s="188"/>
      <c r="W946" s="20"/>
      <c r="X946" s="20"/>
      <c r="Y946" s="20"/>
      <c r="Z946" s="20"/>
      <c r="AA946" s="20"/>
      <c r="AB946" s="20"/>
    </row>
    <row r="947">
      <c r="A947" s="20"/>
      <c r="B947" s="20"/>
      <c r="C947" s="20"/>
      <c r="D947" s="20"/>
      <c r="E947" s="20"/>
      <c r="F947" s="282"/>
      <c r="G947" s="20"/>
      <c r="H947" s="20"/>
      <c r="I947" s="20"/>
      <c r="J947" s="20"/>
      <c r="K947" s="20"/>
      <c r="L947" s="20"/>
      <c r="M947" s="20"/>
      <c r="N947" s="20"/>
      <c r="O947" s="20"/>
      <c r="P947" s="20"/>
      <c r="Q947" s="20"/>
      <c r="R947" s="20"/>
      <c r="S947" s="188"/>
      <c r="T947" s="188"/>
      <c r="U947" s="188"/>
      <c r="V947" s="188"/>
      <c r="W947" s="20"/>
      <c r="X947" s="20"/>
      <c r="Y947" s="20"/>
      <c r="Z947" s="20"/>
      <c r="AA947" s="20"/>
      <c r="AB947" s="20"/>
    </row>
    <row r="948">
      <c r="A948" s="20"/>
      <c r="B948" s="20"/>
      <c r="C948" s="20"/>
      <c r="D948" s="20"/>
      <c r="E948" s="20"/>
      <c r="F948" s="282"/>
      <c r="G948" s="20"/>
      <c r="H948" s="20"/>
      <c r="I948" s="20"/>
      <c r="J948" s="20"/>
      <c r="K948" s="20"/>
      <c r="L948" s="20"/>
      <c r="M948" s="20"/>
      <c r="N948" s="20"/>
      <c r="O948" s="20"/>
      <c r="P948" s="20"/>
      <c r="Q948" s="20"/>
      <c r="R948" s="20"/>
      <c r="S948" s="188"/>
      <c r="T948" s="188"/>
      <c r="U948" s="188"/>
      <c r="V948" s="188"/>
      <c r="W948" s="20"/>
      <c r="X948" s="20"/>
      <c r="Y948" s="20"/>
      <c r="Z948" s="20"/>
      <c r="AA948" s="20"/>
      <c r="AB948" s="20"/>
    </row>
    <row r="949">
      <c r="A949" s="20"/>
      <c r="B949" s="20"/>
      <c r="C949" s="20"/>
      <c r="D949" s="20"/>
      <c r="E949" s="20"/>
      <c r="F949" s="282"/>
      <c r="G949" s="20"/>
      <c r="H949" s="20"/>
      <c r="I949" s="20"/>
      <c r="J949" s="20"/>
      <c r="K949" s="20"/>
      <c r="L949" s="20"/>
      <c r="M949" s="20"/>
      <c r="N949" s="20"/>
      <c r="O949" s="20"/>
      <c r="P949" s="20"/>
      <c r="Q949" s="20"/>
      <c r="R949" s="20"/>
      <c r="S949" s="188"/>
      <c r="T949" s="188"/>
      <c r="U949" s="188"/>
      <c r="V949" s="188"/>
      <c r="W949" s="20"/>
      <c r="X949" s="20"/>
      <c r="Y949" s="20"/>
      <c r="Z949" s="20"/>
      <c r="AA949" s="20"/>
      <c r="AB949" s="20"/>
    </row>
    <row r="950">
      <c r="A950" s="20"/>
      <c r="B950" s="20"/>
      <c r="C950" s="20"/>
      <c r="D950" s="20"/>
      <c r="E950" s="20"/>
      <c r="F950" s="282"/>
      <c r="G950" s="20"/>
      <c r="H950" s="20"/>
      <c r="I950" s="20"/>
      <c r="J950" s="20"/>
      <c r="K950" s="20"/>
      <c r="L950" s="20"/>
      <c r="M950" s="20"/>
      <c r="N950" s="20"/>
      <c r="O950" s="20"/>
      <c r="P950" s="20"/>
      <c r="Q950" s="20"/>
      <c r="R950" s="20"/>
      <c r="S950" s="188"/>
      <c r="T950" s="188"/>
      <c r="U950" s="188"/>
      <c r="V950" s="188"/>
      <c r="W950" s="20"/>
      <c r="X950" s="20"/>
      <c r="Y950" s="20"/>
      <c r="Z950" s="20"/>
      <c r="AA950" s="20"/>
      <c r="AB950" s="20"/>
    </row>
    <row r="951">
      <c r="A951" s="20"/>
      <c r="B951" s="20"/>
      <c r="C951" s="20"/>
      <c r="D951" s="20"/>
      <c r="E951" s="20"/>
      <c r="F951" s="282"/>
      <c r="G951" s="20"/>
      <c r="H951" s="20"/>
      <c r="I951" s="20"/>
      <c r="J951" s="20"/>
      <c r="K951" s="20"/>
      <c r="L951" s="20"/>
      <c r="M951" s="20"/>
      <c r="N951" s="20"/>
      <c r="O951" s="20"/>
      <c r="P951" s="20"/>
      <c r="Q951" s="20"/>
      <c r="R951" s="20"/>
      <c r="S951" s="188"/>
      <c r="T951" s="188"/>
      <c r="U951" s="188"/>
      <c r="V951" s="188"/>
      <c r="W951" s="20"/>
      <c r="X951" s="20"/>
      <c r="Y951" s="20"/>
      <c r="Z951" s="20"/>
      <c r="AA951" s="20"/>
      <c r="AB951" s="20"/>
    </row>
    <row r="952">
      <c r="A952" s="20"/>
      <c r="B952" s="20"/>
      <c r="C952" s="20"/>
      <c r="D952" s="20"/>
      <c r="E952" s="20"/>
      <c r="F952" s="282"/>
      <c r="G952" s="20"/>
      <c r="H952" s="20"/>
      <c r="I952" s="20"/>
      <c r="J952" s="20"/>
      <c r="K952" s="20"/>
      <c r="L952" s="20"/>
      <c r="M952" s="20"/>
      <c r="N952" s="20"/>
      <c r="O952" s="20"/>
      <c r="P952" s="20"/>
      <c r="Q952" s="20"/>
      <c r="R952" s="20"/>
      <c r="S952" s="188"/>
      <c r="T952" s="188"/>
      <c r="U952" s="188"/>
      <c r="V952" s="188"/>
      <c r="W952" s="20"/>
      <c r="X952" s="20"/>
      <c r="Y952" s="20"/>
      <c r="Z952" s="20"/>
      <c r="AA952" s="20"/>
      <c r="AB952" s="20"/>
    </row>
    <row r="953">
      <c r="A953" s="20"/>
      <c r="B953" s="20"/>
      <c r="C953" s="20"/>
      <c r="D953" s="20"/>
      <c r="E953" s="20"/>
      <c r="F953" s="282"/>
      <c r="G953" s="20"/>
      <c r="H953" s="20"/>
      <c r="I953" s="20"/>
      <c r="J953" s="20"/>
      <c r="K953" s="20"/>
      <c r="L953" s="20"/>
      <c r="M953" s="20"/>
      <c r="N953" s="20"/>
      <c r="O953" s="20"/>
      <c r="P953" s="20"/>
      <c r="Q953" s="20"/>
      <c r="R953" s="20"/>
      <c r="S953" s="188"/>
      <c r="T953" s="188"/>
      <c r="U953" s="188"/>
      <c r="V953" s="188"/>
      <c r="W953" s="20"/>
      <c r="X953" s="20"/>
      <c r="Y953" s="20"/>
      <c r="Z953" s="20"/>
      <c r="AA953" s="20"/>
      <c r="AB953" s="20"/>
    </row>
    <row r="954">
      <c r="A954" s="20"/>
      <c r="B954" s="20"/>
      <c r="C954" s="20"/>
      <c r="D954" s="20"/>
      <c r="E954" s="20"/>
      <c r="F954" s="282"/>
      <c r="G954" s="20"/>
      <c r="H954" s="20"/>
      <c r="I954" s="20"/>
      <c r="J954" s="20"/>
      <c r="K954" s="20"/>
      <c r="L954" s="20"/>
      <c r="M954" s="20"/>
      <c r="N954" s="20"/>
      <c r="O954" s="20"/>
      <c r="P954" s="20"/>
      <c r="Q954" s="20"/>
      <c r="R954" s="20"/>
      <c r="S954" s="188"/>
      <c r="T954" s="188"/>
      <c r="U954" s="188"/>
      <c r="V954" s="188"/>
      <c r="W954" s="20"/>
      <c r="X954" s="20"/>
      <c r="Y954" s="20"/>
      <c r="Z954" s="20"/>
      <c r="AA954" s="20"/>
      <c r="AB954" s="20"/>
    </row>
    <row r="955">
      <c r="A955" s="20"/>
      <c r="B955" s="20"/>
      <c r="C955" s="20"/>
      <c r="D955" s="20"/>
      <c r="E955" s="20"/>
      <c r="F955" s="282"/>
      <c r="G955" s="20"/>
      <c r="H955" s="20"/>
      <c r="I955" s="20"/>
      <c r="J955" s="20"/>
      <c r="K955" s="20"/>
      <c r="L955" s="20"/>
      <c r="M955" s="20"/>
      <c r="N955" s="20"/>
      <c r="O955" s="20"/>
      <c r="P955" s="20"/>
      <c r="Q955" s="20"/>
      <c r="R955" s="20"/>
      <c r="S955" s="188"/>
      <c r="T955" s="188"/>
      <c r="U955" s="188"/>
      <c r="V955" s="188"/>
      <c r="W955" s="20"/>
      <c r="X955" s="20"/>
      <c r="Y955" s="20"/>
      <c r="Z955" s="20"/>
      <c r="AA955" s="20"/>
      <c r="AB955" s="20"/>
    </row>
    <row r="956">
      <c r="A956" s="20"/>
      <c r="B956" s="20"/>
      <c r="C956" s="20"/>
      <c r="D956" s="20"/>
      <c r="E956" s="20"/>
      <c r="F956" s="282"/>
      <c r="G956" s="20"/>
      <c r="H956" s="20"/>
      <c r="I956" s="20"/>
      <c r="J956" s="20"/>
      <c r="K956" s="20"/>
      <c r="L956" s="20"/>
      <c r="M956" s="20"/>
      <c r="N956" s="20"/>
      <c r="O956" s="20"/>
      <c r="P956" s="20"/>
      <c r="Q956" s="20"/>
      <c r="R956" s="20"/>
      <c r="S956" s="188"/>
      <c r="T956" s="188"/>
      <c r="U956" s="188"/>
      <c r="V956" s="188"/>
      <c r="W956" s="20"/>
      <c r="X956" s="20"/>
      <c r="Y956" s="20"/>
      <c r="Z956" s="20"/>
      <c r="AA956" s="20"/>
      <c r="AB956" s="20"/>
    </row>
    <row r="957">
      <c r="A957" s="20"/>
      <c r="B957" s="20"/>
      <c r="C957" s="20"/>
      <c r="D957" s="20"/>
      <c r="E957" s="20"/>
      <c r="F957" s="282"/>
      <c r="G957" s="20"/>
      <c r="H957" s="20"/>
      <c r="I957" s="20"/>
      <c r="J957" s="20"/>
      <c r="K957" s="20"/>
      <c r="L957" s="20"/>
      <c r="M957" s="20"/>
      <c r="N957" s="20"/>
      <c r="O957" s="20"/>
      <c r="P957" s="20"/>
      <c r="Q957" s="20"/>
      <c r="R957" s="20"/>
      <c r="S957" s="188"/>
      <c r="T957" s="188"/>
      <c r="U957" s="188"/>
      <c r="V957" s="188"/>
      <c r="W957" s="20"/>
      <c r="X957" s="20"/>
      <c r="Y957" s="20"/>
      <c r="Z957" s="20"/>
      <c r="AA957" s="20"/>
      <c r="AB957" s="20"/>
    </row>
    <row r="958">
      <c r="A958" s="20"/>
      <c r="B958" s="20"/>
      <c r="C958" s="20"/>
      <c r="D958" s="20"/>
      <c r="E958" s="20"/>
      <c r="F958" s="282"/>
      <c r="G958" s="20"/>
      <c r="H958" s="20"/>
      <c r="I958" s="20"/>
      <c r="J958" s="20"/>
      <c r="K958" s="20"/>
      <c r="L958" s="20"/>
      <c r="M958" s="20"/>
      <c r="N958" s="20"/>
      <c r="O958" s="20"/>
      <c r="P958" s="20"/>
      <c r="Q958" s="20"/>
      <c r="R958" s="20"/>
      <c r="S958" s="188"/>
      <c r="T958" s="188"/>
      <c r="U958" s="188"/>
      <c r="V958" s="188"/>
      <c r="W958" s="20"/>
      <c r="X958" s="20"/>
      <c r="Y958" s="20"/>
      <c r="Z958" s="20"/>
      <c r="AA958" s="20"/>
      <c r="AB958" s="20"/>
    </row>
    <row r="959">
      <c r="A959" s="20"/>
      <c r="B959" s="20"/>
      <c r="C959" s="20"/>
      <c r="D959" s="20"/>
      <c r="E959" s="20"/>
      <c r="F959" s="282"/>
      <c r="G959" s="20"/>
      <c r="H959" s="20"/>
      <c r="I959" s="20"/>
      <c r="J959" s="20"/>
      <c r="K959" s="20"/>
      <c r="L959" s="20"/>
      <c r="M959" s="20"/>
      <c r="N959" s="20"/>
      <c r="O959" s="20"/>
      <c r="P959" s="20"/>
      <c r="Q959" s="20"/>
      <c r="R959" s="20"/>
      <c r="S959" s="188"/>
      <c r="T959" s="188"/>
      <c r="U959" s="188"/>
      <c r="V959" s="188"/>
      <c r="W959" s="20"/>
      <c r="X959" s="20"/>
      <c r="Y959" s="20"/>
      <c r="Z959" s="20"/>
      <c r="AA959" s="20"/>
      <c r="AB959" s="20"/>
    </row>
    <row r="960">
      <c r="A960" s="20"/>
      <c r="B960" s="20"/>
      <c r="C960" s="20"/>
      <c r="D960" s="20"/>
      <c r="E960" s="20"/>
      <c r="F960" s="282"/>
      <c r="G960" s="20"/>
      <c r="H960" s="20"/>
      <c r="I960" s="20"/>
      <c r="J960" s="20"/>
      <c r="K960" s="20"/>
      <c r="L960" s="20"/>
      <c r="M960" s="20"/>
      <c r="N960" s="20"/>
      <c r="O960" s="20"/>
      <c r="P960" s="20"/>
      <c r="Q960" s="20"/>
      <c r="R960" s="20"/>
      <c r="S960" s="188"/>
      <c r="T960" s="188"/>
      <c r="U960" s="188"/>
      <c r="V960" s="188"/>
      <c r="W960" s="20"/>
      <c r="X960" s="20"/>
      <c r="Y960" s="20"/>
      <c r="Z960" s="20"/>
      <c r="AA960" s="20"/>
      <c r="AB960" s="20"/>
    </row>
    <row r="961">
      <c r="A961" s="20"/>
      <c r="B961" s="20"/>
      <c r="C961" s="20"/>
      <c r="D961" s="20"/>
      <c r="E961" s="20"/>
      <c r="F961" s="282"/>
      <c r="G961" s="20"/>
      <c r="H961" s="20"/>
      <c r="I961" s="20"/>
      <c r="J961" s="20"/>
      <c r="K961" s="20"/>
      <c r="L961" s="20"/>
      <c r="M961" s="20"/>
      <c r="N961" s="20"/>
      <c r="O961" s="20"/>
      <c r="P961" s="20"/>
      <c r="Q961" s="20"/>
      <c r="R961" s="20"/>
      <c r="S961" s="188"/>
      <c r="T961" s="188"/>
      <c r="U961" s="188"/>
      <c r="V961" s="188"/>
      <c r="W961" s="20"/>
      <c r="X961" s="20"/>
      <c r="Y961" s="20"/>
      <c r="Z961" s="20"/>
      <c r="AA961" s="20"/>
      <c r="AB961" s="20"/>
    </row>
    <row r="962">
      <c r="A962" s="20"/>
      <c r="B962" s="20"/>
      <c r="C962" s="20"/>
      <c r="D962" s="20"/>
      <c r="E962" s="20"/>
      <c r="F962" s="282"/>
      <c r="G962" s="20"/>
      <c r="H962" s="20"/>
      <c r="I962" s="20"/>
      <c r="J962" s="20"/>
      <c r="K962" s="20"/>
      <c r="L962" s="20"/>
      <c r="M962" s="20"/>
      <c r="N962" s="20"/>
      <c r="O962" s="20"/>
      <c r="P962" s="20"/>
      <c r="Q962" s="20"/>
      <c r="R962" s="20"/>
      <c r="S962" s="188"/>
      <c r="T962" s="188"/>
      <c r="U962" s="188"/>
      <c r="V962" s="188"/>
      <c r="W962" s="20"/>
      <c r="X962" s="20"/>
      <c r="Y962" s="20"/>
      <c r="Z962" s="20"/>
      <c r="AA962" s="20"/>
      <c r="AB962" s="20"/>
    </row>
    <row r="963">
      <c r="A963" s="20"/>
      <c r="B963" s="20"/>
      <c r="C963" s="20"/>
      <c r="D963" s="20"/>
      <c r="E963" s="20"/>
      <c r="F963" s="282"/>
      <c r="G963" s="20"/>
      <c r="H963" s="20"/>
      <c r="I963" s="20"/>
      <c r="J963" s="20"/>
      <c r="K963" s="20"/>
      <c r="L963" s="20"/>
      <c r="M963" s="20"/>
      <c r="N963" s="20"/>
      <c r="O963" s="20"/>
      <c r="P963" s="20"/>
      <c r="Q963" s="20"/>
      <c r="R963" s="20"/>
      <c r="S963" s="188"/>
      <c r="T963" s="188"/>
      <c r="U963" s="188"/>
      <c r="V963" s="188"/>
      <c r="W963" s="20"/>
      <c r="X963" s="20"/>
      <c r="Y963" s="20"/>
      <c r="Z963" s="20"/>
      <c r="AA963" s="20"/>
      <c r="AB963" s="20"/>
    </row>
    <row r="964">
      <c r="A964" s="20"/>
      <c r="B964" s="20"/>
      <c r="C964" s="20"/>
      <c r="D964" s="20"/>
      <c r="E964" s="20"/>
      <c r="F964" s="282"/>
      <c r="G964" s="20"/>
      <c r="H964" s="20"/>
      <c r="I964" s="20"/>
      <c r="J964" s="20"/>
      <c r="K964" s="20"/>
      <c r="L964" s="20"/>
      <c r="M964" s="20"/>
      <c r="N964" s="20"/>
      <c r="O964" s="20"/>
      <c r="P964" s="20"/>
      <c r="Q964" s="20"/>
      <c r="R964" s="20"/>
      <c r="S964" s="188"/>
      <c r="T964" s="188"/>
      <c r="U964" s="188"/>
      <c r="V964" s="188"/>
      <c r="W964" s="20"/>
      <c r="X964" s="20"/>
      <c r="Y964" s="20"/>
      <c r="Z964" s="20"/>
      <c r="AA964" s="20"/>
      <c r="AB964" s="20"/>
    </row>
    <row r="965">
      <c r="A965" s="20"/>
      <c r="B965" s="20"/>
      <c r="C965" s="20"/>
      <c r="D965" s="20"/>
      <c r="E965" s="20"/>
      <c r="F965" s="282"/>
      <c r="G965" s="20"/>
      <c r="H965" s="20"/>
      <c r="I965" s="20"/>
      <c r="J965" s="20"/>
      <c r="K965" s="20"/>
      <c r="L965" s="20"/>
      <c r="M965" s="20"/>
      <c r="N965" s="20"/>
      <c r="O965" s="20"/>
      <c r="P965" s="20"/>
      <c r="Q965" s="20"/>
      <c r="R965" s="20"/>
      <c r="S965" s="188"/>
      <c r="T965" s="188"/>
      <c r="U965" s="188"/>
      <c r="V965" s="188"/>
      <c r="W965" s="20"/>
      <c r="X965" s="20"/>
      <c r="Y965" s="20"/>
      <c r="Z965" s="20"/>
      <c r="AA965" s="20"/>
      <c r="AB965" s="20"/>
    </row>
    <row r="966">
      <c r="A966" s="20"/>
      <c r="B966" s="20"/>
      <c r="C966" s="20"/>
      <c r="D966" s="20"/>
      <c r="E966" s="20"/>
      <c r="F966" s="282"/>
      <c r="G966" s="20"/>
      <c r="H966" s="20"/>
      <c r="I966" s="20"/>
      <c r="J966" s="20"/>
      <c r="K966" s="20"/>
      <c r="L966" s="20"/>
      <c r="M966" s="20"/>
      <c r="N966" s="20"/>
      <c r="O966" s="20"/>
      <c r="P966" s="20"/>
      <c r="Q966" s="20"/>
      <c r="R966" s="20"/>
      <c r="S966" s="188"/>
      <c r="T966" s="188"/>
      <c r="U966" s="188"/>
      <c r="V966" s="188"/>
      <c r="W966" s="20"/>
      <c r="X966" s="20"/>
      <c r="Y966" s="20"/>
      <c r="Z966" s="20"/>
      <c r="AA966" s="20"/>
      <c r="AB966" s="20"/>
    </row>
    <row r="967">
      <c r="A967" s="20"/>
      <c r="B967" s="20"/>
      <c r="C967" s="20"/>
      <c r="D967" s="20"/>
      <c r="E967" s="20"/>
      <c r="F967" s="282"/>
      <c r="G967" s="20"/>
      <c r="H967" s="20"/>
      <c r="I967" s="20"/>
      <c r="J967" s="20"/>
      <c r="K967" s="20"/>
      <c r="L967" s="20"/>
      <c r="M967" s="20"/>
      <c r="N967" s="20"/>
      <c r="O967" s="20"/>
      <c r="P967" s="20"/>
      <c r="Q967" s="20"/>
      <c r="R967" s="20"/>
      <c r="S967" s="188"/>
      <c r="T967" s="188"/>
      <c r="U967" s="188"/>
      <c r="V967" s="188"/>
      <c r="W967" s="20"/>
      <c r="X967" s="20"/>
      <c r="Y967" s="20"/>
      <c r="Z967" s="20"/>
      <c r="AA967" s="20"/>
      <c r="AB967" s="20"/>
    </row>
    <row r="968">
      <c r="A968" s="20"/>
      <c r="B968" s="20"/>
      <c r="C968" s="20"/>
      <c r="D968" s="20"/>
      <c r="E968" s="20"/>
      <c r="F968" s="282"/>
      <c r="G968" s="20"/>
      <c r="H968" s="20"/>
      <c r="I968" s="20"/>
      <c r="J968" s="20"/>
      <c r="K968" s="20"/>
      <c r="L968" s="20"/>
      <c r="M968" s="20"/>
      <c r="N968" s="20"/>
      <c r="O968" s="20"/>
      <c r="P968" s="20"/>
      <c r="Q968" s="20"/>
      <c r="R968" s="20"/>
      <c r="S968" s="188"/>
      <c r="T968" s="188"/>
      <c r="U968" s="188"/>
      <c r="V968" s="188"/>
      <c r="W968" s="20"/>
      <c r="X968" s="20"/>
      <c r="Y968" s="20"/>
      <c r="Z968" s="20"/>
      <c r="AA968" s="20"/>
      <c r="AB968" s="20"/>
    </row>
    <row r="969">
      <c r="A969" s="20"/>
      <c r="B969" s="20"/>
      <c r="C969" s="20"/>
      <c r="D969" s="20"/>
      <c r="E969" s="20"/>
      <c r="F969" s="282"/>
      <c r="G969" s="20"/>
      <c r="H969" s="20"/>
      <c r="I969" s="20"/>
      <c r="J969" s="20"/>
      <c r="K969" s="20"/>
      <c r="L969" s="20"/>
      <c r="M969" s="20"/>
      <c r="N969" s="20"/>
      <c r="O969" s="20"/>
      <c r="P969" s="20"/>
      <c r="Q969" s="20"/>
      <c r="R969" s="20"/>
      <c r="S969" s="188"/>
      <c r="T969" s="188"/>
      <c r="U969" s="188"/>
      <c r="V969" s="188"/>
      <c r="W969" s="20"/>
      <c r="X969" s="20"/>
      <c r="Y969" s="20"/>
      <c r="Z969" s="20"/>
      <c r="AA969" s="20"/>
      <c r="AB969" s="20"/>
    </row>
    <row r="970">
      <c r="A970" s="20"/>
      <c r="B970" s="20"/>
      <c r="C970" s="20"/>
      <c r="D970" s="20"/>
      <c r="E970" s="20"/>
      <c r="F970" s="282"/>
      <c r="G970" s="20"/>
      <c r="H970" s="20"/>
      <c r="I970" s="20"/>
      <c r="J970" s="20"/>
      <c r="K970" s="20"/>
      <c r="L970" s="20"/>
      <c r="M970" s="20"/>
      <c r="N970" s="20"/>
      <c r="O970" s="20"/>
      <c r="P970" s="20"/>
      <c r="Q970" s="20"/>
      <c r="R970" s="20"/>
      <c r="S970" s="188"/>
      <c r="T970" s="188"/>
      <c r="U970" s="188"/>
      <c r="V970" s="188"/>
      <c r="W970" s="20"/>
      <c r="X970" s="20"/>
      <c r="Y970" s="20"/>
      <c r="Z970" s="20"/>
      <c r="AA970" s="20"/>
      <c r="AB970" s="20"/>
    </row>
    <row r="971">
      <c r="A971" s="20"/>
      <c r="B971" s="20"/>
      <c r="C971" s="20"/>
      <c r="D971" s="20"/>
      <c r="E971" s="20"/>
      <c r="F971" s="282"/>
      <c r="G971" s="20"/>
      <c r="H971" s="20"/>
      <c r="I971" s="20"/>
      <c r="J971" s="20"/>
      <c r="K971" s="20"/>
      <c r="L971" s="20"/>
      <c r="M971" s="20"/>
      <c r="N971" s="20"/>
      <c r="O971" s="20"/>
      <c r="P971" s="20"/>
      <c r="Q971" s="20"/>
      <c r="R971" s="20"/>
      <c r="S971" s="188"/>
      <c r="T971" s="188"/>
      <c r="U971" s="188"/>
      <c r="V971" s="188"/>
      <c r="W971" s="20"/>
      <c r="X971" s="20"/>
      <c r="Y971" s="20"/>
      <c r="Z971" s="20"/>
      <c r="AA971" s="20"/>
      <c r="AB971" s="20"/>
    </row>
    <row r="972">
      <c r="A972" s="20"/>
      <c r="B972" s="20"/>
      <c r="C972" s="20"/>
      <c r="D972" s="20"/>
      <c r="E972" s="20"/>
      <c r="F972" s="282"/>
      <c r="G972" s="20"/>
      <c r="H972" s="20"/>
      <c r="I972" s="20"/>
      <c r="J972" s="20"/>
      <c r="K972" s="20"/>
      <c r="L972" s="20"/>
      <c r="M972" s="20"/>
      <c r="N972" s="20"/>
      <c r="O972" s="20"/>
      <c r="P972" s="20"/>
      <c r="Q972" s="20"/>
      <c r="R972" s="20"/>
      <c r="S972" s="188"/>
      <c r="T972" s="188"/>
      <c r="U972" s="188"/>
      <c r="V972" s="188"/>
      <c r="W972" s="20"/>
      <c r="X972" s="20"/>
      <c r="Y972" s="20"/>
      <c r="Z972" s="20"/>
      <c r="AA972" s="20"/>
      <c r="AB972" s="20"/>
    </row>
    <row r="973">
      <c r="A973" s="20"/>
      <c r="B973" s="20"/>
      <c r="C973" s="20"/>
      <c r="D973" s="20"/>
      <c r="E973" s="20"/>
      <c r="F973" s="282"/>
      <c r="G973" s="20"/>
      <c r="H973" s="20"/>
      <c r="I973" s="20"/>
      <c r="J973" s="20"/>
      <c r="K973" s="20"/>
      <c r="L973" s="20"/>
      <c r="M973" s="20"/>
      <c r="N973" s="20"/>
      <c r="O973" s="20"/>
      <c r="P973" s="20"/>
      <c r="Q973" s="20"/>
      <c r="R973" s="20"/>
      <c r="S973" s="188"/>
      <c r="T973" s="188"/>
      <c r="U973" s="188"/>
      <c r="V973" s="188"/>
      <c r="W973" s="20"/>
      <c r="X973" s="20"/>
      <c r="Y973" s="20"/>
      <c r="Z973" s="20"/>
      <c r="AA973" s="20"/>
      <c r="AB973" s="20"/>
    </row>
    <row r="974">
      <c r="A974" s="20"/>
      <c r="B974" s="20"/>
      <c r="C974" s="20"/>
      <c r="D974" s="20"/>
      <c r="E974" s="20"/>
      <c r="F974" s="282"/>
      <c r="G974" s="20"/>
      <c r="H974" s="20"/>
      <c r="I974" s="20"/>
      <c r="J974" s="20"/>
      <c r="K974" s="20"/>
      <c r="L974" s="20"/>
      <c r="M974" s="20"/>
      <c r="N974" s="20"/>
      <c r="O974" s="20"/>
      <c r="P974" s="20"/>
      <c r="Q974" s="20"/>
      <c r="R974" s="20"/>
      <c r="S974" s="188"/>
      <c r="T974" s="188"/>
      <c r="U974" s="188"/>
      <c r="V974" s="188"/>
      <c r="W974" s="20"/>
      <c r="X974" s="20"/>
      <c r="Y974" s="20"/>
      <c r="Z974" s="20"/>
      <c r="AA974" s="20"/>
      <c r="AB974" s="20"/>
    </row>
    <row r="975">
      <c r="A975" s="20"/>
      <c r="B975" s="20"/>
      <c r="C975" s="20"/>
      <c r="D975" s="20"/>
      <c r="E975" s="20"/>
      <c r="F975" s="282"/>
      <c r="G975" s="20"/>
      <c r="H975" s="20"/>
      <c r="I975" s="20"/>
      <c r="J975" s="20"/>
      <c r="K975" s="20"/>
      <c r="L975" s="20"/>
      <c r="M975" s="20"/>
      <c r="N975" s="20"/>
      <c r="O975" s="20"/>
      <c r="P975" s="20"/>
      <c r="Q975" s="20"/>
      <c r="R975" s="20"/>
      <c r="S975" s="188"/>
      <c r="T975" s="188"/>
      <c r="U975" s="188"/>
      <c r="V975" s="188"/>
      <c r="W975" s="20"/>
      <c r="X975" s="20"/>
      <c r="Y975" s="20"/>
      <c r="Z975" s="20"/>
      <c r="AA975" s="20"/>
      <c r="AB975" s="20"/>
    </row>
    <row r="976">
      <c r="A976" s="20"/>
      <c r="B976" s="20"/>
      <c r="C976" s="20"/>
      <c r="D976" s="20"/>
      <c r="E976" s="20"/>
      <c r="F976" s="282"/>
      <c r="G976" s="20"/>
      <c r="H976" s="20"/>
      <c r="I976" s="20"/>
      <c r="J976" s="20"/>
      <c r="K976" s="20"/>
      <c r="L976" s="20"/>
      <c r="M976" s="20"/>
      <c r="N976" s="20"/>
      <c r="O976" s="20"/>
      <c r="P976" s="20"/>
      <c r="Q976" s="20"/>
      <c r="R976" s="20"/>
      <c r="S976" s="188"/>
      <c r="T976" s="188"/>
      <c r="U976" s="188"/>
      <c r="V976" s="188"/>
      <c r="W976" s="20"/>
      <c r="X976" s="20"/>
      <c r="Y976" s="20"/>
      <c r="Z976" s="20"/>
      <c r="AA976" s="20"/>
      <c r="AB976" s="20"/>
    </row>
    <row r="977">
      <c r="A977" s="20"/>
      <c r="B977" s="20"/>
      <c r="C977" s="20"/>
      <c r="D977" s="20"/>
      <c r="E977" s="20"/>
      <c r="F977" s="282"/>
      <c r="G977" s="20"/>
      <c r="H977" s="20"/>
      <c r="I977" s="20"/>
      <c r="J977" s="20"/>
      <c r="K977" s="20"/>
      <c r="L977" s="20"/>
      <c r="M977" s="20"/>
      <c r="N977" s="20"/>
      <c r="O977" s="20"/>
      <c r="P977" s="20"/>
      <c r="Q977" s="20"/>
      <c r="R977" s="20"/>
      <c r="S977" s="188"/>
      <c r="T977" s="188"/>
      <c r="U977" s="188"/>
      <c r="V977" s="188"/>
      <c r="W977" s="20"/>
      <c r="X977" s="20"/>
      <c r="Y977" s="20"/>
      <c r="Z977" s="20"/>
      <c r="AA977" s="20"/>
      <c r="AB977" s="20"/>
    </row>
    <row r="978">
      <c r="A978" s="20"/>
      <c r="B978" s="20"/>
      <c r="C978" s="20"/>
      <c r="D978" s="20"/>
      <c r="E978" s="20"/>
      <c r="F978" s="282"/>
      <c r="G978" s="20"/>
      <c r="H978" s="20"/>
      <c r="I978" s="20"/>
      <c r="J978" s="20"/>
      <c r="K978" s="20"/>
      <c r="L978" s="20"/>
      <c r="M978" s="20"/>
      <c r="N978" s="20"/>
      <c r="O978" s="20"/>
      <c r="P978" s="20"/>
      <c r="Q978" s="20"/>
      <c r="R978" s="20"/>
      <c r="S978" s="188"/>
      <c r="T978" s="188"/>
      <c r="U978" s="188"/>
      <c r="V978" s="188"/>
      <c r="W978" s="20"/>
      <c r="X978" s="20"/>
      <c r="Y978" s="20"/>
      <c r="Z978" s="20"/>
      <c r="AA978" s="20"/>
      <c r="AB978" s="20"/>
    </row>
    <row r="979">
      <c r="A979" s="20"/>
      <c r="B979" s="20"/>
      <c r="C979" s="20"/>
      <c r="D979" s="20"/>
      <c r="E979" s="20"/>
      <c r="F979" s="282"/>
      <c r="G979" s="20"/>
      <c r="H979" s="20"/>
      <c r="I979" s="20"/>
      <c r="J979" s="20"/>
      <c r="K979" s="20"/>
      <c r="L979" s="20"/>
      <c r="M979" s="20"/>
      <c r="N979" s="20"/>
      <c r="O979" s="20"/>
      <c r="P979" s="20"/>
      <c r="Q979" s="20"/>
      <c r="R979" s="20"/>
      <c r="S979" s="188"/>
      <c r="T979" s="188"/>
      <c r="U979" s="188"/>
      <c r="V979" s="188"/>
      <c r="W979" s="20"/>
      <c r="X979" s="20"/>
      <c r="Y979" s="20"/>
      <c r="Z979" s="20"/>
      <c r="AA979" s="20"/>
      <c r="AB979" s="20"/>
    </row>
    <row r="980">
      <c r="A980" s="20"/>
      <c r="B980" s="20"/>
      <c r="C980" s="20"/>
      <c r="D980" s="20"/>
      <c r="E980" s="20"/>
      <c r="F980" s="282"/>
      <c r="G980" s="20"/>
      <c r="H980" s="20"/>
      <c r="I980" s="20"/>
      <c r="J980" s="20"/>
      <c r="K980" s="20"/>
      <c r="L980" s="20"/>
      <c r="M980" s="20"/>
      <c r="N980" s="20"/>
      <c r="O980" s="20"/>
      <c r="P980" s="20"/>
      <c r="Q980" s="20"/>
      <c r="R980" s="20"/>
      <c r="S980" s="188"/>
      <c r="T980" s="188"/>
      <c r="U980" s="188"/>
      <c r="V980" s="188"/>
      <c r="W980" s="20"/>
      <c r="X980" s="20"/>
      <c r="Y980" s="20"/>
      <c r="Z980" s="20"/>
      <c r="AA980" s="20"/>
      <c r="AB980" s="20"/>
    </row>
    <row r="981">
      <c r="A981" s="20"/>
      <c r="B981" s="20"/>
      <c r="C981" s="20"/>
      <c r="D981" s="20"/>
      <c r="E981" s="20"/>
      <c r="F981" s="282"/>
      <c r="G981" s="20"/>
      <c r="H981" s="20"/>
      <c r="I981" s="20"/>
      <c r="J981" s="20"/>
      <c r="K981" s="20"/>
      <c r="L981" s="20"/>
      <c r="M981" s="20"/>
      <c r="N981" s="20"/>
      <c r="O981" s="20"/>
      <c r="P981" s="20"/>
      <c r="Q981" s="20"/>
      <c r="R981" s="20"/>
      <c r="S981" s="188"/>
      <c r="T981" s="188"/>
      <c r="U981" s="188"/>
      <c r="V981" s="188"/>
      <c r="W981" s="20"/>
      <c r="X981" s="20"/>
      <c r="Y981" s="20"/>
      <c r="Z981" s="20"/>
      <c r="AA981" s="20"/>
      <c r="AB981" s="20"/>
    </row>
    <row r="982">
      <c r="A982" s="20"/>
      <c r="B982" s="20"/>
      <c r="C982" s="20"/>
      <c r="D982" s="20"/>
      <c r="E982" s="20"/>
      <c r="F982" s="282"/>
      <c r="G982" s="20"/>
      <c r="H982" s="20"/>
      <c r="I982" s="20"/>
      <c r="J982" s="20"/>
      <c r="K982" s="20"/>
      <c r="L982" s="20"/>
      <c r="M982" s="20"/>
      <c r="N982" s="20"/>
      <c r="O982" s="20"/>
      <c r="P982" s="20"/>
      <c r="Q982" s="20"/>
      <c r="R982" s="20"/>
      <c r="S982" s="188"/>
      <c r="T982" s="188"/>
      <c r="U982" s="188"/>
      <c r="V982" s="188"/>
      <c r="W982" s="20"/>
      <c r="X982" s="20"/>
      <c r="Y982" s="20"/>
      <c r="Z982" s="20"/>
      <c r="AA982" s="20"/>
      <c r="AB982" s="20"/>
    </row>
    <row r="983">
      <c r="A983" s="20"/>
      <c r="B983" s="20"/>
      <c r="C983" s="20"/>
      <c r="D983" s="20"/>
      <c r="E983" s="20"/>
      <c r="F983" s="282"/>
      <c r="G983" s="20"/>
      <c r="H983" s="20"/>
      <c r="I983" s="20"/>
      <c r="J983" s="20"/>
      <c r="K983" s="20"/>
      <c r="L983" s="20"/>
      <c r="M983" s="20"/>
      <c r="N983" s="20"/>
      <c r="O983" s="20"/>
      <c r="P983" s="20"/>
      <c r="Q983" s="20"/>
      <c r="R983" s="20"/>
      <c r="S983" s="188"/>
      <c r="T983" s="188"/>
      <c r="U983" s="188"/>
      <c r="V983" s="188"/>
      <c r="W983" s="20"/>
      <c r="X983" s="20"/>
      <c r="Y983" s="20"/>
      <c r="Z983" s="20"/>
      <c r="AA983" s="20"/>
      <c r="AB983" s="20"/>
    </row>
    <row r="984">
      <c r="A984" s="20"/>
      <c r="B984" s="20"/>
      <c r="C984" s="20"/>
      <c r="D984" s="20"/>
      <c r="E984" s="20"/>
      <c r="F984" s="282"/>
      <c r="G984" s="20"/>
      <c r="H984" s="20"/>
      <c r="I984" s="20"/>
      <c r="J984" s="20"/>
      <c r="K984" s="20"/>
      <c r="L984" s="20"/>
      <c r="M984" s="20"/>
      <c r="N984" s="20"/>
      <c r="O984" s="20"/>
      <c r="P984" s="20"/>
      <c r="Q984" s="20"/>
      <c r="R984" s="20"/>
      <c r="S984" s="188"/>
      <c r="T984" s="188"/>
      <c r="U984" s="188"/>
      <c r="V984" s="188"/>
      <c r="W984" s="20"/>
      <c r="X984" s="20"/>
      <c r="Y984" s="20"/>
      <c r="Z984" s="20"/>
      <c r="AA984" s="20"/>
      <c r="AB984" s="20"/>
    </row>
    <row r="985">
      <c r="A985" s="20"/>
      <c r="B985" s="20"/>
      <c r="C985" s="20"/>
      <c r="D985" s="20"/>
      <c r="E985" s="20"/>
      <c r="F985" s="282"/>
      <c r="G985" s="20"/>
      <c r="H985" s="20"/>
      <c r="I985" s="20"/>
      <c r="J985" s="20"/>
      <c r="K985" s="20"/>
      <c r="L985" s="20"/>
      <c r="M985" s="20"/>
      <c r="N985" s="20"/>
      <c r="O985" s="20"/>
      <c r="P985" s="20"/>
      <c r="Q985" s="20"/>
      <c r="R985" s="20"/>
      <c r="S985" s="188"/>
      <c r="T985" s="188"/>
      <c r="U985" s="188"/>
      <c r="V985" s="188"/>
      <c r="W985" s="20"/>
      <c r="X985" s="20"/>
      <c r="Y985" s="20"/>
      <c r="Z985" s="20"/>
      <c r="AA985" s="20"/>
      <c r="AB985" s="20"/>
    </row>
    <row r="986">
      <c r="A986" s="20"/>
      <c r="B986" s="20"/>
      <c r="C986" s="20"/>
      <c r="D986" s="20"/>
      <c r="E986" s="20"/>
      <c r="F986" s="282"/>
      <c r="G986" s="20"/>
      <c r="H986" s="20"/>
      <c r="I986" s="20"/>
      <c r="J986" s="20"/>
      <c r="K986" s="20"/>
      <c r="L986" s="20"/>
      <c r="M986" s="20"/>
      <c r="N986" s="20"/>
      <c r="O986" s="20"/>
      <c r="P986" s="20"/>
      <c r="Q986" s="20"/>
      <c r="R986" s="20"/>
      <c r="S986" s="188"/>
      <c r="T986" s="188"/>
      <c r="U986" s="188"/>
      <c r="V986" s="188"/>
      <c r="W986" s="20"/>
      <c r="X986" s="20"/>
      <c r="Y986" s="20"/>
      <c r="Z986" s="20"/>
      <c r="AA986" s="20"/>
      <c r="AB986" s="20"/>
    </row>
    <row r="987">
      <c r="A987" s="20"/>
      <c r="B987" s="20"/>
      <c r="C987" s="20"/>
      <c r="D987" s="20"/>
      <c r="E987" s="20"/>
      <c r="F987" s="282"/>
      <c r="G987" s="20"/>
      <c r="H987" s="20"/>
      <c r="I987" s="20"/>
      <c r="J987" s="20"/>
      <c r="K987" s="20"/>
      <c r="L987" s="20"/>
      <c r="M987" s="20"/>
      <c r="N987" s="20"/>
      <c r="O987" s="20"/>
      <c r="P987" s="20"/>
      <c r="Q987" s="20"/>
      <c r="R987" s="20"/>
      <c r="S987" s="188"/>
      <c r="T987" s="188"/>
      <c r="U987" s="188"/>
      <c r="V987" s="188"/>
      <c r="W987" s="20"/>
      <c r="X987" s="20"/>
      <c r="Y987" s="20"/>
      <c r="Z987" s="20"/>
      <c r="AA987" s="20"/>
      <c r="AB987" s="20"/>
    </row>
    <row r="988">
      <c r="A988" s="283"/>
      <c r="B988" s="20"/>
      <c r="C988" s="20"/>
      <c r="D988" s="20"/>
      <c r="E988" s="20"/>
      <c r="F988" s="282"/>
      <c r="G988" s="20"/>
      <c r="H988" s="20"/>
      <c r="I988" s="20"/>
      <c r="J988" s="20"/>
      <c r="K988" s="20"/>
      <c r="L988" s="20"/>
      <c r="M988" s="20"/>
      <c r="N988" s="20"/>
      <c r="O988" s="20"/>
      <c r="P988" s="20"/>
      <c r="Q988" s="20"/>
      <c r="R988" s="20"/>
      <c r="S988" s="188"/>
      <c r="T988" s="188"/>
      <c r="U988" s="188"/>
      <c r="V988" s="188"/>
      <c r="W988" s="20"/>
      <c r="X988" s="20"/>
      <c r="Y988" s="20"/>
      <c r="Z988" s="20"/>
      <c r="AA988" s="20"/>
      <c r="AB988" s="20"/>
    </row>
    <row r="989">
      <c r="A989" s="284"/>
      <c r="B989" s="20"/>
      <c r="C989" s="20"/>
      <c r="D989" s="20"/>
      <c r="E989" s="20"/>
      <c r="F989" s="282"/>
      <c r="G989" s="20"/>
      <c r="H989" s="20"/>
      <c r="I989" s="20"/>
      <c r="J989" s="20"/>
      <c r="K989" s="20"/>
      <c r="L989" s="20"/>
      <c r="M989" s="20"/>
      <c r="N989" s="20"/>
      <c r="O989" s="20"/>
      <c r="P989" s="20"/>
      <c r="Q989" s="20"/>
      <c r="R989" s="20"/>
      <c r="S989" s="188"/>
      <c r="T989" s="188"/>
      <c r="U989" s="188"/>
      <c r="V989" s="188"/>
      <c r="W989" s="20"/>
      <c r="X989" s="20"/>
      <c r="Y989" s="20"/>
      <c r="Z989" s="20"/>
      <c r="AA989" s="20"/>
      <c r="AB989" s="20"/>
    </row>
    <row r="990">
      <c r="A990" s="284"/>
      <c r="B990" s="20"/>
      <c r="C990" s="20"/>
      <c r="D990" s="20"/>
      <c r="E990" s="20"/>
      <c r="F990" s="282"/>
      <c r="G990" s="20"/>
      <c r="H990" s="20"/>
      <c r="I990" s="20"/>
      <c r="J990" s="20"/>
      <c r="K990" s="20"/>
      <c r="L990" s="20"/>
      <c r="M990" s="20"/>
      <c r="N990" s="20"/>
      <c r="O990" s="20"/>
      <c r="P990" s="20"/>
      <c r="Q990" s="20"/>
      <c r="R990" s="20"/>
      <c r="S990" s="188"/>
      <c r="T990" s="188"/>
      <c r="U990" s="188"/>
      <c r="V990" s="188"/>
      <c r="W990" s="20"/>
      <c r="X990" s="20"/>
      <c r="Y990" s="20"/>
      <c r="Z990" s="20"/>
      <c r="AA990" s="20"/>
      <c r="AB990" s="20"/>
    </row>
    <row r="991">
      <c r="A991" s="284"/>
      <c r="B991" s="20"/>
      <c r="C991" s="20"/>
      <c r="D991" s="20"/>
      <c r="E991" s="20"/>
      <c r="F991" s="282"/>
      <c r="G991" s="20"/>
      <c r="H991" s="20"/>
      <c r="I991" s="20"/>
      <c r="J991" s="20"/>
      <c r="K991" s="20"/>
      <c r="L991" s="20"/>
      <c r="M991" s="20"/>
      <c r="N991" s="20"/>
      <c r="O991" s="20"/>
      <c r="P991" s="20"/>
      <c r="Q991" s="20"/>
      <c r="R991" s="20"/>
      <c r="S991" s="188"/>
      <c r="T991" s="188"/>
      <c r="U991" s="188"/>
      <c r="V991" s="188"/>
      <c r="W991" s="20"/>
      <c r="X991" s="20"/>
      <c r="Y991" s="20"/>
      <c r="Z991" s="20"/>
      <c r="AA991" s="20"/>
      <c r="AB991" s="20"/>
    </row>
    <row r="992">
      <c r="A992" s="284"/>
      <c r="B992" s="20"/>
      <c r="C992" s="20"/>
      <c r="D992" s="20"/>
      <c r="E992" s="20"/>
      <c r="F992" s="282"/>
      <c r="G992" s="20"/>
      <c r="H992" s="20"/>
      <c r="I992" s="20"/>
      <c r="J992" s="20"/>
      <c r="K992" s="20"/>
      <c r="L992" s="20"/>
      <c r="M992" s="20"/>
      <c r="N992" s="20"/>
      <c r="O992" s="20"/>
      <c r="P992" s="20"/>
      <c r="Q992" s="20"/>
      <c r="R992" s="20"/>
      <c r="S992" s="188"/>
      <c r="T992" s="188"/>
      <c r="U992" s="188"/>
      <c r="V992" s="188"/>
      <c r="W992" s="20"/>
      <c r="X992" s="20"/>
      <c r="Y992" s="20"/>
      <c r="Z992" s="20"/>
      <c r="AA992" s="20"/>
      <c r="AB992" s="20"/>
    </row>
    <row r="993">
      <c r="A993" s="284"/>
      <c r="B993" s="20"/>
      <c r="C993" s="20"/>
      <c r="D993" s="20"/>
      <c r="E993" s="20"/>
      <c r="F993" s="282"/>
      <c r="G993" s="20"/>
      <c r="H993" s="20"/>
      <c r="I993" s="20"/>
      <c r="J993" s="20"/>
      <c r="K993" s="20"/>
      <c r="L993" s="20"/>
      <c r="M993" s="20"/>
      <c r="N993" s="20"/>
      <c r="O993" s="20"/>
      <c r="P993" s="20"/>
      <c r="Q993" s="20"/>
      <c r="R993" s="20"/>
      <c r="S993" s="188"/>
      <c r="T993" s="188"/>
      <c r="U993" s="188"/>
      <c r="V993" s="188"/>
      <c r="W993" s="20"/>
      <c r="X993" s="20"/>
      <c r="Y993" s="20"/>
      <c r="Z993" s="20"/>
      <c r="AA993" s="20"/>
      <c r="AB993" s="20"/>
    </row>
    <row r="994">
      <c r="A994" s="284"/>
      <c r="B994" s="20"/>
      <c r="C994" s="20"/>
      <c r="D994" s="20"/>
      <c r="E994" s="20"/>
      <c r="F994" s="282"/>
      <c r="G994" s="20"/>
      <c r="H994" s="20"/>
      <c r="I994" s="20"/>
      <c r="J994" s="20"/>
      <c r="K994" s="20"/>
      <c r="L994" s="20"/>
      <c r="M994" s="20"/>
      <c r="N994" s="20"/>
      <c r="O994" s="20"/>
      <c r="P994" s="20"/>
      <c r="Q994" s="20"/>
      <c r="R994" s="20"/>
      <c r="S994" s="188"/>
      <c r="T994" s="188"/>
      <c r="U994" s="188"/>
      <c r="V994" s="188"/>
      <c r="W994" s="20"/>
      <c r="X994" s="20"/>
      <c r="Y994" s="20"/>
      <c r="Z994" s="20"/>
      <c r="AA994" s="20"/>
      <c r="AB994" s="20"/>
    </row>
    <row r="995">
      <c r="A995" s="284"/>
      <c r="B995" s="20"/>
      <c r="C995" s="20"/>
      <c r="D995" s="20"/>
      <c r="E995" s="20"/>
      <c r="F995" s="282"/>
      <c r="G995" s="20"/>
      <c r="H995" s="20"/>
      <c r="I995" s="20"/>
      <c r="J995" s="20"/>
      <c r="K995" s="20"/>
      <c r="L995" s="20"/>
      <c r="M995" s="20"/>
      <c r="N995" s="20"/>
      <c r="O995" s="20"/>
      <c r="P995" s="20"/>
      <c r="Q995" s="20"/>
      <c r="R995" s="20"/>
      <c r="S995" s="188"/>
      <c r="T995" s="188"/>
      <c r="U995" s="188"/>
      <c r="V995" s="188"/>
      <c r="W995" s="20"/>
      <c r="X995" s="20"/>
      <c r="Y995" s="20"/>
      <c r="Z995" s="20"/>
      <c r="AA995" s="20"/>
      <c r="AB995" s="20"/>
    </row>
    <row r="996">
      <c r="A996" s="284"/>
      <c r="B996" s="20"/>
      <c r="C996" s="20"/>
      <c r="D996" s="20"/>
      <c r="E996" s="20"/>
      <c r="F996" s="282"/>
      <c r="G996" s="20"/>
      <c r="H996" s="20"/>
      <c r="I996" s="20"/>
      <c r="J996" s="20"/>
      <c r="K996" s="20"/>
      <c r="L996" s="20"/>
      <c r="M996" s="20"/>
      <c r="N996" s="20"/>
      <c r="O996" s="20"/>
      <c r="P996" s="20"/>
      <c r="Q996" s="20"/>
      <c r="R996" s="20"/>
      <c r="S996" s="188"/>
      <c r="T996" s="188"/>
      <c r="U996" s="188"/>
      <c r="V996" s="188"/>
      <c r="W996" s="20"/>
      <c r="X996" s="20"/>
      <c r="Y996" s="20"/>
      <c r="Z996" s="20"/>
      <c r="AA996" s="20"/>
      <c r="AB996" s="20"/>
    </row>
    <row r="997">
      <c r="A997" s="284"/>
      <c r="B997" s="20"/>
      <c r="C997" s="20"/>
      <c r="D997" s="20"/>
      <c r="E997" s="20"/>
      <c r="F997" s="282"/>
      <c r="G997" s="20"/>
      <c r="H997" s="20"/>
      <c r="I997" s="20"/>
      <c r="J997" s="20"/>
      <c r="K997" s="20"/>
      <c r="L997" s="20"/>
      <c r="M997" s="20"/>
      <c r="N997" s="20"/>
      <c r="O997" s="20"/>
      <c r="P997" s="20"/>
      <c r="Q997" s="20"/>
      <c r="R997" s="20"/>
      <c r="S997" s="188"/>
      <c r="T997" s="188"/>
      <c r="U997" s="188"/>
      <c r="V997" s="188"/>
      <c r="W997" s="20"/>
      <c r="X997" s="20"/>
      <c r="Y997" s="20"/>
      <c r="Z997" s="20"/>
      <c r="AA997" s="20"/>
      <c r="AB997" s="20"/>
    </row>
    <row r="998">
      <c r="A998" s="284"/>
      <c r="B998" s="20"/>
      <c r="C998" s="20"/>
      <c r="D998" s="20"/>
      <c r="E998" s="20"/>
      <c r="F998" s="282"/>
      <c r="G998" s="20"/>
      <c r="H998" s="20"/>
      <c r="I998" s="20"/>
      <c r="J998" s="20"/>
      <c r="K998" s="20"/>
      <c r="L998" s="20"/>
      <c r="M998" s="20"/>
      <c r="N998" s="20"/>
      <c r="O998" s="20"/>
      <c r="P998" s="20"/>
      <c r="Q998" s="20"/>
      <c r="R998" s="20"/>
      <c r="S998" s="188"/>
      <c r="T998" s="188"/>
      <c r="U998" s="188"/>
      <c r="V998" s="188"/>
      <c r="W998" s="20"/>
      <c r="X998" s="20"/>
      <c r="Y998" s="20"/>
      <c r="Z998" s="20"/>
      <c r="AA998" s="20"/>
      <c r="AB998" s="20"/>
    </row>
    <row r="999">
      <c r="A999" s="284"/>
      <c r="B999" s="20"/>
      <c r="C999" s="20"/>
      <c r="D999" s="20"/>
      <c r="E999" s="20"/>
      <c r="F999" s="282"/>
      <c r="G999" s="20"/>
      <c r="H999" s="20"/>
      <c r="I999" s="20"/>
      <c r="J999" s="20"/>
      <c r="K999" s="20"/>
      <c r="L999" s="20"/>
      <c r="M999" s="20"/>
      <c r="N999" s="20"/>
      <c r="O999" s="20"/>
      <c r="P999" s="20"/>
      <c r="Q999" s="20"/>
      <c r="R999" s="20"/>
      <c r="S999" s="188"/>
      <c r="T999" s="188"/>
      <c r="U999" s="188"/>
      <c r="V999" s="188"/>
      <c r="W999" s="20"/>
      <c r="X999" s="20"/>
      <c r="Y999" s="20"/>
      <c r="Z999" s="20"/>
      <c r="AA999" s="20"/>
      <c r="AB999" s="20"/>
    </row>
    <row r="1000">
      <c r="A1000" s="284"/>
      <c r="B1000" s="20"/>
      <c r="C1000" s="20"/>
      <c r="D1000" s="20"/>
      <c r="E1000" s="20"/>
      <c r="F1000" s="282"/>
      <c r="G1000" s="20"/>
      <c r="H1000" s="20"/>
      <c r="I1000" s="20"/>
      <c r="J1000" s="20"/>
      <c r="K1000" s="20"/>
      <c r="L1000" s="20"/>
      <c r="M1000" s="20"/>
      <c r="N1000" s="20"/>
      <c r="O1000" s="20"/>
      <c r="P1000" s="20"/>
      <c r="Q1000" s="20"/>
      <c r="R1000" s="20"/>
      <c r="S1000" s="188"/>
      <c r="T1000" s="188"/>
      <c r="U1000" s="188"/>
      <c r="V1000" s="188"/>
      <c r="W1000" s="20"/>
      <c r="X1000" s="20"/>
      <c r="Y1000" s="20"/>
      <c r="Z1000" s="20"/>
      <c r="AA1000" s="20"/>
      <c r="AB1000" s="20"/>
    </row>
    <row r="1001">
      <c r="A1001" s="284"/>
      <c r="B1001" s="20"/>
      <c r="C1001" s="20"/>
      <c r="D1001" s="20"/>
      <c r="E1001" s="20"/>
      <c r="F1001" s="282"/>
      <c r="G1001" s="20"/>
      <c r="H1001" s="20"/>
      <c r="I1001" s="20"/>
      <c r="J1001" s="20"/>
      <c r="K1001" s="20"/>
      <c r="L1001" s="20"/>
      <c r="M1001" s="20"/>
      <c r="N1001" s="20"/>
      <c r="O1001" s="20"/>
      <c r="P1001" s="20"/>
      <c r="Q1001" s="20"/>
      <c r="R1001" s="20"/>
      <c r="S1001" s="188"/>
      <c r="T1001" s="188"/>
      <c r="U1001" s="188"/>
      <c r="V1001" s="188"/>
      <c r="W1001" s="20"/>
      <c r="X1001" s="20"/>
      <c r="Y1001" s="20"/>
      <c r="Z1001" s="20"/>
      <c r="AA1001" s="20"/>
      <c r="AB1001" s="20"/>
    </row>
    <row r="1002">
      <c r="A1002" s="284"/>
      <c r="B1002" s="20"/>
      <c r="C1002" s="20"/>
      <c r="D1002" s="20"/>
      <c r="E1002" s="20"/>
      <c r="F1002" s="282"/>
      <c r="G1002" s="20"/>
      <c r="H1002" s="20"/>
      <c r="I1002" s="20"/>
      <c r="J1002" s="20"/>
      <c r="K1002" s="20"/>
      <c r="L1002" s="20"/>
      <c r="M1002" s="20"/>
      <c r="N1002" s="20"/>
      <c r="O1002" s="20"/>
      <c r="P1002" s="20"/>
      <c r="Q1002" s="20"/>
      <c r="R1002" s="20"/>
      <c r="S1002" s="188"/>
      <c r="T1002" s="188"/>
      <c r="U1002" s="188"/>
      <c r="V1002" s="188"/>
      <c r="W1002" s="20"/>
      <c r="X1002" s="20"/>
      <c r="Y1002" s="20"/>
      <c r="Z1002" s="20"/>
      <c r="AA1002" s="20"/>
      <c r="AB1002" s="20"/>
    </row>
    <row r="1003">
      <c r="A1003" s="284"/>
      <c r="B1003" s="20"/>
      <c r="C1003" s="20"/>
      <c r="D1003" s="20"/>
      <c r="E1003" s="20"/>
      <c r="F1003" s="282"/>
      <c r="G1003" s="20"/>
      <c r="H1003" s="20"/>
      <c r="I1003" s="20"/>
      <c r="J1003" s="20"/>
      <c r="K1003" s="20"/>
      <c r="L1003" s="20"/>
      <c r="M1003" s="20"/>
      <c r="N1003" s="20"/>
      <c r="O1003" s="20"/>
      <c r="P1003" s="20"/>
      <c r="Q1003" s="20"/>
      <c r="R1003" s="20"/>
      <c r="S1003" s="188"/>
      <c r="T1003" s="188"/>
      <c r="U1003" s="188"/>
      <c r="V1003" s="188"/>
      <c r="W1003" s="20"/>
      <c r="X1003" s="20"/>
      <c r="Y1003" s="20"/>
      <c r="Z1003" s="20"/>
      <c r="AA1003" s="20"/>
      <c r="AB1003" s="20"/>
    </row>
    <row r="1004">
      <c r="A1004" s="284"/>
      <c r="B1004" s="20"/>
      <c r="C1004" s="20"/>
      <c r="D1004" s="20"/>
      <c r="E1004" s="20"/>
      <c r="F1004" s="282"/>
      <c r="G1004" s="20"/>
      <c r="H1004" s="20"/>
      <c r="I1004" s="20"/>
      <c r="J1004" s="20"/>
      <c r="K1004" s="20"/>
      <c r="L1004" s="20"/>
      <c r="M1004" s="20"/>
      <c r="N1004" s="20"/>
      <c r="O1004" s="20"/>
      <c r="P1004" s="20"/>
      <c r="Q1004" s="20"/>
      <c r="R1004" s="20"/>
      <c r="S1004" s="188"/>
      <c r="T1004" s="188"/>
      <c r="U1004" s="188"/>
      <c r="V1004" s="188"/>
      <c r="W1004" s="20"/>
      <c r="X1004" s="20"/>
      <c r="Y1004" s="20"/>
      <c r="Z1004" s="20"/>
      <c r="AA1004" s="20"/>
      <c r="AB1004" s="20"/>
    </row>
    <row r="1005">
      <c r="A1005" s="284"/>
      <c r="B1005" s="20"/>
      <c r="C1005" s="20"/>
      <c r="D1005" s="20"/>
      <c r="E1005" s="20"/>
      <c r="F1005" s="282"/>
      <c r="G1005" s="20"/>
      <c r="H1005" s="20"/>
      <c r="I1005" s="20"/>
      <c r="J1005" s="20"/>
      <c r="K1005" s="20"/>
      <c r="L1005" s="20"/>
      <c r="M1005" s="20"/>
      <c r="N1005" s="20"/>
      <c r="O1005" s="20"/>
      <c r="P1005" s="20"/>
      <c r="Q1005" s="20"/>
      <c r="R1005" s="20"/>
      <c r="S1005" s="188"/>
      <c r="T1005" s="188"/>
      <c r="U1005" s="188"/>
      <c r="V1005" s="188"/>
      <c r="W1005" s="20"/>
      <c r="X1005" s="20"/>
      <c r="Y1005" s="20"/>
      <c r="Z1005" s="20"/>
      <c r="AA1005" s="20"/>
      <c r="AB1005" s="20"/>
    </row>
    <row r="1006">
      <c r="A1006" s="284"/>
      <c r="B1006" s="20"/>
      <c r="C1006" s="20"/>
      <c r="D1006" s="20"/>
      <c r="E1006" s="20"/>
      <c r="F1006" s="282"/>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4"/>
      <c r="B1007" s="20"/>
      <c r="C1007" s="20"/>
      <c r="D1007" s="20"/>
      <c r="E1007" s="20"/>
      <c r="F1007" s="282"/>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4"/>
      <c r="B1008" s="20"/>
      <c r="C1008" s="20"/>
      <c r="D1008" s="20"/>
      <c r="E1008" s="20"/>
      <c r="F1008" s="282"/>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4"/>
      <c r="B1009" s="20"/>
      <c r="C1009" s="20"/>
      <c r="D1009" s="20"/>
      <c r="E1009" s="20"/>
      <c r="F1009" s="282"/>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4"/>
      <c r="B1010" s="20"/>
      <c r="C1010" s="20"/>
      <c r="D1010" s="20"/>
      <c r="E1010" s="20"/>
      <c r="F1010" s="282"/>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4"/>
      <c r="B1011" s="20"/>
      <c r="C1011" s="20"/>
      <c r="D1011" s="20"/>
      <c r="E1011" s="20"/>
      <c r="F1011" s="282"/>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4"/>
      <c r="B1012" s="20"/>
      <c r="C1012" s="20"/>
      <c r="D1012" s="20"/>
      <c r="E1012" s="20"/>
      <c r="F1012" s="282"/>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4"/>
      <c r="B1013" s="20"/>
      <c r="C1013" s="20"/>
      <c r="D1013" s="20"/>
      <c r="E1013" s="20"/>
      <c r="F1013" s="282"/>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4"/>
      <c r="B1014" s="20"/>
      <c r="C1014" s="20"/>
      <c r="D1014" s="20"/>
      <c r="E1014" s="20"/>
      <c r="F1014" s="282"/>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4"/>
      <c r="B1015" s="20"/>
      <c r="C1015" s="20"/>
      <c r="D1015" s="20"/>
      <c r="E1015" s="20"/>
      <c r="F1015" s="282"/>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4"/>
      <c r="B1016" s="20"/>
      <c r="C1016" s="20"/>
      <c r="D1016" s="20"/>
      <c r="E1016" s="20"/>
      <c r="F1016" s="282"/>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5"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6" t="s">
        <v>2115</v>
      </c>
      <c r="AB1" s="62" t="s">
        <v>216</v>
      </c>
      <c r="AE1" s="287"/>
    </row>
    <row r="2" ht="41.25" customHeight="1">
      <c r="AE2" s="287"/>
    </row>
    <row r="3" ht="88.5" customHeight="1">
      <c r="A3" s="74" t="s">
        <v>4452</v>
      </c>
      <c r="B3" s="288" t="s">
        <v>4453</v>
      </c>
      <c r="C3" s="289" t="s">
        <v>4454</v>
      </c>
      <c r="D3" s="71" t="str">
        <f>IFERROR(__xludf.DUMMYFUNCTION("GOOGLETRANSLATE(A3,""zh-tw"",""ja"")"),"プロジェクト")</f>
        <v>プロジェクト</v>
      </c>
      <c r="E3" s="290"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1" t="str">
        <f>IFERROR(__xludf.DUMMYFUNCTION("GOOGLETRANSLATE(C3,""zh-tw"",""ja"")"),"述べる")</f>
        <v>述べる</v>
      </c>
      <c r="G3" s="74" t="s">
        <v>4455</v>
      </c>
      <c r="H3" s="288" t="s">
        <v>4456</v>
      </c>
      <c r="I3" s="291" t="str">
        <f>IFERROR(__xludf.DUMMYFUNCTION("GOOGLETRANSLATE(C3,""zh-tw"",""en"")"),"Remark")</f>
        <v>Remark</v>
      </c>
      <c r="J3" s="71" t="str">
        <f>IFERROR(__xludf.DUMMYFUNCTION("GOOGLETRANSLATE(A3,""zh-tw"",""zh"")"),"项目")</f>
        <v>项目</v>
      </c>
      <c r="K3" s="290" t="str">
        <f>IFERROR(__xludf.DUMMYFUNCTION("GOOGLETRANSLATE(B3,""zh-tw"",""zh"")"),"特殊掉落
P.S.通用掉落物不列入
(泛用型白.蓝品质装备和消耗道具)")</f>
        <v>特殊掉落
P.S.通用掉落物不列入
(泛用型白.蓝品质装备和消耗道具)</v>
      </c>
      <c r="L3" s="291" t="str">
        <f>IFERROR(__xludf.DUMMYFUNCTION("GOOGLETRANSLATE(C3,""zh-tw"",""zh"")"),"备注")</f>
        <v>备注</v>
      </c>
      <c r="M3" s="292" t="str">
        <f>IFERROR(__xludf.DUMMYFUNCTION("GOOGLETRANSLATE(A3,""zh-tw"",""es-MX"")"),"proyecto")</f>
        <v>proyecto</v>
      </c>
      <c r="N3" s="293"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4" t="str">
        <f>IFERROR(__xludf.DUMMYFUNCTION("GOOGLETRANSLATE(C3,""zh-tw"",""es-MX"")"),"Observación")</f>
        <v>Observación</v>
      </c>
      <c r="P3" s="292" t="str">
        <f>IFERROR(__xludf.DUMMYFUNCTION("GOOGLETRANSLATE(A3,""zh-tw"",""KO"")"),"프로젝트")</f>
        <v>프로젝트</v>
      </c>
      <c r="Q3" s="290"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4" t="str">
        <f>IFERROR(__xludf.DUMMYFUNCTION("GOOGLETRANSLATE(C3,""zh-tw"",""KO"")"),"주목")</f>
        <v>주목</v>
      </c>
      <c r="S3" s="292"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4" t="str">
        <f>IFERROR(__xludf.DUMMYFUNCTION("GOOGLETRANSLATE(C3,""zh-tw"",""ru"")"),"Замечание")</f>
        <v>Замечание</v>
      </c>
      <c r="V3" s="295" t="s">
        <v>4457</v>
      </c>
      <c r="W3" s="15" t="s">
        <v>4458</v>
      </c>
      <c r="X3" s="296" t="s">
        <v>4459</v>
      </c>
      <c r="Y3" s="141" t="s">
        <v>4460</v>
      </c>
      <c r="Z3" s="297" t="s">
        <v>4461</v>
      </c>
      <c r="AA3" s="298" t="s">
        <v>4462</v>
      </c>
      <c r="AB3" s="71" t="s">
        <v>4463</v>
      </c>
      <c r="AC3" s="299" t="s">
        <v>4464</v>
      </c>
      <c r="AD3" s="291" t="s">
        <v>4465</v>
      </c>
      <c r="AE3" s="300"/>
    </row>
    <row r="4">
      <c r="A4" s="148" t="s">
        <v>4466</v>
      </c>
      <c r="B4" s="163" t="s">
        <v>4467</v>
      </c>
      <c r="C4" s="301" t="s">
        <v>792</v>
      </c>
      <c r="D4" s="302" t="str">
        <f>IFERROR(__xludf.DUMMYFUNCTION("GOOGLETRANSLATE(A4,""zh-tw"",""ja"")"),"バナナの妖精")</f>
        <v>バナナの妖精</v>
      </c>
      <c r="E4" s="303" t="str">
        <f>IFERROR(__xludf.DUMMYFUNCTION("GOOGLETRANSLATE(B4,""zh-tw"",""ja"")"),"バナナの妖精/バナナ？")</f>
        <v>バナナの妖精/バナナ？</v>
      </c>
      <c r="F4" s="304" t="str">
        <f>IFERROR(__xludf.DUMMYFUNCTION("GOOGLETRANSLATE(C4,""zh-tw"",""ja"")"),"-")</f>
        <v>-</v>
      </c>
      <c r="G4" s="173" t="s">
        <v>4468</v>
      </c>
      <c r="H4" s="305" t="s">
        <v>4469</v>
      </c>
      <c r="I4" s="304" t="str">
        <f>IFERROR(__xludf.DUMMYFUNCTION("GOOGLETRANSLATE(C4,""zh-tw"",""en"")"),"-")</f>
        <v>-</v>
      </c>
      <c r="J4" s="302" t="str">
        <f>IFERROR(__xludf.DUMMYFUNCTION("GOOGLETRANSLATE(A4,""zh-tw"",""zh"")"),"香蕉妖精")</f>
        <v>香蕉妖精</v>
      </c>
      <c r="K4" s="303" t="str">
        <f>IFERROR(__xludf.DUMMYFUNCTION("GOOGLETRANSLATE(B4,""zh-tw"",""zh"")"),"香蕉妖精/香蕉?")</f>
        <v>香蕉妖精/香蕉?</v>
      </c>
      <c r="L4" s="304" t="str">
        <f>IFERROR(__xludf.DUMMYFUNCTION("GOOGLETRANSLATE(C4,""zh-tw"",""zh"")"),"-")</f>
        <v>-</v>
      </c>
      <c r="M4" s="149" t="str">
        <f>IFERROR(__xludf.DUMMYFUNCTION("GOOGLETRANSLATE(A4,""zh-tw"",""es-MX"")"),"Hada del plátano")</f>
        <v>Hada del plátano</v>
      </c>
      <c r="N4" s="164" t="str">
        <f>IFERROR(__xludf.DUMMYFUNCTION("GOOGLETRANSLATE(B4,""zh-tw"",""es-MX"")"),"Hada del plátano/¿plátano?")</f>
        <v>Hada del plátano/¿plátano?</v>
      </c>
      <c r="O4" s="306" t="str">
        <f>IFERROR(__xludf.DUMMYFUNCTION("GOOGLETRANSLATE(C4,""zh-tw"",""es-MX"")"),"-")</f>
        <v>-</v>
      </c>
      <c r="P4" s="149" t="str">
        <f>IFERROR(__xludf.DUMMYFUNCTION("GOOGLETRANSLATE(A4,""zh-tw"",""KO"")"),"바나나 요정")</f>
        <v>바나나 요정</v>
      </c>
      <c r="Q4" s="164" t="str">
        <f>IFERROR(__xludf.DUMMYFUNCTION("GOOGLETRANSLATE(B4,""zh-tw"",""KO"")"),"바나나 요정/바나나?")</f>
        <v>바나나 요정/바나나?</v>
      </c>
      <c r="R4" s="306" t="str">
        <f>IFERROR(__xludf.DUMMYFUNCTION("GOOGLETRANSLATE(C4,""zh-tw"",""KO"")"),"-")</f>
        <v>-</v>
      </c>
      <c r="S4" s="302" t="str">
        <f>IFERROR(__xludf.DUMMYFUNCTION("GOOGLETRANSLATE(A4,""zh-tw"",""ru"")"),"Банановая фея")</f>
        <v>Банановая фея</v>
      </c>
      <c r="T4" s="303" t="str">
        <f>IFERROR(__xludf.DUMMYFUNCTION("GOOGLETRANSLATE(B4,""zh-tw"",""ru"")"),"Банановая Фея/Банан?")</f>
        <v>Банановая Фея/Банан?</v>
      </c>
      <c r="U4" s="304" t="str">
        <f>IFERROR(__xludf.DUMMYFUNCTION("GOOGLETRANSLATE(C4,""zh-tw"",""ru"")"),"-")</f>
        <v>-</v>
      </c>
      <c r="V4" s="173" t="s">
        <v>4470</v>
      </c>
      <c r="W4" s="305" t="s">
        <v>4471</v>
      </c>
      <c r="X4" s="307" t="s">
        <v>4472</v>
      </c>
      <c r="Y4" s="154" t="s">
        <v>4473</v>
      </c>
      <c r="Z4" s="41" t="s">
        <v>4474</v>
      </c>
      <c r="AA4" s="308" t="s">
        <v>792</v>
      </c>
      <c r="AB4" s="149" t="s">
        <v>4475</v>
      </c>
      <c r="AC4" s="164" t="s">
        <v>4476</v>
      </c>
      <c r="AD4" s="306" t="s">
        <v>792</v>
      </c>
      <c r="AE4" s="20"/>
    </row>
    <row r="5">
      <c r="A5" s="148" t="s">
        <v>4477</v>
      </c>
      <c r="B5" s="163" t="s">
        <v>4478</v>
      </c>
      <c r="C5" s="301" t="s">
        <v>792</v>
      </c>
      <c r="D5" s="302" t="str">
        <f>IFERROR(__xludf.DUMMYFUNCTION("GOOGLETRANSLATE(A5,""zh-tw"",""ja"")"),"リンゴの妖精")</f>
        <v>リンゴの妖精</v>
      </c>
      <c r="E5" s="303" t="str">
        <f>IFERROR(__xludf.DUMMYFUNCTION("GOOGLETRANSLATE(B5,""zh-tw"",""ja"")"),"リンゴの妖精/リンゴのヘッドギア")</f>
        <v>リンゴの妖精/リンゴのヘッドギア</v>
      </c>
      <c r="F5" s="304" t="str">
        <f>IFERROR(__xludf.DUMMYFUNCTION("GOOGLETRANSLATE(C5,""zh-tw"",""ja"")"),"-")</f>
        <v>-</v>
      </c>
      <c r="G5" s="173" t="s">
        <v>4479</v>
      </c>
      <c r="H5" s="305" t="s">
        <v>4480</v>
      </c>
      <c r="I5" s="304" t="str">
        <f>IFERROR(__xludf.DUMMYFUNCTION("GOOGLETRANSLATE(C5,""zh-tw"",""en"")"),"-")</f>
        <v>-</v>
      </c>
      <c r="J5" s="302" t="str">
        <f>IFERROR(__xludf.DUMMYFUNCTION("GOOGLETRANSLATE(A5,""zh-tw"",""zh"")"),"苹果妖精")</f>
        <v>苹果妖精</v>
      </c>
      <c r="K5" s="303" t="str">
        <f>IFERROR(__xludf.DUMMYFUNCTION("GOOGLETRANSLATE(B5,""zh-tw"",""zh"")"),"苹果妖精/苹果头套")</f>
        <v>苹果妖精/苹果头套</v>
      </c>
      <c r="L5" s="304" t="str">
        <f>IFERROR(__xludf.DUMMYFUNCTION("GOOGLETRANSLATE(C5,""zh-tw"",""zh"")"),"-")</f>
        <v>-</v>
      </c>
      <c r="M5" s="149" t="str">
        <f>IFERROR(__xludf.DUMMYFUNCTION("GOOGLETRANSLATE(A5,""zh-tw"",""es-MX"")"),"Hada de la manzana")</f>
        <v>Hada de la manzana</v>
      </c>
      <c r="N5" s="164" t="str">
        <f>IFERROR(__xludf.DUMMYFUNCTION("GOOGLETRANSLATE(B5,""zh-tw"",""es-MX"")"),"Hada de la manzana/Tocado de manzana")</f>
        <v>Hada de la manzana/Tocado de manzana</v>
      </c>
      <c r="O5" s="306" t="str">
        <f>IFERROR(__xludf.DUMMYFUNCTION("GOOGLETRANSLATE(C5,""zh-tw"",""es-MX"")"),"-")</f>
        <v>-</v>
      </c>
      <c r="P5" s="148" t="s">
        <v>4481</v>
      </c>
      <c r="Q5" s="163" t="s">
        <v>4482</v>
      </c>
      <c r="R5" s="306" t="str">
        <f>IFERROR(__xludf.DUMMYFUNCTION("GOOGLETRANSLATE(C5,""zh-tw"",""KO"")"),"-")</f>
        <v>-</v>
      </c>
      <c r="S5" s="302" t="str">
        <f>IFERROR(__xludf.DUMMYFUNCTION("GOOGLETRANSLATE(A5,""zh-tw"",""ru"")"),"Яблочная Фея")</f>
        <v>Яблочная Фея</v>
      </c>
      <c r="T5" s="303" t="str">
        <f>IFERROR(__xludf.DUMMYFUNCTION("GOOGLETRANSLATE(B5,""zh-tw"",""ru"")"),"Яблочная Фея/Головной убор Яблока")</f>
        <v>Яблочная Фея/Головной убор Яблока</v>
      </c>
      <c r="U5" s="304" t="str">
        <f>IFERROR(__xludf.DUMMYFUNCTION("GOOGLETRANSLATE(C5,""zh-tw"",""ru"")"),"-")</f>
        <v>-</v>
      </c>
      <c r="V5" s="173" t="s">
        <v>4483</v>
      </c>
      <c r="W5" s="305" t="s">
        <v>4484</v>
      </c>
      <c r="X5" s="307" t="s">
        <v>4472</v>
      </c>
      <c r="Y5" s="154" t="s">
        <v>4485</v>
      </c>
      <c r="Z5" s="41" t="s">
        <v>4486</v>
      </c>
      <c r="AA5" s="308" t="s">
        <v>792</v>
      </c>
      <c r="AB5" s="149" t="s">
        <v>4487</v>
      </c>
      <c r="AC5" s="164" t="s">
        <v>4488</v>
      </c>
      <c r="AD5" s="306" t="s">
        <v>792</v>
      </c>
      <c r="AE5" s="20"/>
    </row>
    <row r="6">
      <c r="A6" s="148" t="s">
        <v>4489</v>
      </c>
      <c r="B6" s="163" t="s">
        <v>4490</v>
      </c>
      <c r="C6" s="301" t="s">
        <v>792</v>
      </c>
      <c r="D6" s="302" t="str">
        <f>IFERROR(__xludf.DUMMYFUNCTION("GOOGLETRANSLATE(A6,""zh-tw"",""ja"")"),"猫スライム")</f>
        <v>猫スライム</v>
      </c>
      <c r="E6" s="305" t="s">
        <v>4491</v>
      </c>
      <c r="F6" s="304" t="str">
        <f>IFERROR(__xludf.DUMMYFUNCTION("GOOGLETRANSLATE(C6,""zh-tw"",""ja"")"),"-")</f>
        <v>-</v>
      </c>
      <c r="G6" s="173" t="s">
        <v>4492</v>
      </c>
      <c r="H6" s="305" t="s">
        <v>4493</v>
      </c>
      <c r="I6" s="304" t="str">
        <f>IFERROR(__xludf.DUMMYFUNCTION("GOOGLETRANSLATE(C6,""zh-tw"",""en"")"),"-")</f>
        <v>-</v>
      </c>
      <c r="J6" s="302" t="str">
        <f>IFERROR(__xludf.DUMMYFUNCTION("GOOGLETRANSLATE(A6,""zh-tw"",""zh"")"),"猫咪史莱姆")</f>
        <v>猫咪史莱姆</v>
      </c>
      <c r="K6" s="303" t="str">
        <f>IFERROR(__xludf.DUMMYFUNCTION("GOOGLETRANSLATE(B6,""zh-tw"",""zh"")"),"史莱姆的黏液/借来的猫爪/招财猫")</f>
        <v>史莱姆的黏液/借来的猫爪/招财猫</v>
      </c>
      <c r="L6" s="304" t="str">
        <f>IFERROR(__xludf.DUMMYFUNCTION("GOOGLETRANSLATE(C6,""zh-tw"",""zh"")"),"-")</f>
        <v>-</v>
      </c>
      <c r="M6" s="149" t="str">
        <f>IFERROR(__xludf.DUMMYFUNCTION("GOOGLETRANSLATE(A6,""zh-tw"",""es-MX"")"),"Baba de gato")</f>
        <v>Baba de gato</v>
      </c>
      <c r="N6" s="164" t="str">
        <f>IFERROR(__xludf.DUMMYFUNCTION("GOOGLETRANSLATE(B6,""zh-tw"",""es-MX"")"),"Slime slime / Pata de gato prestada / Gato de la suerte")</f>
        <v>Slime slime / Pata de gato prestada / Gato de la suerte</v>
      </c>
      <c r="O6" s="306" t="str">
        <f>IFERROR(__xludf.DUMMYFUNCTION("GOOGLETRANSLATE(C6,""zh-tw"",""es-MX"")"),"-")</f>
        <v>-</v>
      </c>
      <c r="P6" s="149" t="str">
        <f>IFERROR(__xludf.DUMMYFUNCTION("GOOGLETRANSLATE(A6,""zh-tw"",""KO"")"),"고양이 슬라임")</f>
        <v>고양이 슬라임</v>
      </c>
      <c r="Q6" s="163" t="s">
        <v>4494</v>
      </c>
      <c r="R6" s="306" t="str">
        <f>IFERROR(__xludf.DUMMYFUNCTION("GOOGLETRANSLATE(C6,""zh-tw"",""KO"")"),"-")</f>
        <v>-</v>
      </c>
      <c r="S6" s="302" t="str">
        <f>IFERROR(__xludf.DUMMYFUNCTION("GOOGLETRANSLATE(A6,""zh-tw"",""ru"")"),"Кошачья слизь")</f>
        <v>Кошачья слизь</v>
      </c>
      <c r="T6" s="303" t="str">
        <f>IFERROR(__xludf.DUMMYFUNCTION("GOOGLETRANSLATE(B6,""zh-tw"",""ru"")"),"Слайм-слайм / Одолженная кошачья лапа / Счастливый кот")</f>
        <v>Слайм-слайм / Одолженная кошачья лапа / Счастливый кот</v>
      </c>
      <c r="U6" s="304" t="str">
        <f>IFERROR(__xludf.DUMMYFUNCTION("GOOGLETRANSLATE(C6,""zh-tw"",""ru"")"),"-")</f>
        <v>-</v>
      </c>
      <c r="V6" s="173" t="s">
        <v>4495</v>
      </c>
      <c r="W6" s="305" t="s">
        <v>4496</v>
      </c>
      <c r="X6" s="307" t="s">
        <v>4472</v>
      </c>
      <c r="Y6" s="154" t="s">
        <v>4497</v>
      </c>
      <c r="Z6" s="41" t="s">
        <v>4498</v>
      </c>
      <c r="AA6" s="308" t="s">
        <v>792</v>
      </c>
      <c r="AB6" s="149" t="s">
        <v>4499</v>
      </c>
      <c r="AC6" s="164" t="s">
        <v>4500</v>
      </c>
      <c r="AD6" s="306" t="s">
        <v>792</v>
      </c>
      <c r="AE6" s="20"/>
    </row>
    <row r="7">
      <c r="A7" s="148" t="s">
        <v>4501</v>
      </c>
      <c r="B7" s="163" t="s">
        <v>4502</v>
      </c>
      <c r="C7" s="301" t="s">
        <v>792</v>
      </c>
      <c r="D7" s="302" t="str">
        <f>IFERROR(__xludf.DUMMYFUNCTION("GOOGLETRANSLATE(A7,""zh-tw"",""ja"")"),"草食スライム")</f>
        <v>草食スライム</v>
      </c>
      <c r="E7" s="305" t="s">
        <v>4503</v>
      </c>
      <c r="F7" s="304" t="str">
        <f>IFERROR(__xludf.DUMMYFUNCTION("GOOGLETRANSLATE(C7,""zh-tw"",""ja"")"),"-")</f>
        <v>-</v>
      </c>
      <c r="G7" s="173" t="s">
        <v>4504</v>
      </c>
      <c r="H7" s="305" t="s">
        <v>4505</v>
      </c>
      <c r="I7" s="304" t="str">
        <f>IFERROR(__xludf.DUMMYFUNCTION("GOOGLETRANSLATE(C7,""zh-tw"",""en"")"),"-")</f>
        <v>-</v>
      </c>
      <c r="J7" s="302" t="str">
        <f>IFERROR(__xludf.DUMMYFUNCTION("GOOGLETRANSLATE(A7,""zh-tw"",""zh"")"),"草食史莱姆")</f>
        <v>草食史莱姆</v>
      </c>
      <c r="K7" s="303" t="str">
        <f>IFERROR(__xludf.DUMMYFUNCTION("GOOGLETRANSLATE(B7,""zh-tw"",""zh"")"),"斩裂剑提尔锋/史莱姆的黏液/硬木棒/硬木剑")</f>
        <v>斩裂剑提尔锋/史莱姆的黏液/硬木棒/硬木剑</v>
      </c>
      <c r="L7" s="304" t="str">
        <f>IFERROR(__xludf.DUMMYFUNCTION("GOOGLETRANSLATE(C7,""zh-tw"",""zh"")"),"-")</f>
        <v>-</v>
      </c>
      <c r="M7" s="149" t="str">
        <f>IFERROR(__xludf.DUMMYFUNCTION("GOOGLETRANSLATE(A7,""zh-tw"",""es-MX"")"),"Limo herbívoro")</f>
        <v>Limo herbívoro</v>
      </c>
      <c r="N7" s="164" t="str">
        <f>IFERROR(__xludf.DUMMYFUNCTION("GOOGLETRANSLATE(B7,""zh-tw"",""es-MX"")"),"Espada Cortante Filo de Tyr / Slime Slime / Club de Madera Dura / Espada de Madera Dura")</f>
        <v>Espada Cortante Filo de Tyr / Slime Slime / Club de Madera Dura / Espada de Madera Dura</v>
      </c>
      <c r="O7" s="306" t="str">
        <f>IFERROR(__xludf.DUMMYFUNCTION("GOOGLETRANSLATE(C7,""zh-tw"",""es-MX"")"),"-")</f>
        <v>-</v>
      </c>
      <c r="P7" s="148" t="s">
        <v>4506</v>
      </c>
      <c r="Q7" s="163" t="s">
        <v>4507</v>
      </c>
      <c r="R7" s="306" t="str">
        <f>IFERROR(__xludf.DUMMYFUNCTION("GOOGLETRANSLATE(C7,""zh-tw"",""KO"")"),"-")</f>
        <v>-</v>
      </c>
      <c r="S7" s="302" t="str">
        <f>IFERROR(__xludf.DUMMYFUNCTION("GOOGLETRANSLATE(A7,""zh-tw"",""ru"")"),"Травоядная слизь")</f>
        <v>Травоядная слизь</v>
      </c>
      <c r="T7" s="303"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4" t="str">
        <f>IFERROR(__xludf.DUMMYFUNCTION("GOOGLETRANSLATE(C7,""zh-tw"",""ru"")"),"-")</f>
        <v>-</v>
      </c>
      <c r="V7" s="173" t="s">
        <v>4508</v>
      </c>
      <c r="W7" s="305" t="s">
        <v>4509</v>
      </c>
      <c r="X7" s="307" t="s">
        <v>4472</v>
      </c>
      <c r="Y7" s="154" t="s">
        <v>4510</v>
      </c>
      <c r="Z7" s="41" t="s">
        <v>4511</v>
      </c>
      <c r="AA7" s="308" t="s">
        <v>792</v>
      </c>
      <c r="AB7" s="149" t="s">
        <v>4512</v>
      </c>
      <c r="AC7" s="164" t="s">
        <v>4513</v>
      </c>
      <c r="AD7" s="306" t="s">
        <v>792</v>
      </c>
      <c r="AE7" s="20"/>
    </row>
    <row r="8">
      <c r="A8" s="148" t="s">
        <v>4514</v>
      </c>
      <c r="B8" s="163" t="s">
        <v>4515</v>
      </c>
      <c r="C8" s="301" t="s">
        <v>792</v>
      </c>
      <c r="D8" s="173" t="s">
        <v>4516</v>
      </c>
      <c r="E8" s="305" t="s">
        <v>4517</v>
      </c>
      <c r="F8" s="304" t="str">
        <f>IFERROR(__xludf.DUMMYFUNCTION("GOOGLETRANSLATE(C8,""zh-tw"",""ja"")"),"-")</f>
        <v>-</v>
      </c>
      <c r="G8" s="173" t="s">
        <v>4518</v>
      </c>
      <c r="H8" s="305" t="s">
        <v>4519</v>
      </c>
      <c r="I8" s="304" t="str">
        <f>IFERROR(__xludf.DUMMYFUNCTION("GOOGLETRANSLATE(C8,""zh-tw"",""en"")"),"-")</f>
        <v>-</v>
      </c>
      <c r="J8" s="302" t="str">
        <f>IFERROR(__xludf.DUMMYFUNCTION("GOOGLETRANSLATE(A8,""zh-tw"",""zh"")"),"急冻史莱姆")</f>
        <v>急冻史莱姆</v>
      </c>
      <c r="K8" s="303" t="str">
        <f>IFERROR(__xludf.DUMMYFUNCTION("GOOGLETRANSLATE(B8,""zh-tw"",""zh"")"),"雪见/寒冰杖/魔力晶簇/史莱姆的黏液/塔罗牌")</f>
        <v>雪见/寒冰杖/魔力晶簇/史莱姆的黏液/塔罗牌</v>
      </c>
      <c r="L8" s="304" t="str">
        <f>IFERROR(__xludf.DUMMYFUNCTION("GOOGLETRANSLATE(C8,""zh-tw"",""zh"")"),"-")</f>
        <v>-</v>
      </c>
      <c r="M8" s="149" t="str">
        <f>IFERROR(__xludf.DUMMYFUNCTION("GOOGLETRANSLATE(A8,""zh-tw"",""es-MX"")"),"Slime congelado")</f>
        <v>Slime congelado</v>
      </c>
      <c r="N8" s="164" t="str">
        <f>IFERROR(__xludf.DUMMYFUNCTION("GOOGLETRANSLATE(B8,""zh-tw"",""es-MX"")"),"Visión de nieve / Bastón de hielo / Cúmulo de cristales mágicos / Slime Slime / Cartas del tarot")</f>
        <v>Visión de nieve / Bastón de hielo / Cúmulo de cristales mágicos / Slime Slime / Cartas del tarot</v>
      </c>
      <c r="O8" s="306" t="str">
        <f>IFERROR(__xludf.DUMMYFUNCTION("GOOGLETRANSLATE(C8,""zh-tw"",""es-MX"")"),"-")</f>
        <v>-</v>
      </c>
      <c r="P8" s="148" t="s">
        <v>4520</v>
      </c>
      <c r="Q8" s="163" t="s">
        <v>4521</v>
      </c>
      <c r="R8" s="306" t="str">
        <f>IFERROR(__xludf.DUMMYFUNCTION("GOOGLETRANSLATE(C8,""zh-tw"",""KO"")"),"-")</f>
        <v>-</v>
      </c>
      <c r="S8" s="302" t="str">
        <f>IFERROR(__xludf.DUMMYFUNCTION("GOOGLETRANSLATE(A8,""zh-tw"",""ru"")"),"Замороженная слизь")</f>
        <v>Замороженная слизь</v>
      </c>
      <c r="T8" s="303"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4" t="str">
        <f>IFERROR(__xludf.DUMMYFUNCTION("GOOGLETRANSLATE(C8,""zh-tw"",""ru"")"),"-")</f>
        <v>-</v>
      </c>
      <c r="V8" s="173" t="s">
        <v>4522</v>
      </c>
      <c r="W8" s="305" t="s">
        <v>4523</v>
      </c>
      <c r="X8" s="307" t="s">
        <v>4472</v>
      </c>
      <c r="Y8" s="154" t="s">
        <v>4524</v>
      </c>
      <c r="Z8" s="41" t="s">
        <v>4525</v>
      </c>
      <c r="AA8" s="308" t="s">
        <v>792</v>
      </c>
      <c r="AB8" s="149" t="s">
        <v>4526</v>
      </c>
      <c r="AC8" s="164" t="s">
        <v>4527</v>
      </c>
      <c r="AD8" s="306" t="s">
        <v>792</v>
      </c>
      <c r="AE8" s="20"/>
    </row>
    <row r="9">
      <c r="A9" s="148" t="s">
        <v>4528</v>
      </c>
      <c r="B9" s="163" t="s">
        <v>4529</v>
      </c>
      <c r="C9" s="301" t="s">
        <v>792</v>
      </c>
      <c r="D9" s="302" t="str">
        <f>IFERROR(__xludf.DUMMYFUNCTION("GOOGLETRANSLATE(A9,""zh-tw"",""ja"")"),"ジャックスライム")</f>
        <v>ジャックスライム</v>
      </c>
      <c r="E9" s="305" t="s">
        <v>4530</v>
      </c>
      <c r="F9" s="304" t="str">
        <f>IFERROR(__xludf.DUMMYFUNCTION("GOOGLETRANSLATE(C9,""zh-tw"",""ja"")"),"-")</f>
        <v>-</v>
      </c>
      <c r="G9" s="173" t="s">
        <v>4531</v>
      </c>
      <c r="H9" s="305" t="s">
        <v>4532</v>
      </c>
      <c r="I9" s="307" t="s">
        <v>792</v>
      </c>
      <c r="J9" s="302" t="str">
        <f>IFERROR(__xludf.DUMMYFUNCTION("GOOGLETRANSLATE(A9,""zh-tw"",""zh"")"),"杰克史莱姆")</f>
        <v>杰克史莱姆</v>
      </c>
      <c r="K9" s="303" t="str">
        <f>IFERROR(__xludf.DUMMYFUNCTION("GOOGLETRANSLATE(B9,""zh-tw"",""zh"")"),"杰克爆弹/史莱姆的黏液/炸弹魔之魂")</f>
        <v>杰克爆弹/史莱姆的黏液/炸弹魔之魂</v>
      </c>
      <c r="L9" s="304" t="str">
        <f>IFERROR(__xludf.DUMMYFUNCTION("GOOGLETRANSLATE(C9,""zh-tw"",""zh"")"),"-")</f>
        <v>-</v>
      </c>
      <c r="M9" s="149" t="str">
        <f>IFERROR(__xludf.DUMMYFUNCTION("GOOGLETRANSLATE(A9,""zh-tw"",""es-MX"")"),"Jack Slime")</f>
        <v>Jack Slime</v>
      </c>
      <c r="N9" s="164" t="str">
        <f>IFERROR(__xludf.DUMMYFUNCTION("GOOGLETRANSLATE(B9,""zh-tw"",""es-MX"")"),"Jack la Bomba / El Slime de Slime / Alma del Bombardero")</f>
        <v>Jack la Bomba / El Slime de Slime / Alma del Bombardero</v>
      </c>
      <c r="O9" s="306" t="str">
        <f>IFERROR(__xludf.DUMMYFUNCTION("GOOGLETRANSLATE(C9,""zh-tw"",""es-MX"")"),"-")</f>
        <v>-</v>
      </c>
      <c r="P9" s="149" t="str">
        <f>IFERROR(__xludf.DUMMYFUNCTION("GOOGLETRANSLATE(A9,""zh-tw"",""KO"")"),"잭 슬라임")</f>
        <v>잭 슬라임</v>
      </c>
      <c r="Q9" s="163" t="s">
        <v>4533</v>
      </c>
      <c r="R9" s="306" t="str">
        <f>IFERROR(__xludf.DUMMYFUNCTION("GOOGLETRANSLATE(C9,""zh-tw"",""KO"")"),"-")</f>
        <v>-</v>
      </c>
      <c r="S9" s="302" t="str">
        <f>IFERROR(__xludf.DUMMYFUNCTION("GOOGLETRANSLATE(A9,""zh-tw"",""ru"")"),"Джек Слайм")</f>
        <v>Джек Слайм</v>
      </c>
      <c r="T9" s="303" t="str">
        <f>IFERROR(__xludf.DUMMYFUNCTION("GOOGLETRANSLATE(B9,""zh-tw"",""ru"")"),"Джек Бомба / Слизь Слайма / Душа Бомбардира")</f>
        <v>Джек Бомба / Слизь Слайма / Душа Бомбардира</v>
      </c>
      <c r="U9" s="304" t="str">
        <f>IFERROR(__xludf.DUMMYFUNCTION("GOOGLETRANSLATE(C9,""zh-tw"",""ru"")"),"-")</f>
        <v>-</v>
      </c>
      <c r="V9" s="173" t="s">
        <v>4534</v>
      </c>
      <c r="W9" s="305" t="s">
        <v>4535</v>
      </c>
      <c r="X9" s="307" t="s">
        <v>4472</v>
      </c>
      <c r="Y9" s="154" t="s">
        <v>4536</v>
      </c>
      <c r="Z9" s="41" t="s">
        <v>4537</v>
      </c>
      <c r="AA9" s="308" t="s">
        <v>792</v>
      </c>
      <c r="AB9" s="149" t="s">
        <v>4538</v>
      </c>
      <c r="AC9" s="164" t="s">
        <v>4539</v>
      </c>
      <c r="AD9" s="306" t="s">
        <v>792</v>
      </c>
      <c r="AE9" s="20"/>
    </row>
    <row r="10" ht="41.25" customHeight="1">
      <c r="A10" s="148" t="s">
        <v>4540</v>
      </c>
      <c r="B10" s="163" t="s">
        <v>4541</v>
      </c>
      <c r="C10" s="301" t="s">
        <v>792</v>
      </c>
      <c r="D10" s="173" t="s">
        <v>4542</v>
      </c>
      <c r="E10" s="305" t="s">
        <v>4543</v>
      </c>
      <c r="F10" s="304" t="str">
        <f>IFERROR(__xludf.DUMMYFUNCTION("GOOGLETRANSLATE(C10,""zh-tw"",""ja"")"),"-")</f>
        <v>-</v>
      </c>
      <c r="G10" s="173" t="s">
        <v>4544</v>
      </c>
      <c r="H10" s="305" t="s">
        <v>4545</v>
      </c>
      <c r="I10" s="307" t="s">
        <v>792</v>
      </c>
      <c r="J10" s="302" t="str">
        <f>IFERROR(__xludf.DUMMYFUNCTION("GOOGLETRANSLATE(A10,""zh-tw"",""zh"")"),"恶灵史莱姆")</f>
        <v>恶灵史莱姆</v>
      </c>
      <c r="K10" s="303" t="str">
        <f>IFERROR(__xludf.DUMMYFUNCTION("GOOGLETRANSLATE(B10,""zh-tw"",""zh"")"),"来自地狱/史莱姆的黏液/堕落法师的手套/魔力晶簇/史莱姆的黏液")</f>
        <v>来自地狱/史莱姆的黏液/堕落法师的手套/魔力晶簇/史莱姆的黏液</v>
      </c>
      <c r="L10" s="304" t="str">
        <f>IFERROR(__xludf.DUMMYFUNCTION("GOOGLETRANSLATE(C10,""zh-tw"",""zh"")"),"-")</f>
        <v>-</v>
      </c>
      <c r="M10" s="149" t="str">
        <f>IFERROR(__xludf.DUMMYFUNCTION("GOOGLETRANSLATE(A10,""zh-tw"",""es-MX"")"),"Slime malvado")</f>
        <v>Slime malvado</v>
      </c>
      <c r="N10" s="164" t="str">
        <f>IFERROR(__xludf.DUMMYFUNCTION("GOOGLETRANSLATE(B10,""zh-tw"",""es-MX"")"),"Del infierno / Slime Slime / Guantes de mago caído / Cúmulo de cristales mágicos / Slime Slime")</f>
        <v>Del infierno / Slime Slime / Guantes de mago caído / Cúmulo de cristales mágicos / Slime Slime</v>
      </c>
      <c r="O10" s="306" t="str">
        <f>IFERROR(__xludf.DUMMYFUNCTION("GOOGLETRANSLATE(C10,""zh-tw"",""es-MX"")"),"-")</f>
        <v>-</v>
      </c>
      <c r="P10" s="148" t="s">
        <v>4546</v>
      </c>
      <c r="Q10" s="163" t="s">
        <v>4547</v>
      </c>
      <c r="R10" s="306" t="str">
        <f>IFERROR(__xludf.DUMMYFUNCTION("GOOGLETRANSLATE(C10,""zh-tw"",""KO"")"),"-")</f>
        <v>-</v>
      </c>
      <c r="S10" s="302" t="str">
        <f>IFERROR(__xludf.DUMMYFUNCTION("GOOGLETRANSLATE(A10,""zh-tw"",""ru"")"),"Злая слизь")</f>
        <v>Злая слизь</v>
      </c>
      <c r="T10" s="303"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4" t="str">
        <f>IFERROR(__xludf.DUMMYFUNCTION("GOOGLETRANSLATE(C10,""zh-tw"",""ru"")"),"-")</f>
        <v>-</v>
      </c>
      <c r="V10" s="173" t="s">
        <v>4548</v>
      </c>
      <c r="W10" s="305" t="s">
        <v>4549</v>
      </c>
      <c r="X10" s="307" t="s">
        <v>4472</v>
      </c>
      <c r="Y10" s="154" t="s">
        <v>4550</v>
      </c>
      <c r="Z10" s="41" t="s">
        <v>4551</v>
      </c>
      <c r="AA10" s="308" t="s">
        <v>792</v>
      </c>
      <c r="AB10" s="149" t="s">
        <v>4552</v>
      </c>
      <c r="AC10" s="164" t="s">
        <v>4553</v>
      </c>
      <c r="AD10" s="306" t="s">
        <v>792</v>
      </c>
      <c r="AE10" s="20"/>
    </row>
    <row r="11">
      <c r="A11" s="148" t="s">
        <v>4554</v>
      </c>
      <c r="B11" s="163" t="s">
        <v>4555</v>
      </c>
      <c r="C11" s="301" t="s">
        <v>792</v>
      </c>
      <c r="D11" s="302" t="str">
        <f>IFERROR(__xludf.DUMMYFUNCTION("GOOGLETRANSLATE(A11,""zh-tw"",""ja"")"),"ビリビリスライム")</f>
        <v>ビリビリスライム</v>
      </c>
      <c r="E11" s="305" t="s">
        <v>4556</v>
      </c>
      <c r="F11" s="304" t="str">
        <f>IFERROR(__xludf.DUMMYFUNCTION("GOOGLETRANSLATE(C11,""zh-tw"",""ja"")"),"-")</f>
        <v>-</v>
      </c>
      <c r="G11" s="173" t="s">
        <v>4557</v>
      </c>
      <c r="H11" s="305" t="s">
        <v>4558</v>
      </c>
      <c r="I11" s="304" t="str">
        <f>IFERROR(__xludf.DUMMYFUNCTION("GOOGLETRANSLATE(C11,""zh-tw"",""en"")"),"-")</f>
        <v>-</v>
      </c>
      <c r="J11" s="302" t="str">
        <f>IFERROR(__xludf.DUMMYFUNCTION("GOOGLETRANSLATE(A11,""zh-tw"",""zh"")"),"哔哩哔哩史莱姆")</f>
        <v>哔哩哔哩史莱姆</v>
      </c>
      <c r="K11" s="303" t="str">
        <f>IFERROR(__xludf.DUMMYFUNCTION("GOOGLETRANSLATE(B11,""zh-tw"",""zh"")"),"千鸟/史莱姆的黏液/塔罗牌")</f>
        <v>千鸟/史莱姆的黏液/塔罗牌</v>
      </c>
      <c r="L11" s="304" t="str">
        <f>IFERROR(__xludf.DUMMYFUNCTION("GOOGLETRANSLATE(C11,""zh-tw"",""zh"")"),"-")</f>
        <v>-</v>
      </c>
      <c r="M11" s="149" t="str">
        <f>IFERROR(__xludf.DUMMYFUNCTION("GOOGLETRANSLATE(A11,""zh-tw"",""es-MX"")"),"Slime Bilibili")</f>
        <v>Slime Bilibili</v>
      </c>
      <c r="N11" s="164" t="str">
        <f>IFERROR(__xludf.DUMMYFUNCTION("GOOGLETRANSLATE(B11,""zh-tw"",""es-MX"")"),"Chidori/Slime Slime/Cartas del Tarot")</f>
        <v>Chidori/Slime Slime/Cartas del Tarot</v>
      </c>
      <c r="O11" s="306" t="str">
        <f>IFERROR(__xludf.DUMMYFUNCTION("GOOGLETRANSLATE(C11,""zh-tw"",""es-MX"")"),"-")</f>
        <v>-</v>
      </c>
      <c r="P11" s="148" t="s">
        <v>4559</v>
      </c>
      <c r="Q11" s="163" t="s">
        <v>4560</v>
      </c>
      <c r="R11" s="306" t="str">
        <f>IFERROR(__xludf.DUMMYFUNCTION("GOOGLETRANSLATE(C11,""zh-tw"",""KO"")"),"-")</f>
        <v>-</v>
      </c>
      <c r="S11" s="302" t="str">
        <f>IFERROR(__xludf.DUMMYFUNCTION("GOOGLETRANSLATE(A11,""zh-tw"",""ru"")"),"Билибили Слайм")</f>
        <v>Билибили Слайм</v>
      </c>
      <c r="T11" s="303" t="str">
        <f>IFERROR(__xludf.DUMMYFUNCTION("GOOGLETRANSLATE(B11,""zh-tw"",""ru"")"),"Чидори/Слизь Слизь/Карты Таро")</f>
        <v>Чидори/Слизь Слизь/Карты Таро</v>
      </c>
      <c r="U11" s="304" t="str">
        <f>IFERROR(__xludf.DUMMYFUNCTION("GOOGLETRANSLATE(C11,""zh-tw"",""ru"")"),"-")</f>
        <v>-</v>
      </c>
      <c r="V11" s="173" t="s">
        <v>4561</v>
      </c>
      <c r="W11" s="305" t="s">
        <v>4562</v>
      </c>
      <c r="X11" s="307" t="s">
        <v>4472</v>
      </c>
      <c r="Y11" s="154" t="s">
        <v>4563</v>
      </c>
      <c r="Z11" s="41" t="s">
        <v>4564</v>
      </c>
      <c r="AA11" s="308" t="s">
        <v>792</v>
      </c>
      <c r="AB11" s="149" t="s">
        <v>4565</v>
      </c>
      <c r="AC11" s="164" t="s">
        <v>4566</v>
      </c>
      <c r="AD11" s="306" t="s">
        <v>792</v>
      </c>
      <c r="AE11" s="20"/>
    </row>
    <row r="12">
      <c r="A12" s="148" t="s">
        <v>4567</v>
      </c>
      <c r="B12" s="163" t="s">
        <v>4568</v>
      </c>
      <c r="C12" s="301" t="s">
        <v>792</v>
      </c>
      <c r="D12" s="173" t="s">
        <v>4569</v>
      </c>
      <c r="E12" s="305" t="s">
        <v>4570</v>
      </c>
      <c r="F12" s="304" t="str">
        <f>IFERROR(__xludf.DUMMYFUNCTION("GOOGLETRANSLATE(C12,""zh-tw"",""ja"")"),"-")</f>
        <v>-</v>
      </c>
      <c r="G12" s="173" t="s">
        <v>4571</v>
      </c>
      <c r="H12" s="305" t="s">
        <v>4572</v>
      </c>
      <c r="I12" s="304" t="str">
        <f>IFERROR(__xludf.DUMMYFUNCTION("GOOGLETRANSLATE(C12,""zh-tw"",""en"")"),"-")</f>
        <v>-</v>
      </c>
      <c r="J12" s="302" t="str">
        <f>IFERROR(__xludf.DUMMYFUNCTION("GOOGLETRANSLATE(A12,""zh-tw"",""zh"")"),"初级兽人")</f>
        <v>初级兽人</v>
      </c>
      <c r="K12" s="305" t="s">
        <v>4573</v>
      </c>
      <c r="L12" s="304" t="str">
        <f>IFERROR(__xludf.DUMMYFUNCTION("GOOGLETRANSLATE(C12,""zh-tw"",""zh"")"),"-")</f>
        <v>-</v>
      </c>
      <c r="M12" s="149" t="str">
        <f>IFERROR(__xludf.DUMMYFUNCTION("GOOGLETRANSLATE(A12,""zh-tw"",""es-MX"")"),"Novatos")</f>
        <v>Novatos</v>
      </c>
      <c r="N12" s="164" t="str">
        <f>IFERROR(__xludf.DUMMYFUNCTION("GOOGLETRANSLATE(B12,""zh-tw"",""es-MX"")"),"Carne de animales pequeños / Carne de animales grandes / Olla de hueso de orco")</f>
        <v>Carne de animales pequeños / Carne de animales grandes / Olla de hueso de orco</v>
      </c>
      <c r="O12" s="306" t="str">
        <f>IFERROR(__xludf.DUMMYFUNCTION("GOOGLETRANSLATE(C12,""zh-tw"",""es-MX"")"),"-")</f>
        <v>-</v>
      </c>
      <c r="P12" s="173" t="s">
        <v>4574</v>
      </c>
      <c r="Q12" s="163" t="s">
        <v>4575</v>
      </c>
      <c r="R12" s="306" t="str">
        <f>IFERROR(__xludf.DUMMYFUNCTION("GOOGLETRANSLATE(C12,""zh-tw"",""KO"")"),"-")</f>
        <v>-</v>
      </c>
      <c r="S12" s="302" t="str">
        <f>IFERROR(__xludf.DUMMYFUNCTION("GOOGLETRANSLATE(A12,""zh-tw"",""ru"")"),"Новички")</f>
        <v>Новички</v>
      </c>
      <c r="T12" s="303"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4" t="str">
        <f>IFERROR(__xludf.DUMMYFUNCTION("GOOGLETRANSLATE(C12,""zh-tw"",""ru"")"),"-")</f>
        <v>-</v>
      </c>
      <c r="V12" s="173" t="s">
        <v>4576</v>
      </c>
      <c r="W12" s="305" t="s">
        <v>4577</v>
      </c>
      <c r="X12" s="307" t="s">
        <v>4472</v>
      </c>
      <c r="Y12" s="154" t="s">
        <v>4578</v>
      </c>
      <c r="Z12" s="41" t="s">
        <v>4579</v>
      </c>
      <c r="AA12" s="308" t="s">
        <v>792</v>
      </c>
      <c r="AB12" s="149" t="s">
        <v>4580</v>
      </c>
      <c r="AC12" s="164" t="s">
        <v>4581</v>
      </c>
      <c r="AD12" s="306" t="s">
        <v>792</v>
      </c>
      <c r="AE12" s="20"/>
    </row>
    <row r="13">
      <c r="A13" s="148" t="s">
        <v>4582</v>
      </c>
      <c r="B13" s="163" t="s">
        <v>4583</v>
      </c>
      <c r="C13" s="301" t="s">
        <v>792</v>
      </c>
      <c r="D13" s="173" t="s">
        <v>4582</v>
      </c>
      <c r="E13" s="305" t="s">
        <v>4584</v>
      </c>
      <c r="F13" s="304" t="str">
        <f>IFERROR(__xludf.DUMMYFUNCTION("GOOGLETRANSLATE(C13,""zh-tw"",""ja"")"),"-")</f>
        <v>-</v>
      </c>
      <c r="G13" s="173" t="s">
        <v>4585</v>
      </c>
      <c r="H13" s="305" t="s">
        <v>4586</v>
      </c>
      <c r="I13" s="304" t="str">
        <f>IFERROR(__xludf.DUMMYFUNCTION("GOOGLETRANSLATE(C13,""zh-tw"",""en"")"),"-")</f>
        <v>-</v>
      </c>
      <c r="J13" s="302" t="str">
        <f>IFERROR(__xludf.DUMMYFUNCTION("GOOGLETRANSLATE(A13,""zh-tw"",""zh"")"),"怪鸟")</f>
        <v>怪鸟</v>
      </c>
      <c r="K13" s="303" t="str">
        <f>IFERROR(__xludf.DUMMYFUNCTION("GOOGLETRANSLATE(B13,""zh-tw"",""zh"")"),"鸡腿/怪鸟的羽毛")</f>
        <v>鸡腿/怪鸟的羽毛</v>
      </c>
      <c r="L13" s="304" t="str">
        <f>IFERROR(__xludf.DUMMYFUNCTION("GOOGLETRANSLATE(C13,""zh-tw"",""zh"")"),"-")</f>
        <v>-</v>
      </c>
      <c r="M13" s="149" t="str">
        <f>IFERROR(__xludf.DUMMYFUNCTION("GOOGLETRANSLATE(A13,""zh-tw"",""es-MX"")"),"Pájaro extraño")</f>
        <v>Pájaro extraño</v>
      </c>
      <c r="N13" s="164" t="str">
        <f>IFERROR(__xludf.DUMMYFUNCTION("GOOGLETRANSLATE(B13,""zh-tw"",""es-MX"")"),"Muslo de pollo/Plumas de pájaro extrañas")</f>
        <v>Muslo de pollo/Plumas de pájaro extrañas</v>
      </c>
      <c r="O13" s="306" t="str">
        <f>IFERROR(__xludf.DUMMYFUNCTION("GOOGLETRANSLATE(C13,""zh-tw"",""es-MX"")"),"-")</f>
        <v>-</v>
      </c>
      <c r="P13" s="148" t="s">
        <v>4587</v>
      </c>
      <c r="Q13" s="163" t="s">
        <v>4588</v>
      </c>
      <c r="R13" s="306" t="str">
        <f>IFERROR(__xludf.DUMMYFUNCTION("GOOGLETRANSLATE(C13,""zh-tw"",""KO"")"),"-")</f>
        <v>-</v>
      </c>
      <c r="S13" s="302" t="str">
        <f>IFERROR(__xludf.DUMMYFUNCTION("GOOGLETRANSLATE(A13,""zh-tw"",""ru"")"),"Странная птица")</f>
        <v>Странная птица</v>
      </c>
      <c r="T13" s="303" t="str">
        <f>IFERROR(__xludf.DUMMYFUNCTION("GOOGLETRANSLATE(B13,""zh-tw"",""ru"")"),"Куриная ножка/Перья странной птицы")</f>
        <v>Куриная ножка/Перья странной птицы</v>
      </c>
      <c r="U13" s="304" t="str">
        <f>IFERROR(__xludf.DUMMYFUNCTION("GOOGLETRANSLATE(C13,""zh-tw"",""ru"")"),"-")</f>
        <v>-</v>
      </c>
      <c r="V13" s="173" t="s">
        <v>4589</v>
      </c>
      <c r="W13" s="305" t="s">
        <v>4590</v>
      </c>
      <c r="X13" s="307" t="s">
        <v>4472</v>
      </c>
      <c r="Y13" s="154" t="s">
        <v>4591</v>
      </c>
      <c r="Z13" s="41" t="s">
        <v>4592</v>
      </c>
      <c r="AA13" s="308" t="s">
        <v>792</v>
      </c>
      <c r="AB13" s="149" t="s">
        <v>4593</v>
      </c>
      <c r="AC13" s="164" t="s">
        <v>4594</v>
      </c>
      <c r="AD13" s="306" t="s">
        <v>792</v>
      </c>
      <c r="AE13" s="20"/>
    </row>
    <row r="14">
      <c r="A14" s="148" t="s">
        <v>4595</v>
      </c>
      <c r="B14" s="163" t="s">
        <v>4596</v>
      </c>
      <c r="C14" s="301" t="s">
        <v>792</v>
      </c>
      <c r="D14" s="173" t="s">
        <v>4597</v>
      </c>
      <c r="E14" s="305" t="s">
        <v>4598</v>
      </c>
      <c r="F14" s="304" t="str">
        <f>IFERROR(__xludf.DUMMYFUNCTION("GOOGLETRANSLATE(C14,""zh-tw"",""ja"")"),"-")</f>
        <v>-</v>
      </c>
      <c r="G14" s="173" t="s">
        <v>4599</v>
      </c>
      <c r="H14" s="305" t="s">
        <v>4600</v>
      </c>
      <c r="I14" s="304" t="str">
        <f>IFERROR(__xludf.DUMMYFUNCTION("GOOGLETRANSLATE(C14,""zh-tw"",""en"")"),"-")</f>
        <v>-</v>
      </c>
      <c r="J14" s="302" t="str">
        <f>IFERROR(__xludf.DUMMYFUNCTION("GOOGLETRANSLATE(A14,""zh-tw"",""zh"")"),"走路菇")</f>
        <v>走路菇</v>
      </c>
      <c r="K14" s="303" t="str">
        <f>IFERROR(__xludf.DUMMYFUNCTION("GOOGLETRANSLATE(B14,""zh-tw"",""zh"")"),"走路菇/毒孢针")</f>
        <v>走路菇/毒孢针</v>
      </c>
      <c r="L14" s="304" t="str">
        <f>IFERROR(__xludf.DUMMYFUNCTION("GOOGLETRANSLATE(C14,""zh-tw"",""zh"")"),"-")</f>
        <v>-</v>
      </c>
      <c r="M14" s="149" t="str">
        <f>IFERROR(__xludf.DUMMYFUNCTION("GOOGLETRANSLATE(A14,""zh-tw"",""es-MX"")"),"Hongo andante")</f>
        <v>Hongo andante</v>
      </c>
      <c r="N14" s="164" t="str">
        <f>IFERROR(__xludf.DUMMYFUNCTION("GOOGLETRANSLATE(B14,""zh-tw"",""es-MX"")"),"Aguja de hongo andante/espora venenosa")</f>
        <v>Aguja de hongo andante/espora venenosa</v>
      </c>
      <c r="O14" s="306" t="str">
        <f>IFERROR(__xludf.DUMMYFUNCTION("GOOGLETRANSLATE(C14,""zh-tw"",""es-MX"")"),"-")</f>
        <v>-</v>
      </c>
      <c r="P14" s="149" t="str">
        <f>IFERROR(__xludf.DUMMYFUNCTION("GOOGLETRANSLATE(A14,""zh-tw"",""KO"")"),"걷는 버섯")</f>
        <v>걷는 버섯</v>
      </c>
      <c r="Q14" s="164" t="str">
        <f>IFERROR(__xludf.DUMMYFUNCTION("GOOGLETRANSLATE(B14,""zh-tw"",""KO"")"),"걷는 버섯/독포자 바늘")</f>
        <v>걷는 버섯/독포자 바늘</v>
      </c>
      <c r="R14" s="306" t="str">
        <f>IFERROR(__xludf.DUMMYFUNCTION("GOOGLETRANSLATE(C14,""zh-tw"",""KO"")"),"-")</f>
        <v>-</v>
      </c>
      <c r="S14" s="302" t="str">
        <f>IFERROR(__xludf.DUMMYFUNCTION("GOOGLETRANSLATE(A14,""zh-tw"",""ru"")"),"Ходячий гриб")</f>
        <v>Ходячий гриб</v>
      </c>
      <c r="T14" s="303" t="str">
        <f>IFERROR(__xludf.DUMMYFUNCTION("GOOGLETRANSLATE(B14,""zh-tw"",""ru"")"),"Ходячий гриб/ядовитая споровая игла")</f>
        <v>Ходячий гриб/ядовитая споровая игла</v>
      </c>
      <c r="U14" s="304" t="str">
        <f>IFERROR(__xludf.DUMMYFUNCTION("GOOGLETRANSLATE(C14,""zh-tw"",""ru"")"),"-")</f>
        <v>-</v>
      </c>
      <c r="V14" s="173" t="s">
        <v>4601</v>
      </c>
      <c r="W14" s="305" t="s">
        <v>4602</v>
      </c>
      <c r="X14" s="307" t="s">
        <v>4472</v>
      </c>
      <c r="Y14" s="154" t="s">
        <v>4603</v>
      </c>
      <c r="Z14" s="41" t="s">
        <v>4604</v>
      </c>
      <c r="AA14" s="308" t="s">
        <v>792</v>
      </c>
      <c r="AB14" s="149" t="s">
        <v>4599</v>
      </c>
      <c r="AC14" s="164" t="s">
        <v>4605</v>
      </c>
      <c r="AD14" s="306" t="s">
        <v>792</v>
      </c>
      <c r="AE14" s="20"/>
    </row>
    <row r="15">
      <c r="A15" s="148" t="s">
        <v>4606</v>
      </c>
      <c r="B15" s="163" t="s">
        <v>4607</v>
      </c>
      <c r="C15" s="301" t="s">
        <v>792</v>
      </c>
      <c r="D15" s="173" t="s">
        <v>4606</v>
      </c>
      <c r="E15" s="305" t="s">
        <v>4608</v>
      </c>
      <c r="F15" s="304" t="str">
        <f>IFERROR(__xludf.DUMMYFUNCTION("GOOGLETRANSLATE(C15,""zh-tw"",""ja"")"),"-")</f>
        <v>-</v>
      </c>
      <c r="G15" s="173" t="s">
        <v>4609</v>
      </c>
      <c r="H15" s="305" t="s">
        <v>4610</v>
      </c>
      <c r="I15" s="304" t="str">
        <f>IFERROR(__xludf.DUMMYFUNCTION("GOOGLETRANSLATE(C15,""zh-tw"",""en"")"),"-")</f>
        <v>-</v>
      </c>
      <c r="J15" s="302" t="str">
        <f>IFERROR(__xludf.DUMMYFUNCTION("GOOGLETRANSLATE(A15,""zh-tw"",""zh"")"),"水怪")</f>
        <v>水怪</v>
      </c>
      <c r="K15" s="303" t="str">
        <f>IFERROR(__xludf.DUMMYFUNCTION("GOOGLETRANSLATE(B15,""zh-tw"",""zh"")"),"水怪黏液/魔力晶簇/精神凝聚头环/潮汐之诗")</f>
        <v>水怪黏液/魔力晶簇/精神凝聚头环/潮汐之诗</v>
      </c>
      <c r="L15" s="304" t="str">
        <f>IFERROR(__xludf.DUMMYFUNCTION("GOOGLETRANSLATE(C15,""zh-tw"",""zh"")"),"-")</f>
        <v>-</v>
      </c>
      <c r="M15" s="149" t="str">
        <f>IFERROR(__xludf.DUMMYFUNCTION("GOOGLETRANSLATE(A15,""zh-tw"",""es-MX"")"),"Monstruo de agua")</f>
        <v>Monstruo de agua</v>
      </c>
      <c r="N15" s="164"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6" t="str">
        <f>IFERROR(__xludf.DUMMYFUNCTION("GOOGLETRANSLATE(C15,""zh-tw"",""es-MX"")"),"-")</f>
        <v>-</v>
      </c>
      <c r="P15" s="148" t="s">
        <v>4611</v>
      </c>
      <c r="Q15" s="163" t="s">
        <v>4612</v>
      </c>
      <c r="R15" s="306" t="str">
        <f>IFERROR(__xludf.DUMMYFUNCTION("GOOGLETRANSLATE(C15,""zh-tw"",""KO"")"),"-")</f>
        <v>-</v>
      </c>
      <c r="S15" s="302" t="str">
        <f>IFERROR(__xludf.DUMMYFUNCTION("GOOGLETRANSLATE(A15,""zh-tw"",""ru"")"),"Водный монстр")</f>
        <v>Водный монстр</v>
      </c>
      <c r="T15" s="303"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4" t="str">
        <f>IFERROR(__xludf.DUMMYFUNCTION("GOOGLETRANSLATE(C15,""zh-tw"",""ru"")"),"-")</f>
        <v>-</v>
      </c>
      <c r="V15" s="173" t="s">
        <v>4613</v>
      </c>
      <c r="W15" s="305" t="s">
        <v>4614</v>
      </c>
      <c r="X15" s="307" t="s">
        <v>4472</v>
      </c>
      <c r="Y15" s="154" t="s">
        <v>4615</v>
      </c>
      <c r="Z15" s="41" t="s">
        <v>4616</v>
      </c>
      <c r="AA15" s="308" t="s">
        <v>792</v>
      </c>
      <c r="AB15" s="149" t="s">
        <v>4609</v>
      </c>
      <c r="AC15" s="164" t="s">
        <v>4617</v>
      </c>
      <c r="AD15" s="306" t="s">
        <v>792</v>
      </c>
      <c r="AE15" s="20"/>
    </row>
    <row r="16">
      <c r="A16" s="148" t="s">
        <v>4618</v>
      </c>
      <c r="B16" s="163" t="s">
        <v>4619</v>
      </c>
      <c r="C16" s="301" t="s">
        <v>792</v>
      </c>
      <c r="D16" s="173" t="s">
        <v>4620</v>
      </c>
      <c r="E16" s="305" t="s">
        <v>4621</v>
      </c>
      <c r="F16" s="304" t="str">
        <f>IFERROR(__xludf.DUMMYFUNCTION("GOOGLETRANSLATE(C16,""zh-tw"",""ja"")"),"-")</f>
        <v>-</v>
      </c>
      <c r="G16" s="173" t="s">
        <v>4622</v>
      </c>
      <c r="H16" s="305" t="s">
        <v>4623</v>
      </c>
      <c r="I16" s="304" t="str">
        <f>IFERROR(__xludf.DUMMYFUNCTION("GOOGLETRANSLATE(C16,""zh-tw"",""en"")"),"-")</f>
        <v>-</v>
      </c>
      <c r="J16" s="302" t="str">
        <f>IFERROR(__xludf.DUMMYFUNCTION("GOOGLETRANSLATE(A16,""zh-tw"",""zh"")"),"小红怪")</f>
        <v>小红怪</v>
      </c>
      <c r="K16" s="303" t="str">
        <f>IFERROR(__xludf.DUMMYFUNCTION("GOOGLETRANSLATE(B16,""zh-tw"",""zh"")"),"来自地狱/受诅胎体/塔罗牌")</f>
        <v>来自地狱/受诅胎体/塔罗牌</v>
      </c>
      <c r="L16" s="304" t="str">
        <f>IFERROR(__xludf.DUMMYFUNCTION("GOOGLETRANSLATE(C16,""zh-tw"",""zh"")"),"-")</f>
        <v>-</v>
      </c>
      <c r="M16" s="149" t="str">
        <f>IFERROR(__xludf.DUMMYFUNCTION("GOOGLETRANSLATE(A16,""zh-tw"",""es-MX"")"),"Pequeño monstruo rojo")</f>
        <v>Pequeño monstruo rojo</v>
      </c>
      <c r="N16" s="164" t="str">
        <f>IFERROR(__xludf.DUMMYFUNCTION("GOOGLETRANSLATE(B16,""zh-tw"",""es-MX"")"),"Del infierno/Feto maldito/Cartas del tarot")</f>
        <v>Del infierno/Feto maldito/Cartas del tarot</v>
      </c>
      <c r="O16" s="306" t="str">
        <f>IFERROR(__xludf.DUMMYFUNCTION("GOOGLETRANSLATE(C16,""zh-tw"",""es-MX"")"),"-")</f>
        <v>-</v>
      </c>
      <c r="P16" s="148" t="s">
        <v>4624</v>
      </c>
      <c r="Q16" s="305" t="s">
        <v>4625</v>
      </c>
      <c r="R16" s="306" t="str">
        <f>IFERROR(__xludf.DUMMYFUNCTION("GOOGLETRANSLATE(C16,""zh-tw"",""KO"")"),"-")</f>
        <v>-</v>
      </c>
      <c r="S16" s="302" t="str">
        <f>IFERROR(__xludf.DUMMYFUNCTION("GOOGLETRANSLATE(A16,""zh-tw"",""ru"")"),"Маленький Красный Монстр")</f>
        <v>Маленький Красный Монстр</v>
      </c>
      <c r="T16" s="303" t="str">
        <f>IFERROR(__xludf.DUMMYFUNCTION("GOOGLETRANSLATE(B16,""zh-tw"",""ru"")"),"Из ада/Проклятый плод/Карты Таро")</f>
        <v>Из ада/Проклятый плод/Карты Таро</v>
      </c>
      <c r="U16" s="304" t="str">
        <f>IFERROR(__xludf.DUMMYFUNCTION("GOOGLETRANSLATE(C16,""zh-tw"",""ru"")"),"-")</f>
        <v>-</v>
      </c>
      <c r="V16" s="173" t="s">
        <v>4626</v>
      </c>
      <c r="W16" s="305" t="s">
        <v>4627</v>
      </c>
      <c r="X16" s="307" t="s">
        <v>4472</v>
      </c>
      <c r="Y16" s="154" t="s">
        <v>4628</v>
      </c>
      <c r="Z16" s="41" t="s">
        <v>4629</v>
      </c>
      <c r="AA16" s="308" t="s">
        <v>792</v>
      </c>
      <c r="AB16" s="149" t="s">
        <v>4630</v>
      </c>
      <c r="AC16" s="164" t="s">
        <v>4631</v>
      </c>
      <c r="AD16" s="306" t="s">
        <v>792</v>
      </c>
      <c r="AE16" s="20"/>
    </row>
    <row r="17">
      <c r="A17" s="148" t="s">
        <v>4632</v>
      </c>
      <c r="B17" s="163" t="s">
        <v>4633</v>
      </c>
      <c r="C17" s="301" t="s">
        <v>792</v>
      </c>
      <c r="D17" s="173" t="s">
        <v>4634</v>
      </c>
      <c r="E17" s="303" t="str">
        <f>IFERROR(__xludf.DUMMYFUNCTION("GOOGLETRANSLATE(B17,""zh-tw"",""ja"")"),"騎士の剣")</f>
        <v>騎士の剣</v>
      </c>
      <c r="F17" s="304" t="str">
        <f>IFERROR(__xludf.DUMMYFUNCTION("GOOGLETRANSLATE(C17,""zh-tw"",""ja"")"),"-")</f>
        <v>-</v>
      </c>
      <c r="G17" s="173" t="s">
        <v>4635</v>
      </c>
      <c r="H17" s="305" t="s">
        <v>4636</v>
      </c>
      <c r="I17" s="304" t="str">
        <f>IFERROR(__xludf.DUMMYFUNCTION("GOOGLETRANSLATE(C17,""zh-tw"",""en"")"),"-")</f>
        <v>-</v>
      </c>
      <c r="J17" s="302" t="str">
        <f>IFERROR(__xludf.DUMMYFUNCTION("GOOGLETRANSLATE(A17,""zh-tw"",""zh"")"),"石中剑")</f>
        <v>石中剑</v>
      </c>
      <c r="K17" s="303" t="str">
        <f>IFERROR(__xludf.DUMMYFUNCTION("GOOGLETRANSLATE(B17,""zh-tw"",""zh"")"),"骑士剑")</f>
        <v>骑士剑</v>
      </c>
      <c r="L17" s="304" t="str">
        <f>IFERROR(__xludf.DUMMYFUNCTION("GOOGLETRANSLATE(C17,""zh-tw"",""zh"")"),"-")</f>
        <v>-</v>
      </c>
      <c r="M17" s="149" t="str">
        <f>IFERROR(__xludf.DUMMYFUNCTION("GOOGLETRANSLATE(A17,""zh-tw"",""es-MX"")"),"Espada en la piedra")</f>
        <v>Espada en la piedra</v>
      </c>
      <c r="N17" s="164" t="str">
        <f>IFERROR(__xludf.DUMMYFUNCTION("GOOGLETRANSLATE(B17,""zh-tw"",""es-MX"")"),"Espada de caballero")</f>
        <v>Espada de caballero</v>
      </c>
      <c r="O17" s="306" t="str">
        <f>IFERROR(__xludf.DUMMYFUNCTION("GOOGLETRANSLATE(C17,""zh-tw"",""es-MX"")"),"-")</f>
        <v>-</v>
      </c>
      <c r="P17" s="148" t="s">
        <v>4637</v>
      </c>
      <c r="Q17" s="163" t="s">
        <v>4638</v>
      </c>
      <c r="R17" s="306" t="str">
        <f>IFERROR(__xludf.DUMMYFUNCTION("GOOGLETRANSLATE(C17,""zh-tw"",""KO"")"),"-")</f>
        <v>-</v>
      </c>
      <c r="S17" s="302" t="str">
        <f>IFERROR(__xludf.DUMMYFUNCTION("GOOGLETRANSLATE(A17,""zh-tw"",""ru"")"),"Меч в камне")</f>
        <v>Меч в камне</v>
      </c>
      <c r="T17" s="303" t="str">
        <f>IFERROR(__xludf.DUMMYFUNCTION("GOOGLETRANSLATE(B17,""zh-tw"",""ru"")"),"Рыцарский меч")</f>
        <v>Рыцарский меч</v>
      </c>
      <c r="U17" s="304" t="str">
        <f>IFERROR(__xludf.DUMMYFUNCTION("GOOGLETRANSLATE(C17,""zh-tw"",""ru"")"),"-")</f>
        <v>-</v>
      </c>
      <c r="V17" s="173" t="s">
        <v>4639</v>
      </c>
      <c r="W17" s="305" t="s">
        <v>4640</v>
      </c>
      <c r="X17" s="307" t="s">
        <v>4641</v>
      </c>
      <c r="Y17" s="154" t="s">
        <v>4642</v>
      </c>
      <c r="Z17" s="41" t="s">
        <v>4643</v>
      </c>
      <c r="AA17" s="308" t="s">
        <v>792</v>
      </c>
      <c r="AB17" s="149" t="s">
        <v>4644</v>
      </c>
      <c r="AC17" s="164" t="s">
        <v>4645</v>
      </c>
      <c r="AD17" s="306" t="s">
        <v>792</v>
      </c>
      <c r="AE17" s="20"/>
    </row>
    <row r="18">
      <c r="A18" s="148" t="s">
        <v>4646</v>
      </c>
      <c r="B18" s="163" t="s">
        <v>4646</v>
      </c>
      <c r="C18" s="301" t="s">
        <v>4647</v>
      </c>
      <c r="D18" s="302" t="str">
        <f>IFERROR(__xludf.DUMMYFUNCTION("GOOGLETRANSLATE(A18,""zh-tw"",""ja"")"),"とても大きな卵")</f>
        <v>とても大きな卵</v>
      </c>
      <c r="E18" s="303" t="str">
        <f>IFERROR(__xludf.DUMMYFUNCTION("GOOGLETRANSLATE(B18,""zh-tw"",""ja"")"),"とても大きな卵")</f>
        <v>とても大きな卵</v>
      </c>
      <c r="F18" s="307" t="s">
        <v>4648</v>
      </c>
      <c r="G18" s="173" t="s">
        <v>4649</v>
      </c>
      <c r="H18" s="305" t="s">
        <v>4649</v>
      </c>
      <c r="I18" s="307" t="s">
        <v>4650</v>
      </c>
      <c r="J18" s="302" t="str">
        <f>IFERROR(__xludf.DUMMYFUNCTION("GOOGLETRANSLATE(A18,""zh-tw"",""zh"")"),"很大的蛋")</f>
        <v>很大的蛋</v>
      </c>
      <c r="K18" s="303" t="str">
        <f>IFERROR(__xludf.DUMMYFUNCTION("GOOGLETRANSLATE(B18,""zh-tw"",""zh"")"),"很大的蛋")</f>
        <v>很大的蛋</v>
      </c>
      <c r="L18" s="304" t="str">
        <f>IFERROR(__xludf.DUMMYFUNCTION("GOOGLETRANSLATE(C18,""zh-tw"",""zh"")"),"于遗迹底层捡取(不可以打破)")</f>
        <v>于遗迹底层捡取(不可以打破)</v>
      </c>
      <c r="M18" s="149" t="str">
        <f>IFERROR(__xludf.DUMMYFUNCTION("GOOGLETRANSLATE(A18,""zh-tw"",""es-MX"")"),"Un huevo muy grande")</f>
        <v>Un huevo muy grande</v>
      </c>
      <c r="N18" s="164" t="str">
        <f>IFERROR(__xludf.DUMMYFUNCTION("GOOGLETRANSLATE(B18,""zh-tw"",""es-MX"")"),"Un huevo muy grande")</f>
        <v>Un huevo muy grande</v>
      </c>
      <c r="O18" s="306" t="str">
        <f>IFERROR(__xludf.DUMMYFUNCTION("GOOGLETRANSLATE(C18,""zh-tw"",""es-MX"")"),"Recógelo del fondo de las ruinas (no lo rompas).")</f>
        <v>Recógelo del fondo de las ruinas (no lo rompas).</v>
      </c>
      <c r="P18" s="148" t="s">
        <v>4651</v>
      </c>
      <c r="Q18" s="163" t="s">
        <v>4651</v>
      </c>
      <c r="R18" s="301" t="s">
        <v>4652</v>
      </c>
      <c r="S18" s="302" t="str">
        <f>IFERROR(__xludf.DUMMYFUNCTION("GOOGLETRANSLATE(A18,""zh-tw"",""ru"")"),"Очень большое яйцо")</f>
        <v>Очень большое яйцо</v>
      </c>
      <c r="T18" s="303" t="str">
        <f>IFERROR(__xludf.DUMMYFUNCTION("GOOGLETRANSLATE(B18,""zh-tw"",""ru"")"),"Очень большое яйцо")</f>
        <v>Очень большое яйцо</v>
      </c>
      <c r="U18" s="304" t="str">
        <f>IFERROR(__xludf.DUMMYFUNCTION("GOOGLETRANSLATE(C18,""zh-tw"",""ru"")"),"Поднимите его со дна руин (не разбивайте).")</f>
        <v>Поднимите его со дна руин (не разбивайте).</v>
      </c>
      <c r="V18" s="173" t="s">
        <v>4653</v>
      </c>
      <c r="W18" s="305" t="s">
        <v>4654</v>
      </c>
      <c r="X18" s="307" t="s">
        <v>4655</v>
      </c>
      <c r="Y18" s="154" t="s">
        <v>4656</v>
      </c>
      <c r="Z18" s="41" t="s">
        <v>4656</v>
      </c>
      <c r="AA18" s="308" t="s">
        <v>4657</v>
      </c>
      <c r="AB18" s="149" t="s">
        <v>4658</v>
      </c>
      <c r="AC18" s="164" t="s">
        <v>4658</v>
      </c>
      <c r="AD18" s="306" t="s">
        <v>4659</v>
      </c>
      <c r="AE18" s="20"/>
    </row>
    <row r="19">
      <c r="A19" s="148" t="s">
        <v>4660</v>
      </c>
      <c r="B19" s="163" t="s">
        <v>4661</v>
      </c>
      <c r="C19" s="301" t="s">
        <v>4662</v>
      </c>
      <c r="D19" s="173" t="s">
        <v>4663</v>
      </c>
      <c r="E19" s="303" t="str">
        <f>IFERROR(__xludf.DUMMYFUNCTION("GOOGLETRANSLATE(B19,""zh-tw"",""ja"")"),"キノコ")</f>
        <v>キノコ</v>
      </c>
      <c r="F19" s="307" t="s">
        <v>4664</v>
      </c>
      <c r="G19" s="173" t="s">
        <v>4665</v>
      </c>
      <c r="H19" s="305" t="s">
        <v>4666</v>
      </c>
      <c r="I19" s="307" t="s">
        <v>4667</v>
      </c>
      <c r="J19" s="302" t="str">
        <f>IFERROR(__xludf.DUMMYFUNCTION("GOOGLETRANSLATE(A19,""zh-tw"",""zh"")"),"迷雾森林菇类")</f>
        <v>迷雾森林菇类</v>
      </c>
      <c r="K19" s="303" t="str">
        <f>IFERROR(__xludf.DUMMYFUNCTION("GOOGLETRANSLATE(B19,""zh-tw"",""zh"")"),"香菇")</f>
        <v>香菇</v>
      </c>
      <c r="L19" s="304"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4" t="str">
        <f>IFERROR(__xludf.DUMMYFUNCTION("GOOGLETRANSLATE(B19,""zh-tw"",""es-MX"")"),"champiñón")</f>
        <v>champiñón</v>
      </c>
      <c r="O19" s="306" t="str">
        <f>IFERROR(__xludf.DUMMYFUNCTION("GOOGLETRANSLATE(C19,""zh-tw"",""es-MX"")"),"Recógelo en el pasaje hacia el Bosque Brumoso.")</f>
        <v>Recógelo en el pasaje hacia el Bosque Brumoso.</v>
      </c>
      <c r="P19" s="148" t="s">
        <v>4668</v>
      </c>
      <c r="Q19" s="164" t="str">
        <f>IFERROR(__xludf.DUMMYFUNCTION("GOOGLETRANSLATE(B19,""zh-tw"",""KO"")"),"버섯")</f>
        <v>버섯</v>
      </c>
      <c r="R19" s="301" t="s">
        <v>4669</v>
      </c>
      <c r="S19" s="302" t="str">
        <f>IFERROR(__xludf.DUMMYFUNCTION("GOOGLETRANSLATE(A19,""zh-tw"",""ru"")"),"Грибы туманного леса")</f>
        <v>Грибы туманного леса</v>
      </c>
      <c r="T19" s="303" t="str">
        <f>IFERROR(__xludf.DUMMYFUNCTION("GOOGLETRANSLATE(B19,""zh-tw"",""ru"")"),"гриб")</f>
        <v>гриб</v>
      </c>
      <c r="U19" s="304" t="str">
        <f>IFERROR(__xludf.DUMMYFUNCTION("GOOGLETRANSLATE(C19,""zh-tw"",""ru"")"),"Подберите его в проходе в Туманный лес.")</f>
        <v>Подберите его в проходе в Туманный лес.</v>
      </c>
      <c r="V19" s="173" t="s">
        <v>4670</v>
      </c>
      <c r="W19" s="305" t="s">
        <v>4671</v>
      </c>
      <c r="X19" s="307" t="s">
        <v>4672</v>
      </c>
      <c r="Y19" s="154" t="s">
        <v>4673</v>
      </c>
      <c r="Z19" s="41" t="s">
        <v>4674</v>
      </c>
      <c r="AA19" s="308" t="s">
        <v>4675</v>
      </c>
      <c r="AB19" s="149" t="s">
        <v>4676</v>
      </c>
      <c r="AC19" s="164" t="s">
        <v>4677</v>
      </c>
      <c r="AD19" s="306" t="s">
        <v>4678</v>
      </c>
      <c r="AE19" s="20"/>
    </row>
    <row r="20">
      <c r="A20" s="148" t="s">
        <v>4679</v>
      </c>
      <c r="B20" s="163" t="s">
        <v>4680</v>
      </c>
      <c r="C20" s="301" t="s">
        <v>4681</v>
      </c>
      <c r="D20" s="173" t="s">
        <v>4682</v>
      </c>
      <c r="E20" s="303" t="str">
        <f>IFERROR(__xludf.DUMMYFUNCTION("GOOGLETRANSLATE(B20,""zh-tw"",""ja"")"),"椎茸 / ヒラタケ / カニタケ / キノコ")</f>
        <v>椎茸 / ヒラタケ / カニタケ / キノコ</v>
      </c>
      <c r="F20" s="307" t="s">
        <v>4683</v>
      </c>
      <c r="G20" s="173" t="s">
        <v>4684</v>
      </c>
      <c r="H20" s="305" t="s">
        <v>4685</v>
      </c>
      <c r="I20" s="307" t="s">
        <v>4686</v>
      </c>
      <c r="J20" s="302" t="str">
        <f>IFERROR(__xludf.DUMMYFUNCTION("GOOGLETRANSLATE(A20,""zh-tw"",""zh"")"),"遗迹菇类")</f>
        <v>遗迹菇类</v>
      </c>
      <c r="K20" s="303" t="str">
        <f>IFERROR(__xludf.DUMMYFUNCTION("GOOGLETRANSLATE(B20,""zh-tw"",""zh"")"),"香菇/平菇/蟹味菇/月夜茸")</f>
        <v>香菇/平菇/蟹味菇/月夜茸</v>
      </c>
      <c r="L20" s="304" t="str">
        <f>IFERROR(__xludf.DUMMYFUNCTION("GOOGLETRANSLATE(C20,""zh-tw"",""zh"")"),"于遗迹打地面上的蘑菇")</f>
        <v>于遗迹打地面上的蘑菇</v>
      </c>
      <c r="M20" s="149" t="str">
        <f>IFERROR(__xludf.DUMMYFUNCTION("GOOGLETRANSLATE(A20,""zh-tw"",""es-MX"")"),"Hongos reliquia")</f>
        <v>Hongos reliquia</v>
      </c>
      <c r="N20" s="164" t="str">
        <f>IFERROR(__xludf.DUMMYFUNCTION("GOOGLETRANSLATE(B20,""zh-tw"",""es-MX"")"),"Hongos shiitake / Hongos ostra / Hongos cangrejo / Hongos")</f>
        <v>Hongos shiitake / Hongos ostra / Hongos cangrejo / Hongos</v>
      </c>
      <c r="O20" s="306" t="str">
        <f>IFERROR(__xludf.DUMMYFUNCTION("GOOGLETRANSLATE(C20,""zh-tw"",""es-MX"")"),"Golpea los hongos en el suelo en las ruinas.")</f>
        <v>Golpea los hongos en el suelo en las ruinas.</v>
      </c>
      <c r="P20" s="148" t="s">
        <v>4687</v>
      </c>
      <c r="Q20" s="163" t="s">
        <v>4688</v>
      </c>
      <c r="R20" s="301" t="s">
        <v>4689</v>
      </c>
      <c r="S20" s="302" t="str">
        <f>IFERROR(__xludf.DUMMYFUNCTION("GOOGLETRANSLATE(A20,""zh-tw"",""ru"")"),"Реликтовые грибы")</f>
        <v>Реликтовые грибы</v>
      </c>
      <c r="T20" s="303" t="str">
        <f>IFERROR(__xludf.DUMMYFUNCTION("GOOGLETRANSLATE(B20,""zh-tw"",""ru"")"),"Грибы шиитаке / Вёшенки / Крабовые грибы / Грибы")</f>
        <v>Грибы шиитаке / Вёшенки / Крабовые грибы / Грибы</v>
      </c>
      <c r="U20" s="304" t="str">
        <f>IFERROR(__xludf.DUMMYFUNCTION("GOOGLETRANSLATE(C20,""zh-tw"",""ru"")"),"На руинах на земле лежат грибы.")</f>
        <v>На руинах на земле лежат грибы.</v>
      </c>
      <c r="V20" s="173" t="s">
        <v>4690</v>
      </c>
      <c r="W20" s="305" t="s">
        <v>4691</v>
      </c>
      <c r="X20" s="307" t="s">
        <v>4692</v>
      </c>
      <c r="Y20" s="154" t="s">
        <v>4693</v>
      </c>
      <c r="Z20" s="41" t="s">
        <v>4694</v>
      </c>
      <c r="AA20" s="308" t="s">
        <v>4695</v>
      </c>
      <c r="AB20" s="149" t="s">
        <v>4696</v>
      </c>
      <c r="AC20" s="164" t="s">
        <v>4697</v>
      </c>
      <c r="AD20" s="306" t="s">
        <v>4698</v>
      </c>
      <c r="AE20" s="20"/>
    </row>
    <row r="21">
      <c r="A21" s="148" t="s">
        <v>4699</v>
      </c>
      <c r="B21" s="163" t="s">
        <v>4700</v>
      </c>
      <c r="C21" s="301" t="s">
        <v>4701</v>
      </c>
      <c r="D21" s="173" t="s">
        <v>4702</v>
      </c>
      <c r="E21" s="303" t="str">
        <f>IFERROR(__xludf.DUMMYFUNCTION("GOOGLETRANSLATE(B21,""zh-tw"",""ja"")"),"火の鳥の羽")</f>
        <v>火の鳥の羽</v>
      </c>
      <c r="F21" s="307" t="s">
        <v>4703</v>
      </c>
      <c r="G21" s="173" t="s">
        <v>4704</v>
      </c>
      <c r="H21" s="305" t="s">
        <v>4705</v>
      </c>
      <c r="I21" s="307" t="s">
        <v>4706</v>
      </c>
      <c r="J21" s="302" t="str">
        <f>IFERROR(__xludf.DUMMYFUNCTION("GOOGLETRANSLATE(A21,""zh-tw"",""zh"")"),"红花")</f>
        <v>红花</v>
      </c>
      <c r="K21" s="303" t="str">
        <f>IFERROR(__xludf.DUMMYFUNCTION("GOOGLETRANSLATE(B21,""zh-tw"",""zh"")"),"火鸟的羽毛")</f>
        <v>火鸟的羽毛</v>
      </c>
      <c r="L21" s="304" t="str">
        <f>IFERROR(__xludf.DUMMYFUNCTION("GOOGLETRANSLATE(C21,""zh-tw"",""zh"")"),"于遗迹打地面上的红花")</f>
        <v>于遗迹打地面上的红花</v>
      </c>
      <c r="M21" s="149" t="str">
        <f>IFERROR(__xludf.DUMMYFUNCTION("GOOGLETRANSLATE(A21,""zh-tw"",""es-MX"")"),"cártamo")</f>
        <v>cártamo</v>
      </c>
      <c r="N21" s="164" t="str">
        <f>IFERROR(__xludf.DUMMYFUNCTION("GOOGLETRANSLATE(B21,""zh-tw"",""es-MX"")"),"Plumas de pájaro de fuego")</f>
        <v>Plumas de pájaro de fuego</v>
      </c>
      <c r="O21" s="306" t="str">
        <f>IFERROR(__xludf.DUMMYFUNCTION("GOOGLETRANSLATE(C21,""zh-tw"",""es-MX"")"),"Flores rojas en el suelo de las ruinas.")</f>
        <v>Flores rojas en el suelo de las ruinas.</v>
      </c>
      <c r="P21" s="148" t="s">
        <v>4707</v>
      </c>
      <c r="Q21" s="163" t="s">
        <v>4708</v>
      </c>
      <c r="R21" s="301" t="s">
        <v>4709</v>
      </c>
      <c r="S21" s="302" t="str">
        <f>IFERROR(__xludf.DUMMYFUNCTION("GOOGLETRANSLATE(A21,""zh-tw"",""ru"")"),"сафлор")</f>
        <v>сафлор</v>
      </c>
      <c r="T21" s="303" t="str">
        <f>IFERROR(__xludf.DUMMYFUNCTION("GOOGLETRANSLATE(B21,""zh-tw"",""ru"")"),"Перья жар-птицы")</f>
        <v>Перья жар-птицы</v>
      </c>
      <c r="U21" s="304" t="str">
        <f>IFERROR(__xludf.DUMMYFUNCTION("GOOGLETRANSLATE(C21,""zh-tw"",""ru"")"),"Красные цветы на земле у руин")</f>
        <v>Красные цветы на земле у руин</v>
      </c>
      <c r="V21" s="173" t="s">
        <v>4710</v>
      </c>
      <c r="W21" s="305" t="s">
        <v>4711</v>
      </c>
      <c r="X21" s="307" t="s">
        <v>4712</v>
      </c>
      <c r="Y21" s="154" t="s">
        <v>4713</v>
      </c>
      <c r="Z21" s="41" t="s">
        <v>4714</v>
      </c>
      <c r="AA21" s="308" t="s">
        <v>4715</v>
      </c>
      <c r="AB21" s="149" t="s">
        <v>4704</v>
      </c>
      <c r="AC21" s="164" t="s">
        <v>4716</v>
      </c>
      <c r="AD21" s="306" t="s">
        <v>4717</v>
      </c>
      <c r="AE21" s="20"/>
    </row>
    <row r="22">
      <c r="A22" s="148" t="s">
        <v>4718</v>
      </c>
      <c r="B22" s="163" t="s">
        <v>4719</v>
      </c>
      <c r="C22" s="301" t="s">
        <v>4720</v>
      </c>
      <c r="D22" s="173" t="s">
        <v>4721</v>
      </c>
      <c r="E22" s="303" t="str">
        <f>IFERROR(__xludf.DUMMYFUNCTION("GOOGLETRANSLATE(B22,""zh-tw"",""ja"")"),"白品質装備 / 青品質装備 / タロットカード / 汎用アイテム")</f>
        <v>白品質装備 / 青品質装備 / タロットカード / 汎用アイテム</v>
      </c>
      <c r="F22" s="304" t="str">
        <f>IFERROR(__xludf.DUMMYFUNCTION("GOOGLETRANSLATE(C22,""zh-tw"",""ja"")"),"遺跡には陶器の瓶、木の樽、墓石、石板などが含まれています。")</f>
        <v>遺跡には陶器の瓶、木の樽、墓石、石板などが含まれています。</v>
      </c>
      <c r="G22" s="173" t="s">
        <v>4722</v>
      </c>
      <c r="H22" s="305" t="s">
        <v>4723</v>
      </c>
      <c r="I22" s="307" t="s">
        <v>4724</v>
      </c>
      <c r="J22" s="302" t="str">
        <f>IFERROR(__xludf.DUMMYFUNCTION("GOOGLETRANSLATE(A22,""zh-tw"",""zh"")"),"场景物件")</f>
        <v>场景物件</v>
      </c>
      <c r="K22" s="303" t="str">
        <f>IFERROR(__xludf.DUMMYFUNCTION("GOOGLETRANSLATE(B22,""zh-tw"",""zh"")"),"白色品质装备/蓝色品质装备/塔罗牌/通用型道具")</f>
        <v>白色品质装备/蓝色品质装备/塔罗牌/通用型道具</v>
      </c>
      <c r="L22" s="304" t="str">
        <f>IFERROR(__xludf.DUMMYFUNCTION("GOOGLETRANSLATE(C22,""zh-tw"",""zh"")"),"遗迹陶瓶、木桶、墓碑、石板")</f>
        <v>遗迹陶瓶、木桶、墓碑、石板</v>
      </c>
      <c r="M22" s="149" t="str">
        <f>IFERROR(__xludf.DUMMYFUNCTION("GOOGLETRANSLATE(A22,""zh-tw"",""es-MX"")"),"Objetos de escena")</f>
        <v>Objetos de escena</v>
      </c>
      <c r="N22" s="164" t="str">
        <f>IFERROR(__xludf.DUMMYFUNCTION("GOOGLETRANSLATE(B22,""zh-tw"",""es-MX"")"),"Equipo de calidad blanca / Equipo de calidad azul / Cartas del tarot / Artículos de uso general")</f>
        <v>Equipo de calidad blanca / Equipo de calidad azul / Cartas del tarot / Artículos de uso general</v>
      </c>
      <c r="O22" s="306" t="str">
        <f>IFERROR(__xludf.DUMMYFUNCTION("GOOGLETRANSLATE(C22,""zh-tw"",""es-MX"")"),"Los restos incluyen botellas de cerámica, barriles de madera, lápidas y losas de piedra.")</f>
        <v>Los restos incluyen botellas de cerámica, barriles de madera, lápidas y losas de piedra.</v>
      </c>
      <c r="P22" s="148" t="s">
        <v>4725</v>
      </c>
      <c r="Q22" s="163" t="s">
        <v>4726</v>
      </c>
      <c r="R22" s="301" t="s">
        <v>4727</v>
      </c>
      <c r="S22" s="302" t="str">
        <f>IFERROR(__xludf.DUMMYFUNCTION("GOOGLETRANSLATE(A22,""zh-tw"",""ru"")"),"Объекты сцены")</f>
        <v>Объекты сцены</v>
      </c>
      <c r="T22" s="303"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4"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3" t="s">
        <v>4728</v>
      </c>
      <c r="W22" s="305" t="s">
        <v>4729</v>
      </c>
      <c r="X22" s="307" t="s">
        <v>4730</v>
      </c>
      <c r="Y22" s="154" t="s">
        <v>4731</v>
      </c>
      <c r="Z22" s="41" t="s">
        <v>4732</v>
      </c>
      <c r="AA22" s="308" t="s">
        <v>4733</v>
      </c>
      <c r="AB22" s="149" t="s">
        <v>4734</v>
      </c>
      <c r="AC22" s="164" t="s">
        <v>4735</v>
      </c>
      <c r="AD22" s="306" t="s">
        <v>4736</v>
      </c>
      <c r="AE22" s="20"/>
    </row>
    <row r="23">
      <c r="A23" s="148" t="s">
        <v>4737</v>
      </c>
      <c r="B23" s="163" t="s">
        <v>4738</v>
      </c>
      <c r="C23" s="301" t="s">
        <v>4739</v>
      </c>
      <c r="D23" s="173" t="s">
        <v>4740</v>
      </c>
      <c r="E23" s="303"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7" t="s">
        <v>4741</v>
      </c>
      <c r="G23" s="173" t="s">
        <v>4742</v>
      </c>
      <c r="H23" s="305" t="s">
        <v>4743</v>
      </c>
      <c r="I23" s="307" t="s">
        <v>4744</v>
      </c>
      <c r="J23" s="302" t="str">
        <f>IFERROR(__xludf.DUMMYFUNCTION("GOOGLETRANSLATE(A23,""zh-tw"",""zh"")"),"气泡
(水面)")</f>
        <v>气泡
(水面)</v>
      </c>
      <c r="K23" s="303"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4"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4"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6"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4745</v>
      </c>
      <c r="Q23" s="163" t="s">
        <v>4746</v>
      </c>
      <c r="R23" s="301" t="s">
        <v>4747</v>
      </c>
      <c r="S23" s="302" t="str">
        <f>IFERROR(__xludf.DUMMYFUNCTION("GOOGLETRANSLATE(A23,""zh-tw"",""ru"")"),"Пузырьки
(на поверхности воды)")</f>
        <v>Пузырьки
(на поверхности воды)</v>
      </c>
      <c r="T23" s="303"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4"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3" t="s">
        <v>4748</v>
      </c>
      <c r="W23" s="305" t="s">
        <v>4749</v>
      </c>
      <c r="X23" s="307" t="s">
        <v>4750</v>
      </c>
      <c r="Y23" s="148" t="s">
        <v>4751</v>
      </c>
      <c r="Z23" s="163" t="s">
        <v>4752</v>
      </c>
      <c r="AA23" s="301" t="s">
        <v>4753</v>
      </c>
      <c r="AB23" s="149" t="s">
        <v>4754</v>
      </c>
      <c r="AC23" s="164" t="s">
        <v>4755</v>
      </c>
      <c r="AD23" s="306" t="s">
        <v>4756</v>
      </c>
      <c r="AE23" s="20"/>
    </row>
    <row r="24">
      <c r="A24" s="148" t="s">
        <v>4757</v>
      </c>
      <c r="B24" s="163" t="s">
        <v>4738</v>
      </c>
      <c r="C24" s="301" t="s">
        <v>4758</v>
      </c>
      <c r="D24" s="148" t="s">
        <v>4757</v>
      </c>
      <c r="E24" s="305" t="s">
        <v>4759</v>
      </c>
      <c r="F24" s="307" t="s">
        <v>4760</v>
      </c>
      <c r="G24" s="173" t="s">
        <v>4761</v>
      </c>
      <c r="H24" s="305" t="s">
        <v>4743</v>
      </c>
      <c r="I24" s="307" t="s">
        <v>4762</v>
      </c>
      <c r="J24" s="302" t="str">
        <f>IFERROR(__xludf.DUMMYFUNCTION("GOOGLETRANSLATE(A24,""zh-tw"",""zh"")"),"●●●
(水面)")</f>
        <v>●●●
(水面)</v>
      </c>
      <c r="K24" s="303"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4"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4"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6"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4"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6"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2" t="str">
        <f>IFERROR(__xludf.DUMMYFUNCTION("GOOGLETRANSLATE(A24,""zh-tw"",""ru"")"),"●●● (Поверхность воды)")</f>
        <v>●●● (Поверхность воды)</v>
      </c>
      <c r="T24" s="303"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4"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3"/>
      <c r="W24" s="305"/>
      <c r="X24" s="307"/>
      <c r="Y24" s="148" t="s">
        <v>4763</v>
      </c>
      <c r="Z24" s="163" t="s">
        <v>4764</v>
      </c>
      <c r="AA24" s="301" t="s">
        <v>4765</v>
      </c>
      <c r="AB24" s="149" t="s">
        <v>4766</v>
      </c>
      <c r="AC24" s="164" t="s">
        <v>4755</v>
      </c>
      <c r="AD24" s="306" t="s">
        <v>4767</v>
      </c>
      <c r="AE24" s="20"/>
    </row>
    <row r="25">
      <c r="A25" s="148" t="s">
        <v>4768</v>
      </c>
      <c r="B25" s="163" t="s">
        <v>4769</v>
      </c>
      <c r="C25" s="301" t="s">
        <v>4770</v>
      </c>
      <c r="D25" s="148" t="s">
        <v>4768</v>
      </c>
      <c r="E25" s="305" t="s">
        <v>4771</v>
      </c>
      <c r="F25" s="307" t="s">
        <v>4772</v>
      </c>
      <c r="G25" s="173" t="s">
        <v>4773</v>
      </c>
      <c r="H25" s="305" t="s">
        <v>4774</v>
      </c>
      <c r="I25" s="307" t="s">
        <v>4775</v>
      </c>
      <c r="J25" s="302" t="str">
        <f>IFERROR(__xludf.DUMMYFUNCTION("GOOGLETRANSLATE(A25,""zh-tw"",""zh"")"),"鱼影
(水面)")</f>
        <v>鱼影
(水面)</v>
      </c>
      <c r="K25" s="303" t="str">
        <f>IFERROR(__xludf.DUMMYFUNCTION("GOOGLETRANSLATE(B25,""zh-tw"",""zh"")"),"金枪鱼/条石鲷/秋刀鱼/鲷鱼/鲑鱼/帝王鲑")</f>
        <v>金枪鱼/条石鲷/秋刀鱼/鲷鱼/鲑鱼/帝王鲑</v>
      </c>
      <c r="L25" s="304"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4" t="str">
        <f>IFERROR(__xludf.DUMMYFUNCTION("GOOGLETRANSLATE(B25,""zh-tw"",""es-MX"")"),"Atún/Pez roca rayado/Paparda/Dorada/Salmón/Salmón real")</f>
        <v>Atún/Pez roca rayado/Paparda/Dorada/Salmón/Salmón real</v>
      </c>
      <c r="O25" s="306"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4" t="str">
        <f>IFERROR(__xludf.DUMMYFUNCTION("GOOGLETRANSLATE(B25,""zh-tw"",""KO"")"),"참치/줄무늬볼락/꽁치/도미/연어/왕연어")</f>
        <v>참치/줄무늬볼락/꽁치/도미/연어/왕연어</v>
      </c>
      <c r="R25" s="306" t="str">
        <f>IFERROR(__xludf.DUMMYFUNCTION("GOOGLETRANSLATE(C25,""zh-tw"",""KO"")"),"공격이나 터치를 사용해 포획하세요(재료만 떨어집니다).")</f>
        <v>공격이나 터치를 사용해 포획하세요(재료만 떨어집니다).</v>
      </c>
      <c r="S25" s="302" t="str">
        <f>IFERROR(__xludf.DUMMYFUNCTION("GOOGLETRANSLATE(A25,""zh-tw"",""ru"")"),"Тени рыб (на поверхности воды)")</f>
        <v>Тени рыб (на поверхности воды)</v>
      </c>
      <c r="T25" s="303"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4"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3"/>
      <c r="W25" s="305"/>
      <c r="X25" s="307"/>
      <c r="Y25" s="148" t="s">
        <v>4776</v>
      </c>
      <c r="Z25" s="163" t="s">
        <v>4777</v>
      </c>
      <c r="AA25" s="301" t="s">
        <v>4778</v>
      </c>
      <c r="AB25" s="149" t="s">
        <v>4779</v>
      </c>
      <c r="AC25" s="164" t="s">
        <v>4780</v>
      </c>
      <c r="AD25" s="306" t="s">
        <v>4781</v>
      </c>
      <c r="AE25" s="20"/>
    </row>
    <row r="26">
      <c r="A26" s="148" t="s">
        <v>4782</v>
      </c>
      <c r="B26" s="163" t="s">
        <v>4783</v>
      </c>
      <c r="C26" s="301" t="s">
        <v>792</v>
      </c>
      <c r="D26" s="173" t="s">
        <v>4784</v>
      </c>
      <c r="E26" s="303" t="str">
        <f>IFERROR(__xludf.DUMMYFUNCTION("GOOGLETRANSLATE(B26,""zh-tw"",""ja"")"),"星月夜/招き猫/タロットカード")</f>
        <v>星月夜/招き猫/タロットカード</v>
      </c>
      <c r="F26" s="304" t="str">
        <f>IFERROR(__xludf.DUMMYFUNCTION("GOOGLETRANSLATE(C26,""zh-tw"",""ja"")"),"-")</f>
        <v>-</v>
      </c>
      <c r="G26" s="173" t="s">
        <v>4785</v>
      </c>
      <c r="H26" s="305" t="s">
        <v>4786</v>
      </c>
      <c r="I26" s="304" t="str">
        <f>IFERROR(__xludf.DUMMYFUNCTION("GOOGLETRANSLATE(C26,""zh-tw"",""en"")"),"-")</f>
        <v>-</v>
      </c>
      <c r="J26" s="302" t="str">
        <f>IFERROR(__xludf.DUMMYFUNCTION("GOOGLETRANSLATE(A26,""zh-tw"",""zh"")"),"恶魔猫")</f>
        <v>恶魔猫</v>
      </c>
      <c r="K26" s="303" t="str">
        <f>IFERROR(__xludf.DUMMYFUNCTION("GOOGLETRANSLATE(B26,""zh-tw"",""zh"")"),"星月夜/招财猫/塔罗牌")</f>
        <v>星月夜/招财猫/塔罗牌</v>
      </c>
      <c r="L26" s="304" t="str">
        <f>IFERROR(__xludf.DUMMYFUNCTION("GOOGLETRANSLATE(C26,""zh-tw"",""zh"")"),"-")</f>
        <v>-</v>
      </c>
      <c r="M26" s="149" t="str">
        <f>IFERROR(__xludf.DUMMYFUNCTION("GOOGLETRANSLATE(A26,""zh-tw"",""es-MX"")"),"Gato diablo")</f>
        <v>Gato diablo</v>
      </c>
      <c r="N26" s="164" t="str">
        <f>IFERROR(__xludf.DUMMYFUNCTION("GOOGLETRANSLATE(B26,""zh-tw"",""es-MX"")"),"Noche estrellada/Gato de la suerte/Cartas del tarot")</f>
        <v>Noche estrellada/Gato de la suerte/Cartas del tarot</v>
      </c>
      <c r="O26" s="306" t="str">
        <f>IFERROR(__xludf.DUMMYFUNCTION("GOOGLETRANSLATE(C26,""zh-tw"",""es-MX"")"),"-")</f>
        <v>-</v>
      </c>
      <c r="P26" s="149" t="str">
        <f>IFERROR(__xludf.DUMMYFUNCTION("GOOGLETRANSLATE(A26,""zh-tw"",""KO"")"),"악마 고양이")</f>
        <v>악마 고양이</v>
      </c>
      <c r="Q26" s="163" t="s">
        <v>4787</v>
      </c>
      <c r="R26" s="306" t="str">
        <f>IFERROR(__xludf.DUMMYFUNCTION("GOOGLETRANSLATE(C26,""zh-tw"",""KO"")"),"-")</f>
        <v>-</v>
      </c>
      <c r="S26" s="302" t="str">
        <f>IFERROR(__xludf.DUMMYFUNCTION("GOOGLETRANSLATE(A26,""zh-tw"",""ru"")"),"Дьявольский кот")</f>
        <v>Дьявольский кот</v>
      </c>
      <c r="T26" s="303" t="str">
        <f>IFERROR(__xludf.DUMMYFUNCTION("GOOGLETRANSLATE(B26,""zh-tw"",""ru"")"),"Звездная ночь/Счастливый кот/Карты Таро")</f>
        <v>Звездная ночь/Счастливый кот/Карты Таро</v>
      </c>
      <c r="U26" s="304" t="str">
        <f>IFERROR(__xludf.DUMMYFUNCTION("GOOGLETRANSLATE(C26,""zh-tw"",""ru"")"),"-")</f>
        <v>-</v>
      </c>
      <c r="V26" s="173" t="s">
        <v>4788</v>
      </c>
      <c r="W26" s="305" t="s">
        <v>4789</v>
      </c>
      <c r="X26" s="307" t="s">
        <v>4472</v>
      </c>
      <c r="Y26" s="154" t="s">
        <v>4790</v>
      </c>
      <c r="Z26" s="41" t="s">
        <v>4791</v>
      </c>
      <c r="AA26" s="308" t="s">
        <v>792</v>
      </c>
      <c r="AB26" s="149" t="s">
        <v>4792</v>
      </c>
      <c r="AC26" s="164" t="s">
        <v>4793</v>
      </c>
      <c r="AD26" s="306" t="s">
        <v>792</v>
      </c>
      <c r="AE26" s="20"/>
    </row>
    <row r="27">
      <c r="A27" s="148" t="s">
        <v>4794</v>
      </c>
      <c r="B27" s="163" t="s">
        <v>4795</v>
      </c>
      <c r="C27" s="301" t="s">
        <v>792</v>
      </c>
      <c r="D27" s="302" t="str">
        <f>IFERROR(__xludf.DUMMYFUNCTION("GOOGLETRANSLATE(A27,""zh-tw"",""ja"")"),"怨霊")</f>
        <v>怨霊</v>
      </c>
      <c r="E27" s="303" t="str">
        <f>IFERROR(__xludf.DUMMYFUNCTION("GOOGLETRANSLATE(B27,""zh-tw"",""ja"")"),"堕落した魔術師の手袋 / タロットカード")</f>
        <v>堕落した魔術師の手袋 / タロットカード</v>
      </c>
      <c r="F27" s="304" t="str">
        <f>IFERROR(__xludf.DUMMYFUNCTION("GOOGLETRANSLATE(C27,""zh-tw"",""ja"")"),"-")</f>
        <v>-</v>
      </c>
      <c r="G27" s="173" t="s">
        <v>4796</v>
      </c>
      <c r="H27" s="305" t="s">
        <v>4797</v>
      </c>
      <c r="I27" s="304" t="str">
        <f>IFERROR(__xludf.DUMMYFUNCTION("GOOGLETRANSLATE(C27,""zh-tw"",""en"")"),"-")</f>
        <v>-</v>
      </c>
      <c r="J27" s="302" t="str">
        <f>IFERROR(__xludf.DUMMYFUNCTION("GOOGLETRANSLATE(A27,""zh-tw"",""zh"")"),"怨灵")</f>
        <v>怨灵</v>
      </c>
      <c r="K27" s="303" t="str">
        <f>IFERROR(__xludf.DUMMYFUNCTION("GOOGLETRANSLATE(B27,""zh-tw"",""zh"")"),"堕落法师的手套/塔罗牌")</f>
        <v>堕落法师的手套/塔罗牌</v>
      </c>
      <c r="L27" s="304" t="str">
        <f>IFERROR(__xludf.DUMMYFUNCTION("GOOGLETRANSLATE(C27,""zh-tw"",""zh"")"),"-")</f>
        <v>-</v>
      </c>
      <c r="M27" s="149" t="str">
        <f>IFERROR(__xludf.DUMMYFUNCTION("GOOGLETRANSLATE(A27,""zh-tw"",""es-MX"")"),"espíritus vengativos")</f>
        <v>espíritus vengativos</v>
      </c>
      <c r="N27" s="164" t="str">
        <f>IFERROR(__xludf.DUMMYFUNCTION("GOOGLETRANSLATE(B27,""zh-tw"",""es-MX"")"),"Los guantes del mago caído / Cartas del Tarot")</f>
        <v>Los guantes del mago caído / Cartas del Tarot</v>
      </c>
      <c r="O27" s="306" t="str">
        <f>IFERROR(__xludf.DUMMYFUNCTION("GOOGLETRANSLATE(C27,""zh-tw"",""es-MX"")"),"-")</f>
        <v>-</v>
      </c>
      <c r="P27" s="148" t="s">
        <v>4798</v>
      </c>
      <c r="Q27" s="164" t="str">
        <f>IFERROR(__xludf.DUMMYFUNCTION("GOOGLETRANSLATE(B27,""zh-tw"",""KO"")"),"타락한 마법사의 장갑 / 타로 카드")</f>
        <v>타락한 마법사의 장갑 / 타로 카드</v>
      </c>
      <c r="R27" s="306" t="str">
        <f>IFERROR(__xludf.DUMMYFUNCTION("GOOGLETRANSLATE(C27,""zh-tw"",""KO"")"),"-")</f>
        <v>-</v>
      </c>
      <c r="S27" s="302" t="str">
        <f>IFERROR(__xludf.DUMMYFUNCTION("GOOGLETRANSLATE(A27,""zh-tw"",""ru"")"),"мстительные духи")</f>
        <v>мстительные духи</v>
      </c>
      <c r="T27" s="303" t="str">
        <f>IFERROR(__xludf.DUMMYFUNCTION("GOOGLETRANSLATE(B27,""zh-tw"",""ru"")"),"Перчатки падшего мага / Карты Таро")</f>
        <v>Перчатки падшего мага / Карты Таро</v>
      </c>
      <c r="U27" s="304" t="str">
        <f>IFERROR(__xludf.DUMMYFUNCTION("GOOGLETRANSLATE(C27,""zh-tw"",""ru"")"),"-")</f>
        <v>-</v>
      </c>
      <c r="V27" s="173" t="s">
        <v>4799</v>
      </c>
      <c r="W27" s="305" t="s">
        <v>4800</v>
      </c>
      <c r="X27" s="307" t="s">
        <v>4472</v>
      </c>
      <c r="Y27" s="154" t="s">
        <v>4801</v>
      </c>
      <c r="Z27" s="41" t="s">
        <v>4802</v>
      </c>
      <c r="AA27" s="301" t="s">
        <v>792</v>
      </c>
      <c r="AB27" s="149" t="s">
        <v>4803</v>
      </c>
      <c r="AC27" s="164" t="s">
        <v>4804</v>
      </c>
      <c r="AD27" s="306" t="s">
        <v>792</v>
      </c>
      <c r="AE27" s="20"/>
    </row>
    <row r="28">
      <c r="A28" s="148" t="s">
        <v>4805</v>
      </c>
      <c r="B28" s="163" t="s">
        <v>4806</v>
      </c>
      <c r="C28" s="301" t="s">
        <v>792</v>
      </c>
      <c r="D28" s="302" t="str">
        <f>IFERROR(__xludf.DUMMYFUNCTION("GOOGLETRANSLATE(A28,""zh-tw"",""ja"")"),"ゾンビ")</f>
        <v>ゾンビ</v>
      </c>
      <c r="E28" s="303" t="str">
        <f>IFERROR(__xludf.DUMMYFUNCTION("GOOGLETRANSLATE(B28,""zh-tw"",""ja"")"),"ゴミ／臭い魚の骨／毒蛇の抱擁")</f>
        <v>ゴミ／臭い魚の骨／毒蛇の抱擁</v>
      </c>
      <c r="F28" s="304" t="str">
        <f>IFERROR(__xludf.DUMMYFUNCTION("GOOGLETRANSLATE(C28,""zh-tw"",""ja"")"),"-")</f>
        <v>-</v>
      </c>
      <c r="G28" s="173" t="s">
        <v>4807</v>
      </c>
      <c r="H28" s="305" t="s">
        <v>4808</v>
      </c>
      <c r="I28" s="304" t="str">
        <f>IFERROR(__xludf.DUMMYFUNCTION("GOOGLETRANSLATE(C28,""zh-tw"",""en"")"),"-")</f>
        <v>-</v>
      </c>
      <c r="J28" s="302" t="str">
        <f>IFERROR(__xludf.DUMMYFUNCTION("GOOGLETRANSLATE(A28,""zh-tw"",""zh"")"),"丧尸")</f>
        <v>丧尸</v>
      </c>
      <c r="K28" s="303" t="str">
        <f>IFERROR(__xludf.DUMMYFUNCTION("GOOGLETRANSLATE(B28,""zh-tw"",""zh"")"),"垃圾/臭鱼骨/毒蛇之拥")</f>
        <v>垃圾/臭鱼骨/毒蛇之拥</v>
      </c>
      <c r="L28" s="304" t="str">
        <f>IFERROR(__xludf.DUMMYFUNCTION("GOOGLETRANSLATE(C28,""zh-tw"",""zh"")"),"-")</f>
        <v>-</v>
      </c>
      <c r="M28" s="149" t="str">
        <f>IFERROR(__xludf.DUMMYFUNCTION("GOOGLETRANSLATE(A28,""zh-tw"",""es-MX"")"),"Zombis")</f>
        <v>Zombis</v>
      </c>
      <c r="N28" s="164" t="str">
        <f>IFERROR(__xludf.DUMMYFUNCTION("GOOGLETRANSLATE(B28,""zh-tw"",""es-MX"")"),"Basura/Espinas de pescado apestosas/Abrazo de una serpiente venenosa")</f>
        <v>Basura/Espinas de pescado apestosas/Abrazo de una serpiente venenosa</v>
      </c>
      <c r="O28" s="306" t="str">
        <f>IFERROR(__xludf.DUMMYFUNCTION("GOOGLETRANSLATE(C28,""zh-tw"",""es-MX"")"),"-")</f>
        <v>-</v>
      </c>
      <c r="P28" s="149" t="str">
        <f>IFERROR(__xludf.DUMMYFUNCTION("GOOGLETRANSLATE(A28,""zh-tw"",""KO"")"),"좀비")</f>
        <v>좀비</v>
      </c>
      <c r="Q28" s="163" t="s">
        <v>4809</v>
      </c>
      <c r="R28" s="306" t="str">
        <f>IFERROR(__xludf.DUMMYFUNCTION("GOOGLETRANSLATE(C28,""zh-tw"",""KO"")"),"-")</f>
        <v>-</v>
      </c>
      <c r="S28" s="302" t="str">
        <f>IFERROR(__xludf.DUMMYFUNCTION("GOOGLETRANSLATE(A28,""zh-tw"",""ru"")"),"Зомби")</f>
        <v>Зомби</v>
      </c>
      <c r="T28" s="303" t="str">
        <f>IFERROR(__xludf.DUMMYFUNCTION("GOOGLETRANSLATE(B28,""zh-tw"",""ru"")"),"Мусор/Вонючие рыбьи кости/Объятия ядовитой змеи")</f>
        <v>Мусор/Вонючие рыбьи кости/Объятия ядовитой змеи</v>
      </c>
      <c r="U28" s="304" t="str">
        <f>IFERROR(__xludf.DUMMYFUNCTION("GOOGLETRANSLATE(C28,""zh-tw"",""ru"")"),"-")</f>
        <v>-</v>
      </c>
      <c r="V28" s="173" t="s">
        <v>4810</v>
      </c>
      <c r="W28" s="305" t="s">
        <v>4811</v>
      </c>
      <c r="X28" s="307" t="s">
        <v>4472</v>
      </c>
      <c r="Y28" s="154" t="s">
        <v>4807</v>
      </c>
      <c r="Z28" s="41" t="s">
        <v>4812</v>
      </c>
      <c r="AA28" s="308" t="s">
        <v>792</v>
      </c>
      <c r="AB28" s="149" t="s">
        <v>4813</v>
      </c>
      <c r="AC28" s="164" t="s">
        <v>4814</v>
      </c>
      <c r="AD28" s="306" t="s">
        <v>792</v>
      </c>
      <c r="AE28" s="20"/>
    </row>
    <row r="29">
      <c r="A29" s="148" t="s">
        <v>4815</v>
      </c>
      <c r="B29" s="163" t="s">
        <v>4816</v>
      </c>
      <c r="C29" s="301" t="s">
        <v>792</v>
      </c>
      <c r="D29" s="173" t="s">
        <v>4817</v>
      </c>
      <c r="E29" s="305" t="s">
        <v>4818</v>
      </c>
      <c r="F29" s="304" t="str">
        <f>IFERROR(__xludf.DUMMYFUNCTION("GOOGLETRANSLATE(C29,""zh-tw"",""ja"")"),"-")</f>
        <v>-</v>
      </c>
      <c r="G29" s="302" t="str">
        <f>IFERROR(__xludf.DUMMYFUNCTION("GOOGLETRANSLATE(A29,""zh-tw"",""en"")"),"Maid Bunny")</f>
        <v>Maid Bunny</v>
      </c>
      <c r="H29" s="305" t="s">
        <v>4819</v>
      </c>
      <c r="I29" s="304" t="str">
        <f>IFERROR(__xludf.DUMMYFUNCTION("GOOGLETRANSLATE(C29,""zh-tw"",""en"")"),"-")</f>
        <v>-</v>
      </c>
      <c r="J29" s="302" t="str">
        <f>IFERROR(__xludf.DUMMYFUNCTION("GOOGLETRANSLATE(A29,""zh-tw"",""zh"")"),"女仆兔")</f>
        <v>女仆兔</v>
      </c>
      <c r="K29" s="303" t="str">
        <f>IFERROR(__xludf.DUMMYFUNCTION("GOOGLETRANSLATE(B29,""zh-tw"",""zh"")"),"萌萌兔耳/女仆制服/高额金币")</f>
        <v>萌萌兔耳/女仆制服/高额金币</v>
      </c>
      <c r="L29" s="304" t="str">
        <f>IFERROR(__xludf.DUMMYFUNCTION("GOOGLETRANSLATE(C29,""zh-tw"",""zh"")"),"-")</f>
        <v>-</v>
      </c>
      <c r="M29" s="149" t="str">
        <f>IFERROR(__xludf.DUMMYFUNCTION("GOOGLETRANSLATE(A29,""zh-tw"",""es-MX"")"),"Conejita sirvienta")</f>
        <v>Conejita sirvienta</v>
      </c>
      <c r="N29" s="164" t="str">
        <f>IFERROR(__xludf.DUMMYFUNCTION("GOOGLETRANSLATE(B29,""zh-tw"",""es-MX"")"),"Lindas orejas de conejo/uniforme de sirvienta/gran cantidad de monedas de oro")</f>
        <v>Lindas orejas de conejo/uniforme de sirvienta/gran cantidad de monedas de oro</v>
      </c>
      <c r="O29" s="306" t="str">
        <f>IFERROR(__xludf.DUMMYFUNCTION("GOOGLETRANSLATE(C29,""zh-tw"",""es-MX"")"),"-")</f>
        <v>-</v>
      </c>
      <c r="P29" s="149" t="str">
        <f>IFERROR(__xludf.DUMMYFUNCTION("GOOGLETRANSLATE(A29,""zh-tw"",""KO"")"),"메이드 버니")</f>
        <v>메이드 버니</v>
      </c>
      <c r="Q29" s="163" t="s">
        <v>4820</v>
      </c>
      <c r="R29" s="306" t="str">
        <f>IFERROR(__xludf.DUMMYFUNCTION("GOOGLETRANSLATE(C29,""zh-tw"",""KO"")"),"-")</f>
        <v>-</v>
      </c>
      <c r="S29" s="302" t="str">
        <f>IFERROR(__xludf.DUMMYFUNCTION("GOOGLETRANSLATE(A29,""zh-tw"",""ru"")"),"Кролик-горничная")</f>
        <v>Кролик-горничная</v>
      </c>
      <c r="T29" s="303"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4" t="str">
        <f>IFERROR(__xludf.DUMMYFUNCTION("GOOGLETRANSLATE(C29,""zh-tw"",""ru"")"),"-")</f>
        <v>-</v>
      </c>
      <c r="V29" s="173" t="s">
        <v>4821</v>
      </c>
      <c r="W29" s="305" t="s">
        <v>4822</v>
      </c>
      <c r="X29" s="307" t="s">
        <v>4823</v>
      </c>
      <c r="Y29" s="154" t="s">
        <v>4824</v>
      </c>
      <c r="Z29" s="41" t="s">
        <v>4825</v>
      </c>
      <c r="AA29" s="308" t="s">
        <v>792</v>
      </c>
      <c r="AB29" s="149" t="s">
        <v>4826</v>
      </c>
      <c r="AC29" s="164" t="s">
        <v>4827</v>
      </c>
      <c r="AD29" s="306" t="s">
        <v>792</v>
      </c>
      <c r="AE29" s="20"/>
    </row>
    <row r="30">
      <c r="A30" s="148" t="s">
        <v>4828</v>
      </c>
      <c r="B30" s="163" t="s">
        <v>4829</v>
      </c>
      <c r="C30" s="301" t="s">
        <v>792</v>
      </c>
      <c r="D30" s="302" t="str">
        <f>IFERROR(__xludf.DUMMYFUNCTION("GOOGLETRANSLATE(A30,""zh-tw"",""ja"")"),"果樹")</f>
        <v>果樹</v>
      </c>
      <c r="E30" s="303" t="str">
        <f>IFERROR(__xludf.DUMMYFUNCTION("GOOGLETRANSLATE(B30,""zh-tw"",""ja"")"),"リンゴ/堅木の棒/堅木の剣/ランセット/古代の木の残骸")</f>
        <v>リンゴ/堅木の棒/堅木の剣/ランセット/古代の木の残骸</v>
      </c>
      <c r="F30" s="304" t="str">
        <f>IFERROR(__xludf.DUMMYFUNCTION("GOOGLETRANSLATE(C30,""zh-tw"",""ja"")"),"-")</f>
        <v>-</v>
      </c>
      <c r="G30" s="173" t="s">
        <v>4830</v>
      </c>
      <c r="H30" s="305" t="s">
        <v>4831</v>
      </c>
      <c r="I30" s="304" t="str">
        <f>IFERROR(__xludf.DUMMYFUNCTION("GOOGLETRANSLATE(C30,""zh-tw"",""en"")"),"-")</f>
        <v>-</v>
      </c>
      <c r="J30" s="302" t="str">
        <f>IFERROR(__xludf.DUMMYFUNCTION("GOOGLETRANSLATE(A30,""zh-tw"",""zh"")"),"果树")</f>
        <v>果树</v>
      </c>
      <c r="K30" s="303" t="str">
        <f>IFERROR(__xludf.DUMMYFUNCTION("GOOGLETRANSLATE(B30,""zh-tw"",""zh"")"),"苹果/硬木棒/硬木剑/柳叶刀/古树残骸")</f>
        <v>苹果/硬木棒/硬木剑/柳叶刀/古树残骸</v>
      </c>
      <c r="L30" s="304" t="str">
        <f>IFERROR(__xludf.DUMMYFUNCTION("GOOGLETRANSLATE(C30,""zh-tw"",""zh"")"),"-")</f>
        <v>-</v>
      </c>
      <c r="M30" s="149" t="str">
        <f>IFERROR(__xludf.DUMMYFUNCTION("GOOGLETRANSLATE(A30,""zh-tw"",""es-MX"")"),"árboles frutales")</f>
        <v>árboles frutales</v>
      </c>
      <c r="N30" s="164" t="str">
        <f>IFERROR(__xludf.DUMMYFUNCTION("GOOGLETRANSLATE(B30,""zh-tw"",""es-MX"")"),"Manzana/Palo de madera dura/Espada de madera dura/Lanceta/Restos de árboles antiguos")</f>
        <v>Manzana/Palo de madera dura/Espada de madera dura/Lanceta/Restos de árboles antiguos</v>
      </c>
      <c r="O30" s="306" t="str">
        <f>IFERROR(__xludf.DUMMYFUNCTION("GOOGLETRANSLATE(C30,""zh-tw"",""es-MX"")"),"-")</f>
        <v>-</v>
      </c>
      <c r="P30" s="148" t="s">
        <v>4832</v>
      </c>
      <c r="Q30" s="163" t="s">
        <v>4833</v>
      </c>
      <c r="R30" s="306" t="str">
        <f>IFERROR(__xludf.DUMMYFUNCTION("GOOGLETRANSLATE(C30,""zh-tw"",""KO"")"),"-")</f>
        <v>-</v>
      </c>
      <c r="S30" s="302" t="str">
        <f>IFERROR(__xludf.DUMMYFUNCTION("GOOGLETRANSLATE(A30,""zh-tw"",""ru"")"),"фруктовые деревья")</f>
        <v>фруктовые деревья</v>
      </c>
      <c r="T30" s="303"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4" t="str">
        <f>IFERROR(__xludf.DUMMYFUNCTION("GOOGLETRANSLATE(C30,""zh-tw"",""ru"")"),"-")</f>
        <v>-</v>
      </c>
      <c r="V30" s="173" t="s">
        <v>4834</v>
      </c>
      <c r="W30" s="305" t="s">
        <v>4835</v>
      </c>
      <c r="X30" s="307" t="s">
        <v>4836</v>
      </c>
      <c r="Y30" s="154" t="s">
        <v>4837</v>
      </c>
      <c r="Z30" s="41" t="s">
        <v>4838</v>
      </c>
      <c r="AA30" s="308" t="s">
        <v>792</v>
      </c>
      <c r="AB30" s="149" t="s">
        <v>4839</v>
      </c>
      <c r="AC30" s="164" t="s">
        <v>4840</v>
      </c>
      <c r="AD30" s="306" t="s">
        <v>792</v>
      </c>
      <c r="AE30" s="20"/>
    </row>
    <row r="31">
      <c r="A31" s="148" t="s">
        <v>4841</v>
      </c>
      <c r="B31" s="163" t="s">
        <v>4842</v>
      </c>
      <c r="C31" s="301" t="s">
        <v>792</v>
      </c>
      <c r="D31" s="302" t="str">
        <f>IFERROR(__xludf.DUMMYFUNCTION("GOOGLETRANSLATE(A31,""zh-tw"",""ja"")"),"鉱石")</f>
        <v>鉱石</v>
      </c>
      <c r="E31" s="303"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4" t="str">
        <f>IFERROR(__xludf.DUMMYFUNCTION("GOOGLETRANSLATE(C31,""zh-tw"",""ja"")"),"-")</f>
        <v>-</v>
      </c>
      <c r="G31" s="173" t="s">
        <v>4843</v>
      </c>
      <c r="H31" s="305" t="s">
        <v>4844</v>
      </c>
      <c r="I31" s="304" t="str">
        <f>IFERROR(__xludf.DUMMYFUNCTION("GOOGLETRANSLATE(C31,""zh-tw"",""en"")"),"-")</f>
        <v>-</v>
      </c>
      <c r="J31" s="302" t="str">
        <f>IFERROR(__xludf.DUMMYFUNCTION("GOOGLETRANSLATE(A31,""zh-tw"",""zh"")"),"矿石")</f>
        <v>矿石</v>
      </c>
      <c r="K31" s="303" t="str">
        <f>IFERROR(__xludf.DUMMYFUNCTION("GOOGLETRANSLATE(B31,""zh-tw"",""zh"")"),"苹果头套/蓝辉石/魔力小凝胶/深邃魔力晶簇")</f>
        <v>苹果头套/蓝辉石/魔力小凝胶/深邃魔力晶簇</v>
      </c>
      <c r="L31" s="304" t="str">
        <f>IFERROR(__xludf.DUMMYFUNCTION("GOOGLETRANSLATE(C31,""zh-tw"",""zh"")"),"-")</f>
        <v>-</v>
      </c>
      <c r="M31" s="149" t="str">
        <f>IFERROR(__xludf.DUMMYFUNCTION("GOOGLETRANSLATE(A31,""zh-tw"",""es-MX"")"),"mineral")</f>
        <v>mineral</v>
      </c>
      <c r="N31" s="164" t="str">
        <f>IFERROR(__xludf.DUMMYFUNCTION("GOOGLETRANSLATE(B31,""zh-tw"",""es-MX"")"),"Diadema de manzana / Zafiro azul / Gel mágico / Clúster de cristales de magia profunda")</f>
        <v>Diadema de manzana / Zafiro azul / Gel mágico / Clúster de cristales de magia profunda</v>
      </c>
      <c r="O31" s="306" t="str">
        <f>IFERROR(__xludf.DUMMYFUNCTION("GOOGLETRANSLATE(C31,""zh-tw"",""es-MX"")"),"-")</f>
        <v>-</v>
      </c>
      <c r="P31" s="149" t="str">
        <f>IFERROR(__xludf.DUMMYFUNCTION("GOOGLETRANSLATE(A31,""zh-tw"",""KO"")"),"광석")</f>
        <v>광석</v>
      </c>
      <c r="Q31" s="163" t="s">
        <v>4845</v>
      </c>
      <c r="R31" s="306" t="str">
        <f>IFERROR(__xludf.DUMMYFUNCTION("GOOGLETRANSLATE(C31,""zh-tw"",""KO"")"),"-")</f>
        <v>-</v>
      </c>
      <c r="S31" s="302" t="str">
        <f>IFERROR(__xludf.DUMMYFUNCTION("GOOGLETRANSLATE(A31,""zh-tw"",""ru"")"),"руда")</f>
        <v>руда</v>
      </c>
      <c r="T31" s="303"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4" t="str">
        <f>IFERROR(__xludf.DUMMYFUNCTION("GOOGLETRANSLATE(C31,""zh-tw"",""ru"")"),"-")</f>
        <v>-</v>
      </c>
      <c r="V31" s="173" t="s">
        <v>4846</v>
      </c>
      <c r="W31" s="305" t="s">
        <v>4847</v>
      </c>
      <c r="X31" s="307" t="s">
        <v>4848</v>
      </c>
      <c r="Y31" s="154" t="s">
        <v>4849</v>
      </c>
      <c r="Z31" s="41" t="s">
        <v>4850</v>
      </c>
      <c r="AA31" s="308" t="s">
        <v>792</v>
      </c>
      <c r="AB31" s="149" t="s">
        <v>4851</v>
      </c>
      <c r="AC31" s="164" t="s">
        <v>4852</v>
      </c>
      <c r="AD31" s="306" t="s">
        <v>792</v>
      </c>
      <c r="AE31" s="20"/>
    </row>
    <row r="32">
      <c r="A32" s="148" t="s">
        <v>4853</v>
      </c>
      <c r="B32" s="163" t="s">
        <v>4854</v>
      </c>
      <c r="C32" s="301" t="s">
        <v>792</v>
      </c>
      <c r="D32" s="302" t="str">
        <f>IFERROR(__xludf.DUMMYFUNCTION("GOOGLETRANSLATE(A32,""zh-tw"",""ja"")"),"鉱石スライム")</f>
        <v>鉱石スライム</v>
      </c>
      <c r="E32" s="303" t="str">
        <f>IFERROR(__xludf.DUMMYFUNCTION("GOOGLETRANSLATE(B32,""zh-tw"",""ja"")"),"深淵の魔水晶群 / スライム / 汎用アイテム")</f>
        <v>深淵の魔水晶群 / スライム / 汎用アイテム</v>
      </c>
      <c r="F32" s="304" t="str">
        <f>IFERROR(__xludf.DUMMYFUNCTION("GOOGLETRANSLATE(C32,""zh-tw"",""ja"")"),"-")</f>
        <v>-</v>
      </c>
      <c r="G32" s="173" t="s">
        <v>4855</v>
      </c>
      <c r="H32" s="305" t="s">
        <v>4856</v>
      </c>
      <c r="I32" s="304" t="str">
        <f>IFERROR(__xludf.DUMMYFUNCTION("GOOGLETRANSLATE(C32,""zh-tw"",""en"")"),"-")</f>
        <v>-</v>
      </c>
      <c r="J32" s="302" t="str">
        <f>IFERROR(__xludf.DUMMYFUNCTION("GOOGLETRANSLATE(A32,""zh-tw"",""zh"")"),"矿石史莱姆")</f>
        <v>矿石史莱姆</v>
      </c>
      <c r="K32" s="303" t="str">
        <f>IFERROR(__xludf.DUMMYFUNCTION("GOOGLETRANSLATE(B32,""zh-tw"",""zh"")"),"深邃魔力晶簇/史莱姆的黏液/通用型道具")</f>
        <v>深邃魔力晶簇/史莱姆的黏液/通用型道具</v>
      </c>
      <c r="L32" s="304" t="str">
        <f>IFERROR(__xludf.DUMMYFUNCTION("GOOGLETRANSLATE(C32,""zh-tw"",""zh"")"),"-")</f>
        <v>-</v>
      </c>
      <c r="M32" s="149" t="str">
        <f>IFERROR(__xludf.DUMMYFUNCTION("GOOGLETRANSLATE(A32,""zh-tw"",""es-MX"")"),"Limo de mineral")</f>
        <v>Limo de mineral</v>
      </c>
      <c r="N32" s="164" t="str">
        <f>IFERROR(__xludf.DUMMYFUNCTION("GOOGLETRANSLATE(B32,""zh-tw"",""es-MX"")"),"Cúmulo de cristales de magia profunda / Slime Slime / Objeto de uso general")</f>
        <v>Cúmulo de cristales de magia profunda / Slime Slime / Objeto de uso general</v>
      </c>
      <c r="O32" s="306" t="str">
        <f>IFERROR(__xludf.DUMMYFUNCTION("GOOGLETRANSLATE(C32,""zh-tw"",""es-MX"")"),"-")</f>
        <v>-</v>
      </c>
      <c r="P32" s="149" t="str">
        <f>IFERROR(__xludf.DUMMYFUNCTION("GOOGLETRANSLATE(A32,""zh-tw"",""KO"")"),"광석 슬라임")</f>
        <v>광석 슬라임</v>
      </c>
      <c r="Q32" s="163" t="s">
        <v>4857</v>
      </c>
      <c r="R32" s="306" t="str">
        <f>IFERROR(__xludf.DUMMYFUNCTION("GOOGLETRANSLATE(C32,""zh-tw"",""KO"")"),"-")</f>
        <v>-</v>
      </c>
      <c r="S32" s="302" t="str">
        <f>IFERROR(__xludf.DUMMYFUNCTION("GOOGLETRANSLATE(A32,""zh-tw"",""ru"")"),"Рудный слайм")</f>
        <v>Рудный слайм</v>
      </c>
      <c r="T32" s="303"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4" t="str">
        <f>IFERROR(__xludf.DUMMYFUNCTION("GOOGLETRANSLATE(C32,""zh-tw"",""ru"")"),"-")</f>
        <v>-</v>
      </c>
      <c r="V32" s="173" t="s">
        <v>4858</v>
      </c>
      <c r="W32" s="305" t="s">
        <v>4859</v>
      </c>
      <c r="X32" s="307" t="s">
        <v>4472</v>
      </c>
      <c r="Y32" s="154" t="s">
        <v>4860</v>
      </c>
      <c r="Z32" s="41" t="s">
        <v>4861</v>
      </c>
      <c r="AA32" s="308" t="s">
        <v>792</v>
      </c>
      <c r="AB32" s="149" t="s">
        <v>4862</v>
      </c>
      <c r="AC32" s="164" t="s">
        <v>4863</v>
      </c>
      <c r="AD32" s="306" t="s">
        <v>792</v>
      </c>
      <c r="AE32" s="20"/>
    </row>
    <row r="33">
      <c r="A33" s="148" t="s">
        <v>4864</v>
      </c>
      <c r="B33" s="163" t="s">
        <v>4865</v>
      </c>
      <c r="C33" s="301" t="s">
        <v>4866</v>
      </c>
      <c r="D33" s="302" t="str">
        <f>IFERROR(__xludf.DUMMYFUNCTION("GOOGLETRANSLATE(A33,""zh-tw"",""ja"")"),"狂乱の赤い獣")</f>
        <v>狂乱の赤い獣</v>
      </c>
      <c r="E33" s="305" t="s">
        <v>4867</v>
      </c>
      <c r="F33" s="307" t="s">
        <v>4868</v>
      </c>
      <c r="G33" s="173" t="s">
        <v>4869</v>
      </c>
      <c r="H33" s="305" t="s">
        <v>4870</v>
      </c>
      <c r="I33" s="307" t="s">
        <v>4871</v>
      </c>
      <c r="J33" s="302" t="str">
        <f>IFERROR(__xludf.DUMMYFUNCTION("GOOGLETRANSLATE(A33,""zh-tw"",""zh"")"),"狂乱的红兽")</f>
        <v>狂乱的红兽</v>
      </c>
      <c r="K33" s="303" t="str">
        <f>IFERROR(__xludf.DUMMYFUNCTION("GOOGLETRANSLATE(B33,""zh-tw"",""zh"")"),"寄坏剑/不幸的诞生/天上之石碎片")</f>
        <v>寄坏剑/不幸的诞生/天上之石碎片</v>
      </c>
      <c r="L33" s="304" t="str">
        <f>IFERROR(__xludf.DUMMYFUNCTION("GOOGLETRANSLATE(C33,""zh-tw"",""zh"")"),"遗迹BOSS 
弱点：毒")</f>
        <v>遗迹BOSS 
弱点：毒</v>
      </c>
      <c r="M33" s="149" t="str">
        <f>IFERROR(__xludf.DUMMYFUNCTION("GOOGLETRANSLATE(A33,""zh-tw"",""es-MX"")"),"La Bestia Roja Frenética")</f>
        <v>La Bestia Roja Frenética</v>
      </c>
      <c r="N33" s="164" t="str">
        <f>IFERROR(__xludf.DUMMYFUNCTION("GOOGLETRANSLATE(B33,""zh-tw"",""es-MX"")"),"La espada rota / El nacimiento desafortunado / Fragmentos de una piedra celestial")</f>
        <v>La espada rota / El nacimiento desafortunado / Fragmentos de una piedra celestial</v>
      </c>
      <c r="O33" s="306" t="str">
        <f>IFERROR(__xludf.DUMMYFUNCTION("GOOGLETRANSLATE(C33,""zh-tw"",""es-MX"")"),"Jefe de las Ruinas
Debilidad: Veneno")</f>
        <v>Jefe de las Ruinas
Debilidad: Veneno</v>
      </c>
      <c r="P33" s="149" t="str">
        <f>IFERROR(__xludf.DUMMYFUNCTION("GOOGLETRANSLATE(A33,""zh-tw"",""KO"")"),"광란의 붉은 짐승")</f>
        <v>광란의 붉은 짐승</v>
      </c>
      <c r="Q33" s="163" t="s">
        <v>4872</v>
      </c>
      <c r="R33" s="301" t="s">
        <v>4873</v>
      </c>
      <c r="S33" s="302" t="str">
        <f>IFERROR(__xludf.DUMMYFUNCTION("GOOGLETRANSLATE(A33,""zh-tw"",""ru"")"),"Бешеный Красный Зверь")</f>
        <v>Бешеный Красный Зверь</v>
      </c>
      <c r="T33" s="303"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4" t="str">
        <f>IFERROR(__xludf.DUMMYFUNCTION("GOOGLETRANSLATE(C33,""zh-tw"",""ru"")"),"Босс Руин
Слабость: Яд")</f>
        <v>Босс Руин
Слабость: Яд</v>
      </c>
      <c r="V33" s="173" t="s">
        <v>4874</v>
      </c>
      <c r="W33" s="305" t="s">
        <v>4875</v>
      </c>
      <c r="X33" s="307" t="s">
        <v>4876</v>
      </c>
      <c r="Y33" s="154" t="s">
        <v>4877</v>
      </c>
      <c r="Z33" s="41" t="s">
        <v>4878</v>
      </c>
      <c r="AA33" s="308" t="s">
        <v>4879</v>
      </c>
      <c r="AB33" s="149" t="s">
        <v>4880</v>
      </c>
      <c r="AC33" s="164" t="s">
        <v>4881</v>
      </c>
      <c r="AD33" s="306" t="s">
        <v>4882</v>
      </c>
      <c r="AE33" s="20"/>
    </row>
    <row r="34">
      <c r="A34" s="148" t="s">
        <v>4883</v>
      </c>
      <c r="B34" s="163" t="s">
        <v>4884</v>
      </c>
      <c r="C34" s="301" t="s">
        <v>792</v>
      </c>
      <c r="D34" s="302" t="str">
        <f>IFERROR(__xludf.DUMMYFUNCTION("GOOGLETRANSLATE(A34,""zh-tw"",""ja"")"),"イチゴの苗")</f>
        <v>イチゴの苗</v>
      </c>
      <c r="E34" s="303" t="str">
        <f>IFERROR(__xludf.DUMMYFUNCTION("GOOGLETRANSLATE(B34,""zh-tw"",""ja"")"),"いちご")</f>
        <v>いちご</v>
      </c>
      <c r="F34" s="304" t="str">
        <f>IFERROR(__xludf.DUMMYFUNCTION("GOOGLETRANSLATE(C34,""zh-tw"",""ja"")"),"-")</f>
        <v>-</v>
      </c>
      <c r="G34" s="173" t="s">
        <v>4885</v>
      </c>
      <c r="H34" s="305" t="s">
        <v>4886</v>
      </c>
      <c r="I34" s="304" t="str">
        <f>IFERROR(__xludf.DUMMYFUNCTION("GOOGLETRANSLATE(C34,""zh-tw"",""en"")"),"-")</f>
        <v>-</v>
      </c>
      <c r="J34" s="302" t="str">
        <f>IFERROR(__xludf.DUMMYFUNCTION("GOOGLETRANSLATE(A34,""zh-tw"",""zh"")"),"草莓苗")</f>
        <v>草莓苗</v>
      </c>
      <c r="K34" s="303" t="str">
        <f>IFERROR(__xludf.DUMMYFUNCTION("GOOGLETRANSLATE(B34,""zh-tw"",""zh"")"),"草莓")</f>
        <v>草莓</v>
      </c>
      <c r="L34" s="304" t="str">
        <f>IFERROR(__xludf.DUMMYFUNCTION("GOOGLETRANSLATE(C34,""zh-tw"",""zh"")"),"-")</f>
        <v>-</v>
      </c>
      <c r="M34" s="149" t="str">
        <f>IFERROR(__xludf.DUMMYFUNCTION("GOOGLETRANSLATE(A34,""zh-tw"",""es-MX"")"),"plántulas de fresa")</f>
        <v>plántulas de fresa</v>
      </c>
      <c r="N34" s="164" t="str">
        <f>IFERROR(__xludf.DUMMYFUNCTION("GOOGLETRANSLATE(B34,""zh-tw"",""es-MX"")"),"fresa")</f>
        <v>fresa</v>
      </c>
      <c r="O34" s="306" t="str">
        <f>IFERROR(__xludf.DUMMYFUNCTION("GOOGLETRANSLATE(C34,""zh-tw"",""es-MX"")"),"-")</f>
        <v>-</v>
      </c>
      <c r="P34" s="148" t="s">
        <v>4887</v>
      </c>
      <c r="Q34" s="164" t="str">
        <f>IFERROR(__xludf.DUMMYFUNCTION("GOOGLETRANSLATE(B34,""zh-tw"",""KO"")"),"딸기")</f>
        <v>딸기</v>
      </c>
      <c r="R34" s="306" t="str">
        <f>IFERROR(__xludf.DUMMYFUNCTION("GOOGLETRANSLATE(C34,""zh-tw"",""KO"")"),"-")</f>
        <v>-</v>
      </c>
      <c r="S34" s="302" t="str">
        <f>IFERROR(__xludf.DUMMYFUNCTION("GOOGLETRANSLATE(A34,""zh-tw"",""ru"")"),"рассада клубники")</f>
        <v>рассада клубники</v>
      </c>
      <c r="T34" s="303" t="str">
        <f>IFERROR(__xludf.DUMMYFUNCTION("GOOGLETRANSLATE(B34,""zh-tw"",""ru"")"),"клубника")</f>
        <v>клубника</v>
      </c>
      <c r="U34" s="304" t="str">
        <f>IFERROR(__xludf.DUMMYFUNCTION("GOOGLETRANSLATE(C34,""zh-tw"",""ru"")"),"-")</f>
        <v>-</v>
      </c>
      <c r="V34" s="173" t="s">
        <v>4888</v>
      </c>
      <c r="W34" s="305" t="s">
        <v>4889</v>
      </c>
      <c r="X34" s="307" t="s">
        <v>4890</v>
      </c>
      <c r="Y34" s="154" t="s">
        <v>4891</v>
      </c>
      <c r="Z34" s="41" t="s">
        <v>4892</v>
      </c>
      <c r="AA34" s="308" t="s">
        <v>792</v>
      </c>
      <c r="AB34" s="149" t="s">
        <v>4893</v>
      </c>
      <c r="AC34" s="164" t="s">
        <v>4894</v>
      </c>
      <c r="AD34" s="306" t="s">
        <v>792</v>
      </c>
      <c r="AE34" s="20"/>
    </row>
    <row r="35">
      <c r="A35" s="148" t="s">
        <v>4895</v>
      </c>
      <c r="B35" s="163" t="s">
        <v>4896</v>
      </c>
      <c r="C35" s="301" t="s">
        <v>792</v>
      </c>
      <c r="D35" s="302" t="str">
        <f>IFERROR(__xludf.DUMMYFUNCTION("GOOGLETRANSLATE(A35,""zh-tw"",""ja"")"),"ジャガイモの芽")</f>
        <v>ジャガイモの芽</v>
      </c>
      <c r="E35" s="303" t="str">
        <f>IFERROR(__xludf.DUMMYFUNCTION("GOOGLETRANSLATE(B35,""zh-tw"",""ja"")"),"じゃがいも")</f>
        <v>じゃがいも</v>
      </c>
      <c r="F35" s="304" t="str">
        <f>IFERROR(__xludf.DUMMYFUNCTION("GOOGLETRANSLATE(C35,""zh-tw"",""ja"")"),"-")</f>
        <v>-</v>
      </c>
      <c r="G35" s="173" t="s">
        <v>4897</v>
      </c>
      <c r="H35" s="305" t="s">
        <v>4898</v>
      </c>
      <c r="I35" s="304" t="str">
        <f>IFERROR(__xludf.DUMMYFUNCTION("GOOGLETRANSLATE(C35,""zh-tw"",""en"")"),"-")</f>
        <v>-</v>
      </c>
      <c r="J35" s="302" t="str">
        <f>IFERROR(__xludf.DUMMYFUNCTION("GOOGLETRANSLATE(A35,""zh-tw"",""zh"")"),"土豆苗")</f>
        <v>土豆苗</v>
      </c>
      <c r="K35" s="303" t="str">
        <f>IFERROR(__xludf.DUMMYFUNCTION("GOOGLETRANSLATE(B35,""zh-tw"",""zh"")"),"土豆")</f>
        <v>土豆</v>
      </c>
      <c r="L35" s="304" t="str">
        <f>IFERROR(__xludf.DUMMYFUNCTION("GOOGLETRANSLATE(C35,""zh-tw"",""zh"")"),"-")</f>
        <v>-</v>
      </c>
      <c r="M35" s="149" t="str">
        <f>IFERROR(__xludf.DUMMYFUNCTION("GOOGLETRANSLATE(A35,""zh-tw"",""es-MX"")"),"brotes de patata")</f>
        <v>brotes de patata</v>
      </c>
      <c r="N35" s="164" t="str">
        <f>IFERROR(__xludf.DUMMYFUNCTION("GOOGLETRANSLATE(B35,""zh-tw"",""es-MX"")"),"Papa")</f>
        <v>Papa</v>
      </c>
      <c r="O35" s="306" t="str">
        <f>IFERROR(__xludf.DUMMYFUNCTION("GOOGLETRANSLATE(C35,""zh-tw"",""es-MX"")"),"-")</f>
        <v>-</v>
      </c>
      <c r="P35" s="148" t="s">
        <v>4899</v>
      </c>
      <c r="Q35" s="164" t="str">
        <f>IFERROR(__xludf.DUMMYFUNCTION("GOOGLETRANSLATE(B35,""zh-tw"",""KO"")"),"감자")</f>
        <v>감자</v>
      </c>
      <c r="R35" s="306" t="str">
        <f>IFERROR(__xludf.DUMMYFUNCTION("GOOGLETRANSLATE(C35,""zh-tw"",""KO"")"),"-")</f>
        <v>-</v>
      </c>
      <c r="S35" s="302" t="str">
        <f>IFERROR(__xludf.DUMMYFUNCTION("GOOGLETRANSLATE(A35,""zh-tw"",""ru"")"),"ростки картофеля")</f>
        <v>ростки картофеля</v>
      </c>
      <c r="T35" s="303" t="str">
        <f>IFERROR(__xludf.DUMMYFUNCTION("GOOGLETRANSLATE(B35,""zh-tw"",""ru"")"),"Картофель")</f>
        <v>Картофель</v>
      </c>
      <c r="U35" s="304" t="str">
        <f>IFERROR(__xludf.DUMMYFUNCTION("GOOGLETRANSLATE(C35,""zh-tw"",""ru"")"),"-")</f>
        <v>-</v>
      </c>
      <c r="V35" s="173" t="s">
        <v>4900</v>
      </c>
      <c r="W35" s="305" t="s">
        <v>4901</v>
      </c>
      <c r="X35" s="307" t="s">
        <v>4890</v>
      </c>
      <c r="Y35" s="154" t="s">
        <v>4902</v>
      </c>
      <c r="Z35" s="41" t="s">
        <v>4903</v>
      </c>
      <c r="AA35" s="308" t="s">
        <v>792</v>
      </c>
      <c r="AB35" s="149" t="s">
        <v>4904</v>
      </c>
      <c r="AC35" s="164" t="s">
        <v>4905</v>
      </c>
      <c r="AD35" s="306" t="s">
        <v>792</v>
      </c>
      <c r="AE35" s="20"/>
    </row>
    <row r="36">
      <c r="A36" s="148" t="s">
        <v>4906</v>
      </c>
      <c r="B36" s="163" t="s">
        <v>4907</v>
      </c>
      <c r="C36" s="301" t="s">
        <v>792</v>
      </c>
      <c r="D36" s="302" t="str">
        <f>IFERROR(__xludf.DUMMYFUNCTION("GOOGLETRANSLATE(A36,""zh-tw"",""ja"")"),"トマトの苗")</f>
        <v>トマトの苗</v>
      </c>
      <c r="E36" s="303" t="str">
        <f>IFERROR(__xludf.DUMMYFUNCTION("GOOGLETRANSLATE(B36,""zh-tw"",""ja"")"),"トマト")</f>
        <v>トマト</v>
      </c>
      <c r="F36" s="304" t="str">
        <f>IFERROR(__xludf.DUMMYFUNCTION("GOOGLETRANSLATE(C36,""zh-tw"",""ja"")"),"-")</f>
        <v>-</v>
      </c>
      <c r="G36" s="173" t="s">
        <v>4908</v>
      </c>
      <c r="H36" s="305" t="s">
        <v>4909</v>
      </c>
      <c r="I36" s="304" t="str">
        <f>IFERROR(__xludf.DUMMYFUNCTION("GOOGLETRANSLATE(C36,""zh-tw"",""en"")"),"-")</f>
        <v>-</v>
      </c>
      <c r="J36" s="302" t="str">
        <f>IFERROR(__xludf.DUMMYFUNCTION("GOOGLETRANSLATE(A36,""zh-tw"",""zh"")"),"番茄苗")</f>
        <v>番茄苗</v>
      </c>
      <c r="K36" s="303" t="str">
        <f>IFERROR(__xludf.DUMMYFUNCTION("GOOGLETRANSLATE(B36,""zh-tw"",""zh"")"),"番茄")</f>
        <v>番茄</v>
      </c>
      <c r="L36" s="304" t="str">
        <f>IFERROR(__xludf.DUMMYFUNCTION("GOOGLETRANSLATE(C36,""zh-tw"",""zh"")"),"-")</f>
        <v>-</v>
      </c>
      <c r="M36" s="149" t="str">
        <f>IFERROR(__xludf.DUMMYFUNCTION("GOOGLETRANSLATE(A36,""zh-tw"",""es-MX"")"),"Plántulas de tomate")</f>
        <v>Plántulas de tomate</v>
      </c>
      <c r="N36" s="164" t="str">
        <f>IFERROR(__xludf.DUMMYFUNCTION("GOOGLETRANSLATE(B36,""zh-tw"",""es-MX"")"),"tomate")</f>
        <v>tomate</v>
      </c>
      <c r="O36" s="306" t="str">
        <f>IFERROR(__xludf.DUMMYFUNCTION("GOOGLETRANSLATE(C36,""zh-tw"",""es-MX"")"),"-")</f>
        <v>-</v>
      </c>
      <c r="P36" s="149" t="str">
        <f>IFERROR(__xludf.DUMMYFUNCTION("GOOGLETRANSLATE(A36,""zh-tw"",""KO"")"),"토마토 모종")</f>
        <v>토마토 모종</v>
      </c>
      <c r="Q36" s="164" t="str">
        <f>IFERROR(__xludf.DUMMYFUNCTION("GOOGLETRANSLATE(B36,""zh-tw"",""KO"")"),"토마토")</f>
        <v>토마토</v>
      </c>
      <c r="R36" s="306" t="str">
        <f>IFERROR(__xludf.DUMMYFUNCTION("GOOGLETRANSLATE(C36,""zh-tw"",""KO"")"),"-")</f>
        <v>-</v>
      </c>
      <c r="S36" s="302" t="str">
        <f>IFERROR(__xludf.DUMMYFUNCTION("GOOGLETRANSLATE(A36,""zh-tw"",""ru"")"),"Рассада томатов")</f>
        <v>Рассада томатов</v>
      </c>
      <c r="T36" s="303" t="str">
        <f>IFERROR(__xludf.DUMMYFUNCTION("GOOGLETRANSLATE(B36,""zh-tw"",""ru"")"),"помидор")</f>
        <v>помидор</v>
      </c>
      <c r="U36" s="304" t="str">
        <f>IFERROR(__xludf.DUMMYFUNCTION("GOOGLETRANSLATE(C36,""zh-tw"",""ru"")"),"-")</f>
        <v>-</v>
      </c>
      <c r="V36" s="173" t="s">
        <v>4910</v>
      </c>
      <c r="W36" s="305" t="s">
        <v>4911</v>
      </c>
      <c r="X36" s="307" t="s">
        <v>4890</v>
      </c>
      <c r="Y36" s="154" t="s">
        <v>4912</v>
      </c>
      <c r="Z36" s="41" t="s">
        <v>4913</v>
      </c>
      <c r="AA36" s="308" t="s">
        <v>792</v>
      </c>
      <c r="AB36" s="149" t="s">
        <v>4914</v>
      </c>
      <c r="AC36" s="164" t="s">
        <v>4915</v>
      </c>
      <c r="AD36" s="306" t="s">
        <v>792</v>
      </c>
      <c r="AE36" s="20"/>
    </row>
    <row r="37">
      <c r="A37" s="148" t="s">
        <v>4916</v>
      </c>
      <c r="B37" s="163" t="s">
        <v>4917</v>
      </c>
      <c r="C37" s="301" t="s">
        <v>792</v>
      </c>
      <c r="D37" s="302" t="str">
        <f>IFERROR(__xludf.DUMMYFUNCTION("GOOGLETRANSLATE(A37,""zh-tw"",""ja"")"),"唐辛子の苗")</f>
        <v>唐辛子の苗</v>
      </c>
      <c r="E37" s="303" t="str">
        <f>IFERROR(__xludf.DUMMYFUNCTION("GOOGLETRANSLATE(B37,""zh-tw"",""ja"")"),"チリ")</f>
        <v>チリ</v>
      </c>
      <c r="F37" s="304" t="str">
        <f>IFERROR(__xludf.DUMMYFUNCTION("GOOGLETRANSLATE(C37,""zh-tw"",""ja"")"),"-")</f>
        <v>-</v>
      </c>
      <c r="G37" s="173" t="s">
        <v>4918</v>
      </c>
      <c r="H37" s="305" t="s">
        <v>4919</v>
      </c>
      <c r="I37" s="304" t="str">
        <f>IFERROR(__xludf.DUMMYFUNCTION("GOOGLETRANSLATE(C37,""zh-tw"",""en"")"),"-")</f>
        <v>-</v>
      </c>
      <c r="J37" s="302" t="str">
        <f>IFERROR(__xludf.DUMMYFUNCTION("GOOGLETRANSLATE(A37,""zh-tw"",""zh"")"),"辣椒苗")</f>
        <v>辣椒苗</v>
      </c>
      <c r="K37" s="303" t="str">
        <f>IFERROR(__xludf.DUMMYFUNCTION("GOOGLETRANSLATE(B37,""zh-tw"",""zh"")"),"辣椒")</f>
        <v>辣椒</v>
      </c>
      <c r="L37" s="304" t="str">
        <f>IFERROR(__xludf.DUMMYFUNCTION("GOOGLETRANSLATE(C37,""zh-tw"",""zh"")"),"-")</f>
        <v>-</v>
      </c>
      <c r="M37" s="149" t="str">
        <f>IFERROR(__xludf.DUMMYFUNCTION("GOOGLETRANSLATE(A37,""zh-tw"",""es-MX"")"),"Plántulas de chile")</f>
        <v>Plántulas de chile</v>
      </c>
      <c r="N37" s="164" t="str">
        <f>IFERROR(__xludf.DUMMYFUNCTION("GOOGLETRANSLATE(B37,""zh-tw"",""es-MX"")"),"chile")</f>
        <v>chile</v>
      </c>
      <c r="O37" s="306" t="str">
        <f>IFERROR(__xludf.DUMMYFUNCTION("GOOGLETRANSLATE(C37,""zh-tw"",""es-MX"")"),"-")</f>
        <v>-</v>
      </c>
      <c r="P37" s="149" t="str">
        <f>IFERROR(__xludf.DUMMYFUNCTION("GOOGLETRANSLATE(A37,""zh-tw"",""KO"")"),"고추 모종")</f>
        <v>고추 모종</v>
      </c>
      <c r="Q37" s="164" t="str">
        <f>IFERROR(__xludf.DUMMYFUNCTION("GOOGLETRANSLATE(B37,""zh-tw"",""KO"")"),"칠리")</f>
        <v>칠리</v>
      </c>
      <c r="R37" s="306" t="str">
        <f>IFERROR(__xludf.DUMMYFUNCTION("GOOGLETRANSLATE(C37,""zh-tw"",""KO"")"),"-")</f>
        <v>-</v>
      </c>
      <c r="S37" s="302" t="str">
        <f>IFERROR(__xludf.DUMMYFUNCTION("GOOGLETRANSLATE(A37,""zh-tw"",""ru"")"),"Рассада чили")</f>
        <v>Рассада чили</v>
      </c>
      <c r="T37" s="303" t="str">
        <f>IFERROR(__xludf.DUMMYFUNCTION("GOOGLETRANSLATE(B37,""zh-tw"",""ru"")"),"чили")</f>
        <v>чили</v>
      </c>
      <c r="U37" s="304" t="str">
        <f>IFERROR(__xludf.DUMMYFUNCTION("GOOGLETRANSLATE(C37,""zh-tw"",""ru"")"),"-")</f>
        <v>-</v>
      </c>
      <c r="V37" s="173" t="s">
        <v>4920</v>
      </c>
      <c r="W37" s="305" t="s">
        <v>4921</v>
      </c>
      <c r="X37" s="307" t="s">
        <v>4890</v>
      </c>
      <c r="Y37" s="154" t="s">
        <v>4922</v>
      </c>
      <c r="Z37" s="41" t="s">
        <v>4923</v>
      </c>
      <c r="AA37" s="308" t="s">
        <v>792</v>
      </c>
      <c r="AB37" s="149" t="s">
        <v>4924</v>
      </c>
      <c r="AC37" s="164" t="s">
        <v>4919</v>
      </c>
      <c r="AD37" s="306" t="s">
        <v>792</v>
      </c>
      <c r="AE37" s="20"/>
    </row>
    <row r="38">
      <c r="A38" s="148" t="s">
        <v>4925</v>
      </c>
      <c r="B38" s="163" t="s">
        <v>4926</v>
      </c>
      <c r="C38" s="301" t="s">
        <v>792</v>
      </c>
      <c r="D38" s="173" t="s">
        <v>4927</v>
      </c>
      <c r="E38" s="305" t="s">
        <v>4928</v>
      </c>
      <c r="F38" s="304" t="str">
        <f>IFERROR(__xludf.DUMMYFUNCTION("GOOGLETRANSLATE(C38,""zh-tw"",""ja"")"),"-")</f>
        <v>-</v>
      </c>
      <c r="G38" s="173" t="s">
        <v>4929</v>
      </c>
      <c r="H38" s="305" t="s">
        <v>4930</v>
      </c>
      <c r="I38" s="304" t="str">
        <f>IFERROR(__xludf.DUMMYFUNCTION("GOOGLETRANSLATE(C38,""zh-tw"",""en"")"),"-")</f>
        <v>-</v>
      </c>
      <c r="J38" s="302" t="str">
        <f>IFERROR(__xludf.DUMMYFUNCTION("GOOGLETRANSLATE(A38,""zh-tw"",""zh"")"),"角兔")</f>
        <v>角兔</v>
      </c>
      <c r="K38" s="303" t="str">
        <f>IFERROR(__xludf.DUMMYFUNCTION("GOOGLETRANSLATE(B38,""zh-tw"",""zh"")"),"兽肉")</f>
        <v>兽肉</v>
      </c>
      <c r="L38" s="304" t="str">
        <f>IFERROR(__xludf.DUMMYFUNCTION("GOOGLETRANSLATE(C38,""zh-tw"",""zh"")"),"-")</f>
        <v>-</v>
      </c>
      <c r="M38" s="149" t="str">
        <f>IFERROR(__xludf.DUMMYFUNCTION("GOOGLETRANSLATE(A38,""zh-tw"",""es-MX"")"),"Conejo cornudo")</f>
        <v>Conejo cornudo</v>
      </c>
      <c r="N38" s="164" t="str">
        <f>IFERROR(__xludf.DUMMYFUNCTION("GOOGLETRANSLATE(B38,""zh-tw"",""es-MX"")"),"carne")</f>
        <v>carne</v>
      </c>
      <c r="O38" s="306" t="str">
        <f>IFERROR(__xludf.DUMMYFUNCTION("GOOGLETRANSLATE(C38,""zh-tw"",""es-MX"")"),"-")</f>
        <v>-</v>
      </c>
      <c r="P38" s="148" t="s">
        <v>4931</v>
      </c>
      <c r="Q38" s="163" t="s">
        <v>4932</v>
      </c>
      <c r="R38" s="306" t="str">
        <f>IFERROR(__xludf.DUMMYFUNCTION("GOOGLETRANSLATE(C38,""zh-tw"",""KO"")"),"-")</f>
        <v>-</v>
      </c>
      <c r="S38" s="302" t="str">
        <f>IFERROR(__xludf.DUMMYFUNCTION("GOOGLETRANSLATE(A38,""zh-tw"",""ru"")"),"Рогатый Кролик")</f>
        <v>Рогатый Кролик</v>
      </c>
      <c r="T38" s="303" t="str">
        <f>IFERROR(__xludf.DUMMYFUNCTION("GOOGLETRANSLATE(B38,""zh-tw"",""ru"")"),"мясо")</f>
        <v>мясо</v>
      </c>
      <c r="U38" s="304" t="str">
        <f>IFERROR(__xludf.DUMMYFUNCTION("GOOGLETRANSLATE(C38,""zh-tw"",""ru"")"),"-")</f>
        <v>-</v>
      </c>
      <c r="V38" s="173" t="s">
        <v>4933</v>
      </c>
      <c r="W38" s="305" t="s">
        <v>4934</v>
      </c>
      <c r="X38" s="307" t="s">
        <v>4472</v>
      </c>
      <c r="Y38" s="154" t="s">
        <v>4935</v>
      </c>
      <c r="Z38" s="41" t="s">
        <v>4936</v>
      </c>
      <c r="AA38" s="308" t="s">
        <v>792</v>
      </c>
      <c r="AB38" s="149" t="s">
        <v>4937</v>
      </c>
      <c r="AC38" s="164" t="s">
        <v>4938</v>
      </c>
      <c r="AD38" s="306" t="s">
        <v>792</v>
      </c>
      <c r="AE38" s="20"/>
    </row>
    <row r="39">
      <c r="A39" s="148" t="s">
        <v>3095</v>
      </c>
      <c r="B39" s="163" t="s">
        <v>4939</v>
      </c>
      <c r="C39" s="301" t="s">
        <v>4940</v>
      </c>
      <c r="D39" s="302" t="str">
        <f>IFERROR(__xludf.DUMMYFUNCTION("GOOGLETRANSLATE(A39,""zh-tw"",""ja"")"),"かかし")</f>
        <v>かかし</v>
      </c>
      <c r="E39" s="305" t="s">
        <v>4941</v>
      </c>
      <c r="F39" s="307" t="s">
        <v>4942</v>
      </c>
      <c r="G39" s="173" t="s">
        <v>3101</v>
      </c>
      <c r="H39" s="305" t="s">
        <v>4943</v>
      </c>
      <c r="I39" s="307" t="s">
        <v>4944</v>
      </c>
      <c r="J39" s="302" t="str">
        <f>IFERROR(__xludf.DUMMYFUNCTION("GOOGLETRANSLATE(A39,""zh-tw"",""zh"")"),"稻草人")</f>
        <v>稻草人</v>
      </c>
      <c r="K39" s="303" t="str">
        <f>IFERROR(__xludf.DUMMYFUNCTION("GOOGLETRANSLATE(B39,""zh-tw"",""zh"")"),"稻草人的心")</f>
        <v>稻草人的心</v>
      </c>
      <c r="L39" s="304" t="str">
        <f>IFERROR(__xludf.DUMMYFUNCTION("GOOGLETRANSLATE(C39,""zh-tw"",""zh"")"),"伤害测试")</f>
        <v>伤害测试</v>
      </c>
      <c r="M39" s="149" t="str">
        <f>IFERROR(__xludf.DUMMYFUNCTION("GOOGLETRANSLATE(A39,""zh-tw"",""es-MX"")"),"espantapájaros")</f>
        <v>espantapájaros</v>
      </c>
      <c r="N39" s="164" t="str">
        <f>IFERROR(__xludf.DUMMYFUNCTION("GOOGLETRANSLATE(B39,""zh-tw"",""es-MX"")"),"El corazón del espantapájaros")</f>
        <v>El corazón del espantapájaros</v>
      </c>
      <c r="O39" s="306" t="str">
        <f>IFERROR(__xludf.DUMMYFUNCTION("GOOGLETRANSLATE(C39,""zh-tw"",""es-MX"")"),"Prueba de daños")</f>
        <v>Prueba de daños</v>
      </c>
      <c r="P39" s="149" t="str">
        <f>IFERROR(__xludf.DUMMYFUNCTION("GOOGLETRANSLATE(A39,""zh-tw"",""KO"")"),"허수아비")</f>
        <v>허수아비</v>
      </c>
      <c r="Q39" s="163" t="s">
        <v>4945</v>
      </c>
      <c r="R39" s="301" t="s">
        <v>4946</v>
      </c>
      <c r="S39" s="302" t="str">
        <f>IFERROR(__xludf.DUMMYFUNCTION("GOOGLETRANSLATE(A39,""zh-tw"",""ru"")"),"пугало")</f>
        <v>пугало</v>
      </c>
      <c r="T39" s="303" t="str">
        <f>IFERROR(__xludf.DUMMYFUNCTION("GOOGLETRANSLATE(B39,""zh-tw"",""ru"")"),"Сердце пугала")</f>
        <v>Сердце пугала</v>
      </c>
      <c r="U39" s="304" t="str">
        <f>IFERROR(__xludf.DUMMYFUNCTION("GOOGLETRANSLATE(C39,""zh-tw"",""ru"")"),"Тест на повреждения")</f>
        <v>Тест на повреждения</v>
      </c>
      <c r="V39" s="173" t="s">
        <v>3104</v>
      </c>
      <c r="W39" s="305" t="s">
        <v>4947</v>
      </c>
      <c r="X39" s="307" t="s">
        <v>4948</v>
      </c>
      <c r="Y39" s="154" t="s">
        <v>3107</v>
      </c>
      <c r="Z39" s="41" t="s">
        <v>4949</v>
      </c>
      <c r="AA39" s="308" t="s">
        <v>4950</v>
      </c>
      <c r="AB39" s="149" t="s">
        <v>3110</v>
      </c>
      <c r="AC39" s="164" t="s">
        <v>4951</v>
      </c>
      <c r="AD39" s="306" t="s">
        <v>4952</v>
      </c>
      <c r="AE39" s="20"/>
    </row>
    <row r="40">
      <c r="A40" s="148" t="s">
        <v>4953</v>
      </c>
      <c r="B40" s="163" t="s">
        <v>4954</v>
      </c>
      <c r="C40" s="301" t="s">
        <v>4955</v>
      </c>
      <c r="D40" s="302" t="str">
        <f>IFERROR(__xludf.DUMMYFUNCTION("GOOGLETRANSLATE(A40,""zh-tw"",""ja"")"),"浅羽")</f>
        <v>浅羽</v>
      </c>
      <c r="E40" s="305" t="s">
        <v>4956</v>
      </c>
      <c r="F40" s="307" t="s">
        <v>4957</v>
      </c>
      <c r="G40" s="173" t="s">
        <v>4958</v>
      </c>
      <c r="H40" s="305" t="s">
        <v>4959</v>
      </c>
      <c r="I40" s="307" t="s">
        <v>4960</v>
      </c>
      <c r="J40" s="302" t="str">
        <f>IFERROR(__xludf.DUMMYFUNCTION("GOOGLETRANSLATE(A40,""zh-tw"",""zh"")"),"浅羽")</f>
        <v>浅羽</v>
      </c>
      <c r="K40" s="303" t="str">
        <f>IFERROR(__xludf.DUMMYFUNCTION("GOOGLETRANSLATE(B40,""zh-tw"",""zh"")"),"猫爪")</f>
        <v>猫爪</v>
      </c>
      <c r="L40" s="304" t="str">
        <f>IFERROR(__xludf.DUMMYFUNCTION("GOOGLETRANSLATE(C40,""zh-tw"",""zh"")"),"猫娘商店车
弱点：雷")</f>
        <v>猫娘商店车
弱点：雷</v>
      </c>
      <c r="M40" s="149" t="str">
        <f>IFERROR(__xludf.DUMMYFUNCTION("GOOGLETRANSLATE(A40,""zh-tw"",""es-MX"")"),"Asaba")</f>
        <v>Asaba</v>
      </c>
      <c r="N40" s="164" t="str">
        <f>IFERROR(__xludf.DUMMYFUNCTION("GOOGLETRANSLATE(B40,""zh-tw"",""es-MX"")"),"pata de gato")</f>
        <v>pata de gato</v>
      </c>
      <c r="O40" s="306" t="str">
        <f>IFERROR(__xludf.DUMMYFUNCTION("GOOGLETRANSLATE(C40,""zh-tw"",""es-MX"")"),"Carrito de la tienda de Catgirl
Debilidad: Trueno")</f>
        <v>Carrito de la tienda de Catgirl
Debilidad: Trueno</v>
      </c>
      <c r="P40" s="149" t="str">
        <f>IFERROR(__xludf.DUMMYFUNCTION("GOOGLETRANSLATE(A40,""zh-tw"",""KO"")"),"아사바")</f>
        <v>아사바</v>
      </c>
      <c r="Q40" s="163" t="s">
        <v>4961</v>
      </c>
      <c r="R40" s="301" t="s">
        <v>4962</v>
      </c>
      <c r="S40" s="302" t="str">
        <f>IFERROR(__xludf.DUMMYFUNCTION("GOOGLETRANSLATE(A40,""zh-tw"",""ru"")"),"Асаба")</f>
        <v>Асаба</v>
      </c>
      <c r="T40" s="303" t="str">
        <f>IFERROR(__xludf.DUMMYFUNCTION("GOOGLETRANSLATE(B40,""zh-tw"",""ru"")"),"кошачья лапа")</f>
        <v>кошачья лапа</v>
      </c>
      <c r="U40" s="304" t="str">
        <f>IFERROR(__xludf.DUMMYFUNCTION("GOOGLETRANSLATE(C40,""zh-tw"",""ru"")"),"Корзина магазина Кошкодевочки
Слабость: Гром")</f>
        <v>Корзина магазина Кошкодевочки
Слабость: Гром</v>
      </c>
      <c r="V40" s="173" t="s">
        <v>4958</v>
      </c>
      <c r="W40" s="305" t="s">
        <v>4963</v>
      </c>
      <c r="X40" s="307" t="s">
        <v>4964</v>
      </c>
      <c r="Y40" s="154" t="s">
        <v>4958</v>
      </c>
      <c r="Z40" s="41" t="s">
        <v>4965</v>
      </c>
      <c r="AA40" s="308" t="s">
        <v>4966</v>
      </c>
      <c r="AB40" s="149" t="s">
        <v>4958</v>
      </c>
      <c r="AC40" s="164" t="s">
        <v>4967</v>
      </c>
      <c r="AD40" s="306" t="s">
        <v>4968</v>
      </c>
      <c r="AE40" s="20"/>
    </row>
    <row r="41">
      <c r="A41" s="148" t="s">
        <v>4969</v>
      </c>
      <c r="B41" s="163" t="s">
        <v>4970</v>
      </c>
      <c r="C41" s="301" t="s">
        <v>792</v>
      </c>
      <c r="D41" s="148" t="s">
        <v>4971</v>
      </c>
      <c r="E41" s="163" t="s">
        <v>4972</v>
      </c>
      <c r="F41" s="304" t="str">
        <f>IFERROR(__xludf.DUMMYFUNCTION("GOOGLETRANSLATE(C41,""zh-tw"",""ja"")"),"-")</f>
        <v>-</v>
      </c>
      <c r="G41" s="148" t="s">
        <v>4973</v>
      </c>
      <c r="H41" s="163" t="s">
        <v>4974</v>
      </c>
      <c r="I41" s="306" t="str">
        <f>IFERROR(__xludf.DUMMYFUNCTION("GOOGLETRANSLATE(F41,""zh-tw"",""ja"")"),"-")</f>
        <v>-</v>
      </c>
      <c r="J41" s="302" t="str">
        <f>IFERROR(__xludf.DUMMYFUNCTION("GOOGLETRANSLATE(A41,""zh-tw"",""zh"")"),"火焰妖精")</f>
        <v>火焰妖精</v>
      </c>
      <c r="K41" s="303" t="str">
        <f>IFERROR(__xludf.DUMMYFUNCTION("GOOGLETRANSLATE(B41,""zh-tw"",""zh"")"),"熔岩杖")</f>
        <v>熔岩杖</v>
      </c>
      <c r="L41" s="304" t="str">
        <f>IFERROR(__xludf.DUMMYFUNCTION("GOOGLETRANSLATE(C41,""zh-tw"",""zh"")"),"-")</f>
        <v>-</v>
      </c>
      <c r="M41" s="149" t="str">
        <f>IFERROR(__xludf.DUMMYFUNCTION("GOOGLETRANSLATE(A41,""zh-tw"",""es-MX"")"),"Hada de las llamas")</f>
        <v>Hada de las llamas</v>
      </c>
      <c r="N41" s="164" t="str">
        <f>IFERROR(__xludf.DUMMYFUNCTION("GOOGLETRANSLATE(B41,""zh-tw"",""es-MX"")"),"Bastón de lava")</f>
        <v>Bastón de lava</v>
      </c>
      <c r="O41" s="306" t="str">
        <f>IFERROR(__xludf.DUMMYFUNCTION("GOOGLETRANSLATE(C41,""zh-tw"",""es-MX"")"),"-")</f>
        <v>-</v>
      </c>
      <c r="P41" s="149" t="str">
        <f>IFERROR(__xludf.DUMMYFUNCTION("GOOGLETRANSLATE(A41,""zh-tw"",""KO"")"),"불꽃 요정")</f>
        <v>불꽃 요정</v>
      </c>
      <c r="Q41" s="163" t="s">
        <v>4975</v>
      </c>
      <c r="R41" s="306" t="str">
        <f>IFERROR(__xludf.DUMMYFUNCTION("GOOGLETRANSLATE(C41,""zh-tw"",""KO"")"),"-")</f>
        <v>-</v>
      </c>
      <c r="S41" s="302" t="str">
        <f>IFERROR(__xludf.DUMMYFUNCTION("GOOGLETRANSLATE(A41,""zh-tw"",""ru"")"),"Фея Пламени")</f>
        <v>Фея Пламени</v>
      </c>
      <c r="T41" s="303" t="str">
        <f>IFERROR(__xludf.DUMMYFUNCTION("GOOGLETRANSLATE(B41,""zh-tw"",""ru"")"),"Лавовый посох")</f>
        <v>Лавовый посох</v>
      </c>
      <c r="U41" s="304" t="str">
        <f>IFERROR(__xludf.DUMMYFUNCTION("GOOGLETRANSLATE(C41,""zh-tw"",""ru"")"),"-")</f>
        <v>-</v>
      </c>
      <c r="V41" s="173" t="s">
        <v>4976</v>
      </c>
      <c r="W41" s="305" t="s">
        <v>4977</v>
      </c>
      <c r="X41" s="307" t="s">
        <v>4472</v>
      </c>
      <c r="Y41" s="154" t="s">
        <v>4978</v>
      </c>
      <c r="Z41" s="41" t="s">
        <v>4979</v>
      </c>
      <c r="AA41" s="308" t="s">
        <v>792</v>
      </c>
      <c r="AB41" s="149" t="s">
        <v>4980</v>
      </c>
      <c r="AC41" s="164" t="s">
        <v>4981</v>
      </c>
      <c r="AD41" s="306" t="s">
        <v>792</v>
      </c>
      <c r="AE41" s="20"/>
    </row>
    <row r="42">
      <c r="A42" s="148" t="s">
        <v>4982</v>
      </c>
      <c r="B42" s="163" t="s">
        <v>4983</v>
      </c>
      <c r="C42" s="301" t="s">
        <v>792</v>
      </c>
      <c r="D42" s="148" t="s">
        <v>4984</v>
      </c>
      <c r="E42" s="163" t="s">
        <v>4985</v>
      </c>
      <c r="F42" s="304" t="str">
        <f>IFERROR(__xludf.DUMMYFUNCTION("GOOGLETRANSLATE(C42,""zh-tw"",""ja"")"),"-")</f>
        <v>-</v>
      </c>
      <c r="G42" s="148" t="s">
        <v>4986</v>
      </c>
      <c r="H42" s="163" t="s">
        <v>4987</v>
      </c>
      <c r="I42" s="306" t="str">
        <f>IFERROR(__xludf.DUMMYFUNCTION("GOOGLETRANSLATE(F42,""zh-tw"",""ja"")"),"-")</f>
        <v>-</v>
      </c>
      <c r="J42" s="302" t="str">
        <f>IFERROR(__xludf.DUMMYFUNCTION("GOOGLETRANSLATE(A42,""zh-tw"",""zh"")"),"燃烧史莱姆")</f>
        <v>燃烧史莱姆</v>
      </c>
      <c r="K42" s="303" t="str">
        <f>IFERROR(__xludf.DUMMYFUNCTION("GOOGLETRANSLATE(B42,""zh-tw"",""zh"")"),"熔岩戒指")</f>
        <v>熔岩戒指</v>
      </c>
      <c r="L42" s="304" t="str">
        <f>IFERROR(__xludf.DUMMYFUNCTION("GOOGLETRANSLATE(C42,""zh-tw"",""zh"")"),"-")</f>
        <v>-</v>
      </c>
      <c r="M42" s="149" t="str">
        <f>IFERROR(__xludf.DUMMYFUNCTION("GOOGLETRANSLATE(A42,""zh-tw"",""es-MX"")"),"Slime ardiente")</f>
        <v>Slime ardiente</v>
      </c>
      <c r="N42" s="164" t="str">
        <f>IFERROR(__xludf.DUMMYFUNCTION("GOOGLETRANSLATE(B42,""zh-tw"",""es-MX"")"),"Anillo de lava")</f>
        <v>Anillo de lava</v>
      </c>
      <c r="O42" s="306" t="str">
        <f>IFERROR(__xludf.DUMMYFUNCTION("GOOGLETRANSLATE(C42,""zh-tw"",""es-MX"")"),"-")</f>
        <v>-</v>
      </c>
      <c r="P42" s="149" t="str">
        <f>IFERROR(__xludf.DUMMYFUNCTION("GOOGLETRANSLATE(A42,""zh-tw"",""KO"")"),"불타는 슬라임")</f>
        <v>불타는 슬라임</v>
      </c>
      <c r="Q42" s="163" t="s">
        <v>4988</v>
      </c>
      <c r="R42" s="306" t="str">
        <f>IFERROR(__xludf.DUMMYFUNCTION("GOOGLETRANSLATE(C42,""zh-tw"",""KO"")"),"-")</f>
        <v>-</v>
      </c>
      <c r="S42" s="302" t="str">
        <f>IFERROR(__xludf.DUMMYFUNCTION("GOOGLETRANSLATE(A42,""zh-tw"",""ru"")"),"Горящая слизь")</f>
        <v>Горящая слизь</v>
      </c>
      <c r="T42" s="303" t="str">
        <f>IFERROR(__xludf.DUMMYFUNCTION("GOOGLETRANSLATE(B42,""zh-tw"",""ru"")"),"Кольцо лавы")</f>
        <v>Кольцо лавы</v>
      </c>
      <c r="U42" s="304" t="str">
        <f>IFERROR(__xludf.DUMMYFUNCTION("GOOGLETRANSLATE(C42,""zh-tw"",""ru"")"),"-")</f>
        <v>-</v>
      </c>
      <c r="V42" s="173" t="s">
        <v>4989</v>
      </c>
      <c r="W42" s="305" t="s">
        <v>4990</v>
      </c>
      <c r="X42" s="307" t="s">
        <v>4472</v>
      </c>
      <c r="Y42" s="154" t="s">
        <v>4991</v>
      </c>
      <c r="Z42" s="41" t="s">
        <v>4992</v>
      </c>
      <c r="AA42" s="308" t="s">
        <v>792</v>
      </c>
      <c r="AB42" s="149" t="s">
        <v>4993</v>
      </c>
      <c r="AC42" s="164" t="s">
        <v>4994</v>
      </c>
      <c r="AD42" s="306" t="s">
        <v>792</v>
      </c>
      <c r="AE42" s="20"/>
    </row>
    <row r="43">
      <c r="A43" s="148" t="s">
        <v>4995</v>
      </c>
      <c r="B43" s="163" t="s">
        <v>4996</v>
      </c>
      <c r="C43" s="301" t="s">
        <v>792</v>
      </c>
      <c r="D43" s="148" t="s">
        <v>4995</v>
      </c>
      <c r="E43" s="163" t="s">
        <v>4997</v>
      </c>
      <c r="F43" s="304" t="str">
        <f>IFERROR(__xludf.DUMMYFUNCTION("GOOGLETRANSLATE(C43,""zh-tw"",""ja"")"),"-")</f>
        <v>-</v>
      </c>
      <c r="G43" s="148" t="s">
        <v>4998</v>
      </c>
      <c r="H43" s="163" t="s">
        <v>4999</v>
      </c>
      <c r="I43" s="306" t="str">
        <f>IFERROR(__xludf.DUMMYFUNCTION("GOOGLETRANSLATE(F43,""zh-tw"",""ja"")"),"-")</f>
        <v>-</v>
      </c>
      <c r="J43" s="302" t="str">
        <f>IFERROR(__xludf.DUMMYFUNCTION("GOOGLETRANSLATE(A43,""zh-tw"",""zh"")"),"炎魔")</f>
        <v>炎魔</v>
      </c>
      <c r="K43" s="303" t="str">
        <f>IFERROR(__xludf.DUMMYFUNCTION("GOOGLETRANSLATE(B43,""zh-tw"",""zh"")"),"熔岩杖/阳炎")</f>
        <v>熔岩杖/阳炎</v>
      </c>
      <c r="L43" s="304" t="str">
        <f>IFERROR(__xludf.DUMMYFUNCTION("GOOGLETRANSLATE(C43,""zh-tw"",""zh"")"),"-")</f>
        <v>-</v>
      </c>
      <c r="M43" s="149" t="str">
        <f>IFERROR(__xludf.DUMMYFUNCTION("GOOGLETRANSLATE(A43,""zh-tw"",""es-MX"")"),"Demonio de llamas")</f>
        <v>Demonio de llamas</v>
      </c>
      <c r="N43" s="164" t="str">
        <f>IFERROR(__xludf.DUMMYFUNCTION("GOOGLETRANSLATE(B43,""zh-tw"",""es-MX"")"),"Bastón de lava/Fuego solar")</f>
        <v>Bastón de lava/Fuego solar</v>
      </c>
      <c r="O43" s="306" t="str">
        <f>IFERROR(__xludf.DUMMYFUNCTION("GOOGLETRANSLATE(C43,""zh-tw"",""es-MX"")"),"-")</f>
        <v>-</v>
      </c>
      <c r="P43" s="149" t="str">
        <f>IFERROR(__xludf.DUMMYFUNCTION("GOOGLETRANSLATE(A43,""zh-tw"",""KO"")"),"화염 악마")</f>
        <v>화염 악마</v>
      </c>
      <c r="Q43" s="164" t="str">
        <f>IFERROR(__xludf.DUMMYFUNCTION("GOOGLETRANSLATE(B43,""zh-tw"",""KO"")"),"용암 지팡이/선파이어")</f>
        <v>용암 지팡이/선파이어</v>
      </c>
      <c r="R43" s="306" t="str">
        <f>IFERROR(__xludf.DUMMYFUNCTION("GOOGLETRANSLATE(C43,""zh-tw"",""KO"")"),"-")</f>
        <v>-</v>
      </c>
      <c r="S43" s="302" t="str">
        <f>IFERROR(__xludf.DUMMYFUNCTION("GOOGLETRANSLATE(A43,""zh-tw"",""ru"")"),"Пламенный Демон")</f>
        <v>Пламенный Демон</v>
      </c>
      <c r="T43" s="303" t="str">
        <f>IFERROR(__xludf.DUMMYFUNCTION("GOOGLETRANSLATE(B43,""zh-tw"",""ru"")"),"Лавовый посох/Солнечный огонь")</f>
        <v>Лавовый посох/Солнечный огонь</v>
      </c>
      <c r="U43" s="304" t="str">
        <f>IFERROR(__xludf.DUMMYFUNCTION("GOOGLETRANSLATE(C43,""zh-tw"",""ru"")"),"-")</f>
        <v>-</v>
      </c>
      <c r="V43" s="173" t="s">
        <v>4998</v>
      </c>
      <c r="W43" s="305" t="s">
        <v>5000</v>
      </c>
      <c r="X43" s="307" t="s">
        <v>4472</v>
      </c>
      <c r="Y43" s="154" t="s">
        <v>4998</v>
      </c>
      <c r="Z43" s="41" t="s">
        <v>5001</v>
      </c>
      <c r="AA43" s="308" t="s">
        <v>792</v>
      </c>
      <c r="AB43" s="149" t="s">
        <v>4998</v>
      </c>
      <c r="AC43" s="164" t="s">
        <v>5002</v>
      </c>
      <c r="AD43" s="306" t="s">
        <v>792</v>
      </c>
      <c r="AE43" s="20"/>
    </row>
    <row r="44">
      <c r="A44" s="149" t="s">
        <v>5003</v>
      </c>
      <c r="B44" s="163" t="s">
        <v>5004</v>
      </c>
      <c r="C44" s="301" t="s">
        <v>5005</v>
      </c>
      <c r="D44" s="149" t="s">
        <v>5006</v>
      </c>
      <c r="E44" s="163" t="s">
        <v>5007</v>
      </c>
      <c r="F44" s="304"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5008</v>
      </c>
      <c r="H44" s="163" t="s">
        <v>5009</v>
      </c>
      <c r="I44" s="301" t="s">
        <v>5010</v>
      </c>
      <c r="J44" s="302" t="str">
        <f>IFERROR(__xludf.DUMMYFUNCTION("GOOGLETRANSLATE(A44,""zh-tw"",""zh"")"),"堕落法师的断手")</f>
        <v>堕落法师的断手</v>
      </c>
      <c r="K44" s="303" t="str">
        <f>IFERROR(__xludf.DUMMYFUNCTION("GOOGLETRANSLATE(B44,""zh-tw"",""zh"")"),"谢里斯的诅咒之手/红髓玉吊坠")</f>
        <v>谢里斯的诅咒之手/红髓玉吊坠</v>
      </c>
      <c r="L44" s="304"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4" t="str">
        <f>IFERROR(__xludf.DUMMYFUNCTION("GOOGLETRANSLATE(B44,""zh-tw"",""es-MX"")"),"La mano maldita de Sheris / Colgante de cornalina")</f>
        <v>La mano maldita de Sheris / Colgante de cornalina</v>
      </c>
      <c r="O44" s="306"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4" t="str">
        <f>IFERROR(__xludf.DUMMYFUNCTION("GOOGLETRANSLATE(B44,""zh-tw"",""KO"")"),"셰리스의 저주받은 손 / 카넬리안 펜던트")</f>
        <v>셰리스의 저주받은 손 / 카넬리안 펜던트</v>
      </c>
      <c r="R44" s="306"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2" t="str">
        <f>IFERROR(__xludf.DUMMYFUNCTION("GOOGLETRANSLATE(A44,""zh-tw"",""ru"")"),"Отрубленная рука падшего мага")</f>
        <v>Отрубленная рука падшего мага</v>
      </c>
      <c r="T44" s="303" t="str">
        <f>IFERROR(__xludf.DUMMYFUNCTION("GOOGLETRANSLATE(B44,""zh-tw"",""ru"")"),"Проклятая рука Шерис / Подвеска из сердолика")</f>
        <v>Проклятая рука Шерис / Подвеска из сердолика</v>
      </c>
      <c r="U44" s="304"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5011</v>
      </c>
      <c r="W44" s="164" t="s">
        <v>5012</v>
      </c>
      <c r="X44" s="301" t="s">
        <v>792</v>
      </c>
      <c r="Y44" s="149" t="s">
        <v>5013</v>
      </c>
      <c r="Z44" s="41" t="s">
        <v>5014</v>
      </c>
      <c r="AA44" s="308" t="s">
        <v>5015</v>
      </c>
      <c r="AB44" s="149" t="s">
        <v>5016</v>
      </c>
      <c r="AC44" s="164" t="s">
        <v>5017</v>
      </c>
      <c r="AD44" s="306" t="s">
        <v>5018</v>
      </c>
      <c r="AE44" s="188"/>
    </row>
    <row r="45">
      <c r="A45" s="148" t="s">
        <v>5019</v>
      </c>
      <c r="B45" s="163" t="s">
        <v>5020</v>
      </c>
      <c r="C45" s="301" t="s">
        <v>5021</v>
      </c>
      <c r="D45" s="148" t="s">
        <v>5019</v>
      </c>
      <c r="E45" s="163" t="s">
        <v>5022</v>
      </c>
      <c r="F45" s="301" t="s">
        <v>5023</v>
      </c>
      <c r="G45" s="148" t="s">
        <v>5019</v>
      </c>
      <c r="H45" s="163" t="s">
        <v>5024</v>
      </c>
      <c r="I45" s="301" t="s">
        <v>5025</v>
      </c>
      <c r="J45" s="302" t="str">
        <f>IFERROR(__xludf.DUMMYFUNCTION("GOOGLETRANSLATE(A45,""zh-tw"",""zh"")"),"ASABA")</f>
        <v>ASABA</v>
      </c>
      <c r="K45" s="303" t="str">
        <f>IFERROR(__xludf.DUMMYFUNCTION("GOOGLETRANSLATE(B45,""zh-tw"",""zh"")"),"ASAB的草莓")</f>
        <v>ASAB的草莓</v>
      </c>
      <c r="L45" s="304" t="str">
        <f>IFERROR(__xludf.DUMMYFUNCTION("GOOGLETRANSLATE(C45,""zh-tw"",""zh"")"),"浅羽Doro，会吃掉路边的草莓")</f>
        <v>浅羽Doro，会吃掉路边的草莓</v>
      </c>
      <c r="M45" s="149" t="str">
        <f>IFERROR(__xludf.DUMMYFUNCTION("GOOGLETRANSLATE(A45,""zh-tw"",""es-MX"")"),"ASABA")</f>
        <v>ASABA</v>
      </c>
      <c r="N45" s="164" t="str">
        <f>IFERROR(__xludf.DUMMYFUNCTION("GOOGLETRANSLATE(B45,""zh-tw"",""es-MX"")"),"Fresas de ASAB")</f>
        <v>Fresas de ASAB</v>
      </c>
      <c r="O45" s="306" t="str">
        <f>IFERROR(__xludf.DUMMYFUNCTION("GOOGLETRANSLATE(C45,""zh-tw"",""es-MX"")"),"Doro Asaba comerá las fresas al borde del camino.")</f>
        <v>Doro Asaba comerá las fresas al borde del camino.</v>
      </c>
      <c r="P45" s="149" t="str">
        <f>IFERROR(__xludf.DUMMYFUNCTION("GOOGLETRANSLATE(A45,""zh-tw"",""KO"")"),"아사바")</f>
        <v>아사바</v>
      </c>
      <c r="Q45" s="164" t="str">
        <f>IFERROR(__xludf.DUMMYFUNCTION("GOOGLETRANSLATE(B45,""zh-tw"",""KO"")"),"ASAB의 딸기")</f>
        <v>ASAB의 딸기</v>
      </c>
      <c r="R45" s="306" t="str">
        <f>IFERROR(__xludf.DUMMYFUNCTION("GOOGLETRANSLATE(C45,""zh-tw"",""KO"")"),"도로 아사바는 길가에서 딸기를 먹을 것이다.")</f>
        <v>도로 아사바는 길가에서 딸기를 먹을 것이다.</v>
      </c>
      <c r="S45" s="302" t="str">
        <f>IFERROR(__xludf.DUMMYFUNCTION("GOOGLETRANSLATE(A45,""zh-tw"",""ru"")"),"АСАБА")</f>
        <v>АСАБА</v>
      </c>
      <c r="T45" s="303" t="str">
        <f>IFERROR(__xludf.DUMMYFUNCTION("GOOGLETRANSLATE(B45,""zh-tw"",""ru"")"),"Клубника ASAB")</f>
        <v>Клубника ASAB</v>
      </c>
      <c r="U45" s="304" t="str">
        <f>IFERROR(__xludf.DUMMYFUNCTION("GOOGLETRANSLATE(C45,""zh-tw"",""ru"")"),"Доро Асаба будет есть клубнику у дороги.")</f>
        <v>Доро Асаба будет есть клубнику у дороги.</v>
      </c>
      <c r="V45" s="148" t="s">
        <v>5019</v>
      </c>
      <c r="W45" s="163" t="s">
        <v>5026</v>
      </c>
      <c r="X45" s="301" t="s">
        <v>5027</v>
      </c>
      <c r="Y45" s="154" t="s">
        <v>5028</v>
      </c>
      <c r="Z45" s="41" t="s">
        <v>5029</v>
      </c>
      <c r="AA45" s="308" t="s">
        <v>5030</v>
      </c>
      <c r="AB45" s="149" t="s">
        <v>5019</v>
      </c>
      <c r="AC45" s="164" t="s">
        <v>5031</v>
      </c>
      <c r="AD45" s="301" t="s">
        <v>5032</v>
      </c>
      <c r="AE45" s="20"/>
    </row>
    <row r="46">
      <c r="A46" s="148" t="s">
        <v>5033</v>
      </c>
      <c r="B46" s="163" t="s">
        <v>5034</v>
      </c>
      <c r="C46" s="301" t="s">
        <v>5035</v>
      </c>
      <c r="D46" s="148" t="s">
        <v>5036</v>
      </c>
      <c r="E46" s="163" t="s">
        <v>5037</v>
      </c>
      <c r="F46" s="301" t="s">
        <v>5035</v>
      </c>
      <c r="G46" s="148" t="s">
        <v>5038</v>
      </c>
      <c r="H46" s="163" t="s">
        <v>5039</v>
      </c>
      <c r="I46" s="301" t="s">
        <v>5035</v>
      </c>
      <c r="J46" s="302" t="str">
        <f>IFERROR(__xludf.DUMMYFUNCTION("GOOGLETRANSLATE(A46,""zh-tw"",""zh"")"),"狂暴的ASABA")</f>
        <v>狂暴的ASABA</v>
      </c>
      <c r="K46" s="303" t="str">
        <f>IFERROR(__xludf.DUMMYFUNCTION("GOOGLETRANSLATE(B46,""zh-tw"",""zh"")"),"ASAB的草莓.把草莓夺回来！ !")</f>
        <v>ASAB的草莓.把草莓夺回来！ !</v>
      </c>
      <c r="L46" s="304" t="str">
        <f>IFERROR(__xludf.DUMMYFUNCTION("GOOGLETRANSLATE(C46,""zh-tw"",""zh"")"),"BOSS")</f>
        <v>BOSS</v>
      </c>
      <c r="M46" s="149" t="str">
        <f>IFERROR(__xludf.DUMMYFUNCTION("GOOGLETRANSLATE(A46,""zh-tw"",""es-MX"")"),"Berserk ASABA")</f>
        <v>Berserk ASABA</v>
      </c>
      <c r="N46" s="164" t="str">
        <f>IFERROR(__xludf.DUMMYFUNCTION("GOOGLETRANSLATE(B46,""zh-tw"",""es-MX"")"),"Fresas de ASAB. ¡Llévenselas!")</f>
        <v>Fresas de ASAB. ¡Llévenselas!</v>
      </c>
      <c r="O46" s="301" t="s">
        <v>5035</v>
      </c>
      <c r="P46" s="149" t="str">
        <f>IFERROR(__xludf.DUMMYFUNCTION("GOOGLETRANSLATE(A46,""zh-tw"",""KO"")"),"베르세르크 아사바")</f>
        <v>베르세르크 아사바</v>
      </c>
      <c r="Q46" s="164" t="str">
        <f>IFERROR(__xludf.DUMMYFUNCTION("GOOGLETRANSLATE(B46,""zh-tw"",""KO"")"),"ASAB의 딸기. 딸기를 돌려주세요!")</f>
        <v>ASAB의 딸기. 딸기를 돌려주세요!</v>
      </c>
      <c r="R46" s="301" t="s">
        <v>5035</v>
      </c>
      <c r="S46" s="302" t="str">
        <f>IFERROR(__xludf.DUMMYFUNCTION("GOOGLETRANSLATE(A46,""zh-tw"",""ru"")"),"Берсерк ASABA")</f>
        <v>Берсерк ASABA</v>
      </c>
      <c r="T46" s="303" t="str">
        <f>IFERROR(__xludf.DUMMYFUNCTION("GOOGLETRANSLATE(B46,""zh-tw"",""ru"")"),"Клубника от ASAB. Заберите клубнику обратно!")</f>
        <v>Клубника от ASAB. Заберите клубнику обратно!</v>
      </c>
      <c r="U46" s="301" t="s">
        <v>5035</v>
      </c>
      <c r="V46" s="148"/>
      <c r="W46" s="163" t="s">
        <v>5040</v>
      </c>
      <c r="X46" s="301" t="s">
        <v>5035</v>
      </c>
      <c r="Y46" s="154" t="s">
        <v>5028</v>
      </c>
      <c r="Z46" s="41" t="s">
        <v>5041</v>
      </c>
      <c r="AA46" s="308" t="s">
        <v>5035</v>
      </c>
      <c r="AB46" s="149" t="s">
        <v>5042</v>
      </c>
      <c r="AC46" s="164" t="s">
        <v>5043</v>
      </c>
      <c r="AD46" s="306" t="s">
        <v>5044</v>
      </c>
      <c r="AE46" s="20"/>
    </row>
    <row r="47">
      <c r="A47" s="149" t="s">
        <v>5045</v>
      </c>
      <c r="B47" s="164" t="s">
        <v>5046</v>
      </c>
      <c r="C47" s="301" t="s">
        <v>5035</v>
      </c>
      <c r="D47" s="149" t="s">
        <v>5047</v>
      </c>
      <c r="E47" s="164" t="s">
        <v>5048</v>
      </c>
      <c r="F47" s="301" t="s">
        <v>5035</v>
      </c>
      <c r="G47" s="149" t="s">
        <v>5049</v>
      </c>
      <c r="H47" s="163" t="s">
        <v>5050</v>
      </c>
      <c r="I47" s="301" t="s">
        <v>5035</v>
      </c>
      <c r="J47" s="302" t="str">
        <f>IFERROR(__xludf.DUMMYFUNCTION("GOOGLETRANSLATE(A47,""zh-tw"",""zh"")"),"箱庭的白兔")</f>
        <v>箱庭的白兔</v>
      </c>
      <c r="K47" s="303" t="str">
        <f>IFERROR(__xludf.DUMMYFUNCTION("GOOGLETRANSLATE(B47,""zh-tw"",""zh"")"),"胡萝卜大剑/胡萝卜")</f>
        <v>胡萝卜大剑/胡萝卜</v>
      </c>
      <c r="L47" s="304" t="str">
        <f>IFERROR(__xludf.DUMMYFUNCTION("GOOGLETRANSLATE(C47,""zh-tw"",""zh"")"),"BOSS")</f>
        <v>BOSS</v>
      </c>
      <c r="M47" s="149" t="str">
        <f>IFERROR(__xludf.DUMMYFUNCTION("GOOGLETRANSLATE(A47,""zh-tw"",""es-MX"")"),"El conejo blanco del pequeño jardín")</f>
        <v>El conejo blanco del pequeño jardín</v>
      </c>
      <c r="N47" s="164" t="str">
        <f>IFERROR(__xludf.DUMMYFUNCTION("GOOGLETRANSLATE(B47,""zh-tw"",""es-MX"")"),"Espada de zanahoria / Zanahoria")</f>
        <v>Espada de zanahoria / Zanahoria</v>
      </c>
      <c r="O47" s="301" t="s">
        <v>5051</v>
      </c>
      <c r="P47" s="149" t="str">
        <f>IFERROR(__xludf.DUMMYFUNCTION("GOOGLETRANSLATE(A47,""zh-tw"",""KO"")"),"작은 정원의 흰 토끼")</f>
        <v>작은 정원의 흰 토끼</v>
      </c>
      <c r="Q47" s="164" t="str">
        <f>IFERROR(__xludf.DUMMYFUNCTION("GOOGLETRANSLATE(B47,""zh-tw"",""KO"")"),"당근 검 / 당근")</f>
        <v>당근 검 / 당근</v>
      </c>
      <c r="R47" s="301" t="s">
        <v>5035</v>
      </c>
      <c r="S47" s="302" t="str">
        <f>IFERROR(__xludf.DUMMYFUNCTION("GOOGLETRANSLATE(A47,""zh-tw"",""ru"")"),"Белый кролик маленького сада")</f>
        <v>Белый кролик маленького сада</v>
      </c>
      <c r="T47" s="303" t="str">
        <f>IFERROR(__xludf.DUMMYFUNCTION("GOOGLETRANSLATE(B47,""zh-tw"",""ru"")"),"Морковный меч / Морковь")</f>
        <v>Морковный меч / Морковь</v>
      </c>
      <c r="U47" s="301" t="s">
        <v>5035</v>
      </c>
      <c r="V47" s="149" t="s">
        <v>5052</v>
      </c>
      <c r="W47" s="164" t="s">
        <v>5053</v>
      </c>
      <c r="X47" s="301" t="s">
        <v>5051</v>
      </c>
      <c r="Y47" s="149" t="s">
        <v>5054</v>
      </c>
      <c r="Z47" s="164" t="s">
        <v>5055</v>
      </c>
      <c r="AA47" s="308" t="s">
        <v>5035</v>
      </c>
      <c r="AB47" s="149" t="s">
        <v>5049</v>
      </c>
      <c r="AC47" s="164" t="s">
        <v>5056</v>
      </c>
      <c r="AD47" s="306" t="s">
        <v>5044</v>
      </c>
      <c r="AE47" s="20"/>
    </row>
    <row r="48">
      <c r="A48" s="148" t="s">
        <v>5057</v>
      </c>
      <c r="B48" s="163" t="s">
        <v>5058</v>
      </c>
      <c r="C48" s="301" t="s">
        <v>792</v>
      </c>
      <c r="D48" s="148" t="s">
        <v>5059</v>
      </c>
      <c r="E48" s="163" t="s">
        <v>5060</v>
      </c>
      <c r="F48" s="306"/>
      <c r="G48" s="148" t="s">
        <v>5061</v>
      </c>
      <c r="H48" s="163" t="s">
        <v>5062</v>
      </c>
      <c r="I48" s="301" t="s">
        <v>792</v>
      </c>
      <c r="J48" s="302" t="str">
        <f>IFERROR(__xludf.DUMMYFUNCTION("GOOGLETRANSLATE(A48,""zh-tw"",""zh"")"),"邪恶斗篷")</f>
        <v>邪恶斗篷</v>
      </c>
      <c r="K48" s="303" t="str">
        <f>IFERROR(__xludf.DUMMYFUNCTION("GOOGLETRANSLATE(B48,""zh-tw"",""zh"")"),"来自地狱/夜雾幻影/调皮的杰克")</f>
        <v>来自地狱/夜雾幻影/调皮的杰克</v>
      </c>
      <c r="L48" s="304" t="str">
        <f>IFERROR(__xludf.DUMMYFUNCTION("GOOGLETRANSLATE(C48,""zh-tw"",""zh"")"),"-")</f>
        <v>-</v>
      </c>
      <c r="M48" s="149" t="str">
        <f>IFERROR(__xludf.DUMMYFUNCTION("GOOGLETRANSLATE(A48,""zh-tw"",""es-MX"")"),"Capa malvada")</f>
        <v>Capa malvada</v>
      </c>
      <c r="N48" s="164" t="str">
        <f>IFERROR(__xludf.DUMMYFUNCTION("GOOGLETRANSLATE(B48,""zh-tw"",""es-MX"")"),"Desde el infierno/Fantasma de la niebla nocturna/Jack el travieso")</f>
        <v>Desde el infierno/Fantasma de la niebla nocturna/Jack el travieso</v>
      </c>
      <c r="O48" s="306" t="str">
        <f>IFERROR(__xludf.DUMMYFUNCTION("GOOGLETRANSLATE(C48,""zh-tw"",""es-MX"")"),"-")</f>
        <v>-</v>
      </c>
      <c r="P48" s="149" t="str">
        <f>IFERROR(__xludf.DUMMYFUNCTION("GOOGLETRANSLATE(A48,""zh-tw"",""KO"")"),"사악한 망토")</f>
        <v>사악한 망토</v>
      </c>
      <c r="Q48" s="164" t="str">
        <f>IFERROR(__xludf.DUMMYFUNCTION("GOOGLETRANSLATE(B48,""zh-tw"",""KO"")"),"지옥에서 온/밤안개 유령/장난꾸러기 잭")</f>
        <v>지옥에서 온/밤안개 유령/장난꾸러기 잭</v>
      </c>
      <c r="R48" s="306" t="str">
        <f>IFERROR(__xludf.DUMMYFUNCTION("GOOGLETRANSLATE(C48,""zh-tw"",""KO"")"),"-")</f>
        <v>-</v>
      </c>
      <c r="S48" s="302" t="str">
        <f>IFERROR(__xludf.DUMMYFUNCTION("GOOGLETRANSLATE(A48,""zh-tw"",""ru"")"),"Злой Плащ")</f>
        <v>Злой Плащ</v>
      </c>
      <c r="T48" s="303" t="str">
        <f>IFERROR(__xludf.DUMMYFUNCTION("GOOGLETRANSLATE(B48,""zh-tw"",""ru"")"),"Из ада/Ночной туманный призрак/Озорной Джек")</f>
        <v>Из ада/Ночной туманный призрак/Озорной Джек</v>
      </c>
      <c r="U48" s="304" t="str">
        <f>IFERROR(__xludf.DUMMYFUNCTION("GOOGLETRANSLATE(C48,""zh-tw"",""ru"")"),"-")</f>
        <v>-</v>
      </c>
      <c r="V48" s="148" t="s">
        <v>5063</v>
      </c>
      <c r="W48" s="163" t="s">
        <v>5064</v>
      </c>
      <c r="X48" s="301" t="s">
        <v>792</v>
      </c>
      <c r="Y48" s="154" t="s">
        <v>5065</v>
      </c>
      <c r="Z48" s="163" t="s">
        <v>5066</v>
      </c>
      <c r="AA48" s="308" t="s">
        <v>792</v>
      </c>
      <c r="AB48" s="149" t="s">
        <v>5061</v>
      </c>
      <c r="AC48" s="164" t="s">
        <v>5067</v>
      </c>
      <c r="AD48" s="306" t="s">
        <v>792</v>
      </c>
      <c r="AE48" s="20"/>
    </row>
    <row r="49">
      <c r="A49" s="148" t="s">
        <v>5068</v>
      </c>
      <c r="B49" s="41" t="s">
        <v>5069</v>
      </c>
      <c r="C49" s="301" t="s">
        <v>5070</v>
      </c>
      <c r="D49" s="148" t="s">
        <v>5071</v>
      </c>
      <c r="E49" s="163" t="s">
        <v>5072</v>
      </c>
      <c r="F49" s="301" t="s">
        <v>5073</v>
      </c>
      <c r="G49" s="148" t="s">
        <v>5074</v>
      </c>
      <c r="H49" s="163" t="s">
        <v>5075</v>
      </c>
      <c r="I49" s="301" t="s">
        <v>5076</v>
      </c>
      <c r="J49" s="302" t="str">
        <f>IFERROR(__xludf.DUMMYFUNCTION("GOOGLETRANSLATE(A49,""zh-tw"",""zh"")"),"萨卡班甲鱼(小)")</f>
        <v>萨卡班甲鱼(小)</v>
      </c>
      <c r="K49" s="303" t="str">
        <f>IFERROR(__xludf.DUMMYFUNCTION("GOOGLETRANSLATE(B49,""zh-tw"",""zh"")"),"◉▽◉(蓝色)")</f>
        <v>◉▽◉(蓝色)</v>
      </c>
      <c r="L49" s="304" t="str">
        <f>IFERROR(__xludf.DUMMYFUNCTION("GOOGLETRANSLATE(C49,""zh-tw"",""zh"")"),"使用炸弹炸水面")</f>
        <v>使用炸弹炸水面</v>
      </c>
      <c r="M49" s="149" t="str">
        <f>IFERROR(__xludf.DUMMYFUNCTION("GOOGLETRANSLATE(A49,""zh-tw"",""es-MX"")"),"Tortuga Sakaban (pequeña)")</f>
        <v>Tortuga Sakaban (pequeña)</v>
      </c>
      <c r="N49" s="164" t="str">
        <f>IFERROR(__xludf.DUMMYFUNCTION("GOOGLETRANSLATE(B49,""zh-tw"",""es-MX"")"),"◉▽◉ (Azul)")</f>
        <v>◉▽◉ (Azul)</v>
      </c>
      <c r="O49" s="306"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4" t="str">
        <f>IFERROR(__xludf.DUMMYFUNCTION("GOOGLETRANSLATE(B49,""zh-tw"",""KO"")"),"◉▽◉ (파란색)")</f>
        <v>◉▽◉ (파란색)</v>
      </c>
      <c r="R49" s="306" t="str">
        <f>IFERROR(__xludf.DUMMYFUNCTION("GOOGLETRANSLATE(C49,""zh-tw"",""KO"")"),"폭탄을 사용하여 수면을 폭파하세요")</f>
        <v>폭탄을 사용하여 수면을 폭파하세요</v>
      </c>
      <c r="S49" s="302" t="str">
        <f>IFERROR(__xludf.DUMMYFUNCTION("GOOGLETRANSLATE(A49,""zh-tw"",""ru"")"),"Сакабанская черепаха (маленькая)")</f>
        <v>Сакабанская черепаха (маленькая)</v>
      </c>
      <c r="T49" s="303" t="str">
        <f>IFERROR(__xludf.DUMMYFUNCTION("GOOGLETRANSLATE(B49,""zh-tw"",""ru"")"),"◉▽◉ (Синий)")</f>
        <v>◉▽◉ (Синий)</v>
      </c>
      <c r="U49" s="304" t="str">
        <f>IFERROR(__xludf.DUMMYFUNCTION("GOOGLETRANSLATE(C49,""zh-tw"",""ru"")"),"Используйте бомбы, чтобы взорвать поверхность воды.")</f>
        <v>Используйте бомбы, чтобы взорвать поверхность воды.</v>
      </c>
      <c r="V49" s="148" t="s">
        <v>5077</v>
      </c>
      <c r="W49" s="309" t="s">
        <v>5078</v>
      </c>
      <c r="X49" s="301" t="s">
        <v>5079</v>
      </c>
      <c r="Y49" s="154" t="s">
        <v>5080</v>
      </c>
      <c r="Z49" s="41" t="s">
        <v>5081</v>
      </c>
      <c r="AA49" s="308" t="s">
        <v>5082</v>
      </c>
      <c r="AB49" s="149" t="s">
        <v>5083</v>
      </c>
      <c r="AC49" s="164" t="s">
        <v>5084</v>
      </c>
      <c r="AD49" s="306" t="s">
        <v>5085</v>
      </c>
      <c r="AE49" s="20"/>
    </row>
    <row r="50">
      <c r="A50" s="148" t="s">
        <v>5086</v>
      </c>
      <c r="B50" s="164" t="s">
        <v>5087</v>
      </c>
      <c r="C50" s="301" t="s">
        <v>5070</v>
      </c>
      <c r="D50" s="148" t="s">
        <v>5088</v>
      </c>
      <c r="E50" s="163" t="s">
        <v>5089</v>
      </c>
      <c r="F50" s="301" t="s">
        <v>5073</v>
      </c>
      <c r="G50" s="148" t="s">
        <v>5090</v>
      </c>
      <c r="H50" s="163" t="s">
        <v>5091</v>
      </c>
      <c r="I50" s="301" t="s">
        <v>5076</v>
      </c>
      <c r="J50" s="302" t="str">
        <f>IFERROR(__xludf.DUMMYFUNCTION("GOOGLETRANSLATE(A50,""zh-tw"",""zh"")"),"萨卡班甲鱼(大)")</f>
        <v>萨卡班甲鱼(大)</v>
      </c>
      <c r="K50" s="303" t="str">
        <f>IFERROR(__xludf.DUMMYFUNCTION("GOOGLETRANSLATE(B50,""zh-tw"",""zh"")"),"◉▽◉(紫色)")</f>
        <v>◉▽◉(紫色)</v>
      </c>
      <c r="L50" s="304" t="str">
        <f>IFERROR(__xludf.DUMMYFUNCTION("GOOGLETRANSLATE(C50,""zh-tw"",""zh"")"),"使用炸弹炸水面")</f>
        <v>使用炸弹炸水面</v>
      </c>
      <c r="M50" s="149" t="str">
        <f>IFERROR(__xludf.DUMMYFUNCTION("GOOGLETRANSLATE(A50,""zh-tw"",""es-MX"")"),"Tortuga Sakaban (grande)")</f>
        <v>Tortuga Sakaban (grande)</v>
      </c>
      <c r="N50" s="164" t="str">
        <f>IFERROR(__xludf.DUMMYFUNCTION("GOOGLETRANSLATE(B50,""zh-tw"",""es-MX"")"),"◉▽◉(púrpura)")</f>
        <v>◉▽◉(púrpura)</v>
      </c>
      <c r="O50" s="306"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4" t="str">
        <f>IFERROR(__xludf.DUMMYFUNCTION("GOOGLETRANSLATE(B50,""zh-tw"",""KO"")"),"◉▽◉(보라색)")</f>
        <v>◉▽◉(보라색)</v>
      </c>
      <c r="R50" s="306" t="str">
        <f>IFERROR(__xludf.DUMMYFUNCTION("GOOGLETRANSLATE(C50,""zh-tw"",""KO"")"),"폭탄을 사용하여 수면을 폭파하세요")</f>
        <v>폭탄을 사용하여 수면을 폭파하세요</v>
      </c>
      <c r="S50" s="302" t="str">
        <f>IFERROR(__xludf.DUMMYFUNCTION("GOOGLETRANSLATE(A50,""zh-tw"",""ru"")"),"Сакабанская черепаха (большая)")</f>
        <v>Сакабанская черепаха (большая)</v>
      </c>
      <c r="T50" s="303" t="str">
        <f>IFERROR(__xludf.DUMMYFUNCTION("GOOGLETRANSLATE(B50,""zh-tw"",""ru"")"),"◉▽◉(фиолетовый)")</f>
        <v>◉▽◉(фиолетовый)</v>
      </c>
      <c r="U50" s="304" t="str">
        <f>IFERROR(__xludf.DUMMYFUNCTION("GOOGLETRANSLATE(C50,""zh-tw"",""ru"")"),"Используйте бомбы, чтобы взорвать поверхность воды.")</f>
        <v>Используйте бомбы, чтобы взорвать поверхность воды.</v>
      </c>
      <c r="V50" s="148" t="s">
        <v>5092</v>
      </c>
      <c r="W50" s="309" t="s">
        <v>5093</v>
      </c>
      <c r="X50" s="301" t="s">
        <v>5079</v>
      </c>
      <c r="Y50" s="154" t="s">
        <v>5094</v>
      </c>
      <c r="Z50" s="164" t="s">
        <v>5095</v>
      </c>
      <c r="AA50" s="308" t="s">
        <v>5082</v>
      </c>
      <c r="AB50" s="149" t="s">
        <v>5096</v>
      </c>
      <c r="AC50" s="164" t="s">
        <v>5097</v>
      </c>
      <c r="AD50" s="306" t="s">
        <v>5085</v>
      </c>
      <c r="AE50" s="20"/>
    </row>
    <row r="51">
      <c r="A51" s="148" t="s">
        <v>5098</v>
      </c>
      <c r="B51" s="163" t="s">
        <v>5099</v>
      </c>
      <c r="C51" s="301" t="s">
        <v>5100</v>
      </c>
      <c r="D51" s="148" t="s">
        <v>5101</v>
      </c>
      <c r="E51" s="163" t="s">
        <v>5102</v>
      </c>
      <c r="F51" s="301" t="s">
        <v>5103</v>
      </c>
      <c r="G51" s="148" t="s">
        <v>5104</v>
      </c>
      <c r="H51" s="163" t="s">
        <v>5105</v>
      </c>
      <c r="I51" s="301" t="s">
        <v>5106</v>
      </c>
      <c r="J51" s="302" t="str">
        <f>IFERROR(__xludf.DUMMYFUNCTION("GOOGLETRANSLATE(A51,""zh-tw"",""zh"")"),"应该已经灭绝的河之主!?")</f>
        <v>应该已经灭绝的河之主!?</v>
      </c>
      <c r="K51" s="303" t="str">
        <f>IFERROR(__xludf.DUMMYFUNCTION("GOOGLETRANSLATE(B51,""zh-tw"",""zh"")"),"◉▽◉(粉色)/王权之令")</f>
        <v>◉▽◉(粉色)/王权之令</v>
      </c>
      <c r="L51" s="304" t="str">
        <f>IFERROR(__xludf.DUMMYFUNCTION("GOOGLETRANSLATE(C51,""zh-tw"",""zh"")"),"BOSS
弱点：雷")</f>
        <v>BOSS
弱点：雷</v>
      </c>
      <c r="M51" s="149" t="str">
        <f>IFERROR(__xludf.DUMMYFUNCTION("GOOGLETRANSLATE(A51,""zh-tw"",""es-MX"")"),"¡El Señor del Río, que ya debería estar extinto!?")</f>
        <v>¡El Señor del Río, que ya debería estar extinto!?</v>
      </c>
      <c r="N51" s="164" t="str">
        <f>IFERROR(__xludf.DUMMYFUNCTION("GOOGLETRANSLATE(B51,""zh-tw"",""es-MX"")"),"◉▽◉(Rosa)/Decreto Real")</f>
        <v>◉▽◉(Rosa)/Decreto Real</v>
      </c>
      <c r="O51" s="306" t="str">
        <f>IFERROR(__xludf.DUMMYFUNCTION("GOOGLETRANSLATE(C51,""zh-tw"",""es-MX"")"),"Debilidad del JEFE: Rayo")</f>
        <v>Debilidad del JEFE: Rayo</v>
      </c>
      <c r="P51" s="149" t="str">
        <f>IFERROR(__xludf.DUMMYFUNCTION("GOOGLETRANSLATE(A51,""zh-tw"",""KO"")"),"이미 멸종했어야 할 강의 군주!?")</f>
        <v>이미 멸종했어야 할 강의 군주!?</v>
      </c>
      <c r="Q51" s="164" t="str">
        <f>IFERROR(__xludf.DUMMYFUNCTION("GOOGLETRANSLATE(B51,""zh-tw"",""KO"")"),"◉▽◉(분홍색)/왕령")</f>
        <v>◉▽◉(분홍색)/왕령</v>
      </c>
      <c r="R51" s="306" t="str">
        <f>IFERROR(__xludf.DUMMYFUNCTION("GOOGLETRANSLATE(C51,""zh-tw"",""KO"")"),"보스 약점: 번개")</f>
        <v>보스 약점: 번개</v>
      </c>
      <c r="S51" s="302" t="str">
        <f>IFERROR(__xludf.DUMMYFUNCTION("GOOGLETRANSLATE(A51,""zh-tw"",""ru"")"),"Речной Лорд, который уже должен был вымереть!?")</f>
        <v>Речной Лорд, который уже должен был вымереть!?</v>
      </c>
      <c r="T51" s="303" t="str">
        <f>IFERROR(__xludf.DUMMYFUNCTION("GOOGLETRANSLATE(B51,""zh-tw"",""ru"")"),"◉▽◉(Розовый)/Королевский указ")</f>
        <v>◉▽◉(Розовый)/Королевский указ</v>
      </c>
      <c r="U51" s="304" t="str">
        <f>IFERROR(__xludf.DUMMYFUNCTION("GOOGLETRANSLATE(C51,""zh-tw"",""ru"")"),"Слабость БОССА: Молния")</f>
        <v>Слабость БОССА: Молния</v>
      </c>
      <c r="V51" s="148" t="s">
        <v>5107</v>
      </c>
      <c r="W51" s="309" t="s">
        <v>5108</v>
      </c>
      <c r="X51" s="301" t="s">
        <v>5109</v>
      </c>
      <c r="Y51" s="154" t="s">
        <v>5110</v>
      </c>
      <c r="Z51" s="41" t="s">
        <v>5111</v>
      </c>
      <c r="AA51" s="308" t="s">
        <v>5112</v>
      </c>
      <c r="AB51" s="149" t="s">
        <v>5113</v>
      </c>
      <c r="AC51" s="164" t="s">
        <v>5114</v>
      </c>
      <c r="AD51" s="306" t="s">
        <v>5115</v>
      </c>
      <c r="AE51" s="20"/>
    </row>
    <row r="52">
      <c r="A52" s="149"/>
      <c r="B52" s="164"/>
      <c r="C52" s="306"/>
      <c r="D52" s="149"/>
      <c r="E52" s="164"/>
      <c r="F52" s="306"/>
      <c r="G52" s="149"/>
      <c r="H52" s="164"/>
      <c r="I52" s="306"/>
      <c r="J52" s="149"/>
      <c r="K52" s="164"/>
      <c r="L52" s="306"/>
      <c r="M52" s="310"/>
      <c r="N52" s="311"/>
      <c r="O52" s="312"/>
      <c r="P52" s="310"/>
      <c r="Q52" s="311"/>
      <c r="R52" s="312"/>
      <c r="S52" s="310"/>
      <c r="T52" s="311"/>
      <c r="U52" s="312"/>
      <c r="V52" s="149"/>
      <c r="W52" s="311"/>
      <c r="X52" s="306"/>
      <c r="Y52" s="154"/>
      <c r="Z52" s="41"/>
      <c r="AA52" s="308"/>
      <c r="AB52" s="20"/>
      <c r="AC52" s="20"/>
      <c r="AD52" s="20"/>
      <c r="AE52" s="20"/>
    </row>
    <row r="53">
      <c r="A53" s="149"/>
      <c r="B53" s="164"/>
      <c r="C53" s="306"/>
      <c r="D53" s="149"/>
      <c r="E53" s="164"/>
      <c r="F53" s="306"/>
      <c r="G53" s="149"/>
      <c r="H53" s="164"/>
      <c r="I53" s="306"/>
      <c r="J53" s="149"/>
      <c r="K53" s="164"/>
      <c r="L53" s="306"/>
      <c r="M53" s="310"/>
      <c r="N53" s="311"/>
      <c r="O53" s="312"/>
      <c r="P53" s="310"/>
      <c r="Q53" s="311"/>
      <c r="R53" s="312"/>
      <c r="S53" s="310"/>
      <c r="T53" s="311"/>
      <c r="U53" s="312"/>
      <c r="V53" s="149"/>
      <c r="W53" s="311"/>
      <c r="X53" s="306"/>
      <c r="Y53" s="154"/>
      <c r="Z53" s="41"/>
      <c r="AA53" s="308"/>
      <c r="AB53" s="20"/>
      <c r="AC53" s="20"/>
      <c r="AD53" s="20"/>
      <c r="AE53" s="20"/>
    </row>
    <row r="54">
      <c r="A54" s="149"/>
      <c r="B54" s="164"/>
      <c r="C54" s="306"/>
      <c r="D54" s="149"/>
      <c r="E54" s="164"/>
      <c r="F54" s="306"/>
      <c r="G54" s="149"/>
      <c r="H54" s="164"/>
      <c r="I54" s="306"/>
      <c r="J54" s="149"/>
      <c r="K54" s="164"/>
      <c r="L54" s="306"/>
      <c r="M54" s="310"/>
      <c r="N54" s="311"/>
      <c r="O54" s="312"/>
      <c r="P54" s="310"/>
      <c r="Q54" s="311"/>
      <c r="R54" s="312"/>
      <c r="S54" s="310"/>
      <c r="T54" s="311"/>
      <c r="U54" s="312"/>
      <c r="V54" s="149"/>
      <c r="W54" s="311"/>
      <c r="X54" s="306"/>
      <c r="Y54" s="154"/>
      <c r="Z54" s="41"/>
      <c r="AA54" s="308"/>
      <c r="AB54" s="20"/>
      <c r="AC54" s="20"/>
      <c r="AD54" s="20"/>
      <c r="AE54" s="20"/>
    </row>
    <row r="55">
      <c r="A55" s="149"/>
      <c r="B55" s="164"/>
      <c r="C55" s="306"/>
      <c r="D55" s="149"/>
      <c r="E55" s="164"/>
      <c r="F55" s="306"/>
      <c r="G55" s="149"/>
      <c r="H55" s="164"/>
      <c r="I55" s="306"/>
      <c r="J55" s="149"/>
      <c r="K55" s="164"/>
      <c r="L55" s="306"/>
      <c r="M55" s="310"/>
      <c r="N55" s="311"/>
      <c r="O55" s="312"/>
      <c r="P55" s="310"/>
      <c r="Q55" s="311"/>
      <c r="R55" s="312"/>
      <c r="S55" s="310"/>
      <c r="T55" s="311"/>
      <c r="U55" s="312"/>
      <c r="V55" s="149"/>
      <c r="W55" s="311"/>
      <c r="X55" s="306"/>
      <c r="Y55" s="154"/>
      <c r="Z55" s="41"/>
      <c r="AA55" s="308"/>
      <c r="AB55" s="20"/>
      <c r="AC55" s="20"/>
      <c r="AD55" s="20"/>
      <c r="AE55" s="20"/>
    </row>
    <row r="56">
      <c r="A56" s="149"/>
      <c r="B56" s="164"/>
      <c r="C56" s="306"/>
      <c r="D56" s="149"/>
      <c r="E56" s="164"/>
      <c r="F56" s="306"/>
      <c r="G56" s="149"/>
      <c r="H56" s="164"/>
      <c r="I56" s="306"/>
      <c r="J56" s="149"/>
      <c r="K56" s="164"/>
      <c r="L56" s="306"/>
      <c r="M56" s="310"/>
      <c r="N56" s="311"/>
      <c r="O56" s="312"/>
      <c r="P56" s="310"/>
      <c r="Q56" s="311"/>
      <c r="R56" s="312"/>
      <c r="S56" s="310"/>
      <c r="T56" s="311"/>
      <c r="U56" s="312"/>
      <c r="V56" s="149"/>
      <c r="W56" s="311"/>
      <c r="X56" s="306"/>
      <c r="Y56" s="154"/>
      <c r="Z56" s="41"/>
      <c r="AA56" s="308"/>
      <c r="AB56" s="20"/>
      <c r="AC56" s="20"/>
      <c r="AD56" s="20"/>
      <c r="AE56" s="20"/>
    </row>
    <row r="57">
      <c r="A57" s="149"/>
      <c r="B57" s="164"/>
      <c r="C57" s="306"/>
      <c r="D57" s="149"/>
      <c r="E57" s="164"/>
      <c r="F57" s="306"/>
      <c r="G57" s="149"/>
      <c r="H57" s="164"/>
      <c r="I57" s="306"/>
      <c r="J57" s="149"/>
      <c r="K57" s="164"/>
      <c r="L57" s="306"/>
      <c r="M57" s="310"/>
      <c r="N57" s="311"/>
      <c r="O57" s="312"/>
      <c r="P57" s="310"/>
      <c r="Q57" s="311"/>
      <c r="R57" s="312"/>
      <c r="S57" s="310"/>
      <c r="T57" s="311"/>
      <c r="U57" s="312"/>
      <c r="V57" s="149"/>
      <c r="W57" s="311"/>
      <c r="X57" s="306"/>
      <c r="Y57" s="154"/>
      <c r="Z57" s="41"/>
      <c r="AA57" s="308"/>
      <c r="AB57" s="20"/>
      <c r="AC57" s="20"/>
      <c r="AD57" s="20"/>
      <c r="AE57" s="20"/>
    </row>
    <row r="58">
      <c r="A58" s="149"/>
      <c r="B58" s="164"/>
      <c r="C58" s="306"/>
      <c r="D58" s="149"/>
      <c r="E58" s="164"/>
      <c r="F58" s="306"/>
      <c r="G58" s="149"/>
      <c r="H58" s="164"/>
      <c r="I58" s="306"/>
      <c r="J58" s="149"/>
      <c r="K58" s="164"/>
      <c r="L58" s="306"/>
      <c r="M58" s="310"/>
      <c r="N58" s="311"/>
      <c r="O58" s="312"/>
      <c r="P58" s="310"/>
      <c r="Q58" s="311"/>
      <c r="R58" s="312"/>
      <c r="S58" s="310"/>
      <c r="T58" s="311"/>
      <c r="U58" s="312"/>
      <c r="V58" s="149"/>
      <c r="W58" s="311"/>
      <c r="X58" s="306"/>
      <c r="Y58" s="154"/>
      <c r="Z58" s="41"/>
      <c r="AA58" s="308"/>
      <c r="AB58" s="20"/>
      <c r="AC58" s="20"/>
      <c r="AD58" s="20"/>
      <c r="AE58" s="20"/>
    </row>
    <row r="59">
      <c r="A59" s="149"/>
      <c r="B59" s="164"/>
      <c r="C59" s="306"/>
      <c r="D59" s="149"/>
      <c r="E59" s="164"/>
      <c r="F59" s="306"/>
      <c r="G59" s="149"/>
      <c r="H59" s="164"/>
      <c r="I59" s="306"/>
      <c r="J59" s="149"/>
      <c r="K59" s="164"/>
      <c r="L59" s="306"/>
      <c r="M59" s="310"/>
      <c r="N59" s="311"/>
      <c r="O59" s="312"/>
      <c r="P59" s="310"/>
      <c r="Q59" s="311"/>
      <c r="R59" s="312"/>
      <c r="S59" s="310"/>
      <c r="T59" s="311"/>
      <c r="U59" s="312"/>
      <c r="V59" s="149"/>
      <c r="W59" s="311"/>
      <c r="X59" s="306"/>
      <c r="Y59" s="154"/>
      <c r="Z59" s="41"/>
      <c r="AA59" s="308"/>
      <c r="AB59" s="20"/>
      <c r="AC59" s="20"/>
      <c r="AD59" s="20"/>
      <c r="AE59" s="20"/>
    </row>
    <row r="60">
      <c r="A60" s="149"/>
      <c r="B60" s="164"/>
      <c r="C60" s="306"/>
      <c r="D60" s="149"/>
      <c r="E60" s="164"/>
      <c r="F60" s="306"/>
      <c r="G60" s="149"/>
      <c r="H60" s="164"/>
      <c r="I60" s="306"/>
      <c r="J60" s="149"/>
      <c r="K60" s="164"/>
      <c r="L60" s="306"/>
      <c r="M60" s="310"/>
      <c r="N60" s="311"/>
      <c r="O60" s="312"/>
      <c r="P60" s="310"/>
      <c r="Q60" s="311"/>
      <c r="R60" s="312"/>
      <c r="S60" s="310"/>
      <c r="T60" s="311"/>
      <c r="U60" s="312"/>
      <c r="V60" s="149"/>
      <c r="W60" s="311"/>
      <c r="X60" s="306"/>
      <c r="Y60" s="154"/>
      <c r="Z60" s="41"/>
      <c r="AA60" s="308"/>
      <c r="AB60" s="20"/>
      <c r="AC60" s="20"/>
      <c r="AD60" s="20"/>
      <c r="AE60" s="20"/>
    </row>
    <row r="61">
      <c r="A61" s="149"/>
      <c r="B61" s="164"/>
      <c r="C61" s="306"/>
      <c r="D61" s="149"/>
      <c r="E61" s="164"/>
      <c r="F61" s="306"/>
      <c r="G61" s="149"/>
      <c r="H61" s="164"/>
      <c r="I61" s="306"/>
      <c r="J61" s="149"/>
      <c r="K61" s="164"/>
      <c r="L61" s="306"/>
      <c r="M61" s="310"/>
      <c r="N61" s="311"/>
      <c r="O61" s="312"/>
      <c r="P61" s="310"/>
      <c r="Q61" s="311"/>
      <c r="R61" s="312"/>
      <c r="S61" s="310"/>
      <c r="T61" s="311"/>
      <c r="U61" s="312"/>
      <c r="V61" s="149"/>
      <c r="W61" s="311"/>
      <c r="X61" s="306"/>
      <c r="Y61" s="154"/>
      <c r="Z61" s="41"/>
      <c r="AA61" s="308"/>
      <c r="AB61" s="20"/>
      <c r="AC61" s="20"/>
      <c r="AD61" s="20"/>
      <c r="AE61" s="20"/>
    </row>
    <row r="62">
      <c r="A62" s="149"/>
      <c r="B62" s="164"/>
      <c r="C62" s="306"/>
      <c r="D62" s="149"/>
      <c r="E62" s="164"/>
      <c r="F62" s="306"/>
      <c r="G62" s="149"/>
      <c r="H62" s="164"/>
      <c r="I62" s="306"/>
      <c r="J62" s="149"/>
      <c r="K62" s="164"/>
      <c r="L62" s="306"/>
      <c r="M62" s="310"/>
      <c r="N62" s="311"/>
      <c r="O62" s="312"/>
      <c r="P62" s="310"/>
      <c r="Q62" s="311"/>
      <c r="R62" s="312"/>
      <c r="S62" s="310"/>
      <c r="T62" s="311"/>
      <c r="U62" s="312"/>
      <c r="V62" s="149"/>
      <c r="W62" s="311"/>
      <c r="X62" s="306"/>
      <c r="Y62" s="154"/>
      <c r="Z62" s="41"/>
      <c r="AA62" s="308"/>
      <c r="AB62" s="20"/>
      <c r="AC62" s="20"/>
      <c r="AD62" s="20"/>
      <c r="AE62" s="20"/>
    </row>
    <row r="63">
      <c r="A63" s="149"/>
      <c r="B63" s="164"/>
      <c r="C63" s="306"/>
      <c r="D63" s="149"/>
      <c r="E63" s="164"/>
      <c r="F63" s="306"/>
      <c r="G63" s="149"/>
      <c r="H63" s="164"/>
      <c r="I63" s="306"/>
      <c r="J63" s="149"/>
      <c r="K63" s="164"/>
      <c r="L63" s="306"/>
      <c r="M63" s="310"/>
      <c r="N63" s="311"/>
      <c r="O63" s="312"/>
      <c r="P63" s="310"/>
      <c r="Q63" s="311"/>
      <c r="R63" s="312"/>
      <c r="S63" s="310"/>
      <c r="T63" s="311"/>
      <c r="U63" s="312"/>
      <c r="V63" s="149"/>
      <c r="W63" s="311"/>
      <c r="X63" s="306"/>
      <c r="Y63" s="154"/>
      <c r="Z63" s="41"/>
      <c r="AA63" s="308"/>
      <c r="AB63" s="20"/>
      <c r="AC63" s="20"/>
      <c r="AD63" s="20"/>
      <c r="AE63" s="20"/>
    </row>
    <row r="64">
      <c r="A64" s="149"/>
      <c r="B64" s="164"/>
      <c r="C64" s="306"/>
      <c r="D64" s="149"/>
      <c r="E64" s="164"/>
      <c r="F64" s="306"/>
      <c r="G64" s="149"/>
      <c r="H64" s="164"/>
      <c r="I64" s="306"/>
      <c r="J64" s="149"/>
      <c r="K64" s="164"/>
      <c r="L64" s="306"/>
      <c r="M64" s="310"/>
      <c r="N64" s="311"/>
      <c r="O64" s="312"/>
      <c r="P64" s="310"/>
      <c r="Q64" s="311"/>
      <c r="R64" s="312"/>
      <c r="S64" s="310"/>
      <c r="T64" s="311"/>
      <c r="U64" s="312"/>
      <c r="V64" s="149"/>
      <c r="W64" s="311"/>
      <c r="X64" s="306"/>
      <c r="Y64" s="154"/>
      <c r="Z64" s="41"/>
      <c r="AA64" s="308"/>
      <c r="AB64" s="20"/>
      <c r="AC64" s="20"/>
      <c r="AD64" s="20"/>
      <c r="AE64" s="20"/>
    </row>
    <row r="65">
      <c r="A65" s="149"/>
      <c r="B65" s="164"/>
      <c r="C65" s="306"/>
      <c r="D65" s="149"/>
      <c r="E65" s="164"/>
      <c r="F65" s="306"/>
      <c r="G65" s="149"/>
      <c r="H65" s="164"/>
      <c r="I65" s="306"/>
      <c r="J65" s="149"/>
      <c r="K65" s="164"/>
      <c r="L65" s="306"/>
      <c r="M65" s="310"/>
      <c r="N65" s="311"/>
      <c r="O65" s="312"/>
      <c r="P65" s="310"/>
      <c r="Q65" s="311"/>
      <c r="R65" s="312"/>
      <c r="S65" s="310"/>
      <c r="T65" s="311"/>
      <c r="U65" s="312"/>
      <c r="V65" s="149"/>
      <c r="W65" s="311"/>
      <c r="X65" s="306"/>
      <c r="Y65" s="154"/>
      <c r="Z65" s="41"/>
      <c r="AA65" s="308"/>
      <c r="AB65" s="20"/>
      <c r="AC65" s="20"/>
      <c r="AD65" s="20"/>
      <c r="AE65" s="20"/>
    </row>
    <row r="66">
      <c r="A66" s="149"/>
      <c r="B66" s="164"/>
      <c r="C66" s="306"/>
      <c r="D66" s="149"/>
      <c r="E66" s="164"/>
      <c r="F66" s="306"/>
      <c r="G66" s="149"/>
      <c r="H66" s="164"/>
      <c r="I66" s="306"/>
      <c r="J66" s="149"/>
      <c r="K66" s="164"/>
      <c r="L66" s="306"/>
      <c r="M66" s="310"/>
      <c r="N66" s="311"/>
      <c r="O66" s="312"/>
      <c r="P66" s="310"/>
      <c r="Q66" s="311"/>
      <c r="R66" s="312"/>
      <c r="S66" s="310"/>
      <c r="T66" s="311"/>
      <c r="U66" s="312"/>
      <c r="V66" s="149"/>
      <c r="W66" s="311"/>
      <c r="X66" s="306"/>
      <c r="Y66" s="154"/>
      <c r="Z66" s="41"/>
      <c r="AA66" s="308"/>
      <c r="AB66" s="20"/>
      <c r="AC66" s="20"/>
      <c r="AD66" s="20"/>
      <c r="AE66" s="20"/>
    </row>
    <row r="67">
      <c r="A67" s="149"/>
      <c r="B67" s="164"/>
      <c r="C67" s="306"/>
      <c r="D67" s="149"/>
      <c r="E67" s="164"/>
      <c r="F67" s="306"/>
      <c r="G67" s="149"/>
      <c r="H67" s="164"/>
      <c r="I67" s="306"/>
      <c r="J67" s="149"/>
      <c r="K67" s="164"/>
      <c r="L67" s="306"/>
      <c r="M67" s="310"/>
      <c r="N67" s="311"/>
      <c r="O67" s="312"/>
      <c r="P67" s="310"/>
      <c r="Q67" s="311"/>
      <c r="R67" s="312"/>
      <c r="S67" s="310"/>
      <c r="T67" s="311"/>
      <c r="U67" s="312"/>
      <c r="V67" s="149"/>
      <c r="W67" s="311"/>
      <c r="X67" s="306"/>
      <c r="Y67" s="154"/>
      <c r="Z67" s="41"/>
      <c r="AA67" s="308"/>
      <c r="AB67" s="20"/>
      <c r="AC67" s="20"/>
      <c r="AD67" s="20"/>
      <c r="AE67" s="20"/>
    </row>
    <row r="68">
      <c r="A68" s="149"/>
      <c r="B68" s="164"/>
      <c r="C68" s="306"/>
      <c r="D68" s="149"/>
      <c r="E68" s="164"/>
      <c r="F68" s="306"/>
      <c r="G68" s="149"/>
      <c r="H68" s="164"/>
      <c r="I68" s="306"/>
      <c r="J68" s="149"/>
      <c r="K68" s="164"/>
      <c r="L68" s="306"/>
      <c r="M68" s="310"/>
      <c r="N68" s="311"/>
      <c r="O68" s="312"/>
      <c r="P68" s="310"/>
      <c r="Q68" s="311"/>
      <c r="R68" s="312"/>
      <c r="S68" s="310"/>
      <c r="T68" s="311"/>
      <c r="U68" s="312"/>
      <c r="V68" s="149"/>
      <c r="W68" s="311"/>
      <c r="X68" s="306"/>
      <c r="Y68" s="154"/>
      <c r="Z68" s="41"/>
      <c r="AA68" s="308"/>
      <c r="AB68" s="20"/>
      <c r="AC68" s="20"/>
      <c r="AD68" s="20"/>
      <c r="AE68" s="20"/>
    </row>
    <row r="69">
      <c r="A69" s="149"/>
      <c r="B69" s="164"/>
      <c r="C69" s="306"/>
      <c r="D69" s="149"/>
      <c r="E69" s="164"/>
      <c r="F69" s="306"/>
      <c r="G69" s="149"/>
      <c r="H69" s="164"/>
      <c r="I69" s="306"/>
      <c r="J69" s="149"/>
      <c r="K69" s="164"/>
      <c r="L69" s="306"/>
      <c r="M69" s="310"/>
      <c r="N69" s="311"/>
      <c r="O69" s="312"/>
      <c r="P69" s="310"/>
      <c r="Q69" s="311"/>
      <c r="R69" s="312"/>
      <c r="S69" s="310"/>
      <c r="T69" s="311"/>
      <c r="U69" s="312"/>
      <c r="V69" s="149"/>
      <c r="W69" s="311"/>
      <c r="X69" s="306"/>
      <c r="Y69" s="154"/>
      <c r="Z69" s="41"/>
      <c r="AA69" s="308"/>
      <c r="AB69" s="20"/>
      <c r="AC69" s="20"/>
      <c r="AD69" s="20"/>
      <c r="AE69" s="20"/>
    </row>
    <row r="70">
      <c r="A70" s="149"/>
      <c r="B70" s="164"/>
      <c r="C70" s="306"/>
      <c r="D70" s="149"/>
      <c r="E70" s="164"/>
      <c r="F70" s="306"/>
      <c r="G70" s="149"/>
      <c r="H70" s="164"/>
      <c r="I70" s="306"/>
      <c r="J70" s="149"/>
      <c r="K70" s="164"/>
      <c r="L70" s="306"/>
      <c r="M70" s="310"/>
      <c r="N70" s="311"/>
      <c r="O70" s="312"/>
      <c r="P70" s="310"/>
      <c r="Q70" s="311"/>
      <c r="R70" s="312"/>
      <c r="S70" s="310"/>
      <c r="T70" s="311"/>
      <c r="U70" s="312"/>
      <c r="V70" s="149"/>
      <c r="W70" s="311"/>
      <c r="X70" s="306"/>
      <c r="Y70" s="154"/>
      <c r="Z70" s="41"/>
      <c r="AA70" s="308"/>
      <c r="AB70" s="20"/>
      <c r="AC70" s="20"/>
      <c r="AD70" s="20"/>
      <c r="AE70" s="20"/>
    </row>
    <row r="71">
      <c r="A71" s="149"/>
      <c r="B71" s="164"/>
      <c r="C71" s="306"/>
      <c r="D71" s="149"/>
      <c r="E71" s="164"/>
      <c r="F71" s="306"/>
      <c r="G71" s="149"/>
      <c r="H71" s="164"/>
      <c r="I71" s="306"/>
      <c r="J71" s="149"/>
      <c r="K71" s="164"/>
      <c r="L71" s="306"/>
      <c r="M71" s="310"/>
      <c r="N71" s="311"/>
      <c r="O71" s="312"/>
      <c r="P71" s="310"/>
      <c r="Q71" s="311"/>
      <c r="R71" s="312"/>
      <c r="S71" s="310"/>
      <c r="T71" s="311"/>
      <c r="U71" s="312"/>
      <c r="V71" s="149"/>
      <c r="W71" s="311"/>
      <c r="X71" s="306"/>
      <c r="Y71" s="154"/>
      <c r="Z71" s="41"/>
      <c r="AA71" s="308"/>
      <c r="AB71" s="20"/>
      <c r="AC71" s="20"/>
      <c r="AD71" s="20"/>
      <c r="AE71" s="20"/>
    </row>
    <row r="72">
      <c r="A72" s="149"/>
      <c r="B72" s="164"/>
      <c r="C72" s="306"/>
      <c r="D72" s="149"/>
      <c r="E72" s="164"/>
      <c r="F72" s="306"/>
      <c r="G72" s="149"/>
      <c r="H72" s="164"/>
      <c r="I72" s="306"/>
      <c r="J72" s="149"/>
      <c r="K72" s="164"/>
      <c r="L72" s="306"/>
      <c r="M72" s="310"/>
      <c r="N72" s="311"/>
      <c r="O72" s="312"/>
      <c r="P72" s="310"/>
      <c r="Q72" s="311"/>
      <c r="R72" s="312"/>
      <c r="S72" s="310"/>
      <c r="T72" s="311"/>
      <c r="U72" s="312"/>
      <c r="V72" s="149"/>
      <c r="W72" s="311"/>
      <c r="X72" s="306"/>
      <c r="Y72" s="154"/>
      <c r="Z72" s="41"/>
      <c r="AA72" s="308"/>
      <c r="AB72" s="20"/>
      <c r="AC72" s="20"/>
      <c r="AD72" s="20"/>
      <c r="AE72" s="20"/>
    </row>
    <row r="73">
      <c r="A73" s="149"/>
      <c r="B73" s="164"/>
      <c r="C73" s="306"/>
      <c r="D73" s="149"/>
      <c r="E73" s="164"/>
      <c r="F73" s="306"/>
      <c r="G73" s="149"/>
      <c r="H73" s="164"/>
      <c r="I73" s="306"/>
      <c r="J73" s="149"/>
      <c r="K73" s="164"/>
      <c r="L73" s="306"/>
      <c r="M73" s="310"/>
      <c r="N73" s="311"/>
      <c r="O73" s="312"/>
      <c r="P73" s="310"/>
      <c r="Q73" s="311"/>
      <c r="R73" s="312"/>
      <c r="S73" s="310"/>
      <c r="T73" s="311"/>
      <c r="U73" s="312"/>
      <c r="V73" s="149"/>
      <c r="W73" s="311"/>
      <c r="X73" s="306"/>
      <c r="Y73" s="154"/>
      <c r="Z73" s="41"/>
      <c r="AA73" s="308"/>
      <c r="AB73" s="20"/>
      <c r="AC73" s="20"/>
      <c r="AD73" s="20"/>
      <c r="AE73" s="20"/>
    </row>
    <row r="74">
      <c r="A74" s="149"/>
      <c r="B74" s="164"/>
      <c r="C74" s="306"/>
      <c r="D74" s="149"/>
      <c r="E74" s="164"/>
      <c r="F74" s="306"/>
      <c r="G74" s="149"/>
      <c r="H74" s="164"/>
      <c r="I74" s="306"/>
      <c r="J74" s="149"/>
      <c r="K74" s="164"/>
      <c r="L74" s="306"/>
      <c r="M74" s="310"/>
      <c r="N74" s="311"/>
      <c r="O74" s="312"/>
      <c r="P74" s="310"/>
      <c r="Q74" s="311"/>
      <c r="R74" s="312"/>
      <c r="S74" s="310"/>
      <c r="T74" s="311"/>
      <c r="U74" s="312"/>
      <c r="V74" s="149"/>
      <c r="W74" s="311"/>
      <c r="X74" s="306"/>
      <c r="Y74" s="154"/>
      <c r="Z74" s="41"/>
      <c r="AA74" s="308"/>
      <c r="AB74" s="20"/>
      <c r="AC74" s="20"/>
      <c r="AD74" s="20"/>
      <c r="AE74" s="20"/>
    </row>
    <row r="75">
      <c r="A75" s="149"/>
      <c r="B75" s="164"/>
      <c r="C75" s="306"/>
      <c r="D75" s="149"/>
      <c r="E75" s="164"/>
      <c r="F75" s="306"/>
      <c r="G75" s="149"/>
      <c r="H75" s="164"/>
      <c r="I75" s="306"/>
      <c r="J75" s="149"/>
      <c r="K75" s="164"/>
      <c r="L75" s="306"/>
      <c r="M75" s="310"/>
      <c r="N75" s="311"/>
      <c r="O75" s="312"/>
      <c r="P75" s="310"/>
      <c r="Q75" s="311"/>
      <c r="R75" s="312"/>
      <c r="S75" s="310"/>
      <c r="T75" s="311"/>
      <c r="U75" s="312"/>
      <c r="V75" s="149"/>
      <c r="W75" s="311"/>
      <c r="X75" s="306"/>
      <c r="Y75" s="154"/>
      <c r="Z75" s="41"/>
      <c r="AA75" s="308"/>
      <c r="AB75" s="20"/>
      <c r="AC75" s="20"/>
      <c r="AD75" s="20"/>
      <c r="AE75" s="20"/>
    </row>
    <row r="76">
      <c r="A76" s="149"/>
      <c r="B76" s="164"/>
      <c r="C76" s="306"/>
      <c r="D76" s="149"/>
      <c r="E76" s="164"/>
      <c r="F76" s="306"/>
      <c r="G76" s="149"/>
      <c r="H76" s="164"/>
      <c r="I76" s="306"/>
      <c r="J76" s="149"/>
      <c r="K76" s="164"/>
      <c r="L76" s="306"/>
      <c r="M76" s="310"/>
      <c r="N76" s="311"/>
      <c r="O76" s="312"/>
      <c r="P76" s="310"/>
      <c r="Q76" s="311"/>
      <c r="R76" s="312"/>
      <c r="S76" s="310"/>
      <c r="T76" s="311"/>
      <c r="U76" s="312"/>
      <c r="V76" s="149"/>
      <c r="W76" s="311"/>
      <c r="X76" s="306"/>
      <c r="Y76" s="154"/>
      <c r="Z76" s="41"/>
      <c r="AA76" s="308"/>
      <c r="AB76" s="20"/>
      <c r="AC76" s="20"/>
      <c r="AD76" s="20"/>
      <c r="AE76" s="20"/>
    </row>
    <row r="77">
      <c r="A77" s="149"/>
      <c r="B77" s="164"/>
      <c r="C77" s="306"/>
      <c r="D77" s="149"/>
      <c r="E77" s="164"/>
      <c r="F77" s="306"/>
      <c r="G77" s="149"/>
      <c r="H77" s="164"/>
      <c r="I77" s="306"/>
      <c r="J77" s="149"/>
      <c r="K77" s="164"/>
      <c r="L77" s="306"/>
      <c r="M77" s="310"/>
      <c r="N77" s="311"/>
      <c r="O77" s="312"/>
      <c r="P77" s="310"/>
      <c r="Q77" s="311"/>
      <c r="R77" s="312"/>
      <c r="S77" s="310"/>
      <c r="T77" s="311"/>
      <c r="U77" s="312"/>
      <c r="V77" s="149"/>
      <c r="W77" s="311"/>
      <c r="X77" s="306"/>
      <c r="Y77" s="154"/>
      <c r="Z77" s="41"/>
      <c r="AA77" s="308"/>
      <c r="AB77" s="20"/>
      <c r="AC77" s="20"/>
      <c r="AD77" s="20"/>
      <c r="AE77" s="20"/>
    </row>
    <row r="78">
      <c r="A78" s="149"/>
      <c r="B78" s="164"/>
      <c r="C78" s="306"/>
      <c r="D78" s="149"/>
      <c r="E78" s="164"/>
      <c r="F78" s="306"/>
      <c r="G78" s="149"/>
      <c r="H78" s="164"/>
      <c r="I78" s="306"/>
      <c r="J78" s="149"/>
      <c r="K78" s="164"/>
      <c r="L78" s="306"/>
      <c r="M78" s="310"/>
      <c r="N78" s="311"/>
      <c r="O78" s="312"/>
      <c r="P78" s="310"/>
      <c r="Q78" s="311"/>
      <c r="R78" s="312"/>
      <c r="S78" s="310"/>
      <c r="T78" s="311"/>
      <c r="U78" s="312"/>
      <c r="V78" s="149"/>
      <c r="W78" s="311"/>
      <c r="X78" s="306"/>
      <c r="Y78" s="154"/>
      <c r="Z78" s="41"/>
      <c r="AA78" s="308"/>
      <c r="AB78" s="20"/>
      <c r="AC78" s="20"/>
      <c r="AD78" s="20"/>
      <c r="AE78" s="20"/>
    </row>
    <row r="79">
      <c r="A79" s="149"/>
      <c r="B79" s="164"/>
      <c r="C79" s="306"/>
      <c r="D79" s="149"/>
      <c r="E79" s="164"/>
      <c r="F79" s="306"/>
      <c r="G79" s="149"/>
      <c r="H79" s="164"/>
      <c r="I79" s="306"/>
      <c r="J79" s="149"/>
      <c r="K79" s="164"/>
      <c r="L79" s="306"/>
      <c r="M79" s="310"/>
      <c r="N79" s="311"/>
      <c r="O79" s="312"/>
      <c r="P79" s="310"/>
      <c r="Q79" s="311"/>
      <c r="R79" s="312"/>
      <c r="S79" s="310"/>
      <c r="T79" s="311"/>
      <c r="U79" s="312"/>
      <c r="V79" s="149"/>
      <c r="W79" s="311"/>
      <c r="X79" s="306"/>
      <c r="Y79" s="154"/>
      <c r="Z79" s="41"/>
      <c r="AA79" s="308"/>
      <c r="AB79" s="20"/>
      <c r="AC79" s="20"/>
      <c r="AD79" s="20"/>
      <c r="AE79" s="20"/>
    </row>
    <row r="80">
      <c r="A80" s="149"/>
      <c r="B80" s="164"/>
      <c r="C80" s="306"/>
      <c r="D80" s="149"/>
      <c r="E80" s="164"/>
      <c r="F80" s="306"/>
      <c r="G80" s="149"/>
      <c r="H80" s="164"/>
      <c r="I80" s="306"/>
      <c r="J80" s="149"/>
      <c r="K80" s="164"/>
      <c r="L80" s="306"/>
      <c r="M80" s="310"/>
      <c r="N80" s="311"/>
      <c r="O80" s="312"/>
      <c r="P80" s="310"/>
      <c r="Q80" s="311"/>
      <c r="R80" s="312"/>
      <c r="S80" s="310"/>
      <c r="T80" s="311"/>
      <c r="U80" s="312"/>
      <c r="V80" s="149"/>
      <c r="W80" s="311"/>
      <c r="X80" s="306"/>
      <c r="Y80" s="154"/>
      <c r="Z80" s="41"/>
      <c r="AA80" s="308"/>
      <c r="AB80" s="20"/>
      <c r="AC80" s="20"/>
      <c r="AD80" s="20"/>
      <c r="AE80" s="20"/>
    </row>
    <row r="81">
      <c r="A81" s="149"/>
      <c r="B81" s="164"/>
      <c r="C81" s="306"/>
      <c r="D81" s="149"/>
      <c r="E81" s="164"/>
      <c r="F81" s="306"/>
      <c r="G81" s="149"/>
      <c r="H81" s="164"/>
      <c r="I81" s="306"/>
      <c r="J81" s="149"/>
      <c r="K81" s="164"/>
      <c r="L81" s="306"/>
      <c r="M81" s="310"/>
      <c r="N81" s="311"/>
      <c r="O81" s="312"/>
      <c r="P81" s="310"/>
      <c r="Q81" s="311"/>
      <c r="R81" s="312"/>
      <c r="S81" s="310"/>
      <c r="T81" s="311"/>
      <c r="U81" s="312"/>
      <c r="V81" s="149"/>
      <c r="W81" s="311"/>
      <c r="X81" s="306"/>
      <c r="Y81" s="154"/>
      <c r="Z81" s="41"/>
      <c r="AA81" s="308"/>
      <c r="AB81" s="20"/>
      <c r="AC81" s="20"/>
      <c r="AD81" s="20"/>
      <c r="AE81" s="20"/>
    </row>
    <row r="82">
      <c r="A82" s="149"/>
      <c r="B82" s="164"/>
      <c r="C82" s="306"/>
      <c r="D82" s="149"/>
      <c r="E82" s="164"/>
      <c r="F82" s="306"/>
      <c r="G82" s="149"/>
      <c r="H82" s="164"/>
      <c r="I82" s="306"/>
      <c r="J82" s="149"/>
      <c r="K82" s="164"/>
      <c r="L82" s="306"/>
      <c r="M82" s="310"/>
      <c r="N82" s="311"/>
      <c r="O82" s="312"/>
      <c r="P82" s="310"/>
      <c r="Q82" s="311"/>
      <c r="R82" s="312"/>
      <c r="S82" s="310"/>
      <c r="T82" s="311"/>
      <c r="U82" s="312"/>
      <c r="V82" s="149"/>
      <c r="W82" s="311"/>
      <c r="X82" s="306"/>
      <c r="Y82" s="154"/>
      <c r="Z82" s="41"/>
      <c r="AA82" s="308"/>
      <c r="AB82" s="20"/>
      <c r="AC82" s="20"/>
      <c r="AD82" s="20"/>
      <c r="AE82" s="20"/>
    </row>
    <row r="83">
      <c r="A83" s="149"/>
      <c r="B83" s="164"/>
      <c r="C83" s="306"/>
      <c r="D83" s="149"/>
      <c r="E83" s="164"/>
      <c r="F83" s="306"/>
      <c r="G83" s="149"/>
      <c r="H83" s="164"/>
      <c r="I83" s="306"/>
      <c r="J83" s="149"/>
      <c r="K83" s="164"/>
      <c r="L83" s="306"/>
      <c r="M83" s="310"/>
      <c r="N83" s="311"/>
      <c r="O83" s="312"/>
      <c r="P83" s="310"/>
      <c r="Q83" s="311"/>
      <c r="R83" s="312"/>
      <c r="S83" s="310"/>
      <c r="T83" s="311"/>
      <c r="U83" s="312"/>
      <c r="V83" s="149"/>
      <c r="W83" s="311"/>
      <c r="X83" s="306"/>
      <c r="Y83" s="154"/>
      <c r="Z83" s="41"/>
      <c r="AA83" s="308"/>
      <c r="AB83" s="20"/>
      <c r="AC83" s="20"/>
      <c r="AD83" s="20"/>
      <c r="AE83" s="20"/>
    </row>
    <row r="84">
      <c r="A84" s="149"/>
      <c r="B84" s="164"/>
      <c r="C84" s="306"/>
      <c r="D84" s="149"/>
      <c r="E84" s="164"/>
      <c r="F84" s="306"/>
      <c r="G84" s="149"/>
      <c r="H84" s="164"/>
      <c r="I84" s="306"/>
      <c r="J84" s="149"/>
      <c r="K84" s="164"/>
      <c r="L84" s="306"/>
      <c r="M84" s="310"/>
      <c r="N84" s="311"/>
      <c r="O84" s="312"/>
      <c r="P84" s="310"/>
      <c r="Q84" s="311"/>
      <c r="R84" s="312"/>
      <c r="S84" s="310"/>
      <c r="T84" s="311"/>
      <c r="U84" s="312"/>
      <c r="V84" s="149"/>
      <c r="W84" s="311"/>
      <c r="X84" s="306"/>
      <c r="Y84" s="154"/>
      <c r="Z84" s="41"/>
      <c r="AA84" s="308"/>
      <c r="AB84" s="20"/>
      <c r="AC84" s="20"/>
      <c r="AD84" s="20"/>
      <c r="AE84" s="20"/>
    </row>
    <row r="85">
      <c r="A85" s="149"/>
      <c r="B85" s="164"/>
      <c r="C85" s="306"/>
      <c r="D85" s="149"/>
      <c r="E85" s="164"/>
      <c r="F85" s="306"/>
      <c r="G85" s="149"/>
      <c r="H85" s="164"/>
      <c r="I85" s="306"/>
      <c r="J85" s="149"/>
      <c r="K85" s="164"/>
      <c r="L85" s="306"/>
      <c r="M85" s="310"/>
      <c r="N85" s="311"/>
      <c r="O85" s="312"/>
      <c r="P85" s="310"/>
      <c r="Q85" s="311"/>
      <c r="R85" s="312"/>
      <c r="S85" s="310"/>
      <c r="T85" s="311"/>
      <c r="U85" s="312"/>
      <c r="V85" s="149"/>
      <c r="W85" s="311"/>
      <c r="X85" s="306"/>
      <c r="Y85" s="154"/>
      <c r="Z85" s="41"/>
      <c r="AA85" s="308"/>
      <c r="AB85" s="20"/>
      <c r="AC85" s="20"/>
      <c r="AD85" s="20"/>
      <c r="AE85" s="20"/>
    </row>
    <row r="86">
      <c r="A86" s="149"/>
      <c r="B86" s="164"/>
      <c r="C86" s="306"/>
      <c r="D86" s="149"/>
      <c r="E86" s="164"/>
      <c r="F86" s="306"/>
      <c r="G86" s="149"/>
      <c r="H86" s="164"/>
      <c r="I86" s="306"/>
      <c r="J86" s="149"/>
      <c r="K86" s="164"/>
      <c r="L86" s="306"/>
      <c r="M86" s="310"/>
      <c r="N86" s="311"/>
      <c r="O86" s="312"/>
      <c r="P86" s="310"/>
      <c r="Q86" s="311"/>
      <c r="R86" s="312"/>
      <c r="S86" s="310"/>
      <c r="T86" s="311"/>
      <c r="U86" s="312"/>
      <c r="V86" s="149"/>
      <c r="W86" s="311"/>
      <c r="X86" s="306"/>
      <c r="Y86" s="154"/>
      <c r="Z86" s="41"/>
      <c r="AA86" s="308"/>
      <c r="AB86" s="20"/>
      <c r="AC86" s="20"/>
      <c r="AD86" s="20"/>
      <c r="AE86" s="20"/>
    </row>
    <row r="87">
      <c r="A87" s="149"/>
      <c r="B87" s="164"/>
      <c r="C87" s="306"/>
      <c r="D87" s="149"/>
      <c r="E87" s="164"/>
      <c r="F87" s="306"/>
      <c r="G87" s="149"/>
      <c r="H87" s="164"/>
      <c r="I87" s="306"/>
      <c r="J87" s="149"/>
      <c r="K87" s="164"/>
      <c r="L87" s="306"/>
      <c r="M87" s="310"/>
      <c r="N87" s="311"/>
      <c r="O87" s="312"/>
      <c r="P87" s="310"/>
      <c r="Q87" s="311"/>
      <c r="R87" s="312"/>
      <c r="S87" s="310"/>
      <c r="T87" s="311"/>
      <c r="U87" s="312"/>
      <c r="V87" s="149"/>
      <c r="W87" s="311"/>
      <c r="X87" s="306"/>
      <c r="Y87" s="154"/>
      <c r="Z87" s="41"/>
      <c r="AA87" s="308"/>
      <c r="AB87" s="20"/>
      <c r="AC87" s="20"/>
      <c r="AD87" s="20"/>
      <c r="AE87" s="20"/>
    </row>
    <row r="88">
      <c r="A88" s="149"/>
      <c r="B88" s="164"/>
      <c r="C88" s="306"/>
      <c r="D88" s="149"/>
      <c r="E88" s="164"/>
      <c r="F88" s="306"/>
      <c r="G88" s="149"/>
      <c r="H88" s="164"/>
      <c r="I88" s="306"/>
      <c r="J88" s="149"/>
      <c r="K88" s="164"/>
      <c r="L88" s="306"/>
      <c r="M88" s="310"/>
      <c r="N88" s="311"/>
      <c r="O88" s="312"/>
      <c r="P88" s="310"/>
      <c r="Q88" s="311"/>
      <c r="R88" s="312"/>
      <c r="S88" s="310"/>
      <c r="T88" s="311"/>
      <c r="U88" s="312"/>
      <c r="V88" s="149"/>
      <c r="W88" s="311"/>
      <c r="X88" s="306"/>
      <c r="Y88" s="154"/>
      <c r="Z88" s="41"/>
      <c r="AA88" s="308"/>
      <c r="AB88" s="20"/>
      <c r="AC88" s="20"/>
      <c r="AD88" s="20"/>
      <c r="AE88" s="20"/>
    </row>
    <row r="89">
      <c r="A89" s="149"/>
      <c r="B89" s="164"/>
      <c r="C89" s="306"/>
      <c r="D89" s="149"/>
      <c r="E89" s="164"/>
      <c r="F89" s="306"/>
      <c r="G89" s="149"/>
      <c r="H89" s="164"/>
      <c r="I89" s="306"/>
      <c r="J89" s="149"/>
      <c r="K89" s="164"/>
      <c r="L89" s="306"/>
      <c r="M89" s="310"/>
      <c r="N89" s="311"/>
      <c r="O89" s="312"/>
      <c r="P89" s="310"/>
      <c r="Q89" s="311"/>
      <c r="R89" s="312"/>
      <c r="S89" s="310"/>
      <c r="T89" s="311"/>
      <c r="U89" s="312"/>
      <c r="V89" s="149"/>
      <c r="W89" s="311"/>
      <c r="X89" s="306"/>
      <c r="Y89" s="154"/>
      <c r="Z89" s="41"/>
      <c r="AA89" s="308"/>
      <c r="AB89" s="20"/>
      <c r="AC89" s="20"/>
      <c r="AD89" s="20"/>
      <c r="AE89" s="20"/>
    </row>
    <row r="90">
      <c r="A90" s="149"/>
      <c r="B90" s="164"/>
      <c r="C90" s="306"/>
      <c r="D90" s="149"/>
      <c r="E90" s="164"/>
      <c r="F90" s="306"/>
      <c r="G90" s="149"/>
      <c r="H90" s="164"/>
      <c r="I90" s="306"/>
      <c r="J90" s="149"/>
      <c r="K90" s="164"/>
      <c r="L90" s="306"/>
      <c r="M90" s="310"/>
      <c r="N90" s="311"/>
      <c r="O90" s="312"/>
      <c r="P90" s="310"/>
      <c r="Q90" s="311"/>
      <c r="R90" s="312"/>
      <c r="S90" s="310"/>
      <c r="T90" s="311"/>
      <c r="U90" s="312"/>
      <c r="V90" s="149"/>
      <c r="W90" s="311"/>
      <c r="X90" s="306"/>
      <c r="Y90" s="154"/>
      <c r="Z90" s="41"/>
      <c r="AA90" s="308"/>
      <c r="AB90" s="20"/>
      <c r="AC90" s="20"/>
      <c r="AD90" s="20"/>
      <c r="AE90" s="20"/>
    </row>
    <row r="91">
      <c r="A91" s="149"/>
      <c r="B91" s="164"/>
      <c r="C91" s="306"/>
      <c r="D91" s="149"/>
      <c r="E91" s="164"/>
      <c r="F91" s="306"/>
      <c r="G91" s="149"/>
      <c r="H91" s="164"/>
      <c r="I91" s="306"/>
      <c r="J91" s="149"/>
      <c r="K91" s="164"/>
      <c r="L91" s="306"/>
      <c r="M91" s="310"/>
      <c r="N91" s="311"/>
      <c r="O91" s="312"/>
      <c r="P91" s="310"/>
      <c r="Q91" s="311"/>
      <c r="R91" s="312"/>
      <c r="S91" s="310"/>
      <c r="T91" s="311"/>
      <c r="U91" s="312"/>
      <c r="V91" s="149"/>
      <c r="W91" s="311"/>
      <c r="X91" s="306"/>
      <c r="Y91" s="154"/>
      <c r="Z91" s="41"/>
      <c r="AA91" s="308"/>
      <c r="AB91" s="20"/>
      <c r="AC91" s="20"/>
      <c r="AD91" s="20"/>
      <c r="AE91" s="20"/>
    </row>
    <row r="92">
      <c r="A92" s="149"/>
      <c r="B92" s="164"/>
      <c r="C92" s="306"/>
      <c r="D92" s="149"/>
      <c r="E92" s="164"/>
      <c r="F92" s="306"/>
      <c r="G92" s="149"/>
      <c r="H92" s="164"/>
      <c r="I92" s="306"/>
      <c r="J92" s="149"/>
      <c r="K92" s="164"/>
      <c r="L92" s="306"/>
      <c r="M92" s="310"/>
      <c r="N92" s="311"/>
      <c r="O92" s="312"/>
      <c r="P92" s="310"/>
      <c r="Q92" s="311"/>
      <c r="R92" s="312"/>
      <c r="S92" s="310"/>
      <c r="T92" s="311"/>
      <c r="U92" s="312"/>
      <c r="V92" s="149"/>
      <c r="W92" s="311"/>
      <c r="X92" s="306"/>
      <c r="Y92" s="154"/>
      <c r="Z92" s="41"/>
      <c r="AA92" s="308"/>
      <c r="AB92" s="20"/>
      <c r="AC92" s="20"/>
      <c r="AD92" s="20"/>
      <c r="AE92" s="20"/>
    </row>
    <row r="93">
      <c r="A93" s="149"/>
      <c r="B93" s="164"/>
      <c r="C93" s="306"/>
      <c r="D93" s="149"/>
      <c r="E93" s="164"/>
      <c r="F93" s="306"/>
      <c r="G93" s="149"/>
      <c r="H93" s="164"/>
      <c r="I93" s="306"/>
      <c r="J93" s="149"/>
      <c r="K93" s="164"/>
      <c r="L93" s="306"/>
      <c r="M93" s="310"/>
      <c r="N93" s="311"/>
      <c r="O93" s="312"/>
      <c r="P93" s="310"/>
      <c r="Q93" s="311"/>
      <c r="R93" s="312"/>
      <c r="S93" s="310"/>
      <c r="T93" s="311"/>
      <c r="U93" s="312"/>
      <c r="V93" s="149"/>
      <c r="W93" s="311"/>
      <c r="X93" s="306"/>
      <c r="Y93" s="154"/>
      <c r="Z93" s="41"/>
      <c r="AA93" s="308"/>
      <c r="AB93" s="20"/>
      <c r="AC93" s="20"/>
      <c r="AD93" s="20"/>
      <c r="AE93" s="20"/>
    </row>
    <row r="94">
      <c r="A94" s="149"/>
      <c r="B94" s="164"/>
      <c r="C94" s="306"/>
      <c r="D94" s="149"/>
      <c r="E94" s="164"/>
      <c r="F94" s="306"/>
      <c r="G94" s="149"/>
      <c r="H94" s="164"/>
      <c r="I94" s="306"/>
      <c r="J94" s="149"/>
      <c r="K94" s="164"/>
      <c r="L94" s="306"/>
      <c r="M94" s="310"/>
      <c r="N94" s="311"/>
      <c r="O94" s="312"/>
      <c r="P94" s="310"/>
      <c r="Q94" s="311"/>
      <c r="R94" s="312"/>
      <c r="S94" s="310"/>
      <c r="T94" s="311"/>
      <c r="U94" s="312"/>
      <c r="V94" s="149"/>
      <c r="W94" s="311"/>
      <c r="X94" s="306"/>
      <c r="Y94" s="154"/>
      <c r="Z94" s="41"/>
      <c r="AA94" s="308"/>
      <c r="AB94" s="20"/>
      <c r="AC94" s="20"/>
      <c r="AD94" s="20"/>
      <c r="AE94" s="20"/>
    </row>
    <row r="95">
      <c r="A95" s="149"/>
      <c r="B95" s="164"/>
      <c r="C95" s="306"/>
      <c r="D95" s="149"/>
      <c r="E95" s="164"/>
      <c r="F95" s="306"/>
      <c r="G95" s="149"/>
      <c r="H95" s="164"/>
      <c r="I95" s="306"/>
      <c r="J95" s="149"/>
      <c r="K95" s="164"/>
      <c r="L95" s="306"/>
      <c r="M95" s="310"/>
      <c r="N95" s="311"/>
      <c r="O95" s="312"/>
      <c r="P95" s="310"/>
      <c r="Q95" s="311"/>
      <c r="R95" s="312"/>
      <c r="S95" s="310"/>
      <c r="T95" s="311"/>
      <c r="U95" s="312"/>
      <c r="V95" s="149"/>
      <c r="W95" s="311"/>
      <c r="X95" s="306"/>
      <c r="Y95" s="154"/>
      <c r="Z95" s="41"/>
      <c r="AA95" s="308"/>
      <c r="AB95" s="20"/>
      <c r="AC95" s="20"/>
      <c r="AD95" s="20"/>
      <c r="AE95" s="20"/>
    </row>
    <row r="96">
      <c r="A96" s="149"/>
      <c r="B96" s="164"/>
      <c r="C96" s="306"/>
      <c r="D96" s="149"/>
      <c r="E96" s="164"/>
      <c r="F96" s="306"/>
      <c r="G96" s="149"/>
      <c r="H96" s="164"/>
      <c r="I96" s="306"/>
      <c r="J96" s="149"/>
      <c r="K96" s="164"/>
      <c r="L96" s="306"/>
      <c r="M96" s="310"/>
      <c r="N96" s="311"/>
      <c r="O96" s="312"/>
      <c r="P96" s="310"/>
      <c r="Q96" s="311"/>
      <c r="R96" s="312"/>
      <c r="S96" s="310"/>
      <c r="T96" s="311"/>
      <c r="U96" s="312"/>
      <c r="V96" s="149"/>
      <c r="W96" s="311"/>
      <c r="X96" s="306"/>
      <c r="Y96" s="154"/>
      <c r="Z96" s="41"/>
      <c r="AA96" s="308"/>
      <c r="AB96" s="20"/>
      <c r="AC96" s="20"/>
      <c r="AD96" s="20"/>
      <c r="AE96" s="20"/>
    </row>
    <row r="97">
      <c r="A97" s="149"/>
      <c r="B97" s="164"/>
      <c r="C97" s="306"/>
      <c r="D97" s="149"/>
      <c r="E97" s="164"/>
      <c r="F97" s="306"/>
      <c r="G97" s="149"/>
      <c r="H97" s="164"/>
      <c r="I97" s="306"/>
      <c r="J97" s="149"/>
      <c r="K97" s="164"/>
      <c r="L97" s="306"/>
      <c r="M97" s="310"/>
      <c r="N97" s="311"/>
      <c r="O97" s="312"/>
      <c r="P97" s="310"/>
      <c r="Q97" s="311"/>
      <c r="R97" s="312"/>
      <c r="S97" s="310"/>
      <c r="T97" s="311"/>
      <c r="U97" s="312"/>
      <c r="V97" s="149"/>
      <c r="W97" s="311"/>
      <c r="X97" s="306"/>
      <c r="Y97" s="154"/>
      <c r="Z97" s="41"/>
      <c r="AA97" s="308"/>
      <c r="AB97" s="20"/>
      <c r="AC97" s="20"/>
      <c r="AD97" s="20"/>
      <c r="AE97" s="20"/>
    </row>
    <row r="98">
      <c r="A98" s="149"/>
      <c r="B98" s="164"/>
      <c r="C98" s="306"/>
      <c r="D98" s="149"/>
      <c r="E98" s="164"/>
      <c r="F98" s="306"/>
      <c r="G98" s="149"/>
      <c r="H98" s="164"/>
      <c r="I98" s="306"/>
      <c r="J98" s="149"/>
      <c r="K98" s="164"/>
      <c r="L98" s="306"/>
      <c r="M98" s="310"/>
      <c r="N98" s="311"/>
      <c r="O98" s="312"/>
      <c r="P98" s="310"/>
      <c r="Q98" s="311"/>
      <c r="R98" s="312"/>
      <c r="S98" s="310"/>
      <c r="T98" s="311"/>
      <c r="U98" s="312"/>
      <c r="V98" s="149"/>
      <c r="W98" s="311"/>
      <c r="X98" s="306"/>
      <c r="Y98" s="154"/>
      <c r="Z98" s="41"/>
      <c r="AA98" s="308"/>
      <c r="AB98" s="20"/>
      <c r="AC98" s="20"/>
      <c r="AD98" s="20"/>
      <c r="AE98" s="20"/>
    </row>
    <row r="99">
      <c r="A99" s="149"/>
      <c r="B99" s="164"/>
      <c r="C99" s="306"/>
      <c r="D99" s="149"/>
      <c r="E99" s="164"/>
      <c r="F99" s="306"/>
      <c r="G99" s="149"/>
      <c r="H99" s="164"/>
      <c r="I99" s="306"/>
      <c r="J99" s="149"/>
      <c r="K99" s="164"/>
      <c r="L99" s="306"/>
      <c r="M99" s="310"/>
      <c r="N99" s="311"/>
      <c r="O99" s="312"/>
      <c r="P99" s="310"/>
      <c r="Q99" s="311"/>
      <c r="R99" s="312"/>
      <c r="S99" s="310"/>
      <c r="T99" s="311"/>
      <c r="U99" s="312"/>
      <c r="V99" s="149"/>
      <c r="W99" s="311"/>
      <c r="X99" s="306"/>
      <c r="Y99" s="154"/>
      <c r="Z99" s="41"/>
      <c r="AA99" s="308"/>
      <c r="AB99" s="20"/>
      <c r="AC99" s="20"/>
      <c r="AD99" s="20"/>
      <c r="AE99" s="20"/>
    </row>
    <row r="100">
      <c r="A100" s="149"/>
      <c r="B100" s="164"/>
      <c r="C100" s="306"/>
      <c r="D100" s="149"/>
      <c r="E100" s="164"/>
      <c r="F100" s="306"/>
      <c r="G100" s="149"/>
      <c r="H100" s="164"/>
      <c r="I100" s="306"/>
      <c r="J100" s="149"/>
      <c r="K100" s="164"/>
      <c r="L100" s="306"/>
      <c r="M100" s="310"/>
      <c r="N100" s="311"/>
      <c r="O100" s="312"/>
      <c r="P100" s="310"/>
      <c r="Q100" s="311"/>
      <c r="R100" s="312"/>
      <c r="S100" s="310"/>
      <c r="T100" s="311"/>
      <c r="U100" s="312"/>
      <c r="V100" s="149"/>
      <c r="W100" s="311"/>
      <c r="X100" s="306"/>
      <c r="Y100" s="154"/>
      <c r="Z100" s="41"/>
      <c r="AA100" s="308"/>
      <c r="AB100" s="20"/>
      <c r="AC100" s="20"/>
      <c r="AD100" s="20"/>
      <c r="AE100" s="20"/>
    </row>
    <row r="101">
      <c r="A101" s="149"/>
      <c r="B101" s="164"/>
      <c r="C101" s="306"/>
      <c r="D101" s="149"/>
      <c r="E101" s="164"/>
      <c r="F101" s="306"/>
      <c r="G101" s="149"/>
      <c r="H101" s="164"/>
      <c r="I101" s="306"/>
      <c r="J101" s="149"/>
      <c r="K101" s="164"/>
      <c r="L101" s="306"/>
      <c r="M101" s="310"/>
      <c r="N101" s="311"/>
      <c r="O101" s="312"/>
      <c r="P101" s="310"/>
      <c r="Q101" s="311"/>
      <c r="R101" s="312"/>
      <c r="S101" s="310"/>
      <c r="T101" s="311"/>
      <c r="U101" s="312"/>
      <c r="V101" s="149"/>
      <c r="W101" s="311"/>
      <c r="X101" s="306"/>
      <c r="Y101" s="154"/>
      <c r="Z101" s="41"/>
      <c r="AA101" s="308"/>
      <c r="AB101" s="20"/>
      <c r="AC101" s="20"/>
      <c r="AD101" s="20"/>
      <c r="AE101" s="20"/>
    </row>
    <row r="102">
      <c r="A102" s="149"/>
      <c r="B102" s="164"/>
      <c r="C102" s="306"/>
      <c r="D102" s="149"/>
      <c r="E102" s="164"/>
      <c r="F102" s="306"/>
      <c r="G102" s="149"/>
      <c r="H102" s="164"/>
      <c r="I102" s="306"/>
      <c r="J102" s="149"/>
      <c r="K102" s="164"/>
      <c r="L102" s="306"/>
      <c r="M102" s="310"/>
      <c r="N102" s="311"/>
      <c r="O102" s="312"/>
      <c r="P102" s="310"/>
      <c r="Q102" s="311"/>
      <c r="R102" s="312"/>
      <c r="S102" s="310"/>
      <c r="T102" s="311"/>
      <c r="U102" s="312"/>
      <c r="V102" s="149"/>
      <c r="W102" s="311"/>
      <c r="X102" s="306"/>
      <c r="Y102" s="154"/>
      <c r="Z102" s="41"/>
      <c r="AA102" s="308"/>
      <c r="AB102" s="20"/>
      <c r="AC102" s="20"/>
      <c r="AD102" s="20"/>
      <c r="AE102" s="20"/>
    </row>
    <row r="103">
      <c r="A103" s="149"/>
      <c r="B103" s="164"/>
      <c r="C103" s="306"/>
      <c r="D103" s="149"/>
      <c r="E103" s="164"/>
      <c r="F103" s="306"/>
      <c r="G103" s="149"/>
      <c r="H103" s="164"/>
      <c r="I103" s="306"/>
      <c r="J103" s="149"/>
      <c r="K103" s="164"/>
      <c r="L103" s="306"/>
      <c r="M103" s="310"/>
      <c r="N103" s="311"/>
      <c r="O103" s="312"/>
      <c r="P103" s="310"/>
      <c r="Q103" s="311"/>
      <c r="R103" s="312"/>
      <c r="S103" s="310"/>
      <c r="T103" s="311"/>
      <c r="U103" s="312"/>
      <c r="V103" s="149"/>
      <c r="W103" s="311"/>
      <c r="X103" s="306"/>
      <c r="Y103" s="154"/>
      <c r="Z103" s="41"/>
      <c r="AA103" s="308"/>
      <c r="AB103" s="20"/>
      <c r="AC103" s="20"/>
      <c r="AD103" s="20"/>
      <c r="AE103" s="20"/>
    </row>
    <row r="104">
      <c r="A104" s="149"/>
      <c r="B104" s="164"/>
      <c r="C104" s="306"/>
      <c r="D104" s="149"/>
      <c r="E104" s="164"/>
      <c r="F104" s="306"/>
      <c r="G104" s="149"/>
      <c r="H104" s="164"/>
      <c r="I104" s="306"/>
      <c r="J104" s="149"/>
      <c r="K104" s="164"/>
      <c r="L104" s="306"/>
      <c r="M104" s="310"/>
      <c r="N104" s="311"/>
      <c r="O104" s="312"/>
      <c r="P104" s="310"/>
      <c r="Q104" s="311"/>
      <c r="R104" s="312"/>
      <c r="S104" s="310"/>
      <c r="T104" s="311"/>
      <c r="U104" s="312"/>
      <c r="V104" s="149"/>
      <c r="W104" s="311"/>
      <c r="X104" s="306"/>
      <c r="Y104" s="154"/>
      <c r="Z104" s="41"/>
      <c r="AA104" s="308"/>
      <c r="AB104" s="20"/>
      <c r="AC104" s="20"/>
      <c r="AD104" s="20"/>
      <c r="AE104" s="20"/>
    </row>
    <row r="105">
      <c r="A105" s="149"/>
      <c r="B105" s="164"/>
      <c r="C105" s="306"/>
      <c r="D105" s="149"/>
      <c r="E105" s="164"/>
      <c r="F105" s="306"/>
      <c r="G105" s="149"/>
      <c r="H105" s="164"/>
      <c r="I105" s="306"/>
      <c r="J105" s="149"/>
      <c r="K105" s="164"/>
      <c r="L105" s="306"/>
      <c r="M105" s="310"/>
      <c r="N105" s="311"/>
      <c r="O105" s="312"/>
      <c r="P105" s="310"/>
      <c r="Q105" s="311"/>
      <c r="R105" s="312"/>
      <c r="S105" s="310"/>
      <c r="T105" s="311"/>
      <c r="U105" s="312"/>
      <c r="V105" s="149"/>
      <c r="W105" s="311"/>
      <c r="X105" s="306"/>
      <c r="Y105" s="154"/>
      <c r="Z105" s="41"/>
      <c r="AA105" s="308"/>
      <c r="AB105" s="20"/>
      <c r="AC105" s="20"/>
      <c r="AD105" s="20"/>
      <c r="AE105" s="20"/>
    </row>
    <row r="106">
      <c r="A106" s="149"/>
      <c r="B106" s="164"/>
      <c r="C106" s="306"/>
      <c r="D106" s="149"/>
      <c r="E106" s="164"/>
      <c r="F106" s="306"/>
      <c r="G106" s="149"/>
      <c r="H106" s="164"/>
      <c r="I106" s="306"/>
      <c r="J106" s="149"/>
      <c r="K106" s="164"/>
      <c r="L106" s="306"/>
      <c r="M106" s="310"/>
      <c r="N106" s="311"/>
      <c r="O106" s="312"/>
      <c r="P106" s="310"/>
      <c r="Q106" s="311"/>
      <c r="R106" s="312"/>
      <c r="S106" s="310"/>
      <c r="T106" s="311"/>
      <c r="U106" s="312"/>
      <c r="V106" s="149"/>
      <c r="W106" s="311"/>
      <c r="X106" s="306"/>
      <c r="Y106" s="154"/>
      <c r="Z106" s="41"/>
      <c r="AA106" s="308"/>
      <c r="AB106" s="20"/>
      <c r="AC106" s="20"/>
      <c r="AD106" s="20"/>
      <c r="AE106" s="20"/>
    </row>
    <row r="107">
      <c r="A107" s="149"/>
      <c r="B107" s="164"/>
      <c r="C107" s="306"/>
      <c r="D107" s="149"/>
      <c r="E107" s="164"/>
      <c r="F107" s="306"/>
      <c r="G107" s="149"/>
      <c r="H107" s="164"/>
      <c r="I107" s="306"/>
      <c r="J107" s="149"/>
      <c r="K107" s="164"/>
      <c r="L107" s="306"/>
      <c r="M107" s="310"/>
      <c r="N107" s="311"/>
      <c r="O107" s="312"/>
      <c r="P107" s="310"/>
      <c r="Q107" s="311"/>
      <c r="R107" s="312"/>
      <c r="S107" s="310"/>
      <c r="T107" s="311"/>
      <c r="U107" s="312"/>
      <c r="V107" s="149"/>
      <c r="W107" s="311"/>
      <c r="X107" s="306"/>
      <c r="Y107" s="154"/>
      <c r="Z107" s="41"/>
      <c r="AA107" s="308"/>
      <c r="AB107" s="20"/>
      <c r="AC107" s="20"/>
      <c r="AD107" s="20"/>
      <c r="AE107" s="20"/>
    </row>
    <row r="108">
      <c r="A108" s="149"/>
      <c r="B108" s="164"/>
      <c r="C108" s="306"/>
      <c r="D108" s="149"/>
      <c r="E108" s="164"/>
      <c r="F108" s="306"/>
      <c r="G108" s="149"/>
      <c r="H108" s="164"/>
      <c r="I108" s="306"/>
      <c r="J108" s="149"/>
      <c r="K108" s="164"/>
      <c r="L108" s="306"/>
      <c r="M108" s="310"/>
      <c r="N108" s="311"/>
      <c r="O108" s="312"/>
      <c r="P108" s="310"/>
      <c r="Q108" s="311"/>
      <c r="R108" s="312"/>
      <c r="S108" s="310"/>
      <c r="T108" s="311"/>
      <c r="U108" s="312"/>
      <c r="V108" s="149"/>
      <c r="W108" s="311"/>
      <c r="X108" s="306"/>
      <c r="Y108" s="154"/>
      <c r="Z108" s="41"/>
      <c r="AA108" s="308"/>
      <c r="AB108" s="20"/>
      <c r="AC108" s="20"/>
      <c r="AD108" s="20"/>
      <c r="AE108" s="20"/>
    </row>
    <row r="109">
      <c r="A109" s="149"/>
      <c r="B109" s="164"/>
      <c r="C109" s="306"/>
      <c r="D109" s="149"/>
      <c r="E109" s="164"/>
      <c r="F109" s="306"/>
      <c r="G109" s="149"/>
      <c r="H109" s="164"/>
      <c r="I109" s="306"/>
      <c r="J109" s="149"/>
      <c r="K109" s="164"/>
      <c r="L109" s="306"/>
      <c r="M109" s="310"/>
      <c r="N109" s="311"/>
      <c r="O109" s="312"/>
      <c r="P109" s="310"/>
      <c r="Q109" s="311"/>
      <c r="R109" s="312"/>
      <c r="S109" s="310"/>
      <c r="T109" s="311"/>
      <c r="U109" s="312"/>
      <c r="V109" s="149"/>
      <c r="W109" s="311"/>
      <c r="X109" s="306"/>
      <c r="Y109" s="154"/>
      <c r="Z109" s="41"/>
      <c r="AA109" s="308"/>
      <c r="AB109" s="20"/>
      <c r="AC109" s="20"/>
      <c r="AD109" s="20"/>
      <c r="AE109" s="20"/>
    </row>
    <row r="110">
      <c r="A110" s="149"/>
      <c r="B110" s="164"/>
      <c r="C110" s="306"/>
      <c r="D110" s="149"/>
      <c r="E110" s="164"/>
      <c r="F110" s="306"/>
      <c r="G110" s="149"/>
      <c r="H110" s="164"/>
      <c r="I110" s="306"/>
      <c r="J110" s="149"/>
      <c r="K110" s="164"/>
      <c r="L110" s="306"/>
      <c r="M110" s="310"/>
      <c r="N110" s="311"/>
      <c r="O110" s="312"/>
      <c r="P110" s="310"/>
      <c r="Q110" s="311"/>
      <c r="R110" s="312"/>
      <c r="S110" s="310"/>
      <c r="T110" s="311"/>
      <c r="U110" s="312"/>
      <c r="V110" s="149"/>
      <c r="W110" s="311"/>
      <c r="X110" s="306"/>
      <c r="Y110" s="154"/>
      <c r="Z110" s="41"/>
      <c r="AA110" s="308"/>
      <c r="AB110" s="20"/>
      <c r="AC110" s="20"/>
      <c r="AD110" s="20"/>
      <c r="AE110" s="20"/>
    </row>
    <row r="111">
      <c r="A111" s="149"/>
      <c r="B111" s="164"/>
      <c r="C111" s="306"/>
      <c r="D111" s="149"/>
      <c r="E111" s="164"/>
      <c r="F111" s="306"/>
      <c r="G111" s="149"/>
      <c r="H111" s="164"/>
      <c r="I111" s="306"/>
      <c r="J111" s="149"/>
      <c r="K111" s="164"/>
      <c r="L111" s="306"/>
      <c r="M111" s="310"/>
      <c r="N111" s="311"/>
      <c r="O111" s="312"/>
      <c r="P111" s="310"/>
      <c r="Q111" s="311"/>
      <c r="R111" s="312"/>
      <c r="S111" s="310"/>
      <c r="T111" s="311"/>
      <c r="U111" s="312"/>
      <c r="V111" s="149"/>
      <c r="W111" s="311"/>
      <c r="X111" s="306"/>
      <c r="Y111" s="154"/>
      <c r="Z111" s="41"/>
      <c r="AA111" s="308"/>
      <c r="AB111" s="20"/>
      <c r="AC111" s="20"/>
      <c r="AD111" s="20"/>
      <c r="AE111" s="20"/>
    </row>
    <row r="112">
      <c r="A112" s="149"/>
      <c r="B112" s="164"/>
      <c r="C112" s="306"/>
      <c r="D112" s="149"/>
      <c r="E112" s="164"/>
      <c r="F112" s="306"/>
      <c r="G112" s="149"/>
      <c r="H112" s="164"/>
      <c r="I112" s="306"/>
      <c r="J112" s="149"/>
      <c r="K112" s="164"/>
      <c r="L112" s="306"/>
      <c r="M112" s="310"/>
      <c r="N112" s="311"/>
      <c r="O112" s="312"/>
      <c r="P112" s="310"/>
      <c r="Q112" s="311"/>
      <c r="R112" s="312"/>
      <c r="S112" s="310"/>
      <c r="T112" s="311"/>
      <c r="U112" s="312"/>
      <c r="V112" s="149"/>
      <c r="W112" s="311"/>
      <c r="X112" s="306"/>
      <c r="Y112" s="154"/>
      <c r="Z112" s="41"/>
      <c r="AA112" s="308"/>
      <c r="AB112" s="20"/>
      <c r="AC112" s="20"/>
      <c r="AD112" s="20"/>
      <c r="AE112" s="20"/>
    </row>
    <row r="113">
      <c r="A113" s="149"/>
      <c r="B113" s="164"/>
      <c r="C113" s="306"/>
      <c r="D113" s="149"/>
      <c r="E113" s="164"/>
      <c r="F113" s="306"/>
      <c r="G113" s="149"/>
      <c r="H113" s="164"/>
      <c r="I113" s="306"/>
      <c r="J113" s="149"/>
      <c r="K113" s="164"/>
      <c r="L113" s="306"/>
      <c r="M113" s="310"/>
      <c r="N113" s="311"/>
      <c r="O113" s="312"/>
      <c r="P113" s="310"/>
      <c r="Q113" s="311"/>
      <c r="R113" s="312"/>
      <c r="S113" s="310"/>
      <c r="T113" s="311"/>
      <c r="U113" s="312"/>
      <c r="V113" s="149"/>
      <c r="W113" s="311"/>
      <c r="X113" s="306"/>
      <c r="Y113" s="154"/>
      <c r="Z113" s="41"/>
      <c r="AA113" s="308"/>
      <c r="AB113" s="20"/>
      <c r="AC113" s="20"/>
      <c r="AD113" s="20"/>
      <c r="AE113" s="20"/>
    </row>
    <row r="114">
      <c r="A114" s="149"/>
      <c r="B114" s="164"/>
      <c r="C114" s="306"/>
      <c r="D114" s="149"/>
      <c r="E114" s="164"/>
      <c r="F114" s="306"/>
      <c r="G114" s="149"/>
      <c r="H114" s="164"/>
      <c r="I114" s="306"/>
      <c r="J114" s="149"/>
      <c r="K114" s="164"/>
      <c r="L114" s="306"/>
      <c r="M114" s="310"/>
      <c r="N114" s="311"/>
      <c r="O114" s="312"/>
      <c r="P114" s="310"/>
      <c r="Q114" s="311"/>
      <c r="R114" s="312"/>
      <c r="S114" s="310"/>
      <c r="T114" s="311"/>
      <c r="U114" s="312"/>
      <c r="V114" s="149"/>
      <c r="W114" s="311"/>
      <c r="X114" s="306"/>
      <c r="Y114" s="154"/>
      <c r="Z114" s="41"/>
      <c r="AA114" s="308"/>
      <c r="AB114" s="20"/>
      <c r="AC114" s="20"/>
      <c r="AD114" s="20"/>
      <c r="AE114" s="20"/>
    </row>
    <row r="115">
      <c r="A115" s="149"/>
      <c r="B115" s="164"/>
      <c r="C115" s="306"/>
      <c r="D115" s="149"/>
      <c r="E115" s="164"/>
      <c r="F115" s="306"/>
      <c r="G115" s="149"/>
      <c r="H115" s="164"/>
      <c r="I115" s="306"/>
      <c r="J115" s="149"/>
      <c r="K115" s="164"/>
      <c r="L115" s="306"/>
      <c r="M115" s="310"/>
      <c r="N115" s="311"/>
      <c r="O115" s="312"/>
      <c r="P115" s="310"/>
      <c r="Q115" s="311"/>
      <c r="R115" s="312"/>
      <c r="S115" s="310"/>
      <c r="T115" s="311"/>
      <c r="U115" s="312"/>
      <c r="V115" s="149"/>
      <c r="W115" s="311"/>
      <c r="X115" s="306"/>
      <c r="Y115" s="154"/>
      <c r="Z115" s="41"/>
      <c r="AA115" s="308"/>
      <c r="AB115" s="20"/>
      <c r="AC115" s="20"/>
      <c r="AD115" s="20"/>
      <c r="AE115" s="20"/>
    </row>
    <row r="116">
      <c r="A116" s="149"/>
      <c r="B116" s="164"/>
      <c r="C116" s="306"/>
      <c r="D116" s="149"/>
      <c r="E116" s="164"/>
      <c r="F116" s="306"/>
      <c r="G116" s="149"/>
      <c r="H116" s="164"/>
      <c r="I116" s="306"/>
      <c r="J116" s="149"/>
      <c r="K116" s="164"/>
      <c r="L116" s="306"/>
      <c r="M116" s="310"/>
      <c r="N116" s="311"/>
      <c r="O116" s="312"/>
      <c r="P116" s="310"/>
      <c r="Q116" s="311"/>
      <c r="R116" s="312"/>
      <c r="S116" s="310"/>
      <c r="T116" s="311"/>
      <c r="U116" s="312"/>
      <c r="V116" s="149"/>
      <c r="W116" s="311"/>
      <c r="X116" s="306"/>
      <c r="Y116" s="154"/>
      <c r="Z116" s="41"/>
      <c r="AA116" s="308"/>
      <c r="AB116" s="20"/>
      <c r="AC116" s="20"/>
      <c r="AD116" s="20"/>
      <c r="AE116" s="20"/>
    </row>
    <row r="117">
      <c r="A117" s="149"/>
      <c r="B117" s="164"/>
      <c r="C117" s="306"/>
      <c r="D117" s="149"/>
      <c r="E117" s="164"/>
      <c r="F117" s="306"/>
      <c r="G117" s="149"/>
      <c r="H117" s="164"/>
      <c r="I117" s="306"/>
      <c r="J117" s="149"/>
      <c r="K117" s="164"/>
      <c r="L117" s="306"/>
      <c r="M117" s="310"/>
      <c r="N117" s="311"/>
      <c r="O117" s="312"/>
      <c r="P117" s="310"/>
      <c r="Q117" s="311"/>
      <c r="R117" s="312"/>
      <c r="S117" s="310"/>
      <c r="T117" s="311"/>
      <c r="U117" s="312"/>
      <c r="V117" s="149"/>
      <c r="W117" s="311"/>
      <c r="X117" s="306"/>
      <c r="Y117" s="154"/>
      <c r="Z117" s="41"/>
      <c r="AA117" s="308"/>
      <c r="AB117" s="20"/>
      <c r="AC117" s="20"/>
      <c r="AD117" s="20"/>
      <c r="AE117" s="20"/>
    </row>
    <row r="118">
      <c r="A118" s="149"/>
      <c r="B118" s="164"/>
      <c r="C118" s="306"/>
      <c r="D118" s="149"/>
      <c r="E118" s="164"/>
      <c r="F118" s="306"/>
      <c r="G118" s="149"/>
      <c r="H118" s="164"/>
      <c r="I118" s="306"/>
      <c r="J118" s="149"/>
      <c r="K118" s="164"/>
      <c r="L118" s="306"/>
      <c r="M118" s="310"/>
      <c r="N118" s="311"/>
      <c r="O118" s="312"/>
      <c r="P118" s="310"/>
      <c r="Q118" s="311"/>
      <c r="R118" s="312"/>
      <c r="S118" s="310"/>
      <c r="T118" s="311"/>
      <c r="U118" s="312"/>
      <c r="V118" s="149"/>
      <c r="W118" s="311"/>
      <c r="X118" s="306"/>
      <c r="Y118" s="154"/>
      <c r="Z118" s="41"/>
      <c r="AA118" s="308"/>
      <c r="AB118" s="20"/>
      <c r="AC118" s="20"/>
      <c r="AD118" s="20"/>
      <c r="AE118" s="20"/>
    </row>
    <row r="119">
      <c r="A119" s="149"/>
      <c r="B119" s="164"/>
      <c r="C119" s="306"/>
      <c r="D119" s="149"/>
      <c r="E119" s="164"/>
      <c r="F119" s="306"/>
      <c r="G119" s="149"/>
      <c r="H119" s="164"/>
      <c r="I119" s="306"/>
      <c r="J119" s="149"/>
      <c r="K119" s="164"/>
      <c r="L119" s="306"/>
      <c r="M119" s="310"/>
      <c r="N119" s="311"/>
      <c r="O119" s="312"/>
      <c r="P119" s="310"/>
      <c r="Q119" s="311"/>
      <c r="R119" s="312"/>
      <c r="S119" s="310"/>
      <c r="T119" s="311"/>
      <c r="U119" s="312"/>
      <c r="V119" s="149"/>
      <c r="W119" s="311"/>
      <c r="X119" s="306"/>
      <c r="Y119" s="154"/>
      <c r="Z119" s="41"/>
      <c r="AA119" s="308"/>
      <c r="AB119" s="20"/>
      <c r="AC119" s="20"/>
      <c r="AD119" s="20"/>
      <c r="AE119" s="20"/>
    </row>
    <row r="120">
      <c r="A120" s="149"/>
      <c r="B120" s="164"/>
      <c r="C120" s="306"/>
      <c r="D120" s="149"/>
      <c r="E120" s="164"/>
      <c r="F120" s="306"/>
      <c r="G120" s="149"/>
      <c r="H120" s="164"/>
      <c r="I120" s="306"/>
      <c r="J120" s="149"/>
      <c r="K120" s="164"/>
      <c r="L120" s="306"/>
      <c r="M120" s="310"/>
      <c r="N120" s="311"/>
      <c r="O120" s="312"/>
      <c r="P120" s="310"/>
      <c r="Q120" s="311"/>
      <c r="R120" s="312"/>
      <c r="S120" s="310"/>
      <c r="T120" s="311"/>
      <c r="U120" s="312"/>
      <c r="V120" s="149"/>
      <c r="W120" s="311"/>
      <c r="X120" s="306"/>
      <c r="Y120" s="154"/>
      <c r="Z120" s="41"/>
      <c r="AA120" s="308"/>
      <c r="AB120" s="20"/>
      <c r="AC120" s="20"/>
      <c r="AD120" s="20"/>
      <c r="AE120" s="20"/>
    </row>
    <row r="121">
      <c r="A121" s="149"/>
      <c r="B121" s="164"/>
      <c r="C121" s="306"/>
      <c r="D121" s="149"/>
      <c r="E121" s="164"/>
      <c r="F121" s="306"/>
      <c r="G121" s="149"/>
      <c r="H121" s="164"/>
      <c r="I121" s="306"/>
      <c r="J121" s="149"/>
      <c r="K121" s="164"/>
      <c r="L121" s="306"/>
      <c r="M121" s="310"/>
      <c r="N121" s="311"/>
      <c r="O121" s="312"/>
      <c r="P121" s="310"/>
      <c r="Q121" s="311"/>
      <c r="R121" s="312"/>
      <c r="S121" s="310"/>
      <c r="T121" s="311"/>
      <c r="U121" s="312"/>
      <c r="V121" s="149"/>
      <c r="W121" s="311"/>
      <c r="X121" s="306"/>
      <c r="Y121" s="154"/>
      <c r="Z121" s="41"/>
      <c r="AA121" s="308"/>
      <c r="AB121" s="20"/>
      <c r="AC121" s="20"/>
      <c r="AD121" s="20"/>
      <c r="AE121" s="20"/>
    </row>
    <row r="122">
      <c r="A122" s="149"/>
      <c r="B122" s="164"/>
      <c r="C122" s="306"/>
      <c r="D122" s="149"/>
      <c r="E122" s="164"/>
      <c r="F122" s="306"/>
      <c r="G122" s="149"/>
      <c r="H122" s="164"/>
      <c r="I122" s="306"/>
      <c r="J122" s="149"/>
      <c r="K122" s="164"/>
      <c r="L122" s="306"/>
      <c r="M122" s="310"/>
      <c r="N122" s="311"/>
      <c r="O122" s="312"/>
      <c r="P122" s="310"/>
      <c r="Q122" s="311"/>
      <c r="R122" s="312"/>
      <c r="S122" s="310"/>
      <c r="T122" s="311"/>
      <c r="U122" s="312"/>
      <c r="V122" s="149"/>
      <c r="W122" s="311"/>
      <c r="X122" s="306"/>
      <c r="Y122" s="154"/>
      <c r="Z122" s="41"/>
      <c r="AA122" s="308"/>
      <c r="AB122" s="20"/>
      <c r="AC122" s="20"/>
      <c r="AD122" s="20"/>
      <c r="AE122" s="20"/>
    </row>
    <row r="123">
      <c r="A123" s="149"/>
      <c r="B123" s="164"/>
      <c r="C123" s="306"/>
      <c r="D123" s="149"/>
      <c r="E123" s="164"/>
      <c r="F123" s="306"/>
      <c r="G123" s="149"/>
      <c r="H123" s="164"/>
      <c r="I123" s="306"/>
      <c r="J123" s="149"/>
      <c r="K123" s="164"/>
      <c r="L123" s="306"/>
      <c r="M123" s="310"/>
      <c r="N123" s="311"/>
      <c r="O123" s="312"/>
      <c r="P123" s="310"/>
      <c r="Q123" s="311"/>
      <c r="R123" s="312"/>
      <c r="S123" s="310"/>
      <c r="T123" s="311"/>
      <c r="U123" s="312"/>
      <c r="V123" s="149"/>
      <c r="W123" s="311"/>
      <c r="X123" s="306"/>
      <c r="Y123" s="154"/>
      <c r="Z123" s="41"/>
      <c r="AA123" s="308"/>
      <c r="AB123" s="20"/>
      <c r="AC123" s="20"/>
      <c r="AD123" s="20"/>
      <c r="AE123" s="20"/>
    </row>
    <row r="124">
      <c r="A124" s="149"/>
      <c r="B124" s="164"/>
      <c r="C124" s="306"/>
      <c r="D124" s="149"/>
      <c r="E124" s="164"/>
      <c r="F124" s="306"/>
      <c r="G124" s="149"/>
      <c r="H124" s="164"/>
      <c r="I124" s="306"/>
      <c r="J124" s="149"/>
      <c r="K124" s="164"/>
      <c r="L124" s="306"/>
      <c r="M124" s="310"/>
      <c r="N124" s="311"/>
      <c r="O124" s="312"/>
      <c r="P124" s="310"/>
      <c r="Q124" s="311"/>
      <c r="R124" s="312"/>
      <c r="S124" s="310"/>
      <c r="T124" s="311"/>
      <c r="U124" s="312"/>
      <c r="V124" s="149"/>
      <c r="W124" s="311"/>
      <c r="X124" s="306"/>
      <c r="Y124" s="154"/>
      <c r="Z124" s="41"/>
      <c r="AA124" s="308"/>
      <c r="AB124" s="20"/>
      <c r="AC124" s="20"/>
      <c r="AD124" s="20"/>
      <c r="AE124" s="20"/>
    </row>
    <row r="125">
      <c r="A125" s="149"/>
      <c r="B125" s="164"/>
      <c r="C125" s="306"/>
      <c r="D125" s="149"/>
      <c r="E125" s="164"/>
      <c r="F125" s="306"/>
      <c r="G125" s="149"/>
      <c r="H125" s="164"/>
      <c r="I125" s="306"/>
      <c r="J125" s="149"/>
      <c r="K125" s="164"/>
      <c r="L125" s="306"/>
      <c r="M125" s="310"/>
      <c r="N125" s="311"/>
      <c r="O125" s="312"/>
      <c r="P125" s="310"/>
      <c r="Q125" s="311"/>
      <c r="R125" s="312"/>
      <c r="S125" s="310"/>
      <c r="T125" s="311"/>
      <c r="U125" s="312"/>
      <c r="V125" s="149"/>
      <c r="W125" s="311"/>
      <c r="X125" s="306"/>
      <c r="Y125" s="154"/>
      <c r="Z125" s="41"/>
      <c r="AA125" s="308"/>
      <c r="AB125" s="20"/>
      <c r="AC125" s="20"/>
      <c r="AD125" s="20"/>
      <c r="AE125" s="20"/>
    </row>
    <row r="126">
      <c r="A126" s="149"/>
      <c r="B126" s="164"/>
      <c r="C126" s="306"/>
      <c r="D126" s="149"/>
      <c r="E126" s="164"/>
      <c r="F126" s="306"/>
      <c r="G126" s="149"/>
      <c r="H126" s="164"/>
      <c r="I126" s="306"/>
      <c r="J126" s="149"/>
      <c r="K126" s="164"/>
      <c r="L126" s="306"/>
      <c r="M126" s="310"/>
      <c r="N126" s="311"/>
      <c r="O126" s="312"/>
      <c r="P126" s="310"/>
      <c r="Q126" s="311"/>
      <c r="R126" s="312"/>
      <c r="S126" s="310"/>
      <c r="T126" s="311"/>
      <c r="U126" s="312"/>
      <c r="V126" s="149"/>
      <c r="W126" s="311"/>
      <c r="X126" s="306"/>
      <c r="Y126" s="154"/>
      <c r="Z126" s="41"/>
      <c r="AA126" s="308"/>
      <c r="AB126" s="20"/>
      <c r="AC126" s="20"/>
      <c r="AD126" s="20"/>
      <c r="AE126" s="20"/>
    </row>
    <row r="127">
      <c r="A127" s="149"/>
      <c r="B127" s="164"/>
      <c r="C127" s="306"/>
      <c r="D127" s="149"/>
      <c r="E127" s="164"/>
      <c r="F127" s="306"/>
      <c r="G127" s="149"/>
      <c r="H127" s="164"/>
      <c r="I127" s="306"/>
      <c r="J127" s="149"/>
      <c r="K127" s="164"/>
      <c r="L127" s="306"/>
      <c r="M127" s="310"/>
      <c r="N127" s="311"/>
      <c r="O127" s="312"/>
      <c r="P127" s="310"/>
      <c r="Q127" s="311"/>
      <c r="R127" s="312"/>
      <c r="S127" s="310"/>
      <c r="T127" s="311"/>
      <c r="U127" s="312"/>
      <c r="V127" s="149"/>
      <c r="W127" s="311"/>
      <c r="X127" s="306"/>
      <c r="Y127" s="154"/>
      <c r="Z127" s="41"/>
      <c r="AA127" s="308"/>
      <c r="AB127" s="20"/>
      <c r="AC127" s="20"/>
      <c r="AD127" s="20"/>
      <c r="AE127" s="20"/>
    </row>
    <row r="128">
      <c r="A128" s="149"/>
      <c r="B128" s="164"/>
      <c r="C128" s="306"/>
      <c r="D128" s="149"/>
      <c r="E128" s="164"/>
      <c r="F128" s="306"/>
      <c r="G128" s="149"/>
      <c r="H128" s="164"/>
      <c r="I128" s="306"/>
      <c r="J128" s="149"/>
      <c r="K128" s="164"/>
      <c r="L128" s="306"/>
      <c r="M128" s="310"/>
      <c r="N128" s="311"/>
      <c r="O128" s="312"/>
      <c r="P128" s="310"/>
      <c r="Q128" s="311"/>
      <c r="R128" s="312"/>
      <c r="S128" s="310"/>
      <c r="T128" s="311"/>
      <c r="U128" s="312"/>
      <c r="V128" s="149"/>
      <c r="W128" s="311"/>
      <c r="X128" s="306"/>
      <c r="Y128" s="154"/>
      <c r="Z128" s="41"/>
      <c r="AA128" s="308"/>
      <c r="AB128" s="20"/>
      <c r="AC128" s="20"/>
      <c r="AD128" s="20"/>
      <c r="AE128" s="20"/>
    </row>
    <row r="129">
      <c r="A129" s="149"/>
      <c r="B129" s="164"/>
      <c r="C129" s="306"/>
      <c r="D129" s="149"/>
      <c r="E129" s="164"/>
      <c r="F129" s="306"/>
      <c r="G129" s="149"/>
      <c r="H129" s="164"/>
      <c r="I129" s="306"/>
      <c r="J129" s="149"/>
      <c r="K129" s="164"/>
      <c r="L129" s="306"/>
      <c r="M129" s="310"/>
      <c r="N129" s="311"/>
      <c r="O129" s="312"/>
      <c r="P129" s="310"/>
      <c r="Q129" s="311"/>
      <c r="R129" s="312"/>
      <c r="S129" s="310"/>
      <c r="T129" s="311"/>
      <c r="U129" s="312"/>
      <c r="V129" s="149"/>
      <c r="W129" s="311"/>
      <c r="X129" s="306"/>
      <c r="Y129" s="154"/>
      <c r="Z129" s="41"/>
      <c r="AA129" s="308"/>
      <c r="AB129" s="20"/>
      <c r="AC129" s="20"/>
      <c r="AD129" s="20"/>
      <c r="AE129" s="20"/>
    </row>
    <row r="130">
      <c r="A130" s="149"/>
      <c r="B130" s="164"/>
      <c r="C130" s="306"/>
      <c r="D130" s="149"/>
      <c r="E130" s="164"/>
      <c r="F130" s="306"/>
      <c r="G130" s="149"/>
      <c r="H130" s="164"/>
      <c r="I130" s="306"/>
      <c r="J130" s="149"/>
      <c r="K130" s="164"/>
      <c r="L130" s="306"/>
      <c r="M130" s="310"/>
      <c r="N130" s="311"/>
      <c r="O130" s="312"/>
      <c r="P130" s="310"/>
      <c r="Q130" s="311"/>
      <c r="R130" s="312"/>
      <c r="S130" s="310"/>
      <c r="T130" s="311"/>
      <c r="U130" s="312"/>
      <c r="V130" s="149"/>
      <c r="W130" s="311"/>
      <c r="X130" s="306"/>
      <c r="Y130" s="154"/>
      <c r="Z130" s="41"/>
      <c r="AA130" s="308"/>
      <c r="AB130" s="20"/>
      <c r="AC130" s="20"/>
      <c r="AD130" s="20"/>
      <c r="AE130" s="20"/>
    </row>
    <row r="131">
      <c r="A131" s="149"/>
      <c r="B131" s="164"/>
      <c r="C131" s="306"/>
      <c r="D131" s="149"/>
      <c r="E131" s="164"/>
      <c r="F131" s="306"/>
      <c r="G131" s="149"/>
      <c r="H131" s="164"/>
      <c r="I131" s="306"/>
      <c r="J131" s="149"/>
      <c r="K131" s="164"/>
      <c r="L131" s="306"/>
      <c r="M131" s="310"/>
      <c r="N131" s="311"/>
      <c r="O131" s="312"/>
      <c r="P131" s="310"/>
      <c r="Q131" s="311"/>
      <c r="R131" s="312"/>
      <c r="S131" s="310"/>
      <c r="T131" s="311"/>
      <c r="U131" s="312"/>
      <c r="V131" s="149"/>
      <c r="W131" s="311"/>
      <c r="X131" s="306"/>
      <c r="Y131" s="154"/>
      <c r="Z131" s="41"/>
      <c r="AA131" s="308"/>
      <c r="AB131" s="20"/>
      <c r="AC131" s="20"/>
      <c r="AD131" s="20"/>
      <c r="AE131" s="20"/>
    </row>
    <row r="132">
      <c r="A132" s="149"/>
      <c r="B132" s="164"/>
      <c r="C132" s="306"/>
      <c r="D132" s="149"/>
      <c r="E132" s="164"/>
      <c r="F132" s="306"/>
      <c r="G132" s="149"/>
      <c r="H132" s="164"/>
      <c r="I132" s="306"/>
      <c r="J132" s="149"/>
      <c r="K132" s="164"/>
      <c r="L132" s="306"/>
      <c r="M132" s="310"/>
      <c r="N132" s="311"/>
      <c r="O132" s="312"/>
      <c r="P132" s="310"/>
      <c r="Q132" s="311"/>
      <c r="R132" s="312"/>
      <c r="S132" s="310"/>
      <c r="T132" s="311"/>
      <c r="U132" s="312"/>
      <c r="V132" s="149"/>
      <c r="W132" s="311"/>
      <c r="X132" s="306"/>
      <c r="Y132" s="154"/>
      <c r="Z132" s="41"/>
      <c r="AA132" s="308"/>
      <c r="AB132" s="20"/>
      <c r="AC132" s="20"/>
      <c r="AD132" s="20"/>
      <c r="AE132" s="20"/>
    </row>
    <row r="133">
      <c r="A133" s="149"/>
      <c r="B133" s="164"/>
      <c r="C133" s="306"/>
      <c r="D133" s="149"/>
      <c r="E133" s="164"/>
      <c r="F133" s="306"/>
      <c r="G133" s="149"/>
      <c r="H133" s="164"/>
      <c r="I133" s="306"/>
      <c r="J133" s="149"/>
      <c r="K133" s="164"/>
      <c r="L133" s="306"/>
      <c r="M133" s="310"/>
      <c r="N133" s="311"/>
      <c r="O133" s="312"/>
      <c r="P133" s="310"/>
      <c r="Q133" s="311"/>
      <c r="R133" s="312"/>
      <c r="S133" s="310"/>
      <c r="T133" s="311"/>
      <c r="U133" s="312"/>
      <c r="V133" s="149"/>
      <c r="W133" s="311"/>
      <c r="X133" s="306"/>
      <c r="Y133" s="188"/>
      <c r="Z133" s="188"/>
      <c r="AA133" s="188"/>
      <c r="AB133" s="20"/>
      <c r="AC133" s="20"/>
      <c r="AD133" s="20"/>
      <c r="AE133" s="20"/>
    </row>
    <row r="134">
      <c r="A134" s="149"/>
      <c r="B134" s="164"/>
      <c r="C134" s="306"/>
      <c r="D134" s="149"/>
      <c r="E134" s="164"/>
      <c r="F134" s="306"/>
      <c r="G134" s="149"/>
      <c r="H134" s="164"/>
      <c r="I134" s="306"/>
      <c r="J134" s="149"/>
      <c r="K134" s="164"/>
      <c r="L134" s="306"/>
      <c r="M134" s="310"/>
      <c r="N134" s="311"/>
      <c r="O134" s="312"/>
      <c r="P134" s="310"/>
      <c r="Q134" s="311"/>
      <c r="R134" s="312"/>
      <c r="S134" s="310"/>
      <c r="T134" s="311"/>
      <c r="U134" s="312"/>
      <c r="V134" s="149"/>
      <c r="W134" s="311"/>
      <c r="X134" s="306"/>
      <c r="Y134" s="188"/>
      <c r="Z134" s="188"/>
      <c r="AA134" s="188"/>
      <c r="AB134" s="20"/>
      <c r="AC134" s="20"/>
      <c r="AD134" s="20"/>
      <c r="AE134" s="20"/>
    </row>
    <row r="135">
      <c r="A135" s="149"/>
      <c r="B135" s="164"/>
      <c r="C135" s="306"/>
      <c r="D135" s="149"/>
      <c r="E135" s="164"/>
      <c r="F135" s="306"/>
      <c r="G135" s="149"/>
      <c r="H135" s="164"/>
      <c r="I135" s="306"/>
      <c r="J135" s="149"/>
      <c r="K135" s="164"/>
      <c r="L135" s="306"/>
      <c r="M135" s="310"/>
      <c r="N135" s="311"/>
      <c r="O135" s="312"/>
      <c r="P135" s="310"/>
      <c r="Q135" s="311"/>
      <c r="R135" s="312"/>
      <c r="S135" s="310"/>
      <c r="T135" s="311"/>
      <c r="U135" s="312"/>
      <c r="V135" s="149"/>
      <c r="W135" s="311"/>
      <c r="X135" s="306"/>
      <c r="Y135" s="188"/>
      <c r="Z135" s="188"/>
      <c r="AA135" s="188"/>
      <c r="AB135" s="20"/>
      <c r="AC135" s="20"/>
      <c r="AD135" s="20"/>
      <c r="AE135" s="20"/>
    </row>
    <row r="136">
      <c r="A136" s="149"/>
      <c r="B136" s="164"/>
      <c r="C136" s="306"/>
      <c r="D136" s="149"/>
      <c r="E136" s="164"/>
      <c r="F136" s="306"/>
      <c r="G136" s="149"/>
      <c r="H136" s="164"/>
      <c r="I136" s="306"/>
      <c r="J136" s="149"/>
      <c r="K136" s="164"/>
      <c r="L136" s="306"/>
      <c r="M136" s="310"/>
      <c r="N136" s="311"/>
      <c r="O136" s="312"/>
      <c r="P136" s="310"/>
      <c r="Q136" s="311"/>
      <c r="R136" s="312"/>
      <c r="S136" s="310"/>
      <c r="T136" s="311"/>
      <c r="U136" s="312"/>
      <c r="V136" s="149"/>
      <c r="W136" s="311"/>
      <c r="X136" s="306"/>
      <c r="Y136" s="188"/>
      <c r="Z136" s="188"/>
      <c r="AA136" s="188"/>
      <c r="AB136" s="20"/>
      <c r="AC136" s="20"/>
      <c r="AD136" s="20"/>
      <c r="AE136" s="20"/>
    </row>
    <row r="137">
      <c r="A137" s="149"/>
      <c r="B137" s="164"/>
      <c r="C137" s="306"/>
      <c r="D137" s="149"/>
      <c r="E137" s="164"/>
      <c r="F137" s="306"/>
      <c r="G137" s="149"/>
      <c r="H137" s="164"/>
      <c r="I137" s="306"/>
      <c r="J137" s="149"/>
      <c r="K137" s="164"/>
      <c r="L137" s="306"/>
      <c r="M137" s="310"/>
      <c r="N137" s="311"/>
      <c r="O137" s="312"/>
      <c r="P137" s="310"/>
      <c r="Q137" s="311"/>
      <c r="R137" s="312"/>
      <c r="S137" s="310"/>
      <c r="T137" s="311"/>
      <c r="U137" s="312"/>
      <c r="V137" s="149"/>
      <c r="W137" s="311"/>
      <c r="X137" s="306"/>
      <c r="Y137" s="188"/>
      <c r="Z137" s="188"/>
      <c r="AA137" s="188"/>
      <c r="AB137" s="20"/>
      <c r="AC137" s="20"/>
      <c r="AD137" s="20"/>
      <c r="AE137" s="20"/>
    </row>
    <row r="138">
      <c r="A138" s="149"/>
      <c r="B138" s="164"/>
      <c r="C138" s="306"/>
      <c r="D138" s="149"/>
      <c r="E138" s="164"/>
      <c r="F138" s="306"/>
      <c r="G138" s="149"/>
      <c r="H138" s="164"/>
      <c r="I138" s="306"/>
      <c r="J138" s="149"/>
      <c r="K138" s="164"/>
      <c r="L138" s="306"/>
      <c r="M138" s="310"/>
      <c r="N138" s="311"/>
      <c r="O138" s="312"/>
      <c r="P138" s="310"/>
      <c r="Q138" s="311"/>
      <c r="R138" s="312"/>
      <c r="S138" s="310"/>
      <c r="T138" s="311"/>
      <c r="U138" s="312"/>
      <c r="V138" s="149"/>
      <c r="W138" s="311"/>
      <c r="X138" s="306"/>
      <c r="Y138" s="188"/>
      <c r="Z138" s="188"/>
      <c r="AA138" s="188"/>
      <c r="AB138" s="20"/>
      <c r="AC138" s="20"/>
      <c r="AD138" s="20"/>
      <c r="AE138" s="20"/>
    </row>
    <row r="139">
      <c r="A139" s="149"/>
      <c r="B139" s="164"/>
      <c r="C139" s="306"/>
      <c r="D139" s="149"/>
      <c r="E139" s="164"/>
      <c r="F139" s="306"/>
      <c r="G139" s="149"/>
      <c r="H139" s="164"/>
      <c r="I139" s="306"/>
      <c r="J139" s="149"/>
      <c r="K139" s="164"/>
      <c r="L139" s="306"/>
      <c r="M139" s="310"/>
      <c r="N139" s="311"/>
      <c r="O139" s="312"/>
      <c r="P139" s="310"/>
      <c r="Q139" s="311"/>
      <c r="R139" s="312"/>
      <c r="S139" s="310"/>
      <c r="T139" s="311"/>
      <c r="U139" s="312"/>
      <c r="V139" s="149"/>
      <c r="W139" s="311"/>
      <c r="X139" s="306"/>
      <c r="Y139" s="188"/>
      <c r="Z139" s="188"/>
      <c r="AA139" s="188"/>
      <c r="AB139" s="20"/>
      <c r="AC139" s="20"/>
      <c r="AD139" s="20"/>
      <c r="AE139" s="20"/>
    </row>
    <row r="140">
      <c r="A140" s="149"/>
      <c r="B140" s="164"/>
      <c r="C140" s="306"/>
      <c r="D140" s="149"/>
      <c r="E140" s="164"/>
      <c r="F140" s="306"/>
      <c r="G140" s="149"/>
      <c r="H140" s="164"/>
      <c r="I140" s="306"/>
      <c r="J140" s="149"/>
      <c r="K140" s="164"/>
      <c r="L140" s="306"/>
      <c r="M140" s="310"/>
      <c r="N140" s="311"/>
      <c r="O140" s="312"/>
      <c r="P140" s="310"/>
      <c r="Q140" s="311"/>
      <c r="R140" s="312"/>
      <c r="S140" s="310"/>
      <c r="T140" s="311"/>
      <c r="U140" s="312"/>
      <c r="V140" s="149"/>
      <c r="W140" s="311"/>
      <c r="X140" s="306"/>
      <c r="Y140" s="188"/>
      <c r="Z140" s="188"/>
      <c r="AA140" s="188"/>
      <c r="AB140" s="20"/>
      <c r="AC140" s="20"/>
      <c r="AD140" s="20"/>
      <c r="AE140" s="20"/>
    </row>
    <row r="141">
      <c r="A141" s="149"/>
      <c r="B141" s="164"/>
      <c r="C141" s="306"/>
      <c r="D141" s="149"/>
      <c r="E141" s="164"/>
      <c r="F141" s="306"/>
      <c r="G141" s="149"/>
      <c r="H141" s="164"/>
      <c r="I141" s="306"/>
      <c r="J141" s="149"/>
      <c r="K141" s="164"/>
      <c r="L141" s="306"/>
      <c r="M141" s="310"/>
      <c r="N141" s="311"/>
      <c r="O141" s="312"/>
      <c r="P141" s="310"/>
      <c r="Q141" s="311"/>
      <c r="R141" s="312"/>
      <c r="S141" s="310"/>
      <c r="T141" s="311"/>
      <c r="U141" s="312"/>
      <c r="V141" s="149"/>
      <c r="W141" s="311"/>
      <c r="X141" s="306"/>
      <c r="Y141" s="188"/>
      <c r="Z141" s="188"/>
      <c r="AA141" s="188"/>
      <c r="AB141" s="20"/>
      <c r="AC141" s="20"/>
      <c r="AD141" s="20"/>
      <c r="AE141" s="20"/>
    </row>
    <row r="142">
      <c r="A142" s="149"/>
      <c r="B142" s="164"/>
      <c r="C142" s="306"/>
      <c r="D142" s="149"/>
      <c r="E142" s="164"/>
      <c r="F142" s="306"/>
      <c r="G142" s="149"/>
      <c r="H142" s="164"/>
      <c r="I142" s="306"/>
      <c r="J142" s="149"/>
      <c r="K142" s="164"/>
      <c r="L142" s="306"/>
      <c r="M142" s="310"/>
      <c r="N142" s="311"/>
      <c r="O142" s="312"/>
      <c r="P142" s="310"/>
      <c r="Q142" s="311"/>
      <c r="R142" s="312"/>
      <c r="S142" s="310"/>
      <c r="T142" s="311"/>
      <c r="U142" s="312"/>
      <c r="V142" s="149"/>
      <c r="W142" s="311"/>
      <c r="X142" s="306"/>
      <c r="Y142" s="188"/>
      <c r="Z142" s="188"/>
      <c r="AA142" s="188"/>
      <c r="AB142" s="20"/>
      <c r="AC142" s="20"/>
      <c r="AD142" s="20"/>
      <c r="AE142" s="20"/>
    </row>
    <row r="143">
      <c r="A143" s="149"/>
      <c r="B143" s="164"/>
      <c r="C143" s="306"/>
      <c r="D143" s="149"/>
      <c r="E143" s="164"/>
      <c r="F143" s="306"/>
      <c r="G143" s="149"/>
      <c r="H143" s="164"/>
      <c r="I143" s="306"/>
      <c r="J143" s="149"/>
      <c r="K143" s="164"/>
      <c r="L143" s="306"/>
      <c r="M143" s="310"/>
      <c r="N143" s="311"/>
      <c r="O143" s="312"/>
      <c r="P143" s="310"/>
      <c r="Q143" s="311"/>
      <c r="R143" s="312"/>
      <c r="S143" s="310"/>
      <c r="T143" s="311"/>
      <c r="U143" s="312"/>
      <c r="V143" s="149"/>
      <c r="W143" s="311"/>
      <c r="X143" s="306"/>
      <c r="Y143" s="188"/>
      <c r="Z143" s="188"/>
      <c r="AA143" s="188"/>
      <c r="AB143" s="20"/>
      <c r="AC143" s="20"/>
      <c r="AD143" s="20"/>
      <c r="AE143" s="20"/>
    </row>
    <row r="144">
      <c r="A144" s="149"/>
      <c r="B144" s="164"/>
      <c r="C144" s="306"/>
      <c r="D144" s="149"/>
      <c r="E144" s="164"/>
      <c r="F144" s="306"/>
      <c r="G144" s="149"/>
      <c r="H144" s="164"/>
      <c r="I144" s="306"/>
      <c r="J144" s="149"/>
      <c r="K144" s="164"/>
      <c r="L144" s="306"/>
      <c r="M144" s="310"/>
      <c r="N144" s="311"/>
      <c r="O144" s="312"/>
      <c r="P144" s="310"/>
      <c r="Q144" s="311"/>
      <c r="R144" s="312"/>
      <c r="S144" s="310"/>
      <c r="T144" s="311"/>
      <c r="U144" s="312"/>
      <c r="V144" s="149"/>
      <c r="W144" s="311"/>
      <c r="X144" s="306"/>
      <c r="Y144" s="188"/>
      <c r="Z144" s="188"/>
      <c r="AA144" s="188"/>
      <c r="AB144" s="20"/>
      <c r="AC144" s="20"/>
      <c r="AD144" s="20"/>
      <c r="AE144" s="20"/>
    </row>
    <row r="145">
      <c r="A145" s="149"/>
      <c r="B145" s="164"/>
      <c r="C145" s="306"/>
      <c r="D145" s="149"/>
      <c r="E145" s="164"/>
      <c r="F145" s="306"/>
      <c r="G145" s="149"/>
      <c r="H145" s="164"/>
      <c r="I145" s="306"/>
      <c r="J145" s="149"/>
      <c r="K145" s="164"/>
      <c r="L145" s="306"/>
      <c r="M145" s="310"/>
      <c r="N145" s="311"/>
      <c r="O145" s="312"/>
      <c r="P145" s="310"/>
      <c r="Q145" s="311"/>
      <c r="R145" s="312"/>
      <c r="S145" s="310"/>
      <c r="T145" s="311"/>
      <c r="U145" s="312"/>
      <c r="V145" s="149"/>
      <c r="W145" s="311"/>
      <c r="X145" s="306"/>
      <c r="Y145" s="188"/>
      <c r="Z145" s="188"/>
      <c r="AA145" s="188"/>
      <c r="AB145" s="20"/>
      <c r="AC145" s="20"/>
      <c r="AD145" s="20"/>
      <c r="AE145" s="20"/>
    </row>
    <row r="146">
      <c r="A146" s="149"/>
      <c r="B146" s="164"/>
      <c r="C146" s="306"/>
      <c r="D146" s="149"/>
      <c r="E146" s="164"/>
      <c r="F146" s="306"/>
      <c r="G146" s="149"/>
      <c r="H146" s="164"/>
      <c r="I146" s="306"/>
      <c r="J146" s="149"/>
      <c r="K146" s="164"/>
      <c r="L146" s="306"/>
      <c r="M146" s="310"/>
      <c r="N146" s="311"/>
      <c r="O146" s="312"/>
      <c r="P146" s="310"/>
      <c r="Q146" s="311"/>
      <c r="R146" s="312"/>
      <c r="S146" s="310"/>
      <c r="T146" s="311"/>
      <c r="U146" s="312"/>
      <c r="V146" s="149"/>
      <c r="W146" s="311"/>
      <c r="X146" s="306"/>
      <c r="Y146" s="188"/>
      <c r="Z146" s="188"/>
      <c r="AA146" s="188"/>
      <c r="AB146" s="20"/>
      <c r="AC146" s="20"/>
      <c r="AD146" s="20"/>
      <c r="AE146" s="20"/>
    </row>
    <row r="147">
      <c r="A147" s="149"/>
      <c r="B147" s="164"/>
      <c r="C147" s="306"/>
      <c r="D147" s="149"/>
      <c r="E147" s="164"/>
      <c r="F147" s="306"/>
      <c r="G147" s="149"/>
      <c r="H147" s="164"/>
      <c r="I147" s="306"/>
      <c r="J147" s="149"/>
      <c r="K147" s="164"/>
      <c r="L147" s="306"/>
      <c r="M147" s="310"/>
      <c r="N147" s="311"/>
      <c r="O147" s="312"/>
      <c r="P147" s="310"/>
      <c r="Q147" s="311"/>
      <c r="R147" s="312"/>
      <c r="S147" s="310"/>
      <c r="T147" s="311"/>
      <c r="U147" s="312"/>
      <c r="V147" s="149"/>
      <c r="W147" s="311"/>
      <c r="X147" s="306"/>
      <c r="Y147" s="188"/>
      <c r="Z147" s="188"/>
      <c r="AA147" s="188"/>
      <c r="AB147" s="20"/>
      <c r="AC147" s="20"/>
      <c r="AD147" s="20"/>
      <c r="AE147" s="20"/>
    </row>
    <row r="148">
      <c r="A148" s="149"/>
      <c r="B148" s="164"/>
      <c r="C148" s="306"/>
      <c r="D148" s="149"/>
      <c r="E148" s="164"/>
      <c r="F148" s="306"/>
      <c r="G148" s="149"/>
      <c r="H148" s="164"/>
      <c r="I148" s="306"/>
      <c r="J148" s="149"/>
      <c r="K148" s="164"/>
      <c r="L148" s="306"/>
      <c r="M148" s="310"/>
      <c r="N148" s="311"/>
      <c r="O148" s="312"/>
      <c r="P148" s="310"/>
      <c r="Q148" s="311"/>
      <c r="R148" s="312"/>
      <c r="S148" s="310"/>
      <c r="T148" s="311"/>
      <c r="U148" s="312"/>
      <c r="V148" s="149"/>
      <c r="W148" s="311"/>
      <c r="X148" s="306"/>
      <c r="Y148" s="188"/>
      <c r="Z148" s="188"/>
      <c r="AA148" s="188"/>
      <c r="AB148" s="20"/>
      <c r="AC148" s="20"/>
      <c r="AD148" s="20"/>
      <c r="AE148" s="20"/>
    </row>
    <row r="149">
      <c r="A149" s="149"/>
      <c r="B149" s="164"/>
      <c r="C149" s="306"/>
      <c r="D149" s="149"/>
      <c r="E149" s="164"/>
      <c r="F149" s="306"/>
      <c r="G149" s="149"/>
      <c r="H149" s="164"/>
      <c r="I149" s="306"/>
      <c r="J149" s="149"/>
      <c r="K149" s="164"/>
      <c r="L149" s="306"/>
      <c r="M149" s="310"/>
      <c r="N149" s="311"/>
      <c r="O149" s="312"/>
      <c r="P149" s="310"/>
      <c r="Q149" s="311"/>
      <c r="R149" s="312"/>
      <c r="S149" s="310"/>
      <c r="T149" s="311"/>
      <c r="U149" s="312"/>
      <c r="V149" s="149"/>
      <c r="W149" s="311"/>
      <c r="X149" s="306"/>
      <c r="Y149" s="188"/>
      <c r="Z149" s="188"/>
      <c r="AA149" s="188"/>
      <c r="AB149" s="20"/>
      <c r="AC149" s="20"/>
      <c r="AD149" s="20"/>
      <c r="AE149" s="20"/>
    </row>
    <row r="150">
      <c r="A150" s="149"/>
      <c r="B150" s="164"/>
      <c r="C150" s="306"/>
      <c r="D150" s="149"/>
      <c r="E150" s="164"/>
      <c r="F150" s="306"/>
      <c r="G150" s="149"/>
      <c r="H150" s="164"/>
      <c r="I150" s="306"/>
      <c r="J150" s="149"/>
      <c r="K150" s="164"/>
      <c r="L150" s="306"/>
      <c r="M150" s="310"/>
      <c r="N150" s="311"/>
      <c r="O150" s="312"/>
      <c r="P150" s="310"/>
      <c r="Q150" s="311"/>
      <c r="R150" s="312"/>
      <c r="S150" s="310"/>
      <c r="T150" s="311"/>
      <c r="U150" s="312"/>
      <c r="V150" s="149"/>
      <c r="W150" s="311"/>
      <c r="X150" s="306"/>
      <c r="Y150" s="188"/>
      <c r="Z150" s="188"/>
      <c r="AA150" s="188"/>
      <c r="AB150" s="20"/>
      <c r="AC150" s="20"/>
      <c r="AD150" s="20"/>
      <c r="AE150" s="20"/>
    </row>
    <row r="151">
      <c r="A151" s="149"/>
      <c r="B151" s="164"/>
      <c r="C151" s="306"/>
      <c r="D151" s="149"/>
      <c r="E151" s="164"/>
      <c r="F151" s="306"/>
      <c r="G151" s="149"/>
      <c r="H151" s="164"/>
      <c r="I151" s="306"/>
      <c r="J151" s="149"/>
      <c r="K151" s="164"/>
      <c r="L151" s="306"/>
      <c r="M151" s="310"/>
      <c r="N151" s="311"/>
      <c r="O151" s="312"/>
      <c r="P151" s="310"/>
      <c r="Q151" s="311"/>
      <c r="R151" s="312"/>
      <c r="S151" s="310"/>
      <c r="T151" s="311"/>
      <c r="U151" s="312"/>
      <c r="V151" s="149"/>
      <c r="W151" s="311"/>
      <c r="X151" s="306"/>
      <c r="Y151" s="188"/>
      <c r="Z151" s="188"/>
      <c r="AA151" s="188"/>
      <c r="AB151" s="20"/>
      <c r="AC151" s="20"/>
      <c r="AD151" s="20"/>
      <c r="AE151" s="20"/>
    </row>
    <row r="152">
      <c r="A152" s="149"/>
      <c r="B152" s="164"/>
      <c r="C152" s="306"/>
      <c r="D152" s="149"/>
      <c r="E152" s="164"/>
      <c r="F152" s="306"/>
      <c r="G152" s="149"/>
      <c r="H152" s="164"/>
      <c r="I152" s="306"/>
      <c r="J152" s="149"/>
      <c r="K152" s="164"/>
      <c r="L152" s="306"/>
      <c r="M152" s="310"/>
      <c r="N152" s="311"/>
      <c r="O152" s="312"/>
      <c r="P152" s="310"/>
      <c r="Q152" s="311"/>
      <c r="R152" s="312"/>
      <c r="S152" s="310"/>
      <c r="T152" s="311"/>
      <c r="U152" s="312"/>
      <c r="V152" s="149"/>
      <c r="W152" s="311"/>
      <c r="X152" s="306"/>
      <c r="Y152" s="188"/>
      <c r="Z152" s="188"/>
      <c r="AA152" s="188"/>
      <c r="AB152" s="20"/>
      <c r="AC152" s="20"/>
      <c r="AD152" s="20"/>
      <c r="AE152" s="20"/>
    </row>
    <row r="153">
      <c r="A153" s="149"/>
      <c r="B153" s="164"/>
      <c r="C153" s="306"/>
      <c r="D153" s="149"/>
      <c r="E153" s="164"/>
      <c r="F153" s="306"/>
      <c r="G153" s="149"/>
      <c r="H153" s="164"/>
      <c r="I153" s="306"/>
      <c r="J153" s="149"/>
      <c r="K153" s="164"/>
      <c r="L153" s="306"/>
      <c r="M153" s="310"/>
      <c r="N153" s="311"/>
      <c r="O153" s="312"/>
      <c r="P153" s="310"/>
      <c r="Q153" s="311"/>
      <c r="R153" s="312"/>
      <c r="S153" s="310"/>
      <c r="T153" s="311"/>
      <c r="U153" s="312"/>
      <c r="V153" s="149"/>
      <c r="W153" s="311"/>
      <c r="X153" s="306"/>
      <c r="Y153" s="188"/>
      <c r="Z153" s="188"/>
      <c r="AA153" s="188"/>
      <c r="AB153" s="20"/>
      <c r="AC153" s="20"/>
      <c r="AD153" s="20"/>
      <c r="AE153" s="20"/>
    </row>
    <row r="154">
      <c r="A154" s="149"/>
      <c r="B154" s="164"/>
      <c r="C154" s="306"/>
      <c r="D154" s="149"/>
      <c r="E154" s="164"/>
      <c r="F154" s="306"/>
      <c r="G154" s="149"/>
      <c r="H154" s="164"/>
      <c r="I154" s="306"/>
      <c r="J154" s="149"/>
      <c r="K154" s="164"/>
      <c r="L154" s="306"/>
      <c r="M154" s="310"/>
      <c r="N154" s="311"/>
      <c r="O154" s="312"/>
      <c r="P154" s="310"/>
      <c r="Q154" s="311"/>
      <c r="R154" s="312"/>
      <c r="S154" s="310"/>
      <c r="T154" s="311"/>
      <c r="U154" s="312"/>
      <c r="V154" s="149"/>
      <c r="W154" s="311"/>
      <c r="X154" s="306"/>
      <c r="Y154" s="188"/>
      <c r="Z154" s="188"/>
      <c r="AA154" s="188"/>
      <c r="AB154" s="20"/>
      <c r="AC154" s="20"/>
      <c r="AD154" s="20"/>
      <c r="AE154" s="20"/>
    </row>
    <row r="155">
      <c r="A155" s="149"/>
      <c r="B155" s="164"/>
      <c r="C155" s="306"/>
      <c r="D155" s="149"/>
      <c r="E155" s="164"/>
      <c r="F155" s="306"/>
      <c r="G155" s="149"/>
      <c r="H155" s="164"/>
      <c r="I155" s="306"/>
      <c r="J155" s="149"/>
      <c r="K155" s="164"/>
      <c r="L155" s="306"/>
      <c r="M155" s="310"/>
      <c r="N155" s="311"/>
      <c r="O155" s="312"/>
      <c r="P155" s="310"/>
      <c r="Q155" s="311"/>
      <c r="R155" s="312"/>
      <c r="S155" s="310"/>
      <c r="T155" s="311"/>
      <c r="U155" s="312"/>
      <c r="V155" s="149"/>
      <c r="W155" s="311"/>
      <c r="X155" s="306"/>
      <c r="Y155" s="188"/>
      <c r="Z155" s="188"/>
      <c r="AA155" s="188"/>
      <c r="AB155" s="20"/>
      <c r="AC155" s="20"/>
      <c r="AD155" s="20"/>
      <c r="AE155" s="20"/>
    </row>
    <row r="156">
      <c r="A156" s="149"/>
      <c r="B156" s="164"/>
      <c r="C156" s="306"/>
      <c r="D156" s="149"/>
      <c r="E156" s="164"/>
      <c r="F156" s="306"/>
      <c r="G156" s="149"/>
      <c r="H156" s="164"/>
      <c r="I156" s="306"/>
      <c r="J156" s="149"/>
      <c r="K156" s="164"/>
      <c r="L156" s="306"/>
      <c r="M156" s="310"/>
      <c r="N156" s="311"/>
      <c r="O156" s="312"/>
      <c r="P156" s="310"/>
      <c r="Q156" s="311"/>
      <c r="R156" s="312"/>
      <c r="S156" s="310"/>
      <c r="T156" s="311"/>
      <c r="U156" s="312"/>
      <c r="V156" s="149"/>
      <c r="W156" s="311"/>
      <c r="X156" s="306"/>
      <c r="Y156" s="188"/>
      <c r="Z156" s="188"/>
      <c r="AA156" s="188"/>
      <c r="AB156" s="20"/>
      <c r="AC156" s="20"/>
      <c r="AD156" s="20"/>
      <c r="AE156" s="20"/>
    </row>
    <row r="157">
      <c r="A157" s="149"/>
      <c r="B157" s="164"/>
      <c r="C157" s="306"/>
      <c r="D157" s="149"/>
      <c r="E157" s="164"/>
      <c r="F157" s="306"/>
      <c r="G157" s="149"/>
      <c r="H157" s="164"/>
      <c r="I157" s="306"/>
      <c r="J157" s="149"/>
      <c r="K157" s="164"/>
      <c r="L157" s="306"/>
      <c r="M157" s="310"/>
      <c r="N157" s="311"/>
      <c r="O157" s="312"/>
      <c r="P157" s="310"/>
      <c r="Q157" s="311"/>
      <c r="R157" s="312"/>
      <c r="S157" s="310"/>
      <c r="T157" s="311"/>
      <c r="U157" s="312"/>
      <c r="V157" s="149"/>
      <c r="W157" s="311"/>
      <c r="X157" s="306"/>
      <c r="Y157" s="188"/>
      <c r="Z157" s="188"/>
      <c r="AA157" s="188"/>
      <c r="AB157" s="20"/>
      <c r="AC157" s="20"/>
      <c r="AD157" s="20"/>
      <c r="AE157" s="20"/>
    </row>
    <row r="158">
      <c r="A158" s="149"/>
      <c r="B158" s="164"/>
      <c r="C158" s="306"/>
      <c r="D158" s="149"/>
      <c r="E158" s="164"/>
      <c r="F158" s="306"/>
      <c r="G158" s="149"/>
      <c r="H158" s="164"/>
      <c r="I158" s="306"/>
      <c r="J158" s="149"/>
      <c r="K158" s="164"/>
      <c r="L158" s="306"/>
      <c r="M158" s="310"/>
      <c r="N158" s="311"/>
      <c r="O158" s="312"/>
      <c r="P158" s="310"/>
      <c r="Q158" s="311"/>
      <c r="R158" s="312"/>
      <c r="S158" s="310"/>
      <c r="T158" s="311"/>
      <c r="U158" s="312"/>
      <c r="V158" s="149"/>
      <c r="W158" s="311"/>
      <c r="X158" s="306"/>
      <c r="Y158" s="188"/>
      <c r="Z158" s="188"/>
      <c r="AA158" s="188"/>
      <c r="AB158" s="20"/>
      <c r="AC158" s="20"/>
      <c r="AD158" s="20"/>
      <c r="AE158" s="20"/>
    </row>
    <row r="159">
      <c r="A159" s="149"/>
      <c r="B159" s="164"/>
      <c r="C159" s="306"/>
      <c r="D159" s="149"/>
      <c r="E159" s="164"/>
      <c r="F159" s="306"/>
      <c r="G159" s="149"/>
      <c r="H159" s="164"/>
      <c r="I159" s="306"/>
      <c r="J159" s="149"/>
      <c r="K159" s="164"/>
      <c r="L159" s="306"/>
      <c r="M159" s="310"/>
      <c r="N159" s="311"/>
      <c r="O159" s="312"/>
      <c r="P159" s="310"/>
      <c r="Q159" s="311"/>
      <c r="R159" s="312"/>
      <c r="S159" s="310"/>
      <c r="T159" s="311"/>
      <c r="U159" s="312"/>
      <c r="V159" s="149"/>
      <c r="W159" s="311"/>
      <c r="X159" s="306"/>
      <c r="Y159" s="188"/>
      <c r="Z159" s="188"/>
      <c r="AA159" s="188"/>
      <c r="AB159" s="20"/>
      <c r="AC159" s="20"/>
      <c r="AD159" s="20"/>
      <c r="AE159" s="20"/>
    </row>
    <row r="160">
      <c r="A160" s="149"/>
      <c r="B160" s="164"/>
      <c r="C160" s="306"/>
      <c r="D160" s="149"/>
      <c r="E160" s="164"/>
      <c r="F160" s="306"/>
      <c r="G160" s="149"/>
      <c r="H160" s="164"/>
      <c r="I160" s="306"/>
      <c r="J160" s="149"/>
      <c r="K160" s="164"/>
      <c r="L160" s="306"/>
      <c r="M160" s="310"/>
      <c r="N160" s="311"/>
      <c r="O160" s="312"/>
      <c r="P160" s="310"/>
      <c r="Q160" s="311"/>
      <c r="R160" s="312"/>
      <c r="S160" s="310"/>
      <c r="T160" s="311"/>
      <c r="U160" s="312"/>
      <c r="V160" s="149"/>
      <c r="W160" s="311"/>
      <c r="X160" s="306"/>
      <c r="Y160" s="188"/>
      <c r="Z160" s="188"/>
      <c r="AA160" s="188"/>
      <c r="AB160" s="20"/>
      <c r="AC160" s="20"/>
      <c r="AD160" s="20"/>
      <c r="AE160" s="20"/>
    </row>
    <row r="161">
      <c r="A161" s="149"/>
      <c r="B161" s="164"/>
      <c r="C161" s="306"/>
      <c r="D161" s="149"/>
      <c r="E161" s="164"/>
      <c r="F161" s="306"/>
      <c r="G161" s="149"/>
      <c r="H161" s="164"/>
      <c r="I161" s="306"/>
      <c r="J161" s="149"/>
      <c r="K161" s="164"/>
      <c r="L161" s="306"/>
      <c r="M161" s="310"/>
      <c r="N161" s="311"/>
      <c r="O161" s="312"/>
      <c r="P161" s="310"/>
      <c r="Q161" s="311"/>
      <c r="R161" s="312"/>
      <c r="S161" s="310"/>
      <c r="T161" s="311"/>
      <c r="U161" s="312"/>
      <c r="V161" s="149"/>
      <c r="W161" s="311"/>
      <c r="X161" s="306"/>
      <c r="Y161" s="188"/>
      <c r="Z161" s="188"/>
      <c r="AA161" s="188"/>
      <c r="AB161" s="20"/>
      <c r="AC161" s="20"/>
      <c r="AD161" s="20"/>
      <c r="AE161" s="20"/>
    </row>
    <row r="162">
      <c r="A162" s="149"/>
      <c r="B162" s="164"/>
      <c r="C162" s="306"/>
      <c r="D162" s="149"/>
      <c r="E162" s="164"/>
      <c r="F162" s="306"/>
      <c r="G162" s="149"/>
      <c r="H162" s="164"/>
      <c r="I162" s="306"/>
      <c r="J162" s="149"/>
      <c r="K162" s="164"/>
      <c r="L162" s="306"/>
      <c r="M162" s="310"/>
      <c r="N162" s="311"/>
      <c r="O162" s="312"/>
      <c r="P162" s="310"/>
      <c r="Q162" s="311"/>
      <c r="R162" s="312"/>
      <c r="S162" s="310"/>
      <c r="T162" s="311"/>
      <c r="U162" s="312"/>
      <c r="V162" s="149"/>
      <c r="W162" s="311"/>
      <c r="X162" s="306"/>
      <c r="Y162" s="188"/>
      <c r="Z162" s="188"/>
      <c r="AA162" s="188"/>
      <c r="AB162" s="20"/>
      <c r="AC162" s="20"/>
      <c r="AD162" s="20"/>
      <c r="AE162" s="20"/>
    </row>
    <row r="163">
      <c r="A163" s="149"/>
      <c r="B163" s="164"/>
      <c r="C163" s="306"/>
      <c r="D163" s="149"/>
      <c r="E163" s="164"/>
      <c r="F163" s="306"/>
      <c r="G163" s="149"/>
      <c r="H163" s="164"/>
      <c r="I163" s="306"/>
      <c r="J163" s="149"/>
      <c r="K163" s="164"/>
      <c r="L163" s="306"/>
      <c r="M163" s="310"/>
      <c r="N163" s="311"/>
      <c r="O163" s="312"/>
      <c r="P163" s="310"/>
      <c r="Q163" s="311"/>
      <c r="R163" s="312"/>
      <c r="S163" s="310"/>
      <c r="T163" s="311"/>
      <c r="U163" s="312"/>
      <c r="V163" s="149"/>
      <c r="W163" s="311"/>
      <c r="X163" s="306"/>
      <c r="Y163" s="188"/>
      <c r="Z163" s="188"/>
      <c r="AA163" s="188"/>
      <c r="AB163" s="20"/>
      <c r="AC163" s="20"/>
      <c r="AD163" s="20"/>
      <c r="AE163" s="20"/>
    </row>
    <row r="164">
      <c r="A164" s="149"/>
      <c r="B164" s="164"/>
      <c r="C164" s="306"/>
      <c r="D164" s="149"/>
      <c r="E164" s="164"/>
      <c r="F164" s="306"/>
      <c r="G164" s="149"/>
      <c r="H164" s="164"/>
      <c r="I164" s="306"/>
      <c r="J164" s="149"/>
      <c r="K164" s="164"/>
      <c r="L164" s="306"/>
      <c r="M164" s="310"/>
      <c r="N164" s="311"/>
      <c r="O164" s="312"/>
      <c r="P164" s="310"/>
      <c r="Q164" s="311"/>
      <c r="R164" s="312"/>
      <c r="S164" s="310"/>
      <c r="T164" s="311"/>
      <c r="U164" s="312"/>
      <c r="V164" s="149"/>
      <c r="W164" s="311"/>
      <c r="X164" s="306"/>
      <c r="Y164" s="188"/>
      <c r="Z164" s="188"/>
      <c r="AA164" s="188"/>
      <c r="AB164" s="20"/>
      <c r="AC164" s="20"/>
      <c r="AD164" s="20"/>
      <c r="AE164" s="20"/>
    </row>
    <row r="165">
      <c r="A165" s="149"/>
      <c r="B165" s="164"/>
      <c r="C165" s="306"/>
      <c r="D165" s="149"/>
      <c r="E165" s="164"/>
      <c r="F165" s="306"/>
      <c r="G165" s="149"/>
      <c r="H165" s="164"/>
      <c r="I165" s="306"/>
      <c r="J165" s="149"/>
      <c r="K165" s="164"/>
      <c r="L165" s="306"/>
      <c r="M165" s="310"/>
      <c r="N165" s="311"/>
      <c r="O165" s="312"/>
      <c r="P165" s="310"/>
      <c r="Q165" s="311"/>
      <c r="R165" s="312"/>
      <c r="S165" s="310"/>
      <c r="T165" s="311"/>
      <c r="U165" s="312"/>
      <c r="V165" s="149"/>
      <c r="W165" s="311"/>
      <c r="X165" s="306"/>
      <c r="Y165" s="188"/>
      <c r="Z165" s="188"/>
      <c r="AA165" s="188"/>
      <c r="AB165" s="20"/>
      <c r="AC165" s="20"/>
      <c r="AD165" s="20"/>
      <c r="AE165" s="20"/>
    </row>
    <row r="166">
      <c r="A166" s="149"/>
      <c r="B166" s="164"/>
      <c r="C166" s="306"/>
      <c r="D166" s="149"/>
      <c r="E166" s="164"/>
      <c r="F166" s="306"/>
      <c r="G166" s="149"/>
      <c r="H166" s="164"/>
      <c r="I166" s="306"/>
      <c r="J166" s="149"/>
      <c r="K166" s="164"/>
      <c r="L166" s="306"/>
      <c r="M166" s="310"/>
      <c r="N166" s="311"/>
      <c r="O166" s="312"/>
      <c r="P166" s="310"/>
      <c r="Q166" s="311"/>
      <c r="R166" s="312"/>
      <c r="S166" s="310"/>
      <c r="T166" s="311"/>
      <c r="U166" s="312"/>
      <c r="V166" s="149"/>
      <c r="W166" s="311"/>
      <c r="X166" s="306"/>
      <c r="Y166" s="188"/>
      <c r="Z166" s="188"/>
      <c r="AA166" s="188"/>
      <c r="AB166" s="20"/>
      <c r="AC166" s="20"/>
      <c r="AD166" s="20"/>
      <c r="AE166" s="20"/>
    </row>
    <row r="167">
      <c r="A167" s="149"/>
      <c r="B167" s="164"/>
      <c r="C167" s="306"/>
      <c r="D167" s="149"/>
      <c r="E167" s="164"/>
      <c r="F167" s="306"/>
      <c r="G167" s="149"/>
      <c r="H167" s="164"/>
      <c r="I167" s="306"/>
      <c r="J167" s="149"/>
      <c r="K167" s="164"/>
      <c r="L167" s="306"/>
      <c r="M167" s="310"/>
      <c r="N167" s="311"/>
      <c r="O167" s="312"/>
      <c r="P167" s="310"/>
      <c r="Q167" s="311"/>
      <c r="R167" s="312"/>
      <c r="S167" s="310"/>
      <c r="T167" s="311"/>
      <c r="U167" s="312"/>
      <c r="V167" s="149"/>
      <c r="W167" s="311"/>
      <c r="X167" s="306"/>
      <c r="Y167" s="188"/>
      <c r="Z167" s="188"/>
      <c r="AA167" s="188"/>
      <c r="AB167" s="20"/>
      <c r="AC167" s="20"/>
      <c r="AD167" s="20"/>
      <c r="AE167" s="20"/>
    </row>
    <row r="168">
      <c r="A168" s="149"/>
      <c r="B168" s="164"/>
      <c r="C168" s="306"/>
      <c r="D168" s="149"/>
      <c r="E168" s="164"/>
      <c r="F168" s="306"/>
      <c r="G168" s="149"/>
      <c r="H168" s="164"/>
      <c r="I168" s="306"/>
      <c r="J168" s="149"/>
      <c r="K168" s="164"/>
      <c r="L168" s="306"/>
      <c r="M168" s="310"/>
      <c r="N168" s="311"/>
      <c r="O168" s="312"/>
      <c r="P168" s="310"/>
      <c r="Q168" s="311"/>
      <c r="R168" s="312"/>
      <c r="S168" s="310"/>
      <c r="T168" s="311"/>
      <c r="U168" s="312"/>
      <c r="V168" s="149"/>
      <c r="W168" s="311"/>
      <c r="X168" s="306"/>
      <c r="Y168" s="188"/>
      <c r="Z168" s="188"/>
      <c r="AA168" s="188"/>
      <c r="AB168" s="20"/>
      <c r="AC168" s="20"/>
      <c r="AD168" s="20"/>
      <c r="AE168" s="20"/>
    </row>
    <row r="169">
      <c r="A169" s="149"/>
      <c r="B169" s="164"/>
      <c r="C169" s="306"/>
      <c r="D169" s="149"/>
      <c r="E169" s="164"/>
      <c r="F169" s="306"/>
      <c r="G169" s="149"/>
      <c r="H169" s="164"/>
      <c r="I169" s="306"/>
      <c r="J169" s="149"/>
      <c r="K169" s="164"/>
      <c r="L169" s="306"/>
      <c r="M169" s="310"/>
      <c r="N169" s="311"/>
      <c r="O169" s="312"/>
      <c r="P169" s="310"/>
      <c r="Q169" s="311"/>
      <c r="R169" s="312"/>
      <c r="S169" s="310"/>
      <c r="T169" s="311"/>
      <c r="U169" s="312"/>
      <c r="V169" s="149"/>
      <c r="W169" s="311"/>
      <c r="X169" s="306"/>
      <c r="Y169" s="188"/>
      <c r="Z169" s="188"/>
      <c r="AA169" s="188"/>
      <c r="AB169" s="20"/>
      <c r="AC169" s="20"/>
      <c r="AD169" s="20"/>
      <c r="AE169" s="20"/>
    </row>
    <row r="170">
      <c r="A170" s="149"/>
      <c r="B170" s="164"/>
      <c r="C170" s="306"/>
      <c r="D170" s="149"/>
      <c r="E170" s="164"/>
      <c r="F170" s="306"/>
      <c r="G170" s="149"/>
      <c r="H170" s="164"/>
      <c r="I170" s="306"/>
      <c r="J170" s="149"/>
      <c r="K170" s="164"/>
      <c r="L170" s="306"/>
      <c r="M170" s="310"/>
      <c r="N170" s="311"/>
      <c r="O170" s="312"/>
      <c r="P170" s="310"/>
      <c r="Q170" s="311"/>
      <c r="R170" s="312"/>
      <c r="S170" s="310"/>
      <c r="T170" s="311"/>
      <c r="U170" s="312"/>
      <c r="V170" s="149"/>
      <c r="W170" s="311"/>
      <c r="X170" s="306"/>
      <c r="Y170" s="188"/>
      <c r="Z170" s="188"/>
      <c r="AA170" s="188"/>
      <c r="AB170" s="20"/>
      <c r="AC170" s="20"/>
      <c r="AD170" s="20"/>
      <c r="AE170" s="20"/>
    </row>
    <row r="171">
      <c r="A171" s="149"/>
      <c r="B171" s="164"/>
      <c r="C171" s="306"/>
      <c r="D171" s="149"/>
      <c r="E171" s="164"/>
      <c r="F171" s="306"/>
      <c r="G171" s="149"/>
      <c r="H171" s="164"/>
      <c r="I171" s="306"/>
      <c r="J171" s="149"/>
      <c r="K171" s="164"/>
      <c r="L171" s="306"/>
      <c r="M171" s="310"/>
      <c r="N171" s="311"/>
      <c r="O171" s="312"/>
      <c r="P171" s="310"/>
      <c r="Q171" s="311"/>
      <c r="R171" s="312"/>
      <c r="S171" s="310"/>
      <c r="T171" s="311"/>
      <c r="U171" s="312"/>
      <c r="V171" s="149"/>
      <c r="W171" s="311"/>
      <c r="X171" s="306"/>
      <c r="Y171" s="188"/>
      <c r="Z171" s="188"/>
      <c r="AA171" s="188"/>
      <c r="AB171" s="20"/>
      <c r="AC171" s="20"/>
      <c r="AD171" s="20"/>
      <c r="AE171" s="20"/>
    </row>
    <row r="172">
      <c r="A172" s="149"/>
      <c r="B172" s="164"/>
      <c r="C172" s="306"/>
      <c r="D172" s="149"/>
      <c r="E172" s="164"/>
      <c r="F172" s="306"/>
      <c r="G172" s="149"/>
      <c r="H172" s="164"/>
      <c r="I172" s="306"/>
      <c r="J172" s="149"/>
      <c r="K172" s="164"/>
      <c r="L172" s="306"/>
      <c r="M172" s="310"/>
      <c r="N172" s="311"/>
      <c r="O172" s="312"/>
      <c r="P172" s="310"/>
      <c r="Q172" s="311"/>
      <c r="R172" s="312"/>
      <c r="S172" s="310"/>
      <c r="T172" s="311"/>
      <c r="U172" s="312"/>
      <c r="V172" s="149"/>
      <c r="W172" s="311"/>
      <c r="X172" s="306"/>
      <c r="Y172" s="188"/>
      <c r="Z172" s="188"/>
      <c r="AA172" s="188"/>
      <c r="AB172" s="20"/>
      <c r="AC172" s="20"/>
      <c r="AD172" s="20"/>
      <c r="AE172" s="20"/>
    </row>
    <row r="173">
      <c r="A173" s="149"/>
      <c r="B173" s="164"/>
      <c r="C173" s="306"/>
      <c r="D173" s="149"/>
      <c r="E173" s="164"/>
      <c r="F173" s="306"/>
      <c r="G173" s="149"/>
      <c r="H173" s="164"/>
      <c r="I173" s="306"/>
      <c r="J173" s="149"/>
      <c r="K173" s="164"/>
      <c r="L173" s="306"/>
      <c r="M173" s="310"/>
      <c r="N173" s="311"/>
      <c r="O173" s="312"/>
      <c r="P173" s="310"/>
      <c r="Q173" s="311"/>
      <c r="R173" s="312"/>
      <c r="S173" s="310"/>
      <c r="T173" s="311"/>
      <c r="U173" s="312"/>
      <c r="V173" s="149"/>
      <c r="W173" s="311"/>
      <c r="X173" s="306"/>
      <c r="Y173" s="188"/>
      <c r="Z173" s="188"/>
      <c r="AA173" s="188"/>
      <c r="AB173" s="20"/>
      <c r="AC173" s="20"/>
      <c r="AD173" s="20"/>
      <c r="AE173" s="20"/>
    </row>
    <row r="174">
      <c r="A174" s="149"/>
      <c r="B174" s="164"/>
      <c r="C174" s="306"/>
      <c r="D174" s="149"/>
      <c r="E174" s="164"/>
      <c r="F174" s="306"/>
      <c r="G174" s="149"/>
      <c r="H174" s="164"/>
      <c r="I174" s="306"/>
      <c r="J174" s="149"/>
      <c r="K174" s="164"/>
      <c r="L174" s="306"/>
      <c r="M174" s="310"/>
      <c r="N174" s="311"/>
      <c r="O174" s="312"/>
      <c r="P174" s="310"/>
      <c r="Q174" s="311"/>
      <c r="R174" s="312"/>
      <c r="S174" s="310"/>
      <c r="T174" s="311"/>
      <c r="U174" s="312"/>
      <c r="V174" s="149"/>
      <c r="W174" s="311"/>
      <c r="X174" s="306"/>
      <c r="Y174" s="188"/>
      <c r="Z174" s="188"/>
      <c r="AA174" s="188"/>
      <c r="AB174" s="20"/>
      <c r="AC174" s="20"/>
      <c r="AD174" s="20"/>
      <c r="AE174" s="20"/>
    </row>
    <row r="175">
      <c r="A175" s="149"/>
      <c r="B175" s="164"/>
      <c r="C175" s="306"/>
      <c r="D175" s="149"/>
      <c r="E175" s="164"/>
      <c r="F175" s="306"/>
      <c r="G175" s="149"/>
      <c r="H175" s="164"/>
      <c r="I175" s="306"/>
      <c r="J175" s="149"/>
      <c r="K175" s="164"/>
      <c r="L175" s="306"/>
      <c r="M175" s="310"/>
      <c r="N175" s="311"/>
      <c r="O175" s="312"/>
      <c r="P175" s="310"/>
      <c r="Q175" s="311"/>
      <c r="R175" s="312"/>
      <c r="S175" s="310"/>
      <c r="T175" s="311"/>
      <c r="U175" s="312"/>
      <c r="V175" s="149"/>
      <c r="W175" s="311"/>
      <c r="X175" s="306"/>
      <c r="Y175" s="188"/>
      <c r="Z175" s="188"/>
      <c r="AA175" s="188"/>
      <c r="AB175" s="20"/>
      <c r="AC175" s="20"/>
      <c r="AD175" s="20"/>
      <c r="AE175" s="20"/>
    </row>
    <row r="176">
      <c r="A176" s="149"/>
      <c r="B176" s="164"/>
      <c r="C176" s="306"/>
      <c r="D176" s="149"/>
      <c r="E176" s="164"/>
      <c r="F176" s="306"/>
      <c r="G176" s="149"/>
      <c r="H176" s="164"/>
      <c r="I176" s="306"/>
      <c r="J176" s="149"/>
      <c r="K176" s="164"/>
      <c r="L176" s="306"/>
      <c r="M176" s="310"/>
      <c r="N176" s="311"/>
      <c r="O176" s="312"/>
      <c r="P176" s="310"/>
      <c r="Q176" s="311"/>
      <c r="R176" s="312"/>
      <c r="S176" s="310"/>
      <c r="T176" s="311"/>
      <c r="U176" s="312"/>
      <c r="V176" s="149"/>
      <c r="W176" s="311"/>
      <c r="X176" s="306"/>
      <c r="Y176" s="188"/>
      <c r="Z176" s="188"/>
      <c r="AA176" s="188"/>
      <c r="AB176" s="20"/>
      <c r="AC176" s="20"/>
      <c r="AD176" s="20"/>
      <c r="AE176" s="20"/>
    </row>
    <row r="177">
      <c r="A177" s="149"/>
      <c r="B177" s="164"/>
      <c r="C177" s="306"/>
      <c r="D177" s="149"/>
      <c r="E177" s="164"/>
      <c r="F177" s="306"/>
      <c r="G177" s="149"/>
      <c r="H177" s="164"/>
      <c r="I177" s="306"/>
      <c r="J177" s="149"/>
      <c r="K177" s="164"/>
      <c r="L177" s="306"/>
      <c r="M177" s="310"/>
      <c r="N177" s="311"/>
      <c r="O177" s="312"/>
      <c r="P177" s="310"/>
      <c r="Q177" s="311"/>
      <c r="R177" s="312"/>
      <c r="S177" s="310"/>
      <c r="T177" s="311"/>
      <c r="U177" s="312"/>
      <c r="V177" s="149"/>
      <c r="W177" s="311"/>
      <c r="X177" s="306"/>
      <c r="Y177" s="188"/>
      <c r="Z177" s="188"/>
      <c r="AA177" s="188"/>
      <c r="AB177" s="20"/>
      <c r="AC177" s="20"/>
      <c r="AD177" s="20"/>
      <c r="AE177" s="20"/>
    </row>
    <row r="178">
      <c r="A178" s="149"/>
      <c r="B178" s="164"/>
      <c r="C178" s="306"/>
      <c r="D178" s="149"/>
      <c r="E178" s="164"/>
      <c r="F178" s="306"/>
      <c r="G178" s="149"/>
      <c r="H178" s="164"/>
      <c r="I178" s="306"/>
      <c r="J178" s="149"/>
      <c r="K178" s="164"/>
      <c r="L178" s="306"/>
      <c r="M178" s="310"/>
      <c r="N178" s="311"/>
      <c r="O178" s="312"/>
      <c r="P178" s="310"/>
      <c r="Q178" s="311"/>
      <c r="R178" s="312"/>
      <c r="S178" s="310"/>
      <c r="T178" s="311"/>
      <c r="U178" s="312"/>
      <c r="V178" s="149"/>
      <c r="W178" s="311"/>
      <c r="X178" s="306"/>
      <c r="Y178" s="188"/>
      <c r="Z178" s="188"/>
      <c r="AA178" s="188"/>
      <c r="AB178" s="20"/>
      <c r="AC178" s="20"/>
      <c r="AD178" s="20"/>
      <c r="AE178" s="20"/>
    </row>
    <row r="179">
      <c r="A179" s="149"/>
      <c r="B179" s="164"/>
      <c r="C179" s="306"/>
      <c r="D179" s="149"/>
      <c r="E179" s="164"/>
      <c r="F179" s="306"/>
      <c r="G179" s="149"/>
      <c r="H179" s="164"/>
      <c r="I179" s="306"/>
      <c r="J179" s="149"/>
      <c r="K179" s="164"/>
      <c r="L179" s="306"/>
      <c r="M179" s="310"/>
      <c r="N179" s="311"/>
      <c r="O179" s="312"/>
      <c r="P179" s="310"/>
      <c r="Q179" s="311"/>
      <c r="R179" s="312"/>
      <c r="S179" s="310"/>
      <c r="T179" s="311"/>
      <c r="U179" s="312"/>
      <c r="V179" s="149"/>
      <c r="W179" s="311"/>
      <c r="X179" s="306"/>
      <c r="Y179" s="188"/>
      <c r="Z179" s="188"/>
      <c r="AA179" s="188"/>
      <c r="AB179" s="20"/>
      <c r="AC179" s="20"/>
      <c r="AD179" s="20"/>
      <c r="AE179" s="20"/>
    </row>
    <row r="180">
      <c r="A180" s="149"/>
      <c r="B180" s="164"/>
      <c r="C180" s="306"/>
      <c r="D180" s="149"/>
      <c r="E180" s="164"/>
      <c r="F180" s="306"/>
      <c r="G180" s="149"/>
      <c r="H180" s="164"/>
      <c r="I180" s="306"/>
      <c r="J180" s="149"/>
      <c r="K180" s="164"/>
      <c r="L180" s="306"/>
      <c r="M180" s="310"/>
      <c r="N180" s="311"/>
      <c r="O180" s="312"/>
      <c r="P180" s="310"/>
      <c r="Q180" s="311"/>
      <c r="R180" s="312"/>
      <c r="S180" s="310"/>
      <c r="T180" s="311"/>
      <c r="U180" s="312"/>
      <c r="V180" s="149"/>
      <c r="W180" s="311"/>
      <c r="X180" s="306"/>
      <c r="Y180" s="188"/>
      <c r="Z180" s="188"/>
      <c r="AA180" s="188"/>
      <c r="AB180" s="20"/>
      <c r="AC180" s="20"/>
      <c r="AD180" s="20"/>
      <c r="AE180" s="20"/>
    </row>
    <row r="181">
      <c r="A181" s="149"/>
      <c r="B181" s="164"/>
      <c r="C181" s="306"/>
      <c r="D181" s="149"/>
      <c r="E181" s="164"/>
      <c r="F181" s="306"/>
      <c r="G181" s="149"/>
      <c r="H181" s="164"/>
      <c r="I181" s="306"/>
      <c r="J181" s="149"/>
      <c r="K181" s="164"/>
      <c r="L181" s="306"/>
      <c r="M181" s="310"/>
      <c r="N181" s="311"/>
      <c r="O181" s="312"/>
      <c r="P181" s="310"/>
      <c r="Q181" s="311"/>
      <c r="R181" s="312"/>
      <c r="S181" s="310"/>
      <c r="T181" s="311"/>
      <c r="U181" s="312"/>
      <c r="V181" s="149"/>
      <c r="W181" s="311"/>
      <c r="X181" s="306"/>
      <c r="Y181" s="188"/>
      <c r="Z181" s="188"/>
      <c r="AA181" s="188"/>
      <c r="AB181" s="20"/>
      <c r="AC181" s="20"/>
      <c r="AD181" s="20"/>
      <c r="AE181" s="20"/>
    </row>
    <row r="182">
      <c r="A182" s="149"/>
      <c r="B182" s="164"/>
      <c r="C182" s="306"/>
      <c r="D182" s="149"/>
      <c r="E182" s="164"/>
      <c r="F182" s="306"/>
      <c r="G182" s="149"/>
      <c r="H182" s="164"/>
      <c r="I182" s="306"/>
      <c r="J182" s="149"/>
      <c r="K182" s="164"/>
      <c r="L182" s="306"/>
      <c r="M182" s="310"/>
      <c r="N182" s="311"/>
      <c r="O182" s="312"/>
      <c r="P182" s="310"/>
      <c r="Q182" s="311"/>
      <c r="R182" s="312"/>
      <c r="S182" s="310"/>
      <c r="T182" s="311"/>
      <c r="U182" s="312"/>
      <c r="V182" s="149"/>
      <c r="W182" s="311"/>
      <c r="X182" s="306"/>
      <c r="Y182" s="188"/>
      <c r="Z182" s="188"/>
      <c r="AA182" s="188"/>
      <c r="AB182" s="20"/>
      <c r="AC182" s="20"/>
      <c r="AD182" s="20"/>
      <c r="AE182" s="20"/>
    </row>
    <row r="183">
      <c r="A183" s="149"/>
      <c r="B183" s="164"/>
      <c r="C183" s="306"/>
      <c r="D183" s="149"/>
      <c r="E183" s="164"/>
      <c r="F183" s="306"/>
      <c r="G183" s="149"/>
      <c r="H183" s="164"/>
      <c r="I183" s="306"/>
      <c r="J183" s="149"/>
      <c r="K183" s="164"/>
      <c r="L183" s="306"/>
      <c r="M183" s="310"/>
      <c r="N183" s="311"/>
      <c r="O183" s="312"/>
      <c r="P183" s="310"/>
      <c r="Q183" s="311"/>
      <c r="R183" s="312"/>
      <c r="S183" s="310"/>
      <c r="T183" s="311"/>
      <c r="U183" s="312"/>
      <c r="V183" s="149"/>
      <c r="W183" s="311"/>
      <c r="X183" s="306"/>
      <c r="Y183" s="188"/>
      <c r="Z183" s="188"/>
      <c r="AA183" s="188"/>
      <c r="AB183" s="20"/>
      <c r="AC183" s="20"/>
      <c r="AD183" s="20"/>
      <c r="AE183" s="20"/>
    </row>
    <row r="184">
      <c r="A184" s="149"/>
      <c r="B184" s="164"/>
      <c r="C184" s="306"/>
      <c r="D184" s="149"/>
      <c r="E184" s="164"/>
      <c r="F184" s="306"/>
      <c r="G184" s="149"/>
      <c r="H184" s="164"/>
      <c r="I184" s="306"/>
      <c r="J184" s="149"/>
      <c r="K184" s="164"/>
      <c r="L184" s="306"/>
      <c r="M184" s="310"/>
      <c r="N184" s="311"/>
      <c r="O184" s="312"/>
      <c r="P184" s="310"/>
      <c r="Q184" s="311"/>
      <c r="R184" s="312"/>
      <c r="S184" s="310"/>
      <c r="T184" s="311"/>
      <c r="U184" s="312"/>
      <c r="V184" s="149"/>
      <c r="W184" s="311"/>
      <c r="X184" s="306"/>
      <c r="Y184" s="188"/>
      <c r="Z184" s="188"/>
      <c r="AA184" s="188"/>
      <c r="AB184" s="20"/>
      <c r="AC184" s="20"/>
      <c r="AD184" s="20"/>
      <c r="AE184" s="20"/>
    </row>
    <row r="185">
      <c r="A185" s="149"/>
      <c r="B185" s="164"/>
      <c r="C185" s="306"/>
      <c r="D185" s="149"/>
      <c r="E185" s="164"/>
      <c r="F185" s="306"/>
      <c r="G185" s="149"/>
      <c r="H185" s="164"/>
      <c r="I185" s="306"/>
      <c r="J185" s="149"/>
      <c r="K185" s="164"/>
      <c r="L185" s="306"/>
      <c r="M185" s="310"/>
      <c r="N185" s="311"/>
      <c r="O185" s="312"/>
      <c r="P185" s="310"/>
      <c r="Q185" s="311"/>
      <c r="R185" s="312"/>
      <c r="S185" s="310"/>
      <c r="T185" s="311"/>
      <c r="U185" s="312"/>
      <c r="V185" s="149"/>
      <c r="W185" s="311"/>
      <c r="X185" s="306"/>
      <c r="Y185" s="188"/>
      <c r="Z185" s="188"/>
      <c r="AA185" s="188"/>
      <c r="AB185" s="20"/>
      <c r="AC185" s="20"/>
      <c r="AD185" s="20"/>
      <c r="AE185" s="20"/>
    </row>
    <row r="186">
      <c r="A186" s="149"/>
      <c r="B186" s="164"/>
      <c r="C186" s="306"/>
      <c r="D186" s="149"/>
      <c r="E186" s="164"/>
      <c r="F186" s="306"/>
      <c r="G186" s="149"/>
      <c r="H186" s="164"/>
      <c r="I186" s="306"/>
      <c r="J186" s="149"/>
      <c r="K186" s="164"/>
      <c r="L186" s="306"/>
      <c r="M186" s="310"/>
      <c r="N186" s="311"/>
      <c r="O186" s="312"/>
      <c r="P186" s="310"/>
      <c r="Q186" s="311"/>
      <c r="R186" s="312"/>
      <c r="S186" s="310"/>
      <c r="T186" s="311"/>
      <c r="U186" s="312"/>
      <c r="V186" s="149"/>
      <c r="W186" s="311"/>
      <c r="X186" s="306"/>
      <c r="Y186" s="188"/>
      <c r="Z186" s="188"/>
      <c r="AA186" s="188"/>
      <c r="AB186" s="20"/>
      <c r="AC186" s="20"/>
      <c r="AD186" s="20"/>
      <c r="AE186" s="20"/>
    </row>
    <row r="187">
      <c r="A187" s="149"/>
      <c r="B187" s="164"/>
      <c r="C187" s="306"/>
      <c r="D187" s="149"/>
      <c r="E187" s="164"/>
      <c r="F187" s="306"/>
      <c r="G187" s="149"/>
      <c r="H187" s="164"/>
      <c r="I187" s="306"/>
      <c r="J187" s="149"/>
      <c r="K187" s="164"/>
      <c r="L187" s="306"/>
      <c r="M187" s="310"/>
      <c r="N187" s="311"/>
      <c r="O187" s="312"/>
      <c r="P187" s="310"/>
      <c r="Q187" s="311"/>
      <c r="R187" s="312"/>
      <c r="S187" s="310"/>
      <c r="T187" s="311"/>
      <c r="U187" s="312"/>
      <c r="V187" s="149"/>
      <c r="W187" s="311"/>
      <c r="X187" s="306"/>
      <c r="Y187" s="188"/>
      <c r="Z187" s="188"/>
      <c r="AA187" s="188"/>
      <c r="AB187" s="20"/>
      <c r="AC187" s="20"/>
      <c r="AD187" s="20"/>
      <c r="AE187" s="20"/>
    </row>
    <row r="188">
      <c r="A188" s="149"/>
      <c r="B188" s="164"/>
      <c r="C188" s="306"/>
      <c r="D188" s="149"/>
      <c r="E188" s="164"/>
      <c r="F188" s="306"/>
      <c r="G188" s="149"/>
      <c r="H188" s="164"/>
      <c r="I188" s="306"/>
      <c r="J188" s="149"/>
      <c r="K188" s="164"/>
      <c r="L188" s="306"/>
      <c r="M188" s="310"/>
      <c r="N188" s="311"/>
      <c r="O188" s="312"/>
      <c r="P188" s="310"/>
      <c r="Q188" s="311"/>
      <c r="R188" s="312"/>
      <c r="S188" s="310"/>
      <c r="T188" s="311"/>
      <c r="U188" s="312"/>
      <c r="V188" s="149"/>
      <c r="W188" s="311"/>
      <c r="X188" s="306"/>
      <c r="Y188" s="188"/>
      <c r="Z188" s="188"/>
      <c r="AA188" s="188"/>
      <c r="AB188" s="20"/>
      <c r="AC188" s="20"/>
      <c r="AD188" s="20"/>
      <c r="AE188" s="20"/>
    </row>
    <row r="189">
      <c r="A189" s="149"/>
      <c r="B189" s="164"/>
      <c r="C189" s="306"/>
      <c r="D189" s="149"/>
      <c r="E189" s="164"/>
      <c r="F189" s="306"/>
      <c r="G189" s="149"/>
      <c r="H189" s="164"/>
      <c r="I189" s="306"/>
      <c r="J189" s="149"/>
      <c r="K189" s="164"/>
      <c r="L189" s="306"/>
      <c r="M189" s="310"/>
      <c r="N189" s="311"/>
      <c r="O189" s="312"/>
      <c r="P189" s="310"/>
      <c r="Q189" s="311"/>
      <c r="R189" s="312"/>
      <c r="S189" s="310"/>
      <c r="T189" s="311"/>
      <c r="U189" s="312"/>
      <c r="V189" s="149"/>
      <c r="W189" s="311"/>
      <c r="X189" s="306"/>
      <c r="Y189" s="188"/>
      <c r="Z189" s="188"/>
      <c r="AA189" s="188"/>
      <c r="AB189" s="20"/>
      <c r="AC189" s="20"/>
      <c r="AD189" s="20"/>
      <c r="AE189" s="20"/>
    </row>
    <row r="190">
      <c r="A190" s="149"/>
      <c r="B190" s="164"/>
      <c r="C190" s="306"/>
      <c r="D190" s="149"/>
      <c r="E190" s="164"/>
      <c r="F190" s="306"/>
      <c r="G190" s="149"/>
      <c r="H190" s="164"/>
      <c r="I190" s="306"/>
      <c r="J190" s="149"/>
      <c r="K190" s="164"/>
      <c r="L190" s="306"/>
      <c r="M190" s="310"/>
      <c r="N190" s="311"/>
      <c r="O190" s="312"/>
      <c r="P190" s="310"/>
      <c r="Q190" s="311"/>
      <c r="R190" s="312"/>
      <c r="S190" s="310"/>
      <c r="T190" s="311"/>
      <c r="U190" s="312"/>
      <c r="V190" s="149"/>
      <c r="W190" s="311"/>
      <c r="X190" s="306"/>
      <c r="Y190" s="188"/>
      <c r="Z190" s="188"/>
      <c r="AA190" s="188"/>
      <c r="AB190" s="20"/>
      <c r="AC190" s="20"/>
      <c r="AD190" s="20"/>
      <c r="AE190" s="20"/>
    </row>
    <row r="191">
      <c r="A191" s="149"/>
      <c r="B191" s="164"/>
      <c r="C191" s="306"/>
      <c r="D191" s="149"/>
      <c r="E191" s="164"/>
      <c r="F191" s="306"/>
      <c r="G191" s="149"/>
      <c r="H191" s="164"/>
      <c r="I191" s="306"/>
      <c r="J191" s="149"/>
      <c r="K191" s="164"/>
      <c r="L191" s="306"/>
      <c r="M191" s="310"/>
      <c r="N191" s="311"/>
      <c r="O191" s="312"/>
      <c r="P191" s="310"/>
      <c r="Q191" s="311"/>
      <c r="R191" s="312"/>
      <c r="S191" s="310"/>
      <c r="T191" s="311"/>
      <c r="U191" s="312"/>
      <c r="V191" s="149"/>
      <c r="W191" s="311"/>
      <c r="X191" s="306"/>
      <c r="Y191" s="188"/>
      <c r="Z191" s="188"/>
      <c r="AA191" s="188"/>
      <c r="AB191" s="20"/>
      <c r="AC191" s="20"/>
      <c r="AD191" s="20"/>
      <c r="AE191" s="20"/>
    </row>
    <row r="192">
      <c r="A192" s="149"/>
      <c r="B192" s="164"/>
      <c r="C192" s="306"/>
      <c r="D192" s="149"/>
      <c r="E192" s="164"/>
      <c r="F192" s="306"/>
      <c r="G192" s="149"/>
      <c r="H192" s="164"/>
      <c r="I192" s="306"/>
      <c r="J192" s="149"/>
      <c r="K192" s="164"/>
      <c r="L192" s="306"/>
      <c r="M192" s="310"/>
      <c r="N192" s="311"/>
      <c r="O192" s="312"/>
      <c r="P192" s="310"/>
      <c r="Q192" s="311"/>
      <c r="R192" s="312"/>
      <c r="S192" s="310"/>
      <c r="T192" s="311"/>
      <c r="U192" s="312"/>
      <c r="V192" s="149"/>
      <c r="W192" s="311"/>
      <c r="X192" s="306"/>
      <c r="Y192" s="188"/>
      <c r="Z192" s="188"/>
      <c r="AA192" s="188"/>
      <c r="AB192" s="20"/>
      <c r="AC192" s="20"/>
      <c r="AD192" s="20"/>
      <c r="AE192" s="20"/>
    </row>
    <row r="193">
      <c r="A193" s="149"/>
      <c r="B193" s="164"/>
      <c r="C193" s="306"/>
      <c r="D193" s="149"/>
      <c r="E193" s="164"/>
      <c r="F193" s="306"/>
      <c r="G193" s="149"/>
      <c r="H193" s="164"/>
      <c r="I193" s="306"/>
      <c r="J193" s="149"/>
      <c r="K193" s="164"/>
      <c r="L193" s="306"/>
      <c r="M193" s="310"/>
      <c r="N193" s="311"/>
      <c r="O193" s="312"/>
      <c r="P193" s="310"/>
      <c r="Q193" s="311"/>
      <c r="R193" s="312"/>
      <c r="S193" s="310"/>
      <c r="T193" s="311"/>
      <c r="U193" s="312"/>
      <c r="V193" s="149"/>
      <c r="W193" s="311"/>
      <c r="X193" s="306"/>
      <c r="Y193" s="188"/>
      <c r="Z193" s="188"/>
      <c r="AA193" s="188"/>
      <c r="AB193" s="20"/>
      <c r="AC193" s="20"/>
      <c r="AD193" s="20"/>
      <c r="AE193" s="20"/>
    </row>
    <row r="194">
      <c r="A194" s="149"/>
      <c r="B194" s="164"/>
      <c r="C194" s="306"/>
      <c r="D194" s="149"/>
      <c r="E194" s="164"/>
      <c r="F194" s="306"/>
      <c r="G194" s="149"/>
      <c r="H194" s="164"/>
      <c r="I194" s="306"/>
      <c r="J194" s="149"/>
      <c r="K194" s="164"/>
      <c r="L194" s="306"/>
      <c r="M194" s="310"/>
      <c r="N194" s="311"/>
      <c r="O194" s="312"/>
      <c r="P194" s="310"/>
      <c r="Q194" s="311"/>
      <c r="R194" s="312"/>
      <c r="S194" s="310"/>
      <c r="T194" s="311"/>
      <c r="U194" s="312"/>
      <c r="V194" s="149"/>
      <c r="W194" s="311"/>
      <c r="X194" s="306"/>
      <c r="Y194" s="188"/>
      <c r="Z194" s="188"/>
      <c r="AA194" s="188"/>
      <c r="AB194" s="20"/>
      <c r="AC194" s="20"/>
      <c r="AD194" s="20"/>
      <c r="AE194" s="20"/>
    </row>
    <row r="195">
      <c r="A195" s="149"/>
      <c r="B195" s="164"/>
      <c r="C195" s="306"/>
      <c r="D195" s="149"/>
      <c r="E195" s="164"/>
      <c r="F195" s="306"/>
      <c r="G195" s="149"/>
      <c r="H195" s="164"/>
      <c r="I195" s="306"/>
      <c r="J195" s="149"/>
      <c r="K195" s="164"/>
      <c r="L195" s="306"/>
      <c r="M195" s="310"/>
      <c r="N195" s="311"/>
      <c r="O195" s="312"/>
      <c r="P195" s="310"/>
      <c r="Q195" s="311"/>
      <c r="R195" s="312"/>
      <c r="S195" s="310"/>
      <c r="T195" s="311"/>
      <c r="U195" s="312"/>
      <c r="V195" s="149"/>
      <c r="W195" s="311"/>
      <c r="X195" s="306"/>
      <c r="Y195" s="188"/>
      <c r="Z195" s="188"/>
      <c r="AA195" s="188"/>
      <c r="AB195" s="20"/>
      <c r="AC195" s="20"/>
      <c r="AD195" s="20"/>
      <c r="AE195" s="20"/>
    </row>
    <row r="196">
      <c r="A196" s="149"/>
      <c r="B196" s="164"/>
      <c r="C196" s="306"/>
      <c r="D196" s="149"/>
      <c r="E196" s="164"/>
      <c r="F196" s="306"/>
      <c r="G196" s="149"/>
      <c r="H196" s="164"/>
      <c r="I196" s="306"/>
      <c r="J196" s="149"/>
      <c r="K196" s="164"/>
      <c r="L196" s="306"/>
      <c r="M196" s="310"/>
      <c r="N196" s="311"/>
      <c r="O196" s="312"/>
      <c r="P196" s="310"/>
      <c r="Q196" s="311"/>
      <c r="R196" s="312"/>
      <c r="S196" s="310"/>
      <c r="T196" s="311"/>
      <c r="U196" s="312"/>
      <c r="V196" s="149"/>
      <c r="W196" s="311"/>
      <c r="X196" s="306"/>
      <c r="Y196" s="188"/>
      <c r="Z196" s="188"/>
      <c r="AA196" s="188"/>
      <c r="AB196" s="20"/>
      <c r="AC196" s="20"/>
      <c r="AD196" s="20"/>
      <c r="AE196" s="20"/>
    </row>
    <row r="197">
      <c r="A197" s="149"/>
      <c r="B197" s="164"/>
      <c r="C197" s="306"/>
      <c r="D197" s="149"/>
      <c r="E197" s="164"/>
      <c r="F197" s="306"/>
      <c r="G197" s="149"/>
      <c r="H197" s="164"/>
      <c r="I197" s="306"/>
      <c r="J197" s="149"/>
      <c r="K197" s="164"/>
      <c r="L197" s="306"/>
      <c r="M197" s="310"/>
      <c r="N197" s="311"/>
      <c r="O197" s="312"/>
      <c r="P197" s="310"/>
      <c r="Q197" s="311"/>
      <c r="R197" s="312"/>
      <c r="S197" s="310"/>
      <c r="T197" s="311"/>
      <c r="U197" s="312"/>
      <c r="V197" s="149"/>
      <c r="W197" s="311"/>
      <c r="X197" s="306"/>
      <c r="Y197" s="188"/>
      <c r="Z197" s="188"/>
      <c r="AA197" s="188"/>
      <c r="AB197" s="20"/>
      <c r="AC197" s="20"/>
      <c r="AD197" s="20"/>
      <c r="AE197" s="20"/>
    </row>
    <row r="198">
      <c r="A198" s="149"/>
      <c r="B198" s="164"/>
      <c r="C198" s="306"/>
      <c r="D198" s="149"/>
      <c r="E198" s="164"/>
      <c r="F198" s="306"/>
      <c r="G198" s="149"/>
      <c r="H198" s="164"/>
      <c r="I198" s="306"/>
      <c r="J198" s="149"/>
      <c r="K198" s="164"/>
      <c r="L198" s="306"/>
      <c r="M198" s="310"/>
      <c r="N198" s="311"/>
      <c r="O198" s="312"/>
      <c r="P198" s="310"/>
      <c r="Q198" s="311"/>
      <c r="R198" s="312"/>
      <c r="S198" s="310"/>
      <c r="T198" s="311"/>
      <c r="U198" s="312"/>
      <c r="V198" s="149"/>
      <c r="W198" s="311"/>
      <c r="X198" s="306"/>
      <c r="Y198" s="188"/>
      <c r="Z198" s="188"/>
      <c r="AA198" s="188"/>
      <c r="AB198" s="20"/>
      <c r="AC198" s="20"/>
      <c r="AD198" s="20"/>
      <c r="AE198" s="20"/>
    </row>
    <row r="199">
      <c r="A199" s="149"/>
      <c r="B199" s="164"/>
      <c r="C199" s="306"/>
      <c r="D199" s="149"/>
      <c r="E199" s="164"/>
      <c r="F199" s="306"/>
      <c r="G199" s="149"/>
      <c r="H199" s="164"/>
      <c r="I199" s="306"/>
      <c r="J199" s="149"/>
      <c r="K199" s="164"/>
      <c r="L199" s="306"/>
      <c r="M199" s="310"/>
      <c r="N199" s="311"/>
      <c r="O199" s="312"/>
      <c r="P199" s="310"/>
      <c r="Q199" s="311"/>
      <c r="R199" s="312"/>
      <c r="S199" s="310"/>
      <c r="T199" s="311"/>
      <c r="U199" s="312"/>
      <c r="V199" s="149"/>
      <c r="W199" s="311"/>
      <c r="X199" s="306"/>
      <c r="Y199" s="188"/>
      <c r="Z199" s="188"/>
      <c r="AA199" s="188"/>
      <c r="AB199" s="20"/>
      <c r="AC199" s="20"/>
      <c r="AD199" s="20"/>
      <c r="AE199" s="20"/>
    </row>
    <row r="200">
      <c r="A200" s="149"/>
      <c r="B200" s="164"/>
      <c r="C200" s="306"/>
      <c r="D200" s="149"/>
      <c r="E200" s="164"/>
      <c r="F200" s="306"/>
      <c r="G200" s="149"/>
      <c r="H200" s="164"/>
      <c r="I200" s="306"/>
      <c r="J200" s="149"/>
      <c r="K200" s="164"/>
      <c r="L200" s="306"/>
      <c r="M200" s="310"/>
      <c r="N200" s="311"/>
      <c r="O200" s="312"/>
      <c r="P200" s="310"/>
      <c r="Q200" s="311"/>
      <c r="R200" s="312"/>
      <c r="S200" s="310"/>
      <c r="T200" s="311"/>
      <c r="U200" s="312"/>
      <c r="V200" s="149"/>
      <c r="W200" s="311"/>
      <c r="X200" s="306"/>
      <c r="Y200" s="188"/>
      <c r="Z200" s="188"/>
      <c r="AA200" s="188"/>
      <c r="AB200" s="20"/>
      <c r="AC200" s="20"/>
      <c r="AD200" s="20"/>
      <c r="AE200" s="20"/>
    </row>
    <row r="201">
      <c r="A201" s="149"/>
      <c r="B201" s="164"/>
      <c r="C201" s="306"/>
      <c r="D201" s="149"/>
      <c r="E201" s="164"/>
      <c r="F201" s="306"/>
      <c r="G201" s="149"/>
      <c r="H201" s="164"/>
      <c r="I201" s="306"/>
      <c r="J201" s="149"/>
      <c r="K201" s="164"/>
      <c r="L201" s="306"/>
      <c r="M201" s="310"/>
      <c r="N201" s="311"/>
      <c r="O201" s="312"/>
      <c r="P201" s="310"/>
      <c r="Q201" s="311"/>
      <c r="R201" s="312"/>
      <c r="S201" s="310"/>
      <c r="T201" s="311"/>
      <c r="U201" s="312"/>
      <c r="V201" s="149"/>
      <c r="W201" s="311"/>
      <c r="X201" s="306"/>
      <c r="Y201" s="188"/>
      <c r="Z201" s="188"/>
      <c r="AA201" s="188"/>
      <c r="AB201" s="20"/>
      <c r="AC201" s="20"/>
      <c r="AD201" s="20"/>
      <c r="AE201" s="20"/>
    </row>
    <row r="202">
      <c r="A202" s="149"/>
      <c r="B202" s="164"/>
      <c r="C202" s="306"/>
      <c r="D202" s="149"/>
      <c r="E202" s="164"/>
      <c r="F202" s="306"/>
      <c r="G202" s="149"/>
      <c r="H202" s="164"/>
      <c r="I202" s="306"/>
      <c r="J202" s="149"/>
      <c r="K202" s="164"/>
      <c r="L202" s="306"/>
      <c r="M202" s="310"/>
      <c r="N202" s="311"/>
      <c r="O202" s="312"/>
      <c r="P202" s="310"/>
      <c r="Q202" s="311"/>
      <c r="R202" s="312"/>
      <c r="S202" s="310"/>
      <c r="T202" s="311"/>
      <c r="U202" s="312"/>
      <c r="V202" s="149"/>
      <c r="W202" s="311"/>
      <c r="X202" s="306"/>
      <c r="Y202" s="188"/>
      <c r="Z202" s="188"/>
      <c r="AA202" s="188"/>
      <c r="AB202" s="20"/>
      <c r="AC202" s="20"/>
      <c r="AD202" s="20"/>
      <c r="AE202" s="20"/>
    </row>
    <row r="203">
      <c r="A203" s="149"/>
      <c r="B203" s="164"/>
      <c r="C203" s="306"/>
      <c r="D203" s="149"/>
      <c r="E203" s="164"/>
      <c r="F203" s="306"/>
      <c r="G203" s="149"/>
      <c r="H203" s="164"/>
      <c r="I203" s="306"/>
      <c r="J203" s="149"/>
      <c r="K203" s="164"/>
      <c r="L203" s="306"/>
      <c r="M203" s="310"/>
      <c r="N203" s="311"/>
      <c r="O203" s="312"/>
      <c r="P203" s="310"/>
      <c r="Q203" s="311"/>
      <c r="R203" s="312"/>
      <c r="S203" s="310"/>
      <c r="T203" s="311"/>
      <c r="U203" s="312"/>
      <c r="V203" s="149"/>
      <c r="W203" s="311"/>
      <c r="X203" s="306"/>
      <c r="Y203" s="188"/>
      <c r="Z203" s="188"/>
      <c r="AA203" s="188"/>
      <c r="AB203" s="20"/>
      <c r="AC203" s="20"/>
      <c r="AD203" s="20"/>
      <c r="AE203" s="20"/>
    </row>
    <row r="204">
      <c r="A204" s="149"/>
      <c r="B204" s="164"/>
      <c r="C204" s="306"/>
      <c r="D204" s="149"/>
      <c r="E204" s="164"/>
      <c r="F204" s="306"/>
      <c r="G204" s="149"/>
      <c r="H204" s="164"/>
      <c r="I204" s="306"/>
      <c r="J204" s="149"/>
      <c r="K204" s="164"/>
      <c r="L204" s="306"/>
      <c r="M204" s="310"/>
      <c r="N204" s="311"/>
      <c r="O204" s="312"/>
      <c r="P204" s="310"/>
      <c r="Q204" s="311"/>
      <c r="R204" s="312"/>
      <c r="S204" s="310"/>
      <c r="T204" s="311"/>
      <c r="U204" s="312"/>
      <c r="V204" s="149"/>
      <c r="W204" s="311"/>
      <c r="X204" s="306"/>
      <c r="Y204" s="188"/>
      <c r="Z204" s="188"/>
      <c r="AA204" s="188"/>
      <c r="AB204" s="20"/>
      <c r="AC204" s="20"/>
      <c r="AD204" s="20"/>
      <c r="AE204" s="20"/>
    </row>
    <row r="205">
      <c r="A205" s="149"/>
      <c r="B205" s="164"/>
      <c r="C205" s="306"/>
      <c r="D205" s="149"/>
      <c r="E205" s="164"/>
      <c r="F205" s="306"/>
      <c r="G205" s="149"/>
      <c r="H205" s="164"/>
      <c r="I205" s="306"/>
      <c r="J205" s="149"/>
      <c r="K205" s="164"/>
      <c r="L205" s="306"/>
      <c r="M205" s="310"/>
      <c r="N205" s="311"/>
      <c r="O205" s="312"/>
      <c r="P205" s="310"/>
      <c r="Q205" s="311"/>
      <c r="R205" s="312"/>
      <c r="S205" s="310"/>
      <c r="T205" s="311"/>
      <c r="U205" s="312"/>
      <c r="V205" s="149"/>
      <c r="W205" s="311"/>
      <c r="X205" s="306"/>
      <c r="Y205" s="188"/>
      <c r="Z205" s="188"/>
      <c r="AA205" s="188"/>
      <c r="AB205" s="20"/>
      <c r="AC205" s="20"/>
      <c r="AD205" s="20"/>
      <c r="AE205" s="20"/>
    </row>
    <row r="206">
      <c r="A206" s="149"/>
      <c r="B206" s="164"/>
      <c r="C206" s="306"/>
      <c r="D206" s="149"/>
      <c r="E206" s="164"/>
      <c r="F206" s="306"/>
      <c r="G206" s="149"/>
      <c r="H206" s="164"/>
      <c r="I206" s="306"/>
      <c r="J206" s="149"/>
      <c r="K206" s="164"/>
      <c r="L206" s="306"/>
      <c r="M206" s="310"/>
      <c r="N206" s="311"/>
      <c r="O206" s="312"/>
      <c r="P206" s="310"/>
      <c r="Q206" s="311"/>
      <c r="R206" s="312"/>
      <c r="S206" s="310"/>
      <c r="T206" s="311"/>
      <c r="U206" s="312"/>
      <c r="V206" s="149"/>
      <c r="W206" s="311"/>
      <c r="X206" s="306"/>
      <c r="Y206" s="188"/>
      <c r="Z206" s="188"/>
      <c r="AA206" s="188"/>
      <c r="AB206" s="20"/>
      <c r="AC206" s="20"/>
      <c r="AD206" s="20"/>
      <c r="AE206" s="20"/>
    </row>
    <row r="207">
      <c r="A207" s="149"/>
      <c r="B207" s="164"/>
      <c r="C207" s="306"/>
      <c r="D207" s="149"/>
      <c r="E207" s="164"/>
      <c r="F207" s="306"/>
      <c r="G207" s="149"/>
      <c r="H207" s="164"/>
      <c r="I207" s="306"/>
      <c r="J207" s="149"/>
      <c r="K207" s="164"/>
      <c r="L207" s="306"/>
      <c r="M207" s="310"/>
      <c r="N207" s="311"/>
      <c r="O207" s="312"/>
      <c r="P207" s="310"/>
      <c r="Q207" s="311"/>
      <c r="R207" s="312"/>
      <c r="S207" s="310"/>
      <c r="T207" s="311"/>
      <c r="U207" s="312"/>
      <c r="V207" s="149"/>
      <c r="W207" s="311"/>
      <c r="X207" s="306"/>
      <c r="Y207" s="188"/>
      <c r="Z207" s="188"/>
      <c r="AA207" s="188"/>
      <c r="AB207" s="20"/>
      <c r="AC207" s="20"/>
      <c r="AD207" s="20"/>
      <c r="AE207" s="20"/>
    </row>
    <row r="208">
      <c r="A208" s="149"/>
      <c r="B208" s="164"/>
      <c r="C208" s="306"/>
      <c r="D208" s="149"/>
      <c r="E208" s="164"/>
      <c r="F208" s="306"/>
      <c r="G208" s="149"/>
      <c r="H208" s="164"/>
      <c r="I208" s="306"/>
      <c r="J208" s="149"/>
      <c r="K208" s="164"/>
      <c r="L208" s="306"/>
      <c r="M208" s="310"/>
      <c r="N208" s="311"/>
      <c r="O208" s="312"/>
      <c r="P208" s="310"/>
      <c r="Q208" s="311"/>
      <c r="R208" s="312"/>
      <c r="S208" s="310"/>
      <c r="T208" s="311"/>
      <c r="U208" s="312"/>
      <c r="V208" s="149"/>
      <c r="W208" s="311"/>
      <c r="X208" s="306"/>
      <c r="Y208" s="188"/>
      <c r="Z208" s="188"/>
      <c r="AA208" s="188"/>
      <c r="AB208" s="20"/>
      <c r="AC208" s="20"/>
      <c r="AD208" s="20"/>
      <c r="AE208" s="20"/>
    </row>
    <row r="209">
      <c r="A209" s="149"/>
      <c r="B209" s="164"/>
      <c r="C209" s="306"/>
      <c r="D209" s="149"/>
      <c r="E209" s="164"/>
      <c r="F209" s="306"/>
      <c r="G209" s="149"/>
      <c r="H209" s="164"/>
      <c r="I209" s="306"/>
      <c r="J209" s="149"/>
      <c r="K209" s="164"/>
      <c r="L209" s="306"/>
      <c r="M209" s="310"/>
      <c r="N209" s="311"/>
      <c r="O209" s="312"/>
      <c r="P209" s="310"/>
      <c r="Q209" s="311"/>
      <c r="R209" s="312"/>
      <c r="S209" s="310"/>
      <c r="T209" s="311"/>
      <c r="U209" s="312"/>
      <c r="V209" s="149"/>
      <c r="W209" s="311"/>
      <c r="X209" s="306"/>
      <c r="Y209" s="188"/>
      <c r="Z209" s="188"/>
      <c r="AA209" s="188"/>
      <c r="AB209" s="20"/>
      <c r="AC209" s="20"/>
      <c r="AD209" s="20"/>
      <c r="AE209" s="20"/>
    </row>
    <row r="210">
      <c r="A210" s="149"/>
      <c r="B210" s="164"/>
      <c r="C210" s="306"/>
      <c r="D210" s="149"/>
      <c r="E210" s="164"/>
      <c r="F210" s="306"/>
      <c r="G210" s="149"/>
      <c r="H210" s="164"/>
      <c r="I210" s="306"/>
      <c r="J210" s="149"/>
      <c r="K210" s="164"/>
      <c r="L210" s="306"/>
      <c r="M210" s="310"/>
      <c r="N210" s="311"/>
      <c r="O210" s="312"/>
      <c r="P210" s="310"/>
      <c r="Q210" s="311"/>
      <c r="R210" s="312"/>
      <c r="S210" s="310"/>
      <c r="T210" s="311"/>
      <c r="U210" s="312"/>
      <c r="V210" s="149"/>
      <c r="W210" s="311"/>
      <c r="X210" s="306"/>
      <c r="Y210" s="188"/>
      <c r="Z210" s="188"/>
      <c r="AA210" s="188"/>
      <c r="AB210" s="20"/>
      <c r="AC210" s="20"/>
      <c r="AD210" s="20"/>
      <c r="AE210" s="20"/>
    </row>
    <row r="211">
      <c r="A211" s="149"/>
      <c r="B211" s="164"/>
      <c r="C211" s="306"/>
      <c r="D211" s="149"/>
      <c r="E211" s="164"/>
      <c r="F211" s="306"/>
      <c r="G211" s="149"/>
      <c r="H211" s="164"/>
      <c r="I211" s="306"/>
      <c r="J211" s="149"/>
      <c r="K211" s="164"/>
      <c r="L211" s="306"/>
      <c r="M211" s="310"/>
      <c r="N211" s="311"/>
      <c r="O211" s="312"/>
      <c r="P211" s="310"/>
      <c r="Q211" s="311"/>
      <c r="R211" s="312"/>
      <c r="S211" s="310"/>
      <c r="T211" s="311"/>
      <c r="U211" s="312"/>
      <c r="V211" s="149"/>
      <c r="W211" s="311"/>
      <c r="X211" s="306"/>
      <c r="Y211" s="188"/>
      <c r="Z211" s="188"/>
      <c r="AA211" s="188"/>
      <c r="AB211" s="20"/>
      <c r="AC211" s="20"/>
      <c r="AD211" s="20"/>
      <c r="AE211" s="20"/>
    </row>
    <row r="212">
      <c r="A212" s="149"/>
      <c r="B212" s="164"/>
      <c r="C212" s="306"/>
      <c r="D212" s="149"/>
      <c r="E212" s="164"/>
      <c r="F212" s="306"/>
      <c r="G212" s="149"/>
      <c r="H212" s="164"/>
      <c r="I212" s="306"/>
      <c r="J212" s="149"/>
      <c r="K212" s="164"/>
      <c r="L212" s="306"/>
      <c r="M212" s="310"/>
      <c r="N212" s="311"/>
      <c r="O212" s="312"/>
      <c r="P212" s="310"/>
      <c r="Q212" s="311"/>
      <c r="R212" s="312"/>
      <c r="S212" s="310"/>
      <c r="T212" s="311"/>
      <c r="U212" s="312"/>
      <c r="V212" s="149"/>
      <c r="W212" s="311"/>
      <c r="X212" s="306"/>
      <c r="Y212" s="188"/>
      <c r="Z212" s="188"/>
      <c r="AA212" s="188"/>
      <c r="AB212" s="20"/>
      <c r="AC212" s="20"/>
      <c r="AD212" s="20"/>
      <c r="AE212" s="20"/>
    </row>
    <row r="213">
      <c r="A213" s="149"/>
      <c r="B213" s="164"/>
      <c r="C213" s="306"/>
      <c r="D213" s="149"/>
      <c r="E213" s="164"/>
      <c r="F213" s="306"/>
      <c r="G213" s="149"/>
      <c r="H213" s="164"/>
      <c r="I213" s="306"/>
      <c r="J213" s="149"/>
      <c r="K213" s="164"/>
      <c r="L213" s="306"/>
      <c r="M213" s="310"/>
      <c r="N213" s="311"/>
      <c r="O213" s="312"/>
      <c r="P213" s="310"/>
      <c r="Q213" s="311"/>
      <c r="R213" s="312"/>
      <c r="S213" s="310"/>
      <c r="T213" s="311"/>
      <c r="U213" s="312"/>
      <c r="V213" s="149"/>
      <c r="W213" s="311"/>
      <c r="X213" s="306"/>
      <c r="Y213" s="188"/>
      <c r="Z213" s="188"/>
      <c r="AA213" s="188"/>
      <c r="AB213" s="20"/>
      <c r="AC213" s="20"/>
      <c r="AD213" s="20"/>
      <c r="AE213" s="20"/>
    </row>
    <row r="214">
      <c r="A214" s="149"/>
      <c r="B214" s="164"/>
      <c r="C214" s="306"/>
      <c r="D214" s="149"/>
      <c r="E214" s="164"/>
      <c r="F214" s="306"/>
      <c r="G214" s="149"/>
      <c r="H214" s="164"/>
      <c r="I214" s="306"/>
      <c r="J214" s="149"/>
      <c r="K214" s="164"/>
      <c r="L214" s="306"/>
      <c r="M214" s="310"/>
      <c r="N214" s="311"/>
      <c r="O214" s="312"/>
      <c r="P214" s="310"/>
      <c r="Q214" s="311"/>
      <c r="R214" s="312"/>
      <c r="S214" s="310"/>
      <c r="T214" s="311"/>
      <c r="U214" s="312"/>
      <c r="V214" s="149"/>
      <c r="W214" s="311"/>
      <c r="X214" s="306"/>
      <c r="Y214" s="188"/>
      <c r="Z214" s="188"/>
      <c r="AA214" s="188"/>
      <c r="AB214" s="20"/>
      <c r="AC214" s="20"/>
      <c r="AD214" s="20"/>
      <c r="AE214" s="20"/>
    </row>
    <row r="215">
      <c r="A215" s="149"/>
      <c r="B215" s="164"/>
      <c r="C215" s="306"/>
      <c r="D215" s="149"/>
      <c r="E215" s="164"/>
      <c r="F215" s="306"/>
      <c r="G215" s="149"/>
      <c r="H215" s="164"/>
      <c r="I215" s="306"/>
      <c r="J215" s="149"/>
      <c r="K215" s="164"/>
      <c r="L215" s="306"/>
      <c r="M215" s="310"/>
      <c r="N215" s="311"/>
      <c r="O215" s="312"/>
      <c r="P215" s="310"/>
      <c r="Q215" s="311"/>
      <c r="R215" s="312"/>
      <c r="S215" s="310"/>
      <c r="T215" s="311"/>
      <c r="U215" s="312"/>
      <c r="V215" s="149"/>
      <c r="W215" s="311"/>
      <c r="X215" s="306"/>
      <c r="Y215" s="188"/>
      <c r="Z215" s="188"/>
      <c r="AA215" s="188"/>
      <c r="AB215" s="20"/>
      <c r="AC215" s="20"/>
      <c r="AD215" s="20"/>
      <c r="AE215" s="20"/>
    </row>
    <row r="216">
      <c r="A216" s="149"/>
      <c r="B216" s="164"/>
      <c r="C216" s="306"/>
      <c r="D216" s="149"/>
      <c r="E216" s="164"/>
      <c r="F216" s="306"/>
      <c r="G216" s="149"/>
      <c r="H216" s="164"/>
      <c r="I216" s="306"/>
      <c r="J216" s="149"/>
      <c r="K216" s="164"/>
      <c r="L216" s="306"/>
      <c r="M216" s="310"/>
      <c r="N216" s="311"/>
      <c r="O216" s="312"/>
      <c r="P216" s="310"/>
      <c r="Q216" s="311"/>
      <c r="R216" s="312"/>
      <c r="S216" s="310"/>
      <c r="T216" s="311"/>
      <c r="U216" s="312"/>
      <c r="V216" s="149"/>
      <c r="W216" s="311"/>
      <c r="X216" s="306"/>
      <c r="Y216" s="188"/>
      <c r="Z216" s="188"/>
      <c r="AA216" s="188"/>
      <c r="AB216" s="20"/>
      <c r="AC216" s="20"/>
      <c r="AD216" s="20"/>
      <c r="AE216" s="20"/>
    </row>
    <row r="217">
      <c r="A217" s="149"/>
      <c r="B217" s="164"/>
      <c r="C217" s="306"/>
      <c r="D217" s="149"/>
      <c r="E217" s="164"/>
      <c r="F217" s="306"/>
      <c r="G217" s="149"/>
      <c r="H217" s="164"/>
      <c r="I217" s="306"/>
      <c r="J217" s="149"/>
      <c r="K217" s="164"/>
      <c r="L217" s="306"/>
      <c r="M217" s="310"/>
      <c r="N217" s="311"/>
      <c r="O217" s="312"/>
      <c r="P217" s="310"/>
      <c r="Q217" s="311"/>
      <c r="R217" s="312"/>
      <c r="S217" s="310"/>
      <c r="T217" s="311"/>
      <c r="U217" s="312"/>
      <c r="V217" s="149"/>
      <c r="W217" s="311"/>
      <c r="X217" s="306"/>
      <c r="Y217" s="188"/>
      <c r="Z217" s="188"/>
      <c r="AA217" s="188"/>
      <c r="AB217" s="20"/>
      <c r="AC217" s="20"/>
      <c r="AD217" s="20"/>
      <c r="AE217" s="20"/>
    </row>
    <row r="218">
      <c r="A218" s="149"/>
      <c r="B218" s="164"/>
      <c r="C218" s="306"/>
      <c r="D218" s="149"/>
      <c r="E218" s="164"/>
      <c r="F218" s="306"/>
      <c r="G218" s="149"/>
      <c r="H218" s="164"/>
      <c r="I218" s="306"/>
      <c r="J218" s="149"/>
      <c r="K218" s="164"/>
      <c r="L218" s="306"/>
      <c r="M218" s="310"/>
      <c r="N218" s="311"/>
      <c r="O218" s="312"/>
      <c r="P218" s="310"/>
      <c r="Q218" s="311"/>
      <c r="R218" s="312"/>
      <c r="S218" s="310"/>
      <c r="T218" s="311"/>
      <c r="U218" s="312"/>
      <c r="V218" s="149"/>
      <c r="W218" s="311"/>
      <c r="X218" s="306"/>
      <c r="Y218" s="188"/>
      <c r="Z218" s="188"/>
      <c r="AA218" s="188"/>
      <c r="AB218" s="20"/>
      <c r="AC218" s="20"/>
      <c r="AD218" s="20"/>
      <c r="AE218" s="20"/>
    </row>
    <row r="219">
      <c r="A219" s="149"/>
      <c r="B219" s="164"/>
      <c r="C219" s="306"/>
      <c r="D219" s="149"/>
      <c r="E219" s="164"/>
      <c r="F219" s="306"/>
      <c r="G219" s="149"/>
      <c r="H219" s="164"/>
      <c r="I219" s="306"/>
      <c r="J219" s="149"/>
      <c r="K219" s="164"/>
      <c r="L219" s="306"/>
      <c r="M219" s="310"/>
      <c r="N219" s="311"/>
      <c r="O219" s="312"/>
      <c r="P219" s="310"/>
      <c r="Q219" s="311"/>
      <c r="R219" s="312"/>
      <c r="S219" s="310"/>
      <c r="T219" s="311"/>
      <c r="U219" s="312"/>
      <c r="V219" s="149"/>
      <c r="W219" s="311"/>
      <c r="X219" s="306"/>
      <c r="Y219" s="188"/>
      <c r="Z219" s="188"/>
      <c r="AA219" s="188"/>
      <c r="AB219" s="20"/>
      <c r="AC219" s="20"/>
      <c r="AD219" s="20"/>
      <c r="AE219" s="20"/>
    </row>
    <row r="220">
      <c r="A220" s="149"/>
      <c r="B220" s="164"/>
      <c r="C220" s="306"/>
      <c r="D220" s="149"/>
      <c r="E220" s="164"/>
      <c r="F220" s="306"/>
      <c r="G220" s="149"/>
      <c r="H220" s="164"/>
      <c r="I220" s="306"/>
      <c r="J220" s="149"/>
      <c r="K220" s="164"/>
      <c r="L220" s="306"/>
      <c r="M220" s="310"/>
      <c r="N220" s="311"/>
      <c r="O220" s="312"/>
      <c r="P220" s="310"/>
      <c r="Q220" s="311"/>
      <c r="R220" s="312"/>
      <c r="S220" s="310"/>
      <c r="T220" s="311"/>
      <c r="U220" s="312"/>
      <c r="V220" s="149"/>
      <c r="W220" s="311"/>
      <c r="X220" s="306"/>
      <c r="Y220" s="188"/>
      <c r="Z220" s="188"/>
      <c r="AA220" s="188"/>
      <c r="AB220" s="20"/>
      <c r="AC220" s="20"/>
      <c r="AD220" s="20"/>
      <c r="AE220" s="20"/>
    </row>
    <row r="221">
      <c r="A221" s="149"/>
      <c r="B221" s="164"/>
      <c r="C221" s="306"/>
      <c r="D221" s="149"/>
      <c r="E221" s="164"/>
      <c r="F221" s="306"/>
      <c r="G221" s="149"/>
      <c r="H221" s="164"/>
      <c r="I221" s="306"/>
      <c r="J221" s="149"/>
      <c r="K221" s="164"/>
      <c r="L221" s="306"/>
      <c r="M221" s="310"/>
      <c r="N221" s="311"/>
      <c r="O221" s="312"/>
      <c r="P221" s="310"/>
      <c r="Q221" s="311"/>
      <c r="R221" s="312"/>
      <c r="S221" s="310"/>
      <c r="T221" s="311"/>
      <c r="U221" s="312"/>
      <c r="V221" s="149"/>
      <c r="W221" s="311"/>
      <c r="X221" s="306"/>
      <c r="Y221" s="188"/>
      <c r="Z221" s="188"/>
      <c r="AA221" s="188"/>
      <c r="AB221" s="20"/>
      <c r="AC221" s="20"/>
      <c r="AD221" s="20"/>
      <c r="AE221" s="20"/>
    </row>
    <row r="222">
      <c r="A222" s="149"/>
      <c r="B222" s="164"/>
      <c r="C222" s="306"/>
      <c r="D222" s="149"/>
      <c r="E222" s="164"/>
      <c r="F222" s="306"/>
      <c r="G222" s="149"/>
      <c r="H222" s="164"/>
      <c r="I222" s="306"/>
      <c r="J222" s="149"/>
      <c r="K222" s="164"/>
      <c r="L222" s="306"/>
      <c r="M222" s="310"/>
      <c r="N222" s="311"/>
      <c r="O222" s="312"/>
      <c r="P222" s="310"/>
      <c r="Q222" s="311"/>
      <c r="R222" s="312"/>
      <c r="S222" s="310"/>
      <c r="T222" s="311"/>
      <c r="U222" s="312"/>
      <c r="V222" s="149"/>
      <c r="W222" s="311"/>
      <c r="X222" s="306"/>
      <c r="Y222" s="188"/>
      <c r="Z222" s="188"/>
      <c r="AA222" s="188"/>
      <c r="AB222" s="20"/>
      <c r="AC222" s="20"/>
      <c r="AD222" s="20"/>
      <c r="AE222" s="20"/>
    </row>
    <row r="223">
      <c r="A223" s="149"/>
      <c r="B223" s="164"/>
      <c r="C223" s="306"/>
      <c r="D223" s="149"/>
      <c r="E223" s="164"/>
      <c r="F223" s="306"/>
      <c r="G223" s="149"/>
      <c r="H223" s="164"/>
      <c r="I223" s="306"/>
      <c r="J223" s="149"/>
      <c r="K223" s="164"/>
      <c r="L223" s="306"/>
      <c r="M223" s="310"/>
      <c r="N223" s="311"/>
      <c r="O223" s="312"/>
      <c r="P223" s="310"/>
      <c r="Q223" s="311"/>
      <c r="R223" s="312"/>
      <c r="S223" s="310"/>
      <c r="T223" s="311"/>
      <c r="U223" s="312"/>
      <c r="V223" s="149"/>
      <c r="W223" s="311"/>
      <c r="X223" s="306"/>
      <c r="Y223" s="188"/>
      <c r="Z223" s="188"/>
      <c r="AA223" s="188"/>
      <c r="AB223" s="20"/>
      <c r="AC223" s="20"/>
      <c r="AD223" s="20"/>
      <c r="AE223" s="20"/>
    </row>
    <row r="224">
      <c r="A224" s="149"/>
      <c r="B224" s="164"/>
      <c r="C224" s="306"/>
      <c r="D224" s="149"/>
      <c r="E224" s="164"/>
      <c r="F224" s="306"/>
      <c r="G224" s="149"/>
      <c r="H224" s="164"/>
      <c r="I224" s="306"/>
      <c r="J224" s="149"/>
      <c r="K224" s="164"/>
      <c r="L224" s="306"/>
      <c r="M224" s="310"/>
      <c r="N224" s="311"/>
      <c r="O224" s="312"/>
      <c r="P224" s="310"/>
      <c r="Q224" s="311"/>
      <c r="R224" s="312"/>
      <c r="S224" s="310"/>
      <c r="T224" s="311"/>
      <c r="U224" s="312"/>
      <c r="V224" s="149"/>
      <c r="W224" s="311"/>
      <c r="X224" s="306"/>
      <c r="Y224" s="188"/>
      <c r="Z224" s="188"/>
      <c r="AA224" s="188"/>
      <c r="AB224" s="20"/>
      <c r="AC224" s="20"/>
      <c r="AD224" s="20"/>
      <c r="AE224" s="20"/>
    </row>
    <row r="225">
      <c r="A225" s="149"/>
      <c r="B225" s="164"/>
      <c r="C225" s="306"/>
      <c r="D225" s="149"/>
      <c r="E225" s="164"/>
      <c r="F225" s="306"/>
      <c r="G225" s="149"/>
      <c r="H225" s="164"/>
      <c r="I225" s="306"/>
      <c r="J225" s="149"/>
      <c r="K225" s="164"/>
      <c r="L225" s="306"/>
      <c r="M225" s="310"/>
      <c r="N225" s="311"/>
      <c r="O225" s="312"/>
      <c r="P225" s="310"/>
      <c r="Q225" s="311"/>
      <c r="R225" s="312"/>
      <c r="S225" s="310"/>
      <c r="T225" s="311"/>
      <c r="U225" s="312"/>
      <c r="V225" s="149"/>
      <c r="W225" s="311"/>
      <c r="X225" s="306"/>
      <c r="Y225" s="188"/>
      <c r="Z225" s="188"/>
      <c r="AA225" s="188"/>
      <c r="AB225" s="20"/>
      <c r="AC225" s="20"/>
      <c r="AD225" s="20"/>
      <c r="AE225" s="20"/>
    </row>
    <row r="226">
      <c r="A226" s="149"/>
      <c r="B226" s="164"/>
      <c r="C226" s="306"/>
      <c r="D226" s="149"/>
      <c r="E226" s="164"/>
      <c r="F226" s="306"/>
      <c r="G226" s="149"/>
      <c r="H226" s="164"/>
      <c r="I226" s="306"/>
      <c r="J226" s="149"/>
      <c r="K226" s="164"/>
      <c r="L226" s="306"/>
      <c r="M226" s="310"/>
      <c r="N226" s="311"/>
      <c r="O226" s="312"/>
      <c r="P226" s="310"/>
      <c r="Q226" s="311"/>
      <c r="R226" s="312"/>
      <c r="S226" s="310"/>
      <c r="T226" s="311"/>
      <c r="U226" s="312"/>
      <c r="V226" s="149"/>
      <c r="W226" s="311"/>
      <c r="X226" s="306"/>
      <c r="Y226" s="188"/>
      <c r="Z226" s="188"/>
      <c r="AA226" s="188"/>
      <c r="AB226" s="20"/>
      <c r="AC226" s="20"/>
      <c r="AD226" s="20"/>
      <c r="AE226" s="20"/>
    </row>
    <row r="227">
      <c r="A227" s="149"/>
      <c r="B227" s="164"/>
      <c r="C227" s="306"/>
      <c r="D227" s="149"/>
      <c r="E227" s="164"/>
      <c r="F227" s="306"/>
      <c r="G227" s="149"/>
      <c r="H227" s="164"/>
      <c r="I227" s="306"/>
      <c r="J227" s="149"/>
      <c r="K227" s="164"/>
      <c r="L227" s="306"/>
      <c r="M227" s="310"/>
      <c r="N227" s="311"/>
      <c r="O227" s="312"/>
      <c r="P227" s="310"/>
      <c r="Q227" s="311"/>
      <c r="R227" s="312"/>
      <c r="S227" s="310"/>
      <c r="T227" s="311"/>
      <c r="U227" s="312"/>
      <c r="V227" s="149"/>
      <c r="W227" s="311"/>
      <c r="X227" s="306"/>
      <c r="Y227" s="188"/>
      <c r="Z227" s="188"/>
      <c r="AA227" s="188"/>
      <c r="AB227" s="20"/>
      <c r="AC227" s="20"/>
      <c r="AD227" s="20"/>
      <c r="AE227" s="20"/>
    </row>
    <row r="228">
      <c r="A228" s="149"/>
      <c r="B228" s="164"/>
      <c r="C228" s="306"/>
      <c r="D228" s="149"/>
      <c r="E228" s="164"/>
      <c r="F228" s="306"/>
      <c r="G228" s="149"/>
      <c r="H228" s="164"/>
      <c r="I228" s="306"/>
      <c r="J228" s="149"/>
      <c r="K228" s="164"/>
      <c r="L228" s="306"/>
      <c r="M228" s="310"/>
      <c r="N228" s="311"/>
      <c r="O228" s="312"/>
      <c r="P228" s="310"/>
      <c r="Q228" s="311"/>
      <c r="R228" s="312"/>
      <c r="S228" s="310"/>
      <c r="T228" s="311"/>
      <c r="U228" s="312"/>
      <c r="V228" s="149"/>
      <c r="W228" s="311"/>
      <c r="X228" s="306"/>
      <c r="Y228" s="188"/>
      <c r="Z228" s="188"/>
      <c r="AA228" s="188"/>
      <c r="AB228" s="20"/>
      <c r="AC228" s="20"/>
      <c r="AD228" s="20"/>
      <c r="AE228" s="20"/>
    </row>
    <row r="229">
      <c r="A229" s="149"/>
      <c r="B229" s="164"/>
      <c r="C229" s="306"/>
      <c r="D229" s="149"/>
      <c r="E229" s="164"/>
      <c r="F229" s="306"/>
      <c r="G229" s="149"/>
      <c r="H229" s="164"/>
      <c r="I229" s="306"/>
      <c r="J229" s="149"/>
      <c r="K229" s="164"/>
      <c r="L229" s="306"/>
      <c r="M229" s="310"/>
      <c r="N229" s="311"/>
      <c r="O229" s="312"/>
      <c r="P229" s="310"/>
      <c r="Q229" s="311"/>
      <c r="R229" s="312"/>
      <c r="S229" s="310"/>
      <c r="T229" s="311"/>
      <c r="U229" s="312"/>
      <c r="V229" s="149"/>
      <c r="W229" s="311"/>
      <c r="X229" s="306"/>
      <c r="Y229" s="188"/>
      <c r="Z229" s="188"/>
      <c r="AA229" s="188"/>
      <c r="AB229" s="20"/>
      <c r="AC229" s="20"/>
      <c r="AD229" s="20"/>
      <c r="AE229" s="20"/>
    </row>
    <row r="230">
      <c r="A230" s="149"/>
      <c r="B230" s="164"/>
      <c r="C230" s="306"/>
      <c r="D230" s="149"/>
      <c r="E230" s="164"/>
      <c r="F230" s="306"/>
      <c r="G230" s="149"/>
      <c r="H230" s="164"/>
      <c r="I230" s="306"/>
      <c r="J230" s="149"/>
      <c r="K230" s="164"/>
      <c r="L230" s="306"/>
      <c r="M230" s="310"/>
      <c r="N230" s="311"/>
      <c r="O230" s="312"/>
      <c r="P230" s="310"/>
      <c r="Q230" s="311"/>
      <c r="R230" s="312"/>
      <c r="S230" s="310"/>
      <c r="T230" s="311"/>
      <c r="U230" s="312"/>
      <c r="V230" s="149"/>
      <c r="W230" s="311"/>
      <c r="X230" s="306"/>
      <c r="Y230" s="188"/>
      <c r="Z230" s="188"/>
      <c r="AA230" s="188"/>
      <c r="AB230" s="20"/>
      <c r="AC230" s="20"/>
      <c r="AD230" s="20"/>
      <c r="AE230" s="20"/>
    </row>
    <row r="231">
      <c r="A231" s="149"/>
      <c r="B231" s="164"/>
      <c r="C231" s="306"/>
      <c r="D231" s="149"/>
      <c r="E231" s="164"/>
      <c r="F231" s="306"/>
      <c r="G231" s="149"/>
      <c r="H231" s="164"/>
      <c r="I231" s="306"/>
      <c r="J231" s="149"/>
      <c r="K231" s="164"/>
      <c r="L231" s="306"/>
      <c r="M231" s="310"/>
      <c r="N231" s="311"/>
      <c r="O231" s="312"/>
      <c r="P231" s="310"/>
      <c r="Q231" s="311"/>
      <c r="R231" s="312"/>
      <c r="S231" s="310"/>
      <c r="T231" s="311"/>
      <c r="U231" s="312"/>
      <c r="V231" s="149"/>
      <c r="W231" s="311"/>
      <c r="X231" s="306"/>
      <c r="Y231" s="188"/>
      <c r="Z231" s="188"/>
      <c r="AA231" s="188"/>
      <c r="AB231" s="20"/>
      <c r="AC231" s="20"/>
      <c r="AD231" s="20"/>
      <c r="AE231" s="20"/>
    </row>
    <row r="232">
      <c r="A232" s="149"/>
      <c r="B232" s="164"/>
      <c r="C232" s="306"/>
      <c r="D232" s="149"/>
      <c r="E232" s="164"/>
      <c r="F232" s="306"/>
      <c r="G232" s="149"/>
      <c r="H232" s="164"/>
      <c r="I232" s="306"/>
      <c r="J232" s="149"/>
      <c r="K232" s="164"/>
      <c r="L232" s="306"/>
      <c r="M232" s="310"/>
      <c r="N232" s="311"/>
      <c r="O232" s="312"/>
      <c r="P232" s="310"/>
      <c r="Q232" s="311"/>
      <c r="R232" s="312"/>
      <c r="S232" s="310"/>
      <c r="T232" s="311"/>
      <c r="U232" s="312"/>
      <c r="V232" s="149"/>
      <c r="W232" s="311"/>
      <c r="X232" s="306"/>
      <c r="Y232" s="188"/>
      <c r="Z232" s="188"/>
      <c r="AA232" s="188"/>
      <c r="AB232" s="20"/>
      <c r="AC232" s="20"/>
      <c r="AD232" s="20"/>
      <c r="AE232" s="20"/>
    </row>
    <row r="233">
      <c r="A233" s="149"/>
      <c r="B233" s="164"/>
      <c r="C233" s="306"/>
      <c r="D233" s="149"/>
      <c r="E233" s="164"/>
      <c r="F233" s="306"/>
      <c r="G233" s="149"/>
      <c r="H233" s="164"/>
      <c r="I233" s="306"/>
      <c r="J233" s="149"/>
      <c r="K233" s="164"/>
      <c r="L233" s="306"/>
      <c r="M233" s="310"/>
      <c r="N233" s="311"/>
      <c r="O233" s="312"/>
      <c r="P233" s="310"/>
      <c r="Q233" s="311"/>
      <c r="R233" s="312"/>
      <c r="S233" s="310"/>
      <c r="T233" s="311"/>
      <c r="U233" s="312"/>
      <c r="V233" s="149"/>
      <c r="W233" s="311"/>
      <c r="X233" s="306"/>
      <c r="Y233" s="188"/>
      <c r="Z233" s="188"/>
      <c r="AA233" s="188"/>
      <c r="AB233" s="20"/>
      <c r="AC233" s="20"/>
      <c r="AD233" s="20"/>
      <c r="AE233" s="20"/>
    </row>
    <row r="234">
      <c r="A234" s="149"/>
      <c r="B234" s="164"/>
      <c r="C234" s="306"/>
      <c r="D234" s="149"/>
      <c r="E234" s="164"/>
      <c r="F234" s="306"/>
      <c r="G234" s="149"/>
      <c r="H234" s="164"/>
      <c r="I234" s="306"/>
      <c r="J234" s="149"/>
      <c r="K234" s="164"/>
      <c r="L234" s="306"/>
      <c r="M234" s="310"/>
      <c r="N234" s="311"/>
      <c r="O234" s="312"/>
      <c r="P234" s="310"/>
      <c r="Q234" s="311"/>
      <c r="R234" s="312"/>
      <c r="S234" s="310"/>
      <c r="T234" s="311"/>
      <c r="U234" s="312"/>
      <c r="V234" s="149"/>
      <c r="W234" s="311"/>
      <c r="X234" s="306"/>
      <c r="Y234" s="188"/>
      <c r="Z234" s="188"/>
      <c r="AA234" s="188"/>
      <c r="AB234" s="20"/>
      <c r="AC234" s="20"/>
      <c r="AD234" s="20"/>
      <c r="AE234" s="20"/>
    </row>
    <row r="235">
      <c r="A235" s="149"/>
      <c r="B235" s="164"/>
      <c r="C235" s="306"/>
      <c r="D235" s="149"/>
      <c r="E235" s="164"/>
      <c r="F235" s="306"/>
      <c r="G235" s="149"/>
      <c r="H235" s="164"/>
      <c r="I235" s="306"/>
      <c r="J235" s="149"/>
      <c r="K235" s="164"/>
      <c r="L235" s="306"/>
      <c r="M235" s="310"/>
      <c r="N235" s="311"/>
      <c r="O235" s="312"/>
      <c r="P235" s="310"/>
      <c r="Q235" s="311"/>
      <c r="R235" s="312"/>
      <c r="S235" s="310"/>
      <c r="T235" s="311"/>
      <c r="U235" s="312"/>
      <c r="V235" s="149"/>
      <c r="W235" s="311"/>
      <c r="X235" s="306"/>
      <c r="Y235" s="188"/>
      <c r="Z235" s="188"/>
      <c r="AA235" s="188"/>
      <c r="AB235" s="20"/>
      <c r="AC235" s="20"/>
      <c r="AD235" s="20"/>
      <c r="AE235" s="20"/>
    </row>
    <row r="236">
      <c r="A236" s="149"/>
      <c r="B236" s="164"/>
      <c r="C236" s="306"/>
      <c r="D236" s="149"/>
      <c r="E236" s="164"/>
      <c r="F236" s="306"/>
      <c r="G236" s="149"/>
      <c r="H236" s="164"/>
      <c r="I236" s="306"/>
      <c r="J236" s="149"/>
      <c r="K236" s="164"/>
      <c r="L236" s="306"/>
      <c r="M236" s="310"/>
      <c r="N236" s="311"/>
      <c r="O236" s="312"/>
      <c r="P236" s="310"/>
      <c r="Q236" s="311"/>
      <c r="R236" s="312"/>
      <c r="S236" s="310"/>
      <c r="T236" s="311"/>
      <c r="U236" s="312"/>
      <c r="V236" s="149"/>
      <c r="W236" s="311"/>
      <c r="X236" s="306"/>
      <c r="Y236" s="188"/>
      <c r="Z236" s="188"/>
      <c r="AA236" s="188"/>
      <c r="AB236" s="20"/>
      <c r="AC236" s="20"/>
      <c r="AD236" s="20"/>
      <c r="AE236" s="20"/>
    </row>
    <row r="237">
      <c r="A237" s="149"/>
      <c r="B237" s="164"/>
      <c r="C237" s="306"/>
      <c r="D237" s="149"/>
      <c r="E237" s="164"/>
      <c r="F237" s="306"/>
      <c r="G237" s="149"/>
      <c r="H237" s="164"/>
      <c r="I237" s="306"/>
      <c r="J237" s="149"/>
      <c r="K237" s="164"/>
      <c r="L237" s="306"/>
      <c r="M237" s="310"/>
      <c r="N237" s="311"/>
      <c r="O237" s="312"/>
      <c r="P237" s="310"/>
      <c r="Q237" s="311"/>
      <c r="R237" s="312"/>
      <c r="S237" s="310"/>
      <c r="T237" s="311"/>
      <c r="U237" s="312"/>
      <c r="V237" s="149"/>
      <c r="W237" s="311"/>
      <c r="X237" s="306"/>
      <c r="Y237" s="188"/>
      <c r="Z237" s="188"/>
      <c r="AA237" s="188"/>
      <c r="AB237" s="20"/>
      <c r="AC237" s="20"/>
      <c r="AD237" s="20"/>
      <c r="AE237" s="20"/>
    </row>
    <row r="238">
      <c r="A238" s="149"/>
      <c r="B238" s="164"/>
      <c r="C238" s="306"/>
      <c r="D238" s="149"/>
      <c r="E238" s="164"/>
      <c r="F238" s="306"/>
      <c r="G238" s="149"/>
      <c r="H238" s="164"/>
      <c r="I238" s="306"/>
      <c r="J238" s="149"/>
      <c r="K238" s="164"/>
      <c r="L238" s="306"/>
      <c r="M238" s="310"/>
      <c r="N238" s="311"/>
      <c r="O238" s="312"/>
      <c r="P238" s="310"/>
      <c r="Q238" s="311"/>
      <c r="R238" s="312"/>
      <c r="S238" s="310"/>
      <c r="T238" s="311"/>
      <c r="U238" s="312"/>
      <c r="V238" s="149"/>
      <c r="W238" s="311"/>
      <c r="X238" s="306"/>
      <c r="Y238" s="188"/>
      <c r="Z238" s="188"/>
      <c r="AA238" s="188"/>
      <c r="AB238" s="20"/>
      <c r="AC238" s="20"/>
      <c r="AD238" s="20"/>
      <c r="AE238" s="20"/>
    </row>
    <row r="239">
      <c r="A239" s="149"/>
      <c r="B239" s="164"/>
      <c r="C239" s="306"/>
      <c r="D239" s="149"/>
      <c r="E239" s="164"/>
      <c r="F239" s="306"/>
      <c r="G239" s="149"/>
      <c r="H239" s="164"/>
      <c r="I239" s="306"/>
      <c r="J239" s="149"/>
      <c r="K239" s="164"/>
      <c r="L239" s="306"/>
      <c r="M239" s="310"/>
      <c r="N239" s="311"/>
      <c r="O239" s="312"/>
      <c r="P239" s="310"/>
      <c r="Q239" s="311"/>
      <c r="R239" s="312"/>
      <c r="S239" s="310"/>
      <c r="T239" s="311"/>
      <c r="U239" s="312"/>
      <c r="V239" s="149"/>
      <c r="W239" s="311"/>
      <c r="X239" s="306"/>
      <c r="Y239" s="188"/>
      <c r="Z239" s="188"/>
      <c r="AA239" s="188"/>
      <c r="AB239" s="20"/>
      <c r="AC239" s="20"/>
      <c r="AD239" s="20"/>
      <c r="AE239" s="20"/>
    </row>
    <row r="240">
      <c r="A240" s="149"/>
      <c r="B240" s="164"/>
      <c r="C240" s="306"/>
      <c r="D240" s="149"/>
      <c r="E240" s="164"/>
      <c r="F240" s="306"/>
      <c r="G240" s="149"/>
      <c r="H240" s="164"/>
      <c r="I240" s="306"/>
      <c r="J240" s="149"/>
      <c r="K240" s="164"/>
      <c r="L240" s="306"/>
      <c r="M240" s="310"/>
      <c r="N240" s="311"/>
      <c r="O240" s="312"/>
      <c r="P240" s="310"/>
      <c r="Q240" s="311"/>
      <c r="R240" s="312"/>
      <c r="S240" s="310"/>
      <c r="T240" s="311"/>
      <c r="U240" s="312"/>
      <c r="V240" s="149"/>
      <c r="W240" s="311"/>
      <c r="X240" s="306"/>
      <c r="Y240" s="188"/>
      <c r="Z240" s="188"/>
      <c r="AA240" s="188"/>
      <c r="AB240" s="20"/>
      <c r="AC240" s="20"/>
      <c r="AD240" s="20"/>
      <c r="AE240" s="20"/>
    </row>
    <row r="241">
      <c r="A241" s="149"/>
      <c r="B241" s="164"/>
      <c r="C241" s="306"/>
      <c r="D241" s="149"/>
      <c r="E241" s="164"/>
      <c r="F241" s="306"/>
      <c r="G241" s="149"/>
      <c r="H241" s="164"/>
      <c r="I241" s="306"/>
      <c r="J241" s="149"/>
      <c r="K241" s="164"/>
      <c r="L241" s="306"/>
      <c r="M241" s="310"/>
      <c r="N241" s="311"/>
      <c r="O241" s="312"/>
      <c r="P241" s="310"/>
      <c r="Q241" s="311"/>
      <c r="R241" s="312"/>
      <c r="S241" s="310"/>
      <c r="T241" s="311"/>
      <c r="U241" s="312"/>
      <c r="V241" s="149"/>
      <c r="W241" s="311"/>
      <c r="X241" s="306"/>
      <c r="Y241" s="188"/>
      <c r="Z241" s="188"/>
      <c r="AA241" s="188"/>
      <c r="AB241" s="20"/>
      <c r="AC241" s="20"/>
      <c r="AD241" s="20"/>
      <c r="AE241" s="20"/>
    </row>
    <row r="242">
      <c r="A242" s="149"/>
      <c r="B242" s="164"/>
      <c r="C242" s="306"/>
      <c r="D242" s="149"/>
      <c r="E242" s="164"/>
      <c r="F242" s="306"/>
      <c r="G242" s="149"/>
      <c r="H242" s="164"/>
      <c r="I242" s="306"/>
      <c r="J242" s="149"/>
      <c r="K242" s="164"/>
      <c r="L242" s="306"/>
      <c r="M242" s="310"/>
      <c r="N242" s="311"/>
      <c r="O242" s="312"/>
      <c r="P242" s="310"/>
      <c r="Q242" s="311"/>
      <c r="R242" s="312"/>
      <c r="S242" s="310"/>
      <c r="T242" s="311"/>
      <c r="U242" s="312"/>
      <c r="V242" s="149"/>
      <c r="W242" s="311"/>
      <c r="X242" s="306"/>
      <c r="Y242" s="188"/>
      <c r="Z242" s="188"/>
      <c r="AA242" s="188"/>
      <c r="AB242" s="20"/>
      <c r="AC242" s="20"/>
      <c r="AD242" s="20"/>
      <c r="AE242" s="20"/>
    </row>
    <row r="243">
      <c r="A243" s="149"/>
      <c r="B243" s="164"/>
      <c r="C243" s="306"/>
      <c r="D243" s="149"/>
      <c r="E243" s="164"/>
      <c r="F243" s="306"/>
      <c r="G243" s="149"/>
      <c r="H243" s="164"/>
      <c r="I243" s="306"/>
      <c r="J243" s="149"/>
      <c r="K243" s="164"/>
      <c r="L243" s="306"/>
      <c r="M243" s="310"/>
      <c r="N243" s="311"/>
      <c r="O243" s="312"/>
      <c r="P243" s="310"/>
      <c r="Q243" s="311"/>
      <c r="R243" s="312"/>
      <c r="S243" s="310"/>
      <c r="T243" s="311"/>
      <c r="U243" s="312"/>
      <c r="V243" s="149"/>
      <c r="W243" s="311"/>
      <c r="X243" s="306"/>
      <c r="Y243" s="188"/>
      <c r="Z243" s="188"/>
      <c r="AA243" s="188"/>
      <c r="AB243" s="20"/>
      <c r="AC243" s="20"/>
      <c r="AD243" s="20"/>
      <c r="AE243" s="20"/>
    </row>
    <row r="244">
      <c r="A244" s="149"/>
      <c r="B244" s="164"/>
      <c r="C244" s="306"/>
      <c r="D244" s="149"/>
      <c r="E244" s="164"/>
      <c r="F244" s="306"/>
      <c r="G244" s="149"/>
      <c r="H244" s="164"/>
      <c r="I244" s="306"/>
      <c r="J244" s="149"/>
      <c r="K244" s="164"/>
      <c r="L244" s="306"/>
      <c r="M244" s="310"/>
      <c r="N244" s="311"/>
      <c r="O244" s="312"/>
      <c r="P244" s="310"/>
      <c r="Q244" s="311"/>
      <c r="R244" s="312"/>
      <c r="S244" s="310"/>
      <c r="T244" s="311"/>
      <c r="U244" s="312"/>
      <c r="V244" s="149"/>
      <c r="W244" s="311"/>
      <c r="X244" s="306"/>
      <c r="Y244" s="188"/>
      <c r="Z244" s="188"/>
      <c r="AA244" s="188"/>
      <c r="AB244" s="20"/>
      <c r="AC244" s="20"/>
      <c r="AD244" s="20"/>
      <c r="AE244" s="20"/>
    </row>
    <row r="245">
      <c r="A245" s="149"/>
      <c r="B245" s="164"/>
      <c r="C245" s="306"/>
      <c r="D245" s="149"/>
      <c r="E245" s="164"/>
      <c r="F245" s="306"/>
      <c r="G245" s="149"/>
      <c r="H245" s="164"/>
      <c r="I245" s="306"/>
      <c r="J245" s="149"/>
      <c r="K245" s="164"/>
      <c r="L245" s="306"/>
      <c r="M245" s="310"/>
      <c r="N245" s="311"/>
      <c r="O245" s="312"/>
      <c r="P245" s="310"/>
      <c r="Q245" s="311"/>
      <c r="R245" s="312"/>
      <c r="S245" s="310"/>
      <c r="T245" s="311"/>
      <c r="U245" s="312"/>
      <c r="V245" s="149"/>
      <c r="W245" s="311"/>
      <c r="X245" s="306"/>
      <c r="Y245" s="188"/>
      <c r="Z245" s="188"/>
      <c r="AA245" s="188"/>
      <c r="AB245" s="20"/>
      <c r="AC245" s="20"/>
      <c r="AD245" s="20"/>
      <c r="AE245" s="20"/>
    </row>
    <row r="246">
      <c r="A246" s="149"/>
      <c r="B246" s="164"/>
      <c r="C246" s="306"/>
      <c r="D246" s="149"/>
      <c r="E246" s="164"/>
      <c r="F246" s="306"/>
      <c r="G246" s="149"/>
      <c r="H246" s="164"/>
      <c r="I246" s="306"/>
      <c r="J246" s="149"/>
      <c r="K246" s="164"/>
      <c r="L246" s="306"/>
      <c r="M246" s="310"/>
      <c r="N246" s="311"/>
      <c r="O246" s="312"/>
      <c r="P246" s="310"/>
      <c r="Q246" s="311"/>
      <c r="R246" s="312"/>
      <c r="S246" s="310"/>
      <c r="T246" s="311"/>
      <c r="U246" s="312"/>
      <c r="V246" s="149"/>
      <c r="W246" s="311"/>
      <c r="X246" s="306"/>
      <c r="Y246" s="188"/>
      <c r="Z246" s="188"/>
      <c r="AA246" s="188"/>
      <c r="AB246" s="20"/>
      <c r="AC246" s="20"/>
      <c r="AD246" s="20"/>
      <c r="AE246" s="20"/>
    </row>
    <row r="247">
      <c r="A247" s="149"/>
      <c r="B247" s="164"/>
      <c r="C247" s="306"/>
      <c r="D247" s="149"/>
      <c r="E247" s="164"/>
      <c r="F247" s="306"/>
      <c r="G247" s="149"/>
      <c r="H247" s="164"/>
      <c r="I247" s="306"/>
      <c r="J247" s="149"/>
      <c r="K247" s="164"/>
      <c r="L247" s="306"/>
      <c r="M247" s="310"/>
      <c r="N247" s="311"/>
      <c r="O247" s="312"/>
      <c r="P247" s="310"/>
      <c r="Q247" s="311"/>
      <c r="R247" s="312"/>
      <c r="S247" s="310"/>
      <c r="T247" s="311"/>
      <c r="U247" s="312"/>
      <c r="V247" s="149"/>
      <c r="W247" s="311"/>
      <c r="X247" s="306"/>
      <c r="Y247" s="188"/>
      <c r="Z247" s="188"/>
      <c r="AA247" s="188"/>
      <c r="AB247" s="20"/>
      <c r="AC247" s="20"/>
      <c r="AD247" s="20"/>
      <c r="AE247" s="20"/>
    </row>
    <row r="248">
      <c r="A248" s="149"/>
      <c r="B248" s="164"/>
      <c r="C248" s="306"/>
      <c r="D248" s="149"/>
      <c r="E248" s="164"/>
      <c r="F248" s="306"/>
      <c r="G248" s="149"/>
      <c r="H248" s="164"/>
      <c r="I248" s="306"/>
      <c r="J248" s="149"/>
      <c r="K248" s="164"/>
      <c r="L248" s="306"/>
      <c r="M248" s="310"/>
      <c r="N248" s="311"/>
      <c r="O248" s="312"/>
      <c r="P248" s="310"/>
      <c r="Q248" s="311"/>
      <c r="R248" s="312"/>
      <c r="S248" s="310"/>
      <c r="T248" s="311"/>
      <c r="U248" s="312"/>
      <c r="V248" s="149"/>
      <c r="W248" s="311"/>
      <c r="X248" s="306"/>
      <c r="Y248" s="188"/>
      <c r="Z248" s="188"/>
      <c r="AA248" s="188"/>
      <c r="AB248" s="20"/>
      <c r="AC248" s="20"/>
      <c r="AD248" s="20"/>
      <c r="AE248" s="20"/>
    </row>
    <row r="249">
      <c r="A249" s="149"/>
      <c r="B249" s="164"/>
      <c r="C249" s="306"/>
      <c r="D249" s="149"/>
      <c r="E249" s="164"/>
      <c r="F249" s="306"/>
      <c r="G249" s="149"/>
      <c r="H249" s="164"/>
      <c r="I249" s="306"/>
      <c r="J249" s="149"/>
      <c r="K249" s="164"/>
      <c r="L249" s="306"/>
      <c r="M249" s="310"/>
      <c r="N249" s="311"/>
      <c r="O249" s="312"/>
      <c r="P249" s="310"/>
      <c r="Q249" s="311"/>
      <c r="R249" s="312"/>
      <c r="S249" s="310"/>
      <c r="T249" s="311"/>
      <c r="U249" s="312"/>
      <c r="V249" s="149"/>
      <c r="W249" s="311"/>
      <c r="X249" s="306"/>
      <c r="Y249" s="188"/>
      <c r="Z249" s="188"/>
      <c r="AA249" s="188"/>
      <c r="AB249" s="20"/>
      <c r="AC249" s="20"/>
      <c r="AD249" s="20"/>
      <c r="AE249" s="20"/>
    </row>
    <row r="250">
      <c r="A250" s="149"/>
      <c r="B250" s="164"/>
      <c r="C250" s="306"/>
      <c r="D250" s="149"/>
      <c r="E250" s="164"/>
      <c r="F250" s="306"/>
      <c r="G250" s="149"/>
      <c r="H250" s="164"/>
      <c r="I250" s="306"/>
      <c r="J250" s="149"/>
      <c r="K250" s="164"/>
      <c r="L250" s="306"/>
      <c r="M250" s="310"/>
      <c r="N250" s="311"/>
      <c r="O250" s="312"/>
      <c r="P250" s="310"/>
      <c r="Q250" s="311"/>
      <c r="R250" s="312"/>
      <c r="S250" s="310"/>
      <c r="T250" s="311"/>
      <c r="U250" s="312"/>
      <c r="V250" s="149"/>
      <c r="W250" s="311"/>
      <c r="X250" s="306"/>
      <c r="Y250" s="188"/>
      <c r="Z250" s="188"/>
      <c r="AA250" s="188"/>
      <c r="AB250" s="20"/>
      <c r="AC250" s="20"/>
      <c r="AD250" s="20"/>
      <c r="AE250" s="20"/>
    </row>
    <row r="251">
      <c r="A251" s="149"/>
      <c r="B251" s="164"/>
      <c r="C251" s="306"/>
      <c r="D251" s="149"/>
      <c r="E251" s="164"/>
      <c r="F251" s="306"/>
      <c r="G251" s="149"/>
      <c r="H251" s="164"/>
      <c r="I251" s="306"/>
      <c r="J251" s="149"/>
      <c r="K251" s="164"/>
      <c r="L251" s="306"/>
      <c r="M251" s="310"/>
      <c r="N251" s="311"/>
      <c r="O251" s="312"/>
      <c r="P251" s="310"/>
      <c r="Q251" s="311"/>
      <c r="R251" s="312"/>
      <c r="S251" s="310"/>
      <c r="T251" s="311"/>
      <c r="U251" s="312"/>
      <c r="V251" s="149"/>
      <c r="W251" s="311"/>
      <c r="X251" s="306"/>
      <c r="Y251" s="188"/>
      <c r="Z251" s="188"/>
      <c r="AA251" s="188"/>
      <c r="AB251" s="20"/>
      <c r="AC251" s="20"/>
      <c r="AD251" s="20"/>
      <c r="AE251" s="20"/>
    </row>
    <row r="252">
      <c r="A252" s="149"/>
      <c r="B252" s="164"/>
      <c r="C252" s="306"/>
      <c r="D252" s="149"/>
      <c r="E252" s="164"/>
      <c r="F252" s="306"/>
      <c r="G252" s="149"/>
      <c r="H252" s="164"/>
      <c r="I252" s="306"/>
      <c r="J252" s="149"/>
      <c r="K252" s="164"/>
      <c r="L252" s="306"/>
      <c r="M252" s="310"/>
      <c r="N252" s="311"/>
      <c r="O252" s="312"/>
      <c r="P252" s="310"/>
      <c r="Q252" s="311"/>
      <c r="R252" s="312"/>
      <c r="S252" s="310"/>
      <c r="T252" s="311"/>
      <c r="U252" s="312"/>
      <c r="V252" s="149"/>
      <c r="W252" s="311"/>
      <c r="X252" s="306"/>
      <c r="Y252" s="188"/>
      <c r="Z252" s="188"/>
      <c r="AA252" s="188"/>
      <c r="AB252" s="20"/>
      <c r="AC252" s="20"/>
      <c r="AD252" s="20"/>
      <c r="AE252" s="20"/>
    </row>
    <row r="253">
      <c r="A253" s="149"/>
      <c r="B253" s="164"/>
      <c r="C253" s="306"/>
      <c r="D253" s="149"/>
      <c r="E253" s="164"/>
      <c r="F253" s="306"/>
      <c r="G253" s="149"/>
      <c r="H253" s="164"/>
      <c r="I253" s="306"/>
      <c r="J253" s="149"/>
      <c r="K253" s="164"/>
      <c r="L253" s="306"/>
      <c r="M253" s="310"/>
      <c r="N253" s="311"/>
      <c r="O253" s="312"/>
      <c r="P253" s="310"/>
      <c r="Q253" s="311"/>
      <c r="R253" s="312"/>
      <c r="S253" s="310"/>
      <c r="T253" s="311"/>
      <c r="U253" s="312"/>
      <c r="V253" s="149"/>
      <c r="W253" s="311"/>
      <c r="X253" s="306"/>
      <c r="Y253" s="188"/>
      <c r="Z253" s="188"/>
      <c r="AA253" s="188"/>
      <c r="AB253" s="20"/>
      <c r="AC253" s="20"/>
      <c r="AD253" s="20"/>
      <c r="AE253" s="20"/>
    </row>
    <row r="254">
      <c r="A254" s="149"/>
      <c r="B254" s="164"/>
      <c r="C254" s="306"/>
      <c r="D254" s="149"/>
      <c r="E254" s="164"/>
      <c r="F254" s="306"/>
      <c r="G254" s="149"/>
      <c r="H254" s="164"/>
      <c r="I254" s="306"/>
      <c r="J254" s="149"/>
      <c r="K254" s="164"/>
      <c r="L254" s="306"/>
      <c r="M254" s="310"/>
      <c r="N254" s="311"/>
      <c r="O254" s="312"/>
      <c r="P254" s="310"/>
      <c r="Q254" s="311"/>
      <c r="R254" s="312"/>
      <c r="S254" s="310"/>
      <c r="T254" s="311"/>
      <c r="U254" s="312"/>
      <c r="V254" s="149"/>
      <c r="W254" s="311"/>
      <c r="X254" s="306"/>
      <c r="Y254" s="188"/>
      <c r="Z254" s="188"/>
      <c r="AA254" s="188"/>
      <c r="AB254" s="20"/>
      <c r="AC254" s="20"/>
      <c r="AD254" s="20"/>
      <c r="AE254" s="20"/>
    </row>
    <row r="255">
      <c r="A255" s="149"/>
      <c r="B255" s="164"/>
      <c r="C255" s="306"/>
      <c r="D255" s="149"/>
      <c r="E255" s="164"/>
      <c r="F255" s="306"/>
      <c r="G255" s="149"/>
      <c r="H255" s="164"/>
      <c r="I255" s="306"/>
      <c r="J255" s="149"/>
      <c r="K255" s="164"/>
      <c r="L255" s="306"/>
      <c r="M255" s="310"/>
      <c r="N255" s="311"/>
      <c r="O255" s="312"/>
      <c r="P255" s="310"/>
      <c r="Q255" s="311"/>
      <c r="R255" s="312"/>
      <c r="S255" s="310"/>
      <c r="T255" s="311"/>
      <c r="U255" s="312"/>
      <c r="V255" s="149"/>
      <c r="W255" s="311"/>
      <c r="X255" s="306"/>
      <c r="Y255" s="188"/>
      <c r="Z255" s="188"/>
      <c r="AA255" s="188"/>
      <c r="AB255" s="20"/>
      <c r="AC255" s="20"/>
      <c r="AD255" s="20"/>
      <c r="AE255" s="20"/>
    </row>
    <row r="256">
      <c r="A256" s="149"/>
      <c r="B256" s="164"/>
      <c r="C256" s="306"/>
      <c r="D256" s="149"/>
      <c r="E256" s="164"/>
      <c r="F256" s="306"/>
      <c r="G256" s="149"/>
      <c r="H256" s="164"/>
      <c r="I256" s="306"/>
      <c r="J256" s="149"/>
      <c r="K256" s="164"/>
      <c r="L256" s="306"/>
      <c r="M256" s="310"/>
      <c r="N256" s="311"/>
      <c r="O256" s="312"/>
      <c r="P256" s="310"/>
      <c r="Q256" s="311"/>
      <c r="R256" s="312"/>
      <c r="S256" s="310"/>
      <c r="T256" s="311"/>
      <c r="U256" s="312"/>
      <c r="V256" s="149"/>
      <c r="W256" s="311"/>
      <c r="X256" s="306"/>
      <c r="Y256" s="188"/>
      <c r="Z256" s="188"/>
      <c r="AA256" s="188"/>
      <c r="AB256" s="20"/>
      <c r="AC256" s="20"/>
      <c r="AD256" s="20"/>
      <c r="AE256" s="20"/>
    </row>
    <row r="257">
      <c r="A257" s="149"/>
      <c r="B257" s="164"/>
      <c r="C257" s="306"/>
      <c r="D257" s="149"/>
      <c r="E257" s="164"/>
      <c r="F257" s="306"/>
      <c r="G257" s="149"/>
      <c r="H257" s="164"/>
      <c r="I257" s="306"/>
      <c r="J257" s="149"/>
      <c r="K257" s="164"/>
      <c r="L257" s="306"/>
      <c r="M257" s="310"/>
      <c r="N257" s="311"/>
      <c r="O257" s="312"/>
      <c r="P257" s="310"/>
      <c r="Q257" s="311"/>
      <c r="R257" s="312"/>
      <c r="S257" s="310"/>
      <c r="T257" s="311"/>
      <c r="U257" s="312"/>
      <c r="V257" s="149"/>
      <c r="W257" s="311"/>
      <c r="X257" s="306"/>
      <c r="Y257" s="188"/>
      <c r="Z257" s="188"/>
      <c r="AA257" s="188"/>
      <c r="AB257" s="20"/>
      <c r="AC257" s="20"/>
      <c r="AD257" s="20"/>
      <c r="AE257" s="20"/>
    </row>
    <row r="258">
      <c r="A258" s="149"/>
      <c r="B258" s="164"/>
      <c r="C258" s="306"/>
      <c r="D258" s="149"/>
      <c r="E258" s="164"/>
      <c r="F258" s="306"/>
      <c r="G258" s="149"/>
      <c r="H258" s="164"/>
      <c r="I258" s="306"/>
      <c r="J258" s="149"/>
      <c r="K258" s="164"/>
      <c r="L258" s="306"/>
      <c r="M258" s="310"/>
      <c r="N258" s="311"/>
      <c r="O258" s="312"/>
      <c r="P258" s="310"/>
      <c r="Q258" s="311"/>
      <c r="R258" s="312"/>
      <c r="S258" s="310"/>
      <c r="T258" s="311"/>
      <c r="U258" s="312"/>
      <c r="V258" s="149"/>
      <c r="W258" s="311"/>
      <c r="X258" s="306"/>
      <c r="Y258" s="188"/>
      <c r="Z258" s="188"/>
      <c r="AA258" s="188"/>
      <c r="AB258" s="20"/>
      <c r="AC258" s="20"/>
      <c r="AD258" s="20"/>
      <c r="AE258" s="20"/>
    </row>
    <row r="259">
      <c r="A259" s="149"/>
      <c r="B259" s="164"/>
      <c r="C259" s="306"/>
      <c r="D259" s="149"/>
      <c r="E259" s="164"/>
      <c r="F259" s="306"/>
      <c r="G259" s="149"/>
      <c r="H259" s="164"/>
      <c r="I259" s="306"/>
      <c r="J259" s="149"/>
      <c r="K259" s="164"/>
      <c r="L259" s="306"/>
      <c r="M259" s="310"/>
      <c r="N259" s="311"/>
      <c r="O259" s="312"/>
      <c r="P259" s="310"/>
      <c r="Q259" s="311"/>
      <c r="R259" s="312"/>
      <c r="S259" s="310"/>
      <c r="T259" s="311"/>
      <c r="U259" s="312"/>
      <c r="V259" s="149"/>
      <c r="W259" s="311"/>
      <c r="X259" s="306"/>
      <c r="Y259" s="188"/>
      <c r="Z259" s="188"/>
      <c r="AA259" s="188"/>
      <c r="AB259" s="20"/>
      <c r="AC259" s="20"/>
      <c r="AD259" s="20"/>
      <c r="AE259" s="20"/>
    </row>
    <row r="260">
      <c r="A260" s="149"/>
      <c r="B260" s="164"/>
      <c r="C260" s="306"/>
      <c r="D260" s="149"/>
      <c r="E260" s="164"/>
      <c r="F260" s="306"/>
      <c r="G260" s="149"/>
      <c r="H260" s="164"/>
      <c r="I260" s="306"/>
      <c r="J260" s="149"/>
      <c r="K260" s="164"/>
      <c r="L260" s="306"/>
      <c r="M260" s="310"/>
      <c r="N260" s="311"/>
      <c r="O260" s="312"/>
      <c r="P260" s="310"/>
      <c r="Q260" s="311"/>
      <c r="R260" s="312"/>
      <c r="S260" s="310"/>
      <c r="T260" s="311"/>
      <c r="U260" s="312"/>
      <c r="V260" s="149"/>
      <c r="W260" s="311"/>
      <c r="X260" s="306"/>
      <c r="Y260" s="188"/>
      <c r="Z260" s="188"/>
      <c r="AA260" s="188"/>
      <c r="AB260" s="20"/>
      <c r="AC260" s="20"/>
      <c r="AD260" s="20"/>
      <c r="AE260" s="20"/>
    </row>
    <row r="261">
      <c r="A261" s="149"/>
      <c r="B261" s="164"/>
      <c r="C261" s="306"/>
      <c r="D261" s="149"/>
      <c r="E261" s="164"/>
      <c r="F261" s="306"/>
      <c r="G261" s="149"/>
      <c r="H261" s="164"/>
      <c r="I261" s="306"/>
      <c r="J261" s="149"/>
      <c r="K261" s="164"/>
      <c r="L261" s="306"/>
      <c r="M261" s="310"/>
      <c r="N261" s="311"/>
      <c r="O261" s="312"/>
      <c r="P261" s="310"/>
      <c r="Q261" s="311"/>
      <c r="R261" s="312"/>
      <c r="S261" s="310"/>
      <c r="T261" s="311"/>
      <c r="U261" s="312"/>
      <c r="V261" s="149"/>
      <c r="W261" s="311"/>
      <c r="X261" s="306"/>
      <c r="Y261" s="188"/>
      <c r="Z261" s="188"/>
      <c r="AA261" s="188"/>
      <c r="AB261" s="20"/>
      <c r="AC261" s="20"/>
      <c r="AD261" s="20"/>
      <c r="AE261" s="20"/>
    </row>
    <row r="262">
      <c r="A262" s="149"/>
      <c r="B262" s="164"/>
      <c r="C262" s="306"/>
      <c r="D262" s="149"/>
      <c r="E262" s="164"/>
      <c r="F262" s="306"/>
      <c r="G262" s="149"/>
      <c r="H262" s="164"/>
      <c r="I262" s="306"/>
      <c r="J262" s="149"/>
      <c r="K262" s="164"/>
      <c r="L262" s="306"/>
      <c r="M262" s="310"/>
      <c r="N262" s="311"/>
      <c r="O262" s="312"/>
      <c r="P262" s="310"/>
      <c r="Q262" s="311"/>
      <c r="R262" s="312"/>
      <c r="S262" s="310"/>
      <c r="T262" s="311"/>
      <c r="U262" s="312"/>
      <c r="V262" s="149"/>
      <c r="W262" s="311"/>
      <c r="X262" s="306"/>
      <c r="Y262" s="188"/>
      <c r="Z262" s="188"/>
      <c r="AA262" s="188"/>
      <c r="AB262" s="20"/>
      <c r="AC262" s="20"/>
      <c r="AD262" s="20"/>
      <c r="AE262" s="20"/>
    </row>
    <row r="263">
      <c r="A263" s="149"/>
      <c r="B263" s="164"/>
      <c r="C263" s="306"/>
      <c r="D263" s="149"/>
      <c r="E263" s="164"/>
      <c r="F263" s="306"/>
      <c r="G263" s="149"/>
      <c r="H263" s="164"/>
      <c r="I263" s="306"/>
      <c r="J263" s="149"/>
      <c r="K263" s="164"/>
      <c r="L263" s="306"/>
      <c r="M263" s="310"/>
      <c r="N263" s="311"/>
      <c r="O263" s="312"/>
      <c r="P263" s="310"/>
      <c r="Q263" s="311"/>
      <c r="R263" s="312"/>
      <c r="S263" s="310"/>
      <c r="T263" s="311"/>
      <c r="U263" s="312"/>
      <c r="V263" s="149"/>
      <c r="W263" s="311"/>
      <c r="X263" s="306"/>
      <c r="Y263" s="188"/>
      <c r="Z263" s="188"/>
      <c r="AA263" s="188"/>
      <c r="AB263" s="20"/>
      <c r="AC263" s="20"/>
      <c r="AD263" s="20"/>
      <c r="AE263" s="20"/>
    </row>
    <row r="264">
      <c r="A264" s="149"/>
      <c r="B264" s="164"/>
      <c r="C264" s="306"/>
      <c r="D264" s="149"/>
      <c r="E264" s="164"/>
      <c r="F264" s="306"/>
      <c r="G264" s="149"/>
      <c r="H264" s="164"/>
      <c r="I264" s="306"/>
      <c r="J264" s="149"/>
      <c r="K264" s="164"/>
      <c r="L264" s="306"/>
      <c r="M264" s="310"/>
      <c r="N264" s="311"/>
      <c r="O264" s="312"/>
      <c r="P264" s="310"/>
      <c r="Q264" s="311"/>
      <c r="R264" s="312"/>
      <c r="S264" s="310"/>
      <c r="T264" s="311"/>
      <c r="U264" s="312"/>
      <c r="V264" s="149"/>
      <c r="W264" s="311"/>
      <c r="X264" s="306"/>
      <c r="Y264" s="188"/>
      <c r="Z264" s="188"/>
      <c r="AA264" s="188"/>
      <c r="AB264" s="20"/>
      <c r="AC264" s="20"/>
      <c r="AD264" s="20"/>
      <c r="AE264" s="20"/>
    </row>
    <row r="265">
      <c r="A265" s="149"/>
      <c r="B265" s="164"/>
      <c r="C265" s="306"/>
      <c r="D265" s="149"/>
      <c r="E265" s="164"/>
      <c r="F265" s="306"/>
      <c r="G265" s="149"/>
      <c r="H265" s="164"/>
      <c r="I265" s="306"/>
      <c r="J265" s="149"/>
      <c r="K265" s="164"/>
      <c r="L265" s="306"/>
      <c r="M265" s="310"/>
      <c r="N265" s="311"/>
      <c r="O265" s="312"/>
      <c r="P265" s="310"/>
      <c r="Q265" s="311"/>
      <c r="R265" s="312"/>
      <c r="S265" s="310"/>
      <c r="T265" s="311"/>
      <c r="U265" s="312"/>
      <c r="V265" s="149"/>
      <c r="W265" s="311"/>
      <c r="X265" s="306"/>
      <c r="Y265" s="188"/>
      <c r="Z265" s="188"/>
      <c r="AA265" s="188"/>
      <c r="AB265" s="20"/>
      <c r="AC265" s="20"/>
      <c r="AD265" s="20"/>
      <c r="AE265" s="20"/>
    </row>
    <row r="266">
      <c r="A266" s="149"/>
      <c r="B266" s="164"/>
      <c r="C266" s="306"/>
      <c r="D266" s="149"/>
      <c r="E266" s="164"/>
      <c r="F266" s="306"/>
      <c r="G266" s="149"/>
      <c r="H266" s="164"/>
      <c r="I266" s="306"/>
      <c r="J266" s="149"/>
      <c r="K266" s="164"/>
      <c r="L266" s="306"/>
      <c r="M266" s="310"/>
      <c r="N266" s="311"/>
      <c r="O266" s="312"/>
      <c r="P266" s="310"/>
      <c r="Q266" s="311"/>
      <c r="R266" s="312"/>
      <c r="S266" s="310"/>
      <c r="T266" s="311"/>
      <c r="U266" s="312"/>
      <c r="V266" s="149"/>
      <c r="W266" s="311"/>
      <c r="X266" s="306"/>
      <c r="Y266" s="188"/>
      <c r="Z266" s="188"/>
      <c r="AA266" s="188"/>
      <c r="AB266" s="20"/>
      <c r="AC266" s="20"/>
      <c r="AD266" s="20"/>
      <c r="AE266" s="20"/>
    </row>
    <row r="267">
      <c r="A267" s="149"/>
      <c r="B267" s="164"/>
      <c r="C267" s="306"/>
      <c r="D267" s="149"/>
      <c r="E267" s="164"/>
      <c r="F267" s="306"/>
      <c r="G267" s="149"/>
      <c r="H267" s="164"/>
      <c r="I267" s="306"/>
      <c r="J267" s="149"/>
      <c r="K267" s="164"/>
      <c r="L267" s="306"/>
      <c r="M267" s="310"/>
      <c r="N267" s="311"/>
      <c r="O267" s="312"/>
      <c r="P267" s="310"/>
      <c r="Q267" s="311"/>
      <c r="R267" s="312"/>
      <c r="S267" s="310"/>
      <c r="T267" s="311"/>
      <c r="U267" s="312"/>
      <c r="V267" s="149"/>
      <c r="W267" s="311"/>
      <c r="X267" s="306"/>
      <c r="Y267" s="188"/>
      <c r="Z267" s="188"/>
      <c r="AA267" s="188"/>
      <c r="AB267" s="20"/>
      <c r="AC267" s="20"/>
      <c r="AD267" s="20"/>
      <c r="AE267" s="20"/>
    </row>
    <row r="268">
      <c r="A268" s="149"/>
      <c r="B268" s="164"/>
      <c r="C268" s="306"/>
      <c r="D268" s="149"/>
      <c r="E268" s="164"/>
      <c r="F268" s="306"/>
      <c r="G268" s="149"/>
      <c r="H268" s="164"/>
      <c r="I268" s="306"/>
      <c r="J268" s="149"/>
      <c r="K268" s="164"/>
      <c r="L268" s="306"/>
      <c r="M268" s="310"/>
      <c r="N268" s="311"/>
      <c r="O268" s="312"/>
      <c r="P268" s="310"/>
      <c r="Q268" s="311"/>
      <c r="R268" s="312"/>
      <c r="S268" s="310"/>
      <c r="T268" s="311"/>
      <c r="U268" s="312"/>
      <c r="V268" s="149"/>
      <c r="W268" s="311"/>
      <c r="X268" s="306"/>
      <c r="Y268" s="188"/>
      <c r="Z268" s="188"/>
      <c r="AA268" s="188"/>
      <c r="AB268" s="20"/>
      <c r="AC268" s="20"/>
      <c r="AD268" s="20"/>
      <c r="AE268" s="20"/>
    </row>
    <row r="269">
      <c r="A269" s="149"/>
      <c r="B269" s="164"/>
      <c r="C269" s="306"/>
      <c r="D269" s="149"/>
      <c r="E269" s="164"/>
      <c r="F269" s="306"/>
      <c r="G269" s="149"/>
      <c r="H269" s="164"/>
      <c r="I269" s="306"/>
      <c r="J269" s="149"/>
      <c r="K269" s="164"/>
      <c r="L269" s="306"/>
      <c r="M269" s="310"/>
      <c r="N269" s="311"/>
      <c r="O269" s="312"/>
      <c r="P269" s="310"/>
      <c r="Q269" s="311"/>
      <c r="R269" s="312"/>
      <c r="S269" s="310"/>
      <c r="T269" s="311"/>
      <c r="U269" s="312"/>
      <c r="V269" s="149"/>
      <c r="W269" s="311"/>
      <c r="X269" s="306"/>
      <c r="Y269" s="188"/>
      <c r="Z269" s="188"/>
      <c r="AA269" s="188"/>
      <c r="AB269" s="20"/>
      <c r="AC269" s="20"/>
      <c r="AD269" s="20"/>
      <c r="AE269" s="20"/>
    </row>
    <row r="270">
      <c r="A270" s="149"/>
      <c r="B270" s="164"/>
      <c r="C270" s="306"/>
      <c r="D270" s="149"/>
      <c r="E270" s="164"/>
      <c r="F270" s="306"/>
      <c r="G270" s="149"/>
      <c r="H270" s="164"/>
      <c r="I270" s="306"/>
      <c r="J270" s="149"/>
      <c r="K270" s="164"/>
      <c r="L270" s="306"/>
      <c r="M270" s="310"/>
      <c r="N270" s="311"/>
      <c r="O270" s="312"/>
      <c r="P270" s="310"/>
      <c r="Q270" s="311"/>
      <c r="R270" s="312"/>
      <c r="S270" s="310"/>
      <c r="T270" s="311"/>
      <c r="U270" s="312"/>
      <c r="V270" s="149"/>
      <c r="W270" s="311"/>
      <c r="X270" s="306"/>
      <c r="Y270" s="188"/>
      <c r="Z270" s="188"/>
      <c r="AA270" s="188"/>
      <c r="AB270" s="20"/>
      <c r="AC270" s="20"/>
      <c r="AD270" s="20"/>
      <c r="AE270" s="20"/>
    </row>
    <row r="271">
      <c r="A271" s="149"/>
      <c r="B271" s="164"/>
      <c r="C271" s="306"/>
      <c r="D271" s="149"/>
      <c r="E271" s="164"/>
      <c r="F271" s="306"/>
      <c r="G271" s="149"/>
      <c r="H271" s="164"/>
      <c r="I271" s="306"/>
      <c r="J271" s="149"/>
      <c r="K271" s="164"/>
      <c r="L271" s="306"/>
      <c r="M271" s="310"/>
      <c r="N271" s="311"/>
      <c r="O271" s="312"/>
      <c r="P271" s="310"/>
      <c r="Q271" s="311"/>
      <c r="R271" s="312"/>
      <c r="S271" s="310"/>
      <c r="T271" s="311"/>
      <c r="U271" s="312"/>
      <c r="V271" s="149"/>
      <c r="W271" s="311"/>
      <c r="X271" s="306"/>
      <c r="Y271" s="188"/>
      <c r="Z271" s="188"/>
      <c r="AA271" s="188"/>
      <c r="AB271" s="20"/>
      <c r="AC271" s="20"/>
      <c r="AD271" s="20"/>
      <c r="AE271" s="20"/>
    </row>
    <row r="272">
      <c r="A272" s="149"/>
      <c r="B272" s="164"/>
      <c r="C272" s="306"/>
      <c r="D272" s="149"/>
      <c r="E272" s="164"/>
      <c r="F272" s="306"/>
      <c r="G272" s="149"/>
      <c r="H272" s="164"/>
      <c r="I272" s="306"/>
      <c r="J272" s="149"/>
      <c r="K272" s="164"/>
      <c r="L272" s="306"/>
      <c r="M272" s="310"/>
      <c r="N272" s="311"/>
      <c r="O272" s="312"/>
      <c r="P272" s="310"/>
      <c r="Q272" s="311"/>
      <c r="R272" s="312"/>
      <c r="S272" s="310"/>
      <c r="T272" s="311"/>
      <c r="U272" s="312"/>
      <c r="V272" s="149"/>
      <c r="W272" s="311"/>
      <c r="X272" s="306"/>
      <c r="Y272" s="188"/>
      <c r="Z272" s="188"/>
      <c r="AA272" s="188"/>
      <c r="AB272" s="20"/>
      <c r="AC272" s="20"/>
      <c r="AD272" s="20"/>
      <c r="AE272" s="20"/>
    </row>
    <row r="273">
      <c r="A273" s="149"/>
      <c r="B273" s="164"/>
      <c r="C273" s="306"/>
      <c r="D273" s="149"/>
      <c r="E273" s="164"/>
      <c r="F273" s="306"/>
      <c r="G273" s="149"/>
      <c r="H273" s="164"/>
      <c r="I273" s="306"/>
      <c r="J273" s="149"/>
      <c r="K273" s="164"/>
      <c r="L273" s="306"/>
      <c r="M273" s="310"/>
      <c r="N273" s="311"/>
      <c r="O273" s="312"/>
      <c r="P273" s="310"/>
      <c r="Q273" s="311"/>
      <c r="R273" s="312"/>
      <c r="S273" s="310"/>
      <c r="T273" s="311"/>
      <c r="U273" s="312"/>
      <c r="V273" s="149"/>
      <c r="W273" s="311"/>
      <c r="X273" s="306"/>
      <c r="Y273" s="188"/>
      <c r="Z273" s="188"/>
      <c r="AA273" s="188"/>
      <c r="AB273" s="20"/>
      <c r="AC273" s="20"/>
      <c r="AD273" s="20"/>
      <c r="AE273" s="20"/>
    </row>
    <row r="274">
      <c r="A274" s="149"/>
      <c r="B274" s="164"/>
      <c r="C274" s="306"/>
      <c r="D274" s="149"/>
      <c r="E274" s="164"/>
      <c r="F274" s="306"/>
      <c r="G274" s="149"/>
      <c r="H274" s="164"/>
      <c r="I274" s="306"/>
      <c r="J274" s="149"/>
      <c r="K274" s="164"/>
      <c r="L274" s="306"/>
      <c r="M274" s="310"/>
      <c r="N274" s="311"/>
      <c r="O274" s="312"/>
      <c r="P274" s="310"/>
      <c r="Q274" s="311"/>
      <c r="R274" s="312"/>
      <c r="S274" s="310"/>
      <c r="T274" s="311"/>
      <c r="U274" s="312"/>
      <c r="V274" s="149"/>
      <c r="W274" s="311"/>
      <c r="X274" s="306"/>
      <c r="Y274" s="188"/>
      <c r="Z274" s="188"/>
      <c r="AA274" s="188"/>
      <c r="AB274" s="20"/>
      <c r="AC274" s="20"/>
      <c r="AD274" s="20"/>
      <c r="AE274" s="20"/>
    </row>
    <row r="275">
      <c r="A275" s="149"/>
      <c r="B275" s="164"/>
      <c r="C275" s="306"/>
      <c r="D275" s="149"/>
      <c r="E275" s="164"/>
      <c r="F275" s="306"/>
      <c r="G275" s="149"/>
      <c r="H275" s="164"/>
      <c r="I275" s="306"/>
      <c r="J275" s="149"/>
      <c r="K275" s="164"/>
      <c r="L275" s="306"/>
      <c r="M275" s="310"/>
      <c r="N275" s="311"/>
      <c r="O275" s="312"/>
      <c r="P275" s="310"/>
      <c r="Q275" s="311"/>
      <c r="R275" s="312"/>
      <c r="S275" s="310"/>
      <c r="T275" s="311"/>
      <c r="U275" s="312"/>
      <c r="V275" s="149"/>
      <c r="W275" s="311"/>
      <c r="X275" s="306"/>
      <c r="Y275" s="188"/>
      <c r="Z275" s="188"/>
      <c r="AA275" s="188"/>
      <c r="AB275" s="20"/>
      <c r="AC275" s="20"/>
      <c r="AD275" s="20"/>
      <c r="AE275" s="20"/>
    </row>
    <row r="276">
      <c r="A276" s="149"/>
      <c r="B276" s="164"/>
      <c r="C276" s="306"/>
      <c r="D276" s="149"/>
      <c r="E276" s="164"/>
      <c r="F276" s="306"/>
      <c r="G276" s="149"/>
      <c r="H276" s="164"/>
      <c r="I276" s="306"/>
      <c r="J276" s="149"/>
      <c r="K276" s="164"/>
      <c r="L276" s="306"/>
      <c r="M276" s="310"/>
      <c r="N276" s="311"/>
      <c r="O276" s="312"/>
      <c r="P276" s="310"/>
      <c r="Q276" s="311"/>
      <c r="R276" s="312"/>
      <c r="S276" s="310"/>
      <c r="T276" s="311"/>
      <c r="U276" s="312"/>
      <c r="V276" s="149"/>
      <c r="W276" s="311"/>
      <c r="X276" s="306"/>
      <c r="Y276" s="188"/>
      <c r="Z276" s="188"/>
      <c r="AA276" s="188"/>
      <c r="AB276" s="20"/>
      <c r="AC276" s="20"/>
      <c r="AD276" s="20"/>
      <c r="AE276" s="20"/>
    </row>
    <row r="277">
      <c r="A277" s="149"/>
      <c r="B277" s="164"/>
      <c r="C277" s="306"/>
      <c r="D277" s="149"/>
      <c r="E277" s="164"/>
      <c r="F277" s="306"/>
      <c r="G277" s="149"/>
      <c r="H277" s="164"/>
      <c r="I277" s="306"/>
      <c r="J277" s="149"/>
      <c r="K277" s="164"/>
      <c r="L277" s="306"/>
      <c r="M277" s="310"/>
      <c r="N277" s="311"/>
      <c r="O277" s="312"/>
      <c r="P277" s="310"/>
      <c r="Q277" s="311"/>
      <c r="R277" s="312"/>
      <c r="S277" s="310"/>
      <c r="T277" s="311"/>
      <c r="U277" s="312"/>
      <c r="V277" s="149"/>
      <c r="W277" s="311"/>
      <c r="X277" s="306"/>
      <c r="Y277" s="188"/>
      <c r="Z277" s="188"/>
      <c r="AA277" s="188"/>
      <c r="AB277" s="20"/>
      <c r="AC277" s="20"/>
      <c r="AD277" s="20"/>
      <c r="AE277" s="20"/>
    </row>
    <row r="278">
      <c r="A278" s="149"/>
      <c r="B278" s="164"/>
      <c r="C278" s="306"/>
      <c r="D278" s="149"/>
      <c r="E278" s="164"/>
      <c r="F278" s="306"/>
      <c r="G278" s="149"/>
      <c r="H278" s="164"/>
      <c r="I278" s="306"/>
      <c r="J278" s="149"/>
      <c r="K278" s="164"/>
      <c r="L278" s="306"/>
      <c r="M278" s="310"/>
      <c r="N278" s="311"/>
      <c r="O278" s="312"/>
      <c r="P278" s="310"/>
      <c r="Q278" s="311"/>
      <c r="R278" s="312"/>
      <c r="S278" s="310"/>
      <c r="T278" s="311"/>
      <c r="U278" s="312"/>
      <c r="V278" s="149"/>
      <c r="W278" s="311"/>
      <c r="X278" s="306"/>
      <c r="Y278" s="188"/>
      <c r="Z278" s="188"/>
      <c r="AA278" s="188"/>
      <c r="AB278" s="20"/>
      <c r="AC278" s="20"/>
      <c r="AD278" s="20"/>
      <c r="AE278" s="20"/>
    </row>
    <row r="279">
      <c r="A279" s="149"/>
      <c r="B279" s="164"/>
      <c r="C279" s="306"/>
      <c r="D279" s="149"/>
      <c r="E279" s="164"/>
      <c r="F279" s="306"/>
      <c r="G279" s="149"/>
      <c r="H279" s="164"/>
      <c r="I279" s="306"/>
      <c r="J279" s="149"/>
      <c r="K279" s="164"/>
      <c r="L279" s="306"/>
      <c r="M279" s="310"/>
      <c r="N279" s="311"/>
      <c r="O279" s="312"/>
      <c r="P279" s="310"/>
      <c r="Q279" s="311"/>
      <c r="R279" s="312"/>
      <c r="S279" s="310"/>
      <c r="T279" s="311"/>
      <c r="U279" s="312"/>
      <c r="V279" s="149"/>
      <c r="W279" s="311"/>
      <c r="X279" s="306"/>
      <c r="Y279" s="188"/>
      <c r="Z279" s="188"/>
      <c r="AA279" s="188"/>
      <c r="AB279" s="20"/>
      <c r="AC279" s="20"/>
      <c r="AD279" s="20"/>
      <c r="AE279" s="20"/>
    </row>
    <row r="280">
      <c r="A280" s="149"/>
      <c r="B280" s="164"/>
      <c r="C280" s="306"/>
      <c r="D280" s="149"/>
      <c r="E280" s="164"/>
      <c r="F280" s="306"/>
      <c r="G280" s="149"/>
      <c r="H280" s="164"/>
      <c r="I280" s="306"/>
      <c r="J280" s="149"/>
      <c r="K280" s="164"/>
      <c r="L280" s="306"/>
      <c r="M280" s="310"/>
      <c r="N280" s="311"/>
      <c r="O280" s="312"/>
      <c r="P280" s="310"/>
      <c r="Q280" s="311"/>
      <c r="R280" s="312"/>
      <c r="S280" s="310"/>
      <c r="T280" s="311"/>
      <c r="U280" s="312"/>
      <c r="V280" s="149"/>
      <c r="W280" s="311"/>
      <c r="X280" s="306"/>
      <c r="Y280" s="188"/>
      <c r="Z280" s="188"/>
      <c r="AA280" s="188"/>
      <c r="AB280" s="20"/>
      <c r="AC280" s="20"/>
      <c r="AD280" s="20"/>
      <c r="AE280" s="20"/>
    </row>
    <row r="281">
      <c r="A281" s="149"/>
      <c r="B281" s="164"/>
      <c r="C281" s="306"/>
      <c r="D281" s="149"/>
      <c r="E281" s="164"/>
      <c r="F281" s="306"/>
      <c r="G281" s="149"/>
      <c r="H281" s="164"/>
      <c r="I281" s="306"/>
      <c r="J281" s="149"/>
      <c r="K281" s="164"/>
      <c r="L281" s="306"/>
      <c r="M281" s="310"/>
      <c r="N281" s="311"/>
      <c r="O281" s="312"/>
      <c r="P281" s="310"/>
      <c r="Q281" s="311"/>
      <c r="R281" s="312"/>
      <c r="S281" s="310"/>
      <c r="T281" s="311"/>
      <c r="U281" s="312"/>
      <c r="V281" s="149"/>
      <c r="W281" s="311"/>
      <c r="X281" s="306"/>
      <c r="Y281" s="188"/>
      <c r="Z281" s="188"/>
      <c r="AA281" s="188"/>
      <c r="AB281" s="20"/>
      <c r="AC281" s="20"/>
      <c r="AD281" s="20"/>
      <c r="AE281" s="20"/>
    </row>
    <row r="282">
      <c r="A282" s="149"/>
      <c r="B282" s="164"/>
      <c r="C282" s="306"/>
      <c r="D282" s="149"/>
      <c r="E282" s="164"/>
      <c r="F282" s="306"/>
      <c r="G282" s="149"/>
      <c r="H282" s="164"/>
      <c r="I282" s="306"/>
      <c r="J282" s="149"/>
      <c r="K282" s="164"/>
      <c r="L282" s="306"/>
      <c r="M282" s="310"/>
      <c r="N282" s="311"/>
      <c r="O282" s="312"/>
      <c r="P282" s="310"/>
      <c r="Q282" s="311"/>
      <c r="R282" s="312"/>
      <c r="S282" s="310"/>
      <c r="T282" s="311"/>
      <c r="U282" s="312"/>
      <c r="V282" s="149"/>
      <c r="W282" s="311"/>
      <c r="X282" s="306"/>
      <c r="Y282" s="188"/>
      <c r="Z282" s="188"/>
      <c r="AA282" s="188"/>
      <c r="AB282" s="20"/>
      <c r="AC282" s="20"/>
      <c r="AD282" s="20"/>
      <c r="AE282" s="20"/>
    </row>
    <row r="283">
      <c r="A283" s="149"/>
      <c r="B283" s="164"/>
      <c r="C283" s="306"/>
      <c r="D283" s="149"/>
      <c r="E283" s="164"/>
      <c r="F283" s="306"/>
      <c r="G283" s="149"/>
      <c r="H283" s="164"/>
      <c r="I283" s="306"/>
      <c r="J283" s="149"/>
      <c r="K283" s="164"/>
      <c r="L283" s="306"/>
      <c r="M283" s="310"/>
      <c r="N283" s="311"/>
      <c r="O283" s="312"/>
      <c r="P283" s="310"/>
      <c r="Q283" s="311"/>
      <c r="R283" s="312"/>
      <c r="S283" s="310"/>
      <c r="T283" s="311"/>
      <c r="U283" s="312"/>
      <c r="V283" s="149"/>
      <c r="W283" s="311"/>
      <c r="X283" s="306"/>
      <c r="Y283" s="188"/>
      <c r="Z283" s="188"/>
      <c r="AA283" s="188"/>
      <c r="AB283" s="20"/>
      <c r="AC283" s="20"/>
      <c r="AD283" s="20"/>
      <c r="AE283" s="20"/>
    </row>
    <row r="284">
      <c r="A284" s="149"/>
      <c r="B284" s="164"/>
      <c r="C284" s="306"/>
      <c r="D284" s="149"/>
      <c r="E284" s="164"/>
      <c r="F284" s="306"/>
      <c r="G284" s="149"/>
      <c r="H284" s="164"/>
      <c r="I284" s="306"/>
      <c r="J284" s="149"/>
      <c r="K284" s="164"/>
      <c r="L284" s="306"/>
      <c r="M284" s="310"/>
      <c r="N284" s="311"/>
      <c r="O284" s="312"/>
      <c r="P284" s="310"/>
      <c r="Q284" s="311"/>
      <c r="R284" s="312"/>
      <c r="S284" s="310"/>
      <c r="T284" s="311"/>
      <c r="U284" s="312"/>
      <c r="V284" s="149"/>
      <c r="W284" s="311"/>
      <c r="X284" s="306"/>
      <c r="Y284" s="188"/>
      <c r="Z284" s="188"/>
      <c r="AA284" s="188"/>
      <c r="AB284" s="20"/>
      <c r="AC284" s="20"/>
      <c r="AD284" s="20"/>
      <c r="AE284" s="20"/>
    </row>
    <row r="285">
      <c r="A285" s="149"/>
      <c r="B285" s="164"/>
      <c r="C285" s="306"/>
      <c r="D285" s="149"/>
      <c r="E285" s="164"/>
      <c r="F285" s="306"/>
      <c r="G285" s="149"/>
      <c r="H285" s="164"/>
      <c r="I285" s="306"/>
      <c r="J285" s="149"/>
      <c r="K285" s="164"/>
      <c r="L285" s="306"/>
      <c r="M285" s="310"/>
      <c r="N285" s="311"/>
      <c r="O285" s="312"/>
      <c r="P285" s="310"/>
      <c r="Q285" s="311"/>
      <c r="R285" s="312"/>
      <c r="S285" s="310"/>
      <c r="T285" s="311"/>
      <c r="U285" s="312"/>
      <c r="V285" s="149"/>
      <c r="W285" s="311"/>
      <c r="X285" s="306"/>
      <c r="Y285" s="188"/>
      <c r="Z285" s="188"/>
      <c r="AA285" s="188"/>
      <c r="AB285" s="20"/>
      <c r="AC285" s="20"/>
      <c r="AD285" s="20"/>
      <c r="AE285" s="20"/>
    </row>
    <row r="286">
      <c r="A286" s="149"/>
      <c r="B286" s="164"/>
      <c r="C286" s="306"/>
      <c r="D286" s="149"/>
      <c r="E286" s="164"/>
      <c r="F286" s="306"/>
      <c r="G286" s="149"/>
      <c r="H286" s="164"/>
      <c r="I286" s="306"/>
      <c r="J286" s="149"/>
      <c r="K286" s="164"/>
      <c r="L286" s="306"/>
      <c r="M286" s="310"/>
      <c r="N286" s="311"/>
      <c r="O286" s="312"/>
      <c r="P286" s="310"/>
      <c r="Q286" s="311"/>
      <c r="R286" s="312"/>
      <c r="S286" s="310"/>
      <c r="T286" s="311"/>
      <c r="U286" s="312"/>
      <c r="V286" s="149"/>
      <c r="W286" s="311"/>
      <c r="X286" s="306"/>
      <c r="Y286" s="188"/>
      <c r="Z286" s="188"/>
      <c r="AA286" s="188"/>
      <c r="AB286" s="20"/>
      <c r="AC286" s="20"/>
      <c r="AD286" s="20"/>
      <c r="AE286" s="20"/>
    </row>
    <row r="287">
      <c r="A287" s="149"/>
      <c r="B287" s="164"/>
      <c r="C287" s="306"/>
      <c r="D287" s="149"/>
      <c r="E287" s="164"/>
      <c r="F287" s="306"/>
      <c r="G287" s="149"/>
      <c r="H287" s="164"/>
      <c r="I287" s="306"/>
      <c r="J287" s="149"/>
      <c r="K287" s="164"/>
      <c r="L287" s="306"/>
      <c r="M287" s="310"/>
      <c r="N287" s="311"/>
      <c r="O287" s="312"/>
      <c r="P287" s="310"/>
      <c r="Q287" s="311"/>
      <c r="R287" s="312"/>
      <c r="S287" s="310"/>
      <c r="T287" s="311"/>
      <c r="U287" s="312"/>
      <c r="V287" s="149"/>
      <c r="W287" s="311"/>
      <c r="X287" s="306"/>
      <c r="Y287" s="188"/>
      <c r="Z287" s="188"/>
      <c r="AA287" s="188"/>
      <c r="AB287" s="20"/>
      <c r="AC287" s="20"/>
      <c r="AD287" s="20"/>
      <c r="AE287" s="20"/>
    </row>
    <row r="288">
      <c r="A288" s="149"/>
      <c r="B288" s="164"/>
      <c r="C288" s="306"/>
      <c r="D288" s="149"/>
      <c r="E288" s="164"/>
      <c r="F288" s="306"/>
      <c r="G288" s="149"/>
      <c r="H288" s="164"/>
      <c r="I288" s="306"/>
      <c r="J288" s="149"/>
      <c r="K288" s="164"/>
      <c r="L288" s="306"/>
      <c r="M288" s="310"/>
      <c r="N288" s="311"/>
      <c r="O288" s="312"/>
      <c r="P288" s="310"/>
      <c r="Q288" s="311"/>
      <c r="R288" s="312"/>
      <c r="S288" s="310"/>
      <c r="T288" s="311"/>
      <c r="U288" s="312"/>
      <c r="V288" s="149"/>
      <c r="W288" s="311"/>
      <c r="X288" s="306"/>
      <c r="Y288" s="188"/>
      <c r="Z288" s="188"/>
      <c r="AA288" s="188"/>
      <c r="AB288" s="20"/>
      <c r="AC288" s="20"/>
      <c r="AD288" s="20"/>
      <c r="AE288" s="20"/>
    </row>
    <row r="289">
      <c r="A289" s="149"/>
      <c r="B289" s="164"/>
      <c r="C289" s="306"/>
      <c r="D289" s="149"/>
      <c r="E289" s="164"/>
      <c r="F289" s="306"/>
      <c r="G289" s="149"/>
      <c r="H289" s="164"/>
      <c r="I289" s="306"/>
      <c r="J289" s="149"/>
      <c r="K289" s="164"/>
      <c r="L289" s="306"/>
      <c r="M289" s="310"/>
      <c r="N289" s="311"/>
      <c r="O289" s="312"/>
      <c r="P289" s="310"/>
      <c r="Q289" s="311"/>
      <c r="R289" s="312"/>
      <c r="S289" s="310"/>
      <c r="T289" s="311"/>
      <c r="U289" s="312"/>
      <c r="V289" s="149"/>
      <c r="W289" s="311"/>
      <c r="X289" s="306"/>
      <c r="Y289" s="188"/>
      <c r="Z289" s="188"/>
      <c r="AA289" s="188"/>
      <c r="AB289" s="20"/>
      <c r="AC289" s="20"/>
      <c r="AD289" s="20"/>
      <c r="AE289" s="20"/>
    </row>
    <row r="290">
      <c r="A290" s="149"/>
      <c r="B290" s="164"/>
      <c r="C290" s="306"/>
      <c r="D290" s="149"/>
      <c r="E290" s="164"/>
      <c r="F290" s="306"/>
      <c r="G290" s="149"/>
      <c r="H290" s="164"/>
      <c r="I290" s="306"/>
      <c r="J290" s="149"/>
      <c r="K290" s="164"/>
      <c r="L290" s="306"/>
      <c r="M290" s="310"/>
      <c r="N290" s="311"/>
      <c r="O290" s="312"/>
      <c r="P290" s="310"/>
      <c r="Q290" s="311"/>
      <c r="R290" s="312"/>
      <c r="S290" s="310"/>
      <c r="T290" s="311"/>
      <c r="U290" s="312"/>
      <c r="V290" s="149"/>
      <c r="W290" s="311"/>
      <c r="X290" s="306"/>
      <c r="Y290" s="188"/>
      <c r="Z290" s="188"/>
      <c r="AA290" s="188"/>
      <c r="AB290" s="20"/>
      <c r="AC290" s="20"/>
      <c r="AD290" s="20"/>
      <c r="AE290" s="20"/>
    </row>
    <row r="291">
      <c r="A291" s="149"/>
      <c r="B291" s="164"/>
      <c r="C291" s="306"/>
      <c r="D291" s="149"/>
      <c r="E291" s="164"/>
      <c r="F291" s="306"/>
      <c r="G291" s="149"/>
      <c r="H291" s="164"/>
      <c r="I291" s="306"/>
      <c r="J291" s="149"/>
      <c r="K291" s="164"/>
      <c r="L291" s="306"/>
      <c r="M291" s="310"/>
      <c r="N291" s="311"/>
      <c r="O291" s="312"/>
      <c r="P291" s="310"/>
      <c r="Q291" s="311"/>
      <c r="R291" s="312"/>
      <c r="S291" s="310"/>
      <c r="T291" s="311"/>
      <c r="U291" s="312"/>
      <c r="V291" s="149"/>
      <c r="W291" s="311"/>
      <c r="X291" s="306"/>
      <c r="Y291" s="188"/>
      <c r="Z291" s="188"/>
      <c r="AA291" s="188"/>
      <c r="AB291" s="20"/>
      <c r="AC291" s="20"/>
      <c r="AD291" s="20"/>
      <c r="AE291" s="20"/>
    </row>
    <row r="292">
      <c r="A292" s="149"/>
      <c r="B292" s="164"/>
      <c r="C292" s="306"/>
      <c r="D292" s="149"/>
      <c r="E292" s="164"/>
      <c r="F292" s="306"/>
      <c r="G292" s="149"/>
      <c r="H292" s="164"/>
      <c r="I292" s="306"/>
      <c r="J292" s="149"/>
      <c r="K292" s="164"/>
      <c r="L292" s="306"/>
      <c r="M292" s="310"/>
      <c r="N292" s="311"/>
      <c r="O292" s="312"/>
      <c r="P292" s="310"/>
      <c r="Q292" s="311"/>
      <c r="R292" s="312"/>
      <c r="S292" s="310"/>
      <c r="T292" s="311"/>
      <c r="U292" s="312"/>
      <c r="V292" s="149"/>
      <c r="W292" s="311"/>
      <c r="X292" s="306"/>
      <c r="Y292" s="188"/>
      <c r="Z292" s="188"/>
      <c r="AA292" s="188"/>
      <c r="AB292" s="20"/>
      <c r="AC292" s="20"/>
      <c r="AD292" s="20"/>
      <c r="AE292" s="20"/>
    </row>
    <row r="293">
      <c r="A293" s="149"/>
      <c r="B293" s="164"/>
      <c r="C293" s="306"/>
      <c r="D293" s="149"/>
      <c r="E293" s="164"/>
      <c r="F293" s="306"/>
      <c r="G293" s="149"/>
      <c r="H293" s="164"/>
      <c r="I293" s="306"/>
      <c r="J293" s="149"/>
      <c r="K293" s="164"/>
      <c r="L293" s="306"/>
      <c r="M293" s="310"/>
      <c r="N293" s="311"/>
      <c r="O293" s="312"/>
      <c r="P293" s="310"/>
      <c r="Q293" s="311"/>
      <c r="R293" s="312"/>
      <c r="S293" s="310"/>
      <c r="T293" s="311"/>
      <c r="U293" s="312"/>
      <c r="V293" s="149"/>
      <c r="W293" s="311"/>
      <c r="X293" s="306"/>
      <c r="Y293" s="188"/>
      <c r="Z293" s="188"/>
      <c r="AA293" s="188"/>
      <c r="AB293" s="20"/>
      <c r="AC293" s="20"/>
      <c r="AD293" s="20"/>
      <c r="AE293" s="20"/>
    </row>
    <row r="294">
      <c r="A294" s="149"/>
      <c r="B294" s="164"/>
      <c r="C294" s="306"/>
      <c r="D294" s="149"/>
      <c r="E294" s="164"/>
      <c r="F294" s="306"/>
      <c r="G294" s="149"/>
      <c r="H294" s="164"/>
      <c r="I294" s="306"/>
      <c r="J294" s="149"/>
      <c r="K294" s="164"/>
      <c r="L294" s="306"/>
      <c r="M294" s="310"/>
      <c r="N294" s="311"/>
      <c r="O294" s="312"/>
      <c r="P294" s="310"/>
      <c r="Q294" s="311"/>
      <c r="R294" s="312"/>
      <c r="S294" s="310"/>
      <c r="T294" s="311"/>
      <c r="U294" s="312"/>
      <c r="V294" s="149"/>
      <c r="W294" s="311"/>
      <c r="X294" s="306"/>
      <c r="Y294" s="188"/>
      <c r="Z294" s="188"/>
      <c r="AA294" s="188"/>
      <c r="AB294" s="20"/>
      <c r="AC294" s="20"/>
      <c r="AD294" s="20"/>
      <c r="AE294" s="20"/>
    </row>
    <row r="295">
      <c r="A295" s="149"/>
      <c r="B295" s="164"/>
      <c r="C295" s="306"/>
      <c r="D295" s="149"/>
      <c r="E295" s="164"/>
      <c r="F295" s="306"/>
      <c r="G295" s="149"/>
      <c r="H295" s="164"/>
      <c r="I295" s="306"/>
      <c r="J295" s="149"/>
      <c r="K295" s="164"/>
      <c r="L295" s="306"/>
      <c r="M295" s="310"/>
      <c r="N295" s="311"/>
      <c r="O295" s="312"/>
      <c r="P295" s="310"/>
      <c r="Q295" s="311"/>
      <c r="R295" s="312"/>
      <c r="S295" s="310"/>
      <c r="T295" s="311"/>
      <c r="U295" s="312"/>
      <c r="V295" s="149"/>
      <c r="W295" s="311"/>
      <c r="X295" s="306"/>
      <c r="Y295" s="188"/>
      <c r="Z295" s="188"/>
      <c r="AA295" s="188"/>
      <c r="AB295" s="20"/>
      <c r="AC295" s="20"/>
      <c r="AD295" s="20"/>
      <c r="AE295" s="20"/>
    </row>
    <row r="296">
      <c r="A296" s="149"/>
      <c r="B296" s="164"/>
      <c r="C296" s="306"/>
      <c r="D296" s="149"/>
      <c r="E296" s="164"/>
      <c r="F296" s="306"/>
      <c r="G296" s="149"/>
      <c r="H296" s="164"/>
      <c r="I296" s="306"/>
      <c r="J296" s="149"/>
      <c r="K296" s="164"/>
      <c r="L296" s="306"/>
      <c r="M296" s="310"/>
      <c r="N296" s="311"/>
      <c r="O296" s="312"/>
      <c r="P296" s="310"/>
      <c r="Q296" s="311"/>
      <c r="R296" s="312"/>
      <c r="S296" s="310"/>
      <c r="T296" s="311"/>
      <c r="U296" s="312"/>
      <c r="V296" s="149"/>
      <c r="W296" s="311"/>
      <c r="X296" s="306"/>
      <c r="Y296" s="188"/>
      <c r="Z296" s="188"/>
      <c r="AA296" s="188"/>
      <c r="AB296" s="20"/>
      <c r="AC296" s="20"/>
      <c r="AD296" s="20"/>
      <c r="AE296" s="20"/>
    </row>
    <row r="297">
      <c r="A297" s="149"/>
      <c r="B297" s="164"/>
      <c r="C297" s="306"/>
      <c r="D297" s="149"/>
      <c r="E297" s="164"/>
      <c r="F297" s="306"/>
      <c r="G297" s="149"/>
      <c r="H297" s="164"/>
      <c r="I297" s="306"/>
      <c r="J297" s="149"/>
      <c r="K297" s="164"/>
      <c r="L297" s="306"/>
      <c r="M297" s="310"/>
      <c r="N297" s="311"/>
      <c r="O297" s="312"/>
      <c r="P297" s="310"/>
      <c r="Q297" s="311"/>
      <c r="R297" s="312"/>
      <c r="S297" s="310"/>
      <c r="T297" s="311"/>
      <c r="U297" s="312"/>
      <c r="V297" s="149"/>
      <c r="W297" s="311"/>
      <c r="X297" s="306"/>
      <c r="Y297" s="188"/>
      <c r="Z297" s="188"/>
      <c r="AA297" s="188"/>
      <c r="AB297" s="20"/>
      <c r="AC297" s="20"/>
      <c r="AD297" s="20"/>
      <c r="AE297" s="20"/>
    </row>
    <row r="298">
      <c r="A298" s="149"/>
      <c r="B298" s="164"/>
      <c r="C298" s="306"/>
      <c r="D298" s="149"/>
      <c r="E298" s="164"/>
      <c r="F298" s="306"/>
      <c r="G298" s="149"/>
      <c r="H298" s="164"/>
      <c r="I298" s="306"/>
      <c r="J298" s="149"/>
      <c r="K298" s="164"/>
      <c r="L298" s="306"/>
      <c r="M298" s="310"/>
      <c r="N298" s="311"/>
      <c r="O298" s="312"/>
      <c r="P298" s="310"/>
      <c r="Q298" s="311"/>
      <c r="R298" s="312"/>
      <c r="S298" s="310"/>
      <c r="T298" s="311"/>
      <c r="U298" s="312"/>
      <c r="V298" s="149"/>
      <c r="W298" s="311"/>
      <c r="X298" s="306"/>
      <c r="Y298" s="188"/>
      <c r="Z298" s="188"/>
      <c r="AA298" s="188"/>
      <c r="AB298" s="20"/>
      <c r="AC298" s="20"/>
      <c r="AD298" s="20"/>
      <c r="AE298" s="20"/>
    </row>
    <row r="299">
      <c r="A299" s="149"/>
      <c r="B299" s="164"/>
      <c r="C299" s="306"/>
      <c r="D299" s="149"/>
      <c r="E299" s="164"/>
      <c r="F299" s="306"/>
      <c r="G299" s="149"/>
      <c r="H299" s="164"/>
      <c r="I299" s="306"/>
      <c r="J299" s="149"/>
      <c r="K299" s="164"/>
      <c r="L299" s="306"/>
      <c r="M299" s="310"/>
      <c r="N299" s="311"/>
      <c r="O299" s="312"/>
      <c r="P299" s="310"/>
      <c r="Q299" s="311"/>
      <c r="R299" s="312"/>
      <c r="S299" s="310"/>
      <c r="T299" s="311"/>
      <c r="U299" s="312"/>
      <c r="V299" s="149"/>
      <c r="W299" s="311"/>
      <c r="X299" s="306"/>
      <c r="Y299" s="188"/>
      <c r="Z299" s="188"/>
      <c r="AA299" s="188"/>
      <c r="AB299" s="20"/>
      <c r="AC299" s="20"/>
      <c r="AD299" s="20"/>
      <c r="AE299" s="20"/>
    </row>
    <row r="300">
      <c r="A300" s="149"/>
      <c r="B300" s="164"/>
      <c r="C300" s="306"/>
      <c r="D300" s="149"/>
      <c r="E300" s="164"/>
      <c r="F300" s="306"/>
      <c r="G300" s="149"/>
      <c r="H300" s="164"/>
      <c r="I300" s="306"/>
      <c r="J300" s="149"/>
      <c r="K300" s="164"/>
      <c r="L300" s="306"/>
      <c r="M300" s="310"/>
      <c r="N300" s="311"/>
      <c r="O300" s="312"/>
      <c r="P300" s="310"/>
      <c r="Q300" s="311"/>
      <c r="R300" s="312"/>
      <c r="S300" s="310"/>
      <c r="T300" s="311"/>
      <c r="U300" s="312"/>
      <c r="V300" s="149"/>
      <c r="W300" s="311"/>
      <c r="X300" s="306"/>
      <c r="Y300" s="188"/>
      <c r="Z300" s="188"/>
      <c r="AA300" s="188"/>
      <c r="AB300" s="20"/>
      <c r="AC300" s="20"/>
      <c r="AD300" s="20"/>
      <c r="AE300" s="20"/>
    </row>
    <row r="301">
      <c r="A301" s="149"/>
      <c r="B301" s="164"/>
      <c r="C301" s="306"/>
      <c r="D301" s="149"/>
      <c r="E301" s="164"/>
      <c r="F301" s="306"/>
      <c r="G301" s="149"/>
      <c r="H301" s="164"/>
      <c r="I301" s="306"/>
      <c r="J301" s="149"/>
      <c r="K301" s="164"/>
      <c r="L301" s="306"/>
      <c r="M301" s="310"/>
      <c r="N301" s="311"/>
      <c r="O301" s="312"/>
      <c r="P301" s="310"/>
      <c r="Q301" s="311"/>
      <c r="R301" s="312"/>
      <c r="S301" s="310"/>
      <c r="T301" s="311"/>
      <c r="U301" s="312"/>
      <c r="V301" s="149"/>
      <c r="W301" s="311"/>
      <c r="X301" s="306"/>
      <c r="Y301" s="188"/>
      <c r="Z301" s="188"/>
      <c r="AA301" s="188"/>
      <c r="AB301" s="20"/>
      <c r="AC301" s="20"/>
      <c r="AD301" s="20"/>
      <c r="AE301" s="20"/>
    </row>
    <row r="302">
      <c r="A302" s="149"/>
      <c r="B302" s="164"/>
      <c r="C302" s="306"/>
      <c r="D302" s="149"/>
      <c r="E302" s="164"/>
      <c r="F302" s="306"/>
      <c r="G302" s="149"/>
      <c r="H302" s="164"/>
      <c r="I302" s="306"/>
      <c r="J302" s="149"/>
      <c r="K302" s="164"/>
      <c r="L302" s="306"/>
      <c r="M302" s="310"/>
      <c r="N302" s="311"/>
      <c r="O302" s="312"/>
      <c r="P302" s="310"/>
      <c r="Q302" s="311"/>
      <c r="R302" s="312"/>
      <c r="S302" s="310"/>
      <c r="T302" s="311"/>
      <c r="U302" s="312"/>
      <c r="V302" s="149"/>
      <c r="W302" s="311"/>
      <c r="X302" s="306"/>
      <c r="Y302" s="188"/>
      <c r="Z302" s="188"/>
      <c r="AA302" s="188"/>
      <c r="AB302" s="20"/>
      <c r="AC302" s="20"/>
      <c r="AD302" s="20"/>
      <c r="AE302" s="20"/>
    </row>
    <row r="303">
      <c r="A303" s="149"/>
      <c r="B303" s="164"/>
      <c r="C303" s="306"/>
      <c r="D303" s="149"/>
      <c r="E303" s="164"/>
      <c r="F303" s="306"/>
      <c r="G303" s="149"/>
      <c r="H303" s="164"/>
      <c r="I303" s="306"/>
      <c r="J303" s="149"/>
      <c r="K303" s="164"/>
      <c r="L303" s="306"/>
      <c r="M303" s="310"/>
      <c r="N303" s="311"/>
      <c r="O303" s="312"/>
      <c r="P303" s="310"/>
      <c r="Q303" s="311"/>
      <c r="R303" s="312"/>
      <c r="S303" s="310"/>
      <c r="T303" s="311"/>
      <c r="U303" s="312"/>
      <c r="V303" s="149"/>
      <c r="W303" s="311"/>
      <c r="X303" s="306"/>
      <c r="Y303" s="188"/>
      <c r="Z303" s="188"/>
      <c r="AA303" s="188"/>
      <c r="AB303" s="20"/>
      <c r="AC303" s="20"/>
      <c r="AD303" s="20"/>
      <c r="AE303" s="20"/>
    </row>
    <row r="304">
      <c r="A304" s="149"/>
      <c r="B304" s="164"/>
      <c r="C304" s="306"/>
      <c r="D304" s="149"/>
      <c r="E304" s="164"/>
      <c r="F304" s="306"/>
      <c r="G304" s="149"/>
      <c r="H304" s="164"/>
      <c r="I304" s="306"/>
      <c r="J304" s="149"/>
      <c r="K304" s="164"/>
      <c r="L304" s="306"/>
      <c r="M304" s="310"/>
      <c r="N304" s="311"/>
      <c r="O304" s="312"/>
      <c r="P304" s="310"/>
      <c r="Q304" s="311"/>
      <c r="R304" s="312"/>
      <c r="S304" s="310"/>
      <c r="T304" s="311"/>
      <c r="U304" s="312"/>
      <c r="V304" s="149"/>
      <c r="W304" s="311"/>
      <c r="X304" s="306"/>
      <c r="Y304" s="188"/>
      <c r="Z304" s="188"/>
      <c r="AA304" s="188"/>
      <c r="AB304" s="20"/>
      <c r="AC304" s="20"/>
      <c r="AD304" s="20"/>
      <c r="AE304" s="20"/>
    </row>
    <row r="305">
      <c r="A305" s="149"/>
      <c r="B305" s="164"/>
      <c r="C305" s="306"/>
      <c r="D305" s="149"/>
      <c r="E305" s="164"/>
      <c r="F305" s="306"/>
      <c r="G305" s="149"/>
      <c r="H305" s="164"/>
      <c r="I305" s="306"/>
      <c r="J305" s="149"/>
      <c r="K305" s="164"/>
      <c r="L305" s="306"/>
      <c r="M305" s="310"/>
      <c r="N305" s="311"/>
      <c r="O305" s="312"/>
      <c r="P305" s="310"/>
      <c r="Q305" s="311"/>
      <c r="R305" s="312"/>
      <c r="S305" s="310"/>
      <c r="T305" s="311"/>
      <c r="U305" s="312"/>
      <c r="V305" s="149"/>
      <c r="W305" s="311"/>
      <c r="X305" s="306"/>
      <c r="Y305" s="188"/>
      <c r="Z305" s="188"/>
      <c r="AA305" s="188"/>
      <c r="AB305" s="20"/>
      <c r="AC305" s="20"/>
      <c r="AD305" s="20"/>
      <c r="AE305" s="20"/>
    </row>
    <row r="306">
      <c r="A306" s="149"/>
      <c r="B306" s="164"/>
      <c r="C306" s="306"/>
      <c r="D306" s="149"/>
      <c r="E306" s="164"/>
      <c r="F306" s="306"/>
      <c r="G306" s="149"/>
      <c r="H306" s="164"/>
      <c r="I306" s="306"/>
      <c r="J306" s="149"/>
      <c r="K306" s="164"/>
      <c r="L306" s="306"/>
      <c r="M306" s="310"/>
      <c r="N306" s="311"/>
      <c r="O306" s="312"/>
      <c r="P306" s="310"/>
      <c r="Q306" s="311"/>
      <c r="R306" s="312"/>
      <c r="S306" s="310"/>
      <c r="T306" s="311"/>
      <c r="U306" s="312"/>
      <c r="V306" s="149"/>
      <c r="W306" s="311"/>
      <c r="X306" s="306"/>
      <c r="Y306" s="188"/>
      <c r="Z306" s="188"/>
      <c r="AA306" s="188"/>
      <c r="AB306" s="20"/>
      <c r="AC306" s="20"/>
      <c r="AD306" s="20"/>
      <c r="AE306" s="20"/>
    </row>
    <row r="307">
      <c r="A307" s="149"/>
      <c r="B307" s="164"/>
      <c r="C307" s="306"/>
      <c r="D307" s="149"/>
      <c r="E307" s="164"/>
      <c r="F307" s="306"/>
      <c r="G307" s="149"/>
      <c r="H307" s="164"/>
      <c r="I307" s="306"/>
      <c r="J307" s="149"/>
      <c r="K307" s="164"/>
      <c r="L307" s="306"/>
      <c r="M307" s="310"/>
      <c r="N307" s="311"/>
      <c r="O307" s="312"/>
      <c r="P307" s="310"/>
      <c r="Q307" s="311"/>
      <c r="R307" s="312"/>
      <c r="S307" s="310"/>
      <c r="T307" s="311"/>
      <c r="U307" s="312"/>
      <c r="V307" s="149"/>
      <c r="W307" s="311"/>
      <c r="X307" s="306"/>
      <c r="Y307" s="188"/>
      <c r="Z307" s="188"/>
      <c r="AA307" s="188"/>
      <c r="AB307" s="20"/>
      <c r="AC307" s="20"/>
      <c r="AD307" s="20"/>
      <c r="AE307" s="20"/>
    </row>
    <row r="308">
      <c r="A308" s="149"/>
      <c r="B308" s="164"/>
      <c r="C308" s="306"/>
      <c r="D308" s="149"/>
      <c r="E308" s="164"/>
      <c r="F308" s="306"/>
      <c r="G308" s="149"/>
      <c r="H308" s="164"/>
      <c r="I308" s="306"/>
      <c r="J308" s="149"/>
      <c r="K308" s="164"/>
      <c r="L308" s="306"/>
      <c r="M308" s="310"/>
      <c r="N308" s="311"/>
      <c r="O308" s="312"/>
      <c r="P308" s="310"/>
      <c r="Q308" s="311"/>
      <c r="R308" s="312"/>
      <c r="S308" s="310"/>
      <c r="T308" s="311"/>
      <c r="U308" s="312"/>
      <c r="V308" s="149"/>
      <c r="W308" s="311"/>
      <c r="X308" s="306"/>
      <c r="Y308" s="188"/>
      <c r="Z308" s="188"/>
      <c r="AA308" s="188"/>
      <c r="AB308" s="20"/>
      <c r="AC308" s="20"/>
      <c r="AD308" s="20"/>
      <c r="AE308" s="20"/>
    </row>
    <row r="309">
      <c r="A309" s="149"/>
      <c r="B309" s="164"/>
      <c r="C309" s="306"/>
      <c r="D309" s="149"/>
      <c r="E309" s="164"/>
      <c r="F309" s="306"/>
      <c r="G309" s="149"/>
      <c r="H309" s="164"/>
      <c r="I309" s="306"/>
      <c r="J309" s="149"/>
      <c r="K309" s="164"/>
      <c r="L309" s="306"/>
      <c r="M309" s="310"/>
      <c r="N309" s="311"/>
      <c r="O309" s="312"/>
      <c r="P309" s="310"/>
      <c r="Q309" s="311"/>
      <c r="R309" s="312"/>
      <c r="S309" s="310"/>
      <c r="T309" s="311"/>
      <c r="U309" s="312"/>
      <c r="V309" s="149"/>
      <c r="W309" s="311"/>
      <c r="X309" s="306"/>
      <c r="Y309" s="188"/>
      <c r="Z309" s="188"/>
      <c r="AA309" s="188"/>
      <c r="AB309" s="20"/>
      <c r="AC309" s="20"/>
      <c r="AD309" s="20"/>
      <c r="AE309" s="20"/>
    </row>
    <row r="310">
      <c r="A310" s="149"/>
      <c r="B310" s="164"/>
      <c r="C310" s="306"/>
      <c r="D310" s="149"/>
      <c r="E310" s="164"/>
      <c r="F310" s="306"/>
      <c r="G310" s="149"/>
      <c r="H310" s="164"/>
      <c r="I310" s="306"/>
      <c r="J310" s="149"/>
      <c r="K310" s="164"/>
      <c r="L310" s="306"/>
      <c r="M310" s="310"/>
      <c r="N310" s="311"/>
      <c r="O310" s="312"/>
      <c r="P310" s="310"/>
      <c r="Q310" s="311"/>
      <c r="R310" s="312"/>
      <c r="S310" s="310"/>
      <c r="T310" s="311"/>
      <c r="U310" s="312"/>
      <c r="V310" s="149"/>
      <c r="W310" s="311"/>
      <c r="X310" s="306"/>
      <c r="Y310" s="188"/>
      <c r="Z310" s="188"/>
      <c r="AA310" s="188"/>
      <c r="AB310" s="20"/>
      <c r="AC310" s="20"/>
      <c r="AD310" s="20"/>
      <c r="AE310" s="20"/>
    </row>
    <row r="311">
      <c r="A311" s="149"/>
      <c r="B311" s="164"/>
      <c r="C311" s="306"/>
      <c r="D311" s="149"/>
      <c r="E311" s="164"/>
      <c r="F311" s="306"/>
      <c r="G311" s="149"/>
      <c r="H311" s="164"/>
      <c r="I311" s="306"/>
      <c r="J311" s="149"/>
      <c r="K311" s="164"/>
      <c r="L311" s="306"/>
      <c r="M311" s="310"/>
      <c r="N311" s="311"/>
      <c r="O311" s="312"/>
      <c r="P311" s="310"/>
      <c r="Q311" s="311"/>
      <c r="R311" s="312"/>
      <c r="S311" s="310"/>
      <c r="T311" s="311"/>
      <c r="U311" s="312"/>
      <c r="V311" s="149"/>
      <c r="W311" s="311"/>
      <c r="X311" s="306"/>
      <c r="Y311" s="188"/>
      <c r="Z311" s="188"/>
      <c r="AA311" s="188"/>
      <c r="AB311" s="20"/>
      <c r="AC311" s="20"/>
      <c r="AD311" s="20"/>
      <c r="AE311" s="20"/>
    </row>
    <row r="312">
      <c r="A312" s="149"/>
      <c r="B312" s="164"/>
      <c r="C312" s="306"/>
      <c r="D312" s="149"/>
      <c r="E312" s="164"/>
      <c r="F312" s="306"/>
      <c r="G312" s="149"/>
      <c r="H312" s="164"/>
      <c r="I312" s="306"/>
      <c r="J312" s="149"/>
      <c r="K312" s="164"/>
      <c r="L312" s="306"/>
      <c r="M312" s="310"/>
      <c r="N312" s="311"/>
      <c r="O312" s="312"/>
      <c r="P312" s="310"/>
      <c r="Q312" s="311"/>
      <c r="R312" s="312"/>
      <c r="S312" s="310"/>
      <c r="T312" s="311"/>
      <c r="U312" s="312"/>
      <c r="V312" s="149"/>
      <c r="W312" s="311"/>
      <c r="X312" s="306"/>
      <c r="Y312" s="188"/>
      <c r="Z312" s="188"/>
      <c r="AA312" s="188"/>
      <c r="AB312" s="20"/>
      <c r="AC312" s="20"/>
      <c r="AD312" s="20"/>
      <c r="AE312" s="20"/>
    </row>
    <row r="313">
      <c r="A313" s="149"/>
      <c r="B313" s="164"/>
      <c r="C313" s="306"/>
      <c r="D313" s="149"/>
      <c r="E313" s="164"/>
      <c r="F313" s="306"/>
      <c r="G313" s="149"/>
      <c r="H313" s="164"/>
      <c r="I313" s="306"/>
      <c r="J313" s="149"/>
      <c r="K313" s="164"/>
      <c r="L313" s="306"/>
      <c r="M313" s="310"/>
      <c r="N313" s="311"/>
      <c r="O313" s="312"/>
      <c r="P313" s="310"/>
      <c r="Q313" s="311"/>
      <c r="R313" s="312"/>
      <c r="S313" s="310"/>
      <c r="T313" s="311"/>
      <c r="U313" s="312"/>
      <c r="V313" s="149"/>
      <c r="W313" s="311"/>
      <c r="X313" s="306"/>
      <c r="Y313" s="188"/>
      <c r="Z313" s="188"/>
      <c r="AA313" s="188"/>
      <c r="AB313" s="20"/>
      <c r="AC313" s="20"/>
      <c r="AD313" s="20"/>
      <c r="AE313" s="20"/>
    </row>
    <row r="314">
      <c r="A314" s="149"/>
      <c r="B314" s="164"/>
      <c r="C314" s="306"/>
      <c r="D314" s="149"/>
      <c r="E314" s="164"/>
      <c r="F314" s="306"/>
      <c r="G314" s="149"/>
      <c r="H314" s="164"/>
      <c r="I314" s="306"/>
      <c r="J314" s="149"/>
      <c r="K314" s="164"/>
      <c r="L314" s="306"/>
      <c r="M314" s="310"/>
      <c r="N314" s="311"/>
      <c r="O314" s="312"/>
      <c r="P314" s="310"/>
      <c r="Q314" s="311"/>
      <c r="R314" s="312"/>
      <c r="S314" s="310"/>
      <c r="T314" s="311"/>
      <c r="U314" s="312"/>
      <c r="V314" s="149"/>
      <c r="W314" s="311"/>
      <c r="X314" s="306"/>
      <c r="Y314" s="188"/>
      <c r="Z314" s="188"/>
      <c r="AA314" s="188"/>
      <c r="AB314" s="20"/>
      <c r="AC314" s="20"/>
      <c r="AD314" s="20"/>
      <c r="AE314" s="20"/>
    </row>
    <row r="315">
      <c r="A315" s="149"/>
      <c r="B315" s="164"/>
      <c r="C315" s="306"/>
      <c r="D315" s="149"/>
      <c r="E315" s="164"/>
      <c r="F315" s="306"/>
      <c r="G315" s="149"/>
      <c r="H315" s="164"/>
      <c r="I315" s="306"/>
      <c r="J315" s="149"/>
      <c r="K315" s="164"/>
      <c r="L315" s="306"/>
      <c r="M315" s="310"/>
      <c r="N315" s="311"/>
      <c r="O315" s="312"/>
      <c r="P315" s="310"/>
      <c r="Q315" s="311"/>
      <c r="R315" s="312"/>
      <c r="S315" s="310"/>
      <c r="T315" s="311"/>
      <c r="U315" s="312"/>
      <c r="V315" s="149"/>
      <c r="W315" s="311"/>
      <c r="X315" s="306"/>
      <c r="Y315" s="188"/>
      <c r="Z315" s="188"/>
      <c r="AA315" s="188"/>
      <c r="AB315" s="20"/>
      <c r="AC315" s="20"/>
      <c r="AD315" s="20"/>
      <c r="AE315" s="20"/>
    </row>
    <row r="316">
      <c r="A316" s="149"/>
      <c r="B316" s="164"/>
      <c r="C316" s="306"/>
      <c r="D316" s="149"/>
      <c r="E316" s="164"/>
      <c r="F316" s="306"/>
      <c r="G316" s="149"/>
      <c r="H316" s="164"/>
      <c r="I316" s="306"/>
      <c r="J316" s="149"/>
      <c r="K316" s="164"/>
      <c r="L316" s="306"/>
      <c r="M316" s="310"/>
      <c r="N316" s="311"/>
      <c r="O316" s="312"/>
      <c r="P316" s="310"/>
      <c r="Q316" s="311"/>
      <c r="R316" s="312"/>
      <c r="S316" s="310"/>
      <c r="T316" s="311"/>
      <c r="U316" s="312"/>
      <c r="V316" s="149"/>
      <c r="W316" s="311"/>
      <c r="X316" s="306"/>
      <c r="Y316" s="188"/>
      <c r="Z316" s="188"/>
      <c r="AA316" s="188"/>
      <c r="AB316" s="20"/>
      <c r="AC316" s="20"/>
      <c r="AD316" s="20"/>
      <c r="AE316" s="20"/>
    </row>
    <row r="317">
      <c r="A317" s="149"/>
      <c r="B317" s="164"/>
      <c r="C317" s="306"/>
      <c r="D317" s="149"/>
      <c r="E317" s="164"/>
      <c r="F317" s="306"/>
      <c r="G317" s="149"/>
      <c r="H317" s="164"/>
      <c r="I317" s="306"/>
      <c r="J317" s="149"/>
      <c r="K317" s="164"/>
      <c r="L317" s="306"/>
      <c r="M317" s="310"/>
      <c r="N317" s="311"/>
      <c r="O317" s="312"/>
      <c r="P317" s="310"/>
      <c r="Q317" s="311"/>
      <c r="R317" s="312"/>
      <c r="S317" s="310"/>
      <c r="T317" s="311"/>
      <c r="U317" s="312"/>
      <c r="V317" s="149"/>
      <c r="W317" s="311"/>
      <c r="X317" s="306"/>
      <c r="Y317" s="188"/>
      <c r="Z317" s="188"/>
      <c r="AA317" s="188"/>
      <c r="AB317" s="20"/>
      <c r="AC317" s="20"/>
      <c r="AD317" s="20"/>
      <c r="AE317" s="20"/>
    </row>
    <row r="318">
      <c r="A318" s="149"/>
      <c r="B318" s="164"/>
      <c r="C318" s="306"/>
      <c r="D318" s="149"/>
      <c r="E318" s="164"/>
      <c r="F318" s="306"/>
      <c r="G318" s="149"/>
      <c r="H318" s="164"/>
      <c r="I318" s="306"/>
      <c r="J318" s="149"/>
      <c r="K318" s="164"/>
      <c r="L318" s="306"/>
      <c r="M318" s="310"/>
      <c r="N318" s="311"/>
      <c r="O318" s="312"/>
      <c r="P318" s="310"/>
      <c r="Q318" s="311"/>
      <c r="R318" s="312"/>
      <c r="S318" s="310"/>
      <c r="T318" s="311"/>
      <c r="U318" s="312"/>
      <c r="V318" s="149"/>
      <c r="W318" s="311"/>
      <c r="X318" s="306"/>
      <c r="Y318" s="188"/>
      <c r="Z318" s="188"/>
      <c r="AA318" s="188"/>
      <c r="AB318" s="20"/>
      <c r="AC318" s="20"/>
      <c r="AD318" s="20"/>
      <c r="AE318" s="20"/>
    </row>
    <row r="319">
      <c r="A319" s="149"/>
      <c r="B319" s="164"/>
      <c r="C319" s="306"/>
      <c r="D319" s="149"/>
      <c r="E319" s="164"/>
      <c r="F319" s="306"/>
      <c r="G319" s="149"/>
      <c r="H319" s="164"/>
      <c r="I319" s="306"/>
      <c r="J319" s="149"/>
      <c r="K319" s="164"/>
      <c r="L319" s="306"/>
      <c r="M319" s="310"/>
      <c r="N319" s="311"/>
      <c r="O319" s="312"/>
      <c r="P319" s="310"/>
      <c r="Q319" s="311"/>
      <c r="R319" s="312"/>
      <c r="S319" s="310"/>
      <c r="T319" s="311"/>
      <c r="U319" s="312"/>
      <c r="V319" s="149"/>
      <c r="W319" s="311"/>
      <c r="X319" s="306"/>
      <c r="Y319" s="188"/>
      <c r="Z319" s="188"/>
      <c r="AA319" s="188"/>
      <c r="AB319" s="20"/>
      <c r="AC319" s="20"/>
      <c r="AD319" s="20"/>
      <c r="AE319" s="20"/>
    </row>
    <row r="320">
      <c r="A320" s="149"/>
      <c r="B320" s="164"/>
      <c r="C320" s="306"/>
      <c r="D320" s="149"/>
      <c r="E320" s="164"/>
      <c r="F320" s="306"/>
      <c r="G320" s="149"/>
      <c r="H320" s="164"/>
      <c r="I320" s="306"/>
      <c r="J320" s="149"/>
      <c r="K320" s="164"/>
      <c r="L320" s="306"/>
      <c r="M320" s="310"/>
      <c r="N320" s="311"/>
      <c r="O320" s="312"/>
      <c r="P320" s="310"/>
      <c r="Q320" s="311"/>
      <c r="R320" s="312"/>
      <c r="S320" s="310"/>
      <c r="T320" s="311"/>
      <c r="U320" s="312"/>
      <c r="V320" s="149"/>
      <c r="W320" s="311"/>
      <c r="X320" s="306"/>
      <c r="Y320" s="188"/>
      <c r="Z320" s="188"/>
      <c r="AA320" s="188"/>
      <c r="AB320" s="20"/>
      <c r="AC320" s="20"/>
      <c r="AD320" s="20"/>
      <c r="AE320" s="20"/>
    </row>
    <row r="321">
      <c r="A321" s="149"/>
      <c r="B321" s="164"/>
      <c r="C321" s="306"/>
      <c r="D321" s="149"/>
      <c r="E321" s="164"/>
      <c r="F321" s="306"/>
      <c r="G321" s="149"/>
      <c r="H321" s="164"/>
      <c r="I321" s="306"/>
      <c r="J321" s="149"/>
      <c r="K321" s="164"/>
      <c r="L321" s="306"/>
      <c r="M321" s="310"/>
      <c r="N321" s="311"/>
      <c r="O321" s="312"/>
      <c r="P321" s="310"/>
      <c r="Q321" s="311"/>
      <c r="R321" s="312"/>
      <c r="S321" s="310"/>
      <c r="T321" s="311"/>
      <c r="U321" s="312"/>
      <c r="V321" s="149"/>
      <c r="W321" s="311"/>
      <c r="X321" s="306"/>
      <c r="Y321" s="188"/>
      <c r="Z321" s="188"/>
      <c r="AA321" s="188"/>
      <c r="AB321" s="20"/>
      <c r="AC321" s="20"/>
      <c r="AD321" s="20"/>
      <c r="AE321" s="20"/>
    </row>
    <row r="322">
      <c r="A322" s="149"/>
      <c r="B322" s="164"/>
      <c r="C322" s="306"/>
      <c r="D322" s="149"/>
      <c r="E322" s="164"/>
      <c r="F322" s="306"/>
      <c r="G322" s="149"/>
      <c r="H322" s="164"/>
      <c r="I322" s="306"/>
      <c r="J322" s="149"/>
      <c r="K322" s="164"/>
      <c r="L322" s="306"/>
      <c r="M322" s="310"/>
      <c r="N322" s="311"/>
      <c r="O322" s="312"/>
      <c r="P322" s="310"/>
      <c r="Q322" s="311"/>
      <c r="R322" s="312"/>
      <c r="S322" s="310"/>
      <c r="T322" s="311"/>
      <c r="U322" s="312"/>
      <c r="V322" s="149"/>
      <c r="W322" s="311"/>
      <c r="X322" s="306"/>
      <c r="Y322" s="188"/>
      <c r="Z322" s="188"/>
      <c r="AA322" s="188"/>
      <c r="AB322" s="20"/>
      <c r="AC322" s="20"/>
      <c r="AD322" s="20"/>
      <c r="AE322" s="20"/>
    </row>
    <row r="323">
      <c r="A323" s="149"/>
      <c r="B323" s="164"/>
      <c r="C323" s="306"/>
      <c r="D323" s="149"/>
      <c r="E323" s="164"/>
      <c r="F323" s="306"/>
      <c r="G323" s="149"/>
      <c r="H323" s="164"/>
      <c r="I323" s="306"/>
      <c r="J323" s="149"/>
      <c r="K323" s="164"/>
      <c r="L323" s="306"/>
      <c r="M323" s="310"/>
      <c r="N323" s="311"/>
      <c r="O323" s="312"/>
      <c r="P323" s="310"/>
      <c r="Q323" s="311"/>
      <c r="R323" s="312"/>
      <c r="S323" s="310"/>
      <c r="T323" s="311"/>
      <c r="U323" s="312"/>
      <c r="V323" s="149"/>
      <c r="W323" s="311"/>
      <c r="X323" s="306"/>
      <c r="Y323" s="188"/>
      <c r="Z323" s="188"/>
      <c r="AA323" s="188"/>
      <c r="AB323" s="20"/>
      <c r="AC323" s="20"/>
      <c r="AD323" s="20"/>
      <c r="AE323" s="20"/>
    </row>
    <row r="324">
      <c r="A324" s="149"/>
      <c r="B324" s="164"/>
      <c r="C324" s="306"/>
      <c r="D324" s="149"/>
      <c r="E324" s="164"/>
      <c r="F324" s="306"/>
      <c r="G324" s="149"/>
      <c r="H324" s="164"/>
      <c r="I324" s="306"/>
      <c r="J324" s="149"/>
      <c r="K324" s="164"/>
      <c r="L324" s="306"/>
      <c r="M324" s="310"/>
      <c r="N324" s="311"/>
      <c r="O324" s="312"/>
      <c r="P324" s="310"/>
      <c r="Q324" s="311"/>
      <c r="R324" s="312"/>
      <c r="S324" s="310"/>
      <c r="T324" s="311"/>
      <c r="U324" s="312"/>
      <c r="V324" s="149"/>
      <c r="W324" s="311"/>
      <c r="X324" s="306"/>
      <c r="Y324" s="188"/>
      <c r="Z324" s="188"/>
      <c r="AA324" s="188"/>
      <c r="AB324" s="20"/>
      <c r="AC324" s="20"/>
      <c r="AD324" s="20"/>
      <c r="AE324" s="20"/>
    </row>
    <row r="325">
      <c r="A325" s="149"/>
      <c r="B325" s="164"/>
      <c r="C325" s="306"/>
      <c r="D325" s="149"/>
      <c r="E325" s="164"/>
      <c r="F325" s="306"/>
      <c r="G325" s="149"/>
      <c r="H325" s="164"/>
      <c r="I325" s="306"/>
      <c r="J325" s="149"/>
      <c r="K325" s="164"/>
      <c r="L325" s="306"/>
      <c r="M325" s="310"/>
      <c r="N325" s="311"/>
      <c r="O325" s="312"/>
      <c r="P325" s="310"/>
      <c r="Q325" s="311"/>
      <c r="R325" s="312"/>
      <c r="S325" s="310"/>
      <c r="T325" s="311"/>
      <c r="U325" s="312"/>
      <c r="V325" s="149"/>
      <c r="W325" s="311"/>
      <c r="X325" s="306"/>
      <c r="Y325" s="188"/>
      <c r="Z325" s="188"/>
      <c r="AA325" s="188"/>
      <c r="AB325" s="20"/>
      <c r="AC325" s="20"/>
      <c r="AD325" s="20"/>
      <c r="AE325" s="20"/>
    </row>
    <row r="326">
      <c r="A326" s="149"/>
      <c r="B326" s="164"/>
      <c r="C326" s="306"/>
      <c r="D326" s="149"/>
      <c r="E326" s="164"/>
      <c r="F326" s="306"/>
      <c r="G326" s="149"/>
      <c r="H326" s="164"/>
      <c r="I326" s="306"/>
      <c r="J326" s="149"/>
      <c r="K326" s="164"/>
      <c r="L326" s="306"/>
      <c r="M326" s="310"/>
      <c r="N326" s="311"/>
      <c r="O326" s="312"/>
      <c r="P326" s="310"/>
      <c r="Q326" s="311"/>
      <c r="R326" s="312"/>
      <c r="S326" s="310"/>
      <c r="T326" s="311"/>
      <c r="U326" s="312"/>
      <c r="V326" s="149"/>
      <c r="W326" s="311"/>
      <c r="X326" s="306"/>
      <c r="Y326" s="188"/>
      <c r="Z326" s="188"/>
      <c r="AA326" s="188"/>
      <c r="AB326" s="20"/>
      <c r="AC326" s="20"/>
      <c r="AD326" s="20"/>
      <c r="AE326" s="20"/>
    </row>
    <row r="327">
      <c r="A327" s="149"/>
      <c r="B327" s="164"/>
      <c r="C327" s="306"/>
      <c r="D327" s="149"/>
      <c r="E327" s="164"/>
      <c r="F327" s="306"/>
      <c r="G327" s="149"/>
      <c r="H327" s="164"/>
      <c r="I327" s="306"/>
      <c r="J327" s="149"/>
      <c r="K327" s="164"/>
      <c r="L327" s="306"/>
      <c r="M327" s="310"/>
      <c r="N327" s="311"/>
      <c r="O327" s="312"/>
      <c r="P327" s="310"/>
      <c r="Q327" s="311"/>
      <c r="R327" s="312"/>
      <c r="S327" s="310"/>
      <c r="T327" s="311"/>
      <c r="U327" s="312"/>
      <c r="V327" s="149"/>
      <c r="W327" s="311"/>
      <c r="X327" s="306"/>
      <c r="Y327" s="188"/>
      <c r="Z327" s="188"/>
      <c r="AA327" s="188"/>
      <c r="AB327" s="20"/>
      <c r="AC327" s="20"/>
      <c r="AD327" s="20"/>
      <c r="AE327" s="20"/>
    </row>
    <row r="328">
      <c r="A328" s="149"/>
      <c r="B328" s="164"/>
      <c r="C328" s="306"/>
      <c r="D328" s="149"/>
      <c r="E328" s="164"/>
      <c r="F328" s="306"/>
      <c r="G328" s="149"/>
      <c r="H328" s="164"/>
      <c r="I328" s="306"/>
      <c r="J328" s="149"/>
      <c r="K328" s="164"/>
      <c r="L328" s="306"/>
      <c r="M328" s="310"/>
      <c r="N328" s="311"/>
      <c r="O328" s="312"/>
      <c r="P328" s="310"/>
      <c r="Q328" s="311"/>
      <c r="R328" s="312"/>
      <c r="S328" s="310"/>
      <c r="T328" s="311"/>
      <c r="U328" s="312"/>
      <c r="V328" s="149"/>
      <c r="W328" s="311"/>
      <c r="X328" s="306"/>
      <c r="Y328" s="188"/>
      <c r="Z328" s="188"/>
      <c r="AA328" s="188"/>
      <c r="AB328" s="20"/>
      <c r="AC328" s="20"/>
      <c r="AD328" s="20"/>
      <c r="AE328" s="20"/>
    </row>
    <row r="329">
      <c r="A329" s="149"/>
      <c r="B329" s="164"/>
      <c r="C329" s="306"/>
      <c r="D329" s="149"/>
      <c r="E329" s="164"/>
      <c r="F329" s="306"/>
      <c r="G329" s="149"/>
      <c r="H329" s="164"/>
      <c r="I329" s="306"/>
      <c r="J329" s="149"/>
      <c r="K329" s="164"/>
      <c r="L329" s="306"/>
      <c r="M329" s="310"/>
      <c r="N329" s="311"/>
      <c r="O329" s="312"/>
      <c r="P329" s="310"/>
      <c r="Q329" s="311"/>
      <c r="R329" s="312"/>
      <c r="S329" s="310"/>
      <c r="T329" s="311"/>
      <c r="U329" s="312"/>
      <c r="V329" s="149"/>
      <c r="W329" s="311"/>
      <c r="X329" s="306"/>
      <c r="Y329" s="188"/>
      <c r="Z329" s="188"/>
      <c r="AA329" s="188"/>
      <c r="AB329" s="20"/>
      <c r="AC329" s="20"/>
      <c r="AD329" s="20"/>
      <c r="AE329" s="20"/>
    </row>
    <row r="330">
      <c r="A330" s="149"/>
      <c r="B330" s="164"/>
      <c r="C330" s="306"/>
      <c r="D330" s="149"/>
      <c r="E330" s="164"/>
      <c r="F330" s="306"/>
      <c r="G330" s="149"/>
      <c r="H330" s="164"/>
      <c r="I330" s="306"/>
      <c r="J330" s="149"/>
      <c r="K330" s="164"/>
      <c r="L330" s="306"/>
      <c r="M330" s="310"/>
      <c r="N330" s="311"/>
      <c r="O330" s="312"/>
      <c r="P330" s="310"/>
      <c r="Q330" s="311"/>
      <c r="R330" s="312"/>
      <c r="S330" s="310"/>
      <c r="T330" s="311"/>
      <c r="U330" s="312"/>
      <c r="V330" s="149"/>
      <c r="W330" s="311"/>
      <c r="X330" s="306"/>
      <c r="Y330" s="188"/>
      <c r="Z330" s="188"/>
      <c r="AA330" s="188"/>
      <c r="AB330" s="20"/>
      <c r="AC330" s="20"/>
      <c r="AD330" s="20"/>
      <c r="AE330" s="20"/>
    </row>
    <row r="331">
      <c r="A331" s="149"/>
      <c r="B331" s="164"/>
      <c r="C331" s="306"/>
      <c r="D331" s="149"/>
      <c r="E331" s="164"/>
      <c r="F331" s="306"/>
      <c r="G331" s="149"/>
      <c r="H331" s="164"/>
      <c r="I331" s="306"/>
      <c r="J331" s="149"/>
      <c r="K331" s="164"/>
      <c r="L331" s="306"/>
      <c r="M331" s="310"/>
      <c r="N331" s="311"/>
      <c r="O331" s="312"/>
      <c r="P331" s="310"/>
      <c r="Q331" s="311"/>
      <c r="R331" s="312"/>
      <c r="S331" s="310"/>
      <c r="T331" s="311"/>
      <c r="U331" s="312"/>
      <c r="V331" s="149"/>
      <c r="W331" s="311"/>
      <c r="X331" s="306"/>
      <c r="Y331" s="188"/>
      <c r="Z331" s="188"/>
      <c r="AA331" s="188"/>
      <c r="AB331" s="20"/>
      <c r="AC331" s="20"/>
      <c r="AD331" s="20"/>
      <c r="AE331" s="20"/>
    </row>
    <row r="332">
      <c r="A332" s="149"/>
      <c r="B332" s="164"/>
      <c r="C332" s="306"/>
      <c r="D332" s="149"/>
      <c r="E332" s="164"/>
      <c r="F332" s="306"/>
      <c r="G332" s="149"/>
      <c r="H332" s="164"/>
      <c r="I332" s="306"/>
      <c r="J332" s="149"/>
      <c r="K332" s="164"/>
      <c r="L332" s="306"/>
      <c r="M332" s="310"/>
      <c r="N332" s="311"/>
      <c r="O332" s="312"/>
      <c r="P332" s="310"/>
      <c r="Q332" s="311"/>
      <c r="R332" s="312"/>
      <c r="S332" s="310"/>
      <c r="T332" s="311"/>
      <c r="U332" s="312"/>
      <c r="V332" s="149"/>
      <c r="W332" s="311"/>
      <c r="X332" s="306"/>
      <c r="Y332" s="188"/>
      <c r="Z332" s="188"/>
      <c r="AA332" s="188"/>
      <c r="AB332" s="20"/>
      <c r="AC332" s="20"/>
      <c r="AD332" s="20"/>
      <c r="AE332" s="20"/>
    </row>
    <row r="333">
      <c r="A333" s="149"/>
      <c r="B333" s="164"/>
      <c r="C333" s="306"/>
      <c r="D333" s="149"/>
      <c r="E333" s="164"/>
      <c r="F333" s="306"/>
      <c r="G333" s="149"/>
      <c r="H333" s="164"/>
      <c r="I333" s="306"/>
      <c r="J333" s="149"/>
      <c r="K333" s="164"/>
      <c r="L333" s="306"/>
      <c r="M333" s="310"/>
      <c r="N333" s="311"/>
      <c r="O333" s="312"/>
      <c r="P333" s="310"/>
      <c r="Q333" s="311"/>
      <c r="R333" s="312"/>
      <c r="S333" s="310"/>
      <c r="T333" s="311"/>
      <c r="U333" s="312"/>
      <c r="V333" s="149"/>
      <c r="W333" s="311"/>
      <c r="X333" s="306"/>
      <c r="Y333" s="188"/>
      <c r="Z333" s="188"/>
      <c r="AA333" s="188"/>
      <c r="AB333" s="20"/>
      <c r="AC333" s="20"/>
      <c r="AD333" s="20"/>
      <c r="AE333" s="20"/>
    </row>
    <row r="334">
      <c r="A334" s="149"/>
      <c r="B334" s="164"/>
      <c r="C334" s="306"/>
      <c r="D334" s="149"/>
      <c r="E334" s="164"/>
      <c r="F334" s="306"/>
      <c r="G334" s="149"/>
      <c r="H334" s="164"/>
      <c r="I334" s="306"/>
      <c r="J334" s="149"/>
      <c r="K334" s="164"/>
      <c r="L334" s="306"/>
      <c r="M334" s="310"/>
      <c r="N334" s="311"/>
      <c r="O334" s="312"/>
      <c r="P334" s="310"/>
      <c r="Q334" s="311"/>
      <c r="R334" s="312"/>
      <c r="S334" s="310"/>
      <c r="T334" s="311"/>
      <c r="U334" s="312"/>
      <c r="V334" s="149"/>
      <c r="W334" s="311"/>
      <c r="X334" s="306"/>
      <c r="Y334" s="188"/>
      <c r="Z334" s="188"/>
      <c r="AA334" s="188"/>
      <c r="AB334" s="20"/>
      <c r="AC334" s="20"/>
      <c r="AD334" s="20"/>
      <c r="AE334" s="20"/>
    </row>
    <row r="335">
      <c r="A335" s="149"/>
      <c r="B335" s="164"/>
      <c r="C335" s="306"/>
      <c r="D335" s="149"/>
      <c r="E335" s="164"/>
      <c r="F335" s="306"/>
      <c r="G335" s="149"/>
      <c r="H335" s="164"/>
      <c r="I335" s="306"/>
      <c r="J335" s="149"/>
      <c r="K335" s="164"/>
      <c r="L335" s="306"/>
      <c r="M335" s="310"/>
      <c r="N335" s="311"/>
      <c r="O335" s="312"/>
      <c r="P335" s="310"/>
      <c r="Q335" s="311"/>
      <c r="R335" s="312"/>
      <c r="S335" s="310"/>
      <c r="T335" s="311"/>
      <c r="U335" s="312"/>
      <c r="V335" s="149"/>
      <c r="W335" s="311"/>
      <c r="X335" s="306"/>
      <c r="Y335" s="188"/>
      <c r="Z335" s="188"/>
      <c r="AA335" s="188"/>
      <c r="AB335" s="20"/>
      <c r="AC335" s="20"/>
      <c r="AD335" s="20"/>
      <c r="AE335" s="20"/>
    </row>
    <row r="336">
      <c r="A336" s="149"/>
      <c r="B336" s="164"/>
      <c r="C336" s="306"/>
      <c r="D336" s="149"/>
      <c r="E336" s="164"/>
      <c r="F336" s="306"/>
      <c r="G336" s="149"/>
      <c r="H336" s="164"/>
      <c r="I336" s="306"/>
      <c r="J336" s="149"/>
      <c r="K336" s="164"/>
      <c r="L336" s="306"/>
      <c r="M336" s="310"/>
      <c r="N336" s="311"/>
      <c r="O336" s="312"/>
      <c r="P336" s="310"/>
      <c r="Q336" s="311"/>
      <c r="R336" s="312"/>
      <c r="S336" s="310"/>
      <c r="T336" s="311"/>
      <c r="U336" s="312"/>
      <c r="V336" s="149"/>
      <c r="W336" s="311"/>
      <c r="X336" s="306"/>
      <c r="Y336" s="188"/>
      <c r="Z336" s="188"/>
      <c r="AA336" s="188"/>
      <c r="AB336" s="20"/>
      <c r="AC336" s="20"/>
      <c r="AD336" s="20"/>
      <c r="AE336" s="20"/>
    </row>
    <row r="337">
      <c r="A337" s="149"/>
      <c r="B337" s="164"/>
      <c r="C337" s="306"/>
      <c r="D337" s="149"/>
      <c r="E337" s="164"/>
      <c r="F337" s="306"/>
      <c r="G337" s="149"/>
      <c r="H337" s="164"/>
      <c r="I337" s="306"/>
      <c r="J337" s="149"/>
      <c r="K337" s="164"/>
      <c r="L337" s="306"/>
      <c r="M337" s="310"/>
      <c r="N337" s="311"/>
      <c r="O337" s="312"/>
      <c r="P337" s="310"/>
      <c r="Q337" s="311"/>
      <c r="R337" s="312"/>
      <c r="S337" s="310"/>
      <c r="T337" s="311"/>
      <c r="U337" s="312"/>
      <c r="V337" s="149"/>
      <c r="W337" s="311"/>
      <c r="X337" s="306"/>
      <c r="Y337" s="188"/>
      <c r="Z337" s="188"/>
      <c r="AA337" s="188"/>
      <c r="AB337" s="20"/>
      <c r="AC337" s="20"/>
      <c r="AD337" s="20"/>
      <c r="AE337" s="20"/>
    </row>
    <row r="338">
      <c r="A338" s="149"/>
      <c r="B338" s="164"/>
      <c r="C338" s="306"/>
      <c r="D338" s="149"/>
      <c r="E338" s="164"/>
      <c r="F338" s="306"/>
      <c r="G338" s="149"/>
      <c r="H338" s="164"/>
      <c r="I338" s="306"/>
      <c r="J338" s="149"/>
      <c r="K338" s="164"/>
      <c r="L338" s="306"/>
      <c r="M338" s="310"/>
      <c r="N338" s="311"/>
      <c r="O338" s="312"/>
      <c r="P338" s="310"/>
      <c r="Q338" s="311"/>
      <c r="R338" s="312"/>
      <c r="S338" s="310"/>
      <c r="T338" s="311"/>
      <c r="U338" s="312"/>
      <c r="V338" s="149"/>
      <c r="W338" s="311"/>
      <c r="X338" s="306"/>
      <c r="Y338" s="188"/>
      <c r="Z338" s="188"/>
      <c r="AA338" s="188"/>
      <c r="AB338" s="20"/>
      <c r="AC338" s="20"/>
      <c r="AD338" s="20"/>
      <c r="AE338" s="20"/>
    </row>
    <row r="339">
      <c r="A339" s="149"/>
      <c r="B339" s="164"/>
      <c r="C339" s="306"/>
      <c r="D339" s="149"/>
      <c r="E339" s="164"/>
      <c r="F339" s="306"/>
      <c r="G339" s="149"/>
      <c r="H339" s="164"/>
      <c r="I339" s="306"/>
      <c r="J339" s="149"/>
      <c r="K339" s="164"/>
      <c r="L339" s="306"/>
      <c r="M339" s="310"/>
      <c r="N339" s="311"/>
      <c r="O339" s="312"/>
      <c r="P339" s="310"/>
      <c r="Q339" s="311"/>
      <c r="R339" s="312"/>
      <c r="S339" s="310"/>
      <c r="T339" s="311"/>
      <c r="U339" s="312"/>
      <c r="V339" s="149"/>
      <c r="W339" s="311"/>
      <c r="X339" s="306"/>
      <c r="Y339" s="188"/>
      <c r="Z339" s="188"/>
      <c r="AA339" s="188"/>
      <c r="AB339" s="20"/>
      <c r="AC339" s="20"/>
      <c r="AD339" s="20"/>
      <c r="AE339" s="20"/>
    </row>
    <row r="340">
      <c r="A340" s="149"/>
      <c r="B340" s="164"/>
      <c r="C340" s="306"/>
      <c r="D340" s="149"/>
      <c r="E340" s="164"/>
      <c r="F340" s="306"/>
      <c r="G340" s="149"/>
      <c r="H340" s="164"/>
      <c r="I340" s="306"/>
      <c r="J340" s="149"/>
      <c r="K340" s="164"/>
      <c r="L340" s="306"/>
      <c r="M340" s="310"/>
      <c r="N340" s="311"/>
      <c r="O340" s="312"/>
      <c r="P340" s="310"/>
      <c r="Q340" s="311"/>
      <c r="R340" s="312"/>
      <c r="S340" s="310"/>
      <c r="T340" s="311"/>
      <c r="U340" s="312"/>
      <c r="V340" s="149"/>
      <c r="W340" s="311"/>
      <c r="X340" s="306"/>
      <c r="Y340" s="188"/>
      <c r="Z340" s="188"/>
      <c r="AA340" s="188"/>
      <c r="AB340" s="20"/>
      <c r="AC340" s="20"/>
      <c r="AD340" s="20"/>
      <c r="AE340" s="20"/>
    </row>
    <row r="341">
      <c r="A341" s="149"/>
      <c r="B341" s="164"/>
      <c r="C341" s="306"/>
      <c r="D341" s="149"/>
      <c r="E341" s="164"/>
      <c r="F341" s="306"/>
      <c r="G341" s="149"/>
      <c r="H341" s="164"/>
      <c r="I341" s="306"/>
      <c r="J341" s="149"/>
      <c r="K341" s="164"/>
      <c r="L341" s="306"/>
      <c r="M341" s="310"/>
      <c r="N341" s="311"/>
      <c r="O341" s="312"/>
      <c r="P341" s="310"/>
      <c r="Q341" s="311"/>
      <c r="R341" s="312"/>
      <c r="S341" s="310"/>
      <c r="T341" s="311"/>
      <c r="U341" s="312"/>
      <c r="V341" s="149"/>
      <c r="W341" s="311"/>
      <c r="X341" s="306"/>
      <c r="Y341" s="188"/>
      <c r="Z341" s="188"/>
      <c r="AA341" s="188"/>
      <c r="AB341" s="20"/>
      <c r="AC341" s="20"/>
      <c r="AD341" s="20"/>
      <c r="AE341" s="20"/>
    </row>
    <row r="342">
      <c r="A342" s="149"/>
      <c r="B342" s="164"/>
      <c r="C342" s="306"/>
      <c r="D342" s="149"/>
      <c r="E342" s="164"/>
      <c r="F342" s="306"/>
      <c r="G342" s="149"/>
      <c r="H342" s="164"/>
      <c r="I342" s="306"/>
      <c r="J342" s="149"/>
      <c r="K342" s="164"/>
      <c r="L342" s="306"/>
      <c r="M342" s="310"/>
      <c r="N342" s="311"/>
      <c r="O342" s="312"/>
      <c r="P342" s="310"/>
      <c r="Q342" s="311"/>
      <c r="R342" s="312"/>
      <c r="S342" s="310"/>
      <c r="T342" s="311"/>
      <c r="U342" s="312"/>
      <c r="V342" s="149"/>
      <c r="W342" s="311"/>
      <c r="X342" s="306"/>
      <c r="Y342" s="188"/>
      <c r="Z342" s="188"/>
      <c r="AA342" s="188"/>
      <c r="AB342" s="20"/>
      <c r="AC342" s="20"/>
      <c r="AD342" s="20"/>
      <c r="AE342" s="20"/>
    </row>
    <row r="343">
      <c r="A343" s="149"/>
      <c r="B343" s="164"/>
      <c r="C343" s="306"/>
      <c r="D343" s="149"/>
      <c r="E343" s="164"/>
      <c r="F343" s="306"/>
      <c r="G343" s="149"/>
      <c r="H343" s="164"/>
      <c r="I343" s="306"/>
      <c r="J343" s="149"/>
      <c r="K343" s="164"/>
      <c r="L343" s="306"/>
      <c r="M343" s="310"/>
      <c r="N343" s="311"/>
      <c r="O343" s="312"/>
      <c r="P343" s="310"/>
      <c r="Q343" s="311"/>
      <c r="R343" s="312"/>
      <c r="S343" s="310"/>
      <c r="T343" s="311"/>
      <c r="U343" s="312"/>
      <c r="V343" s="149"/>
      <c r="W343" s="311"/>
      <c r="X343" s="306"/>
      <c r="Y343" s="188"/>
      <c r="Z343" s="188"/>
      <c r="AA343" s="188"/>
      <c r="AB343" s="20"/>
      <c r="AC343" s="20"/>
      <c r="AD343" s="20"/>
      <c r="AE343" s="20"/>
    </row>
    <row r="344">
      <c r="A344" s="149"/>
      <c r="B344" s="164"/>
      <c r="C344" s="306"/>
      <c r="D344" s="149"/>
      <c r="E344" s="164"/>
      <c r="F344" s="306"/>
      <c r="G344" s="149"/>
      <c r="H344" s="164"/>
      <c r="I344" s="306"/>
      <c r="J344" s="149"/>
      <c r="K344" s="164"/>
      <c r="L344" s="306"/>
      <c r="M344" s="310"/>
      <c r="N344" s="311"/>
      <c r="O344" s="312"/>
      <c r="P344" s="310"/>
      <c r="Q344" s="311"/>
      <c r="R344" s="312"/>
      <c r="S344" s="310"/>
      <c r="T344" s="311"/>
      <c r="U344" s="312"/>
      <c r="V344" s="149"/>
      <c r="W344" s="311"/>
      <c r="X344" s="306"/>
      <c r="Y344" s="188"/>
      <c r="Z344" s="188"/>
      <c r="AA344" s="188"/>
      <c r="AB344" s="20"/>
      <c r="AC344" s="20"/>
      <c r="AD344" s="20"/>
      <c r="AE344" s="20"/>
    </row>
    <row r="345">
      <c r="A345" s="149"/>
      <c r="B345" s="164"/>
      <c r="C345" s="306"/>
      <c r="D345" s="149"/>
      <c r="E345" s="164"/>
      <c r="F345" s="306"/>
      <c r="G345" s="149"/>
      <c r="H345" s="164"/>
      <c r="I345" s="306"/>
      <c r="J345" s="149"/>
      <c r="K345" s="164"/>
      <c r="L345" s="306"/>
      <c r="M345" s="310"/>
      <c r="N345" s="311"/>
      <c r="O345" s="312"/>
      <c r="P345" s="310"/>
      <c r="Q345" s="311"/>
      <c r="R345" s="312"/>
      <c r="S345" s="310"/>
      <c r="T345" s="311"/>
      <c r="U345" s="312"/>
      <c r="V345" s="149"/>
      <c r="W345" s="311"/>
      <c r="X345" s="306"/>
      <c r="Y345" s="188"/>
      <c r="Z345" s="188"/>
      <c r="AA345" s="188"/>
      <c r="AB345" s="20"/>
      <c r="AC345" s="20"/>
      <c r="AD345" s="20"/>
      <c r="AE345" s="20"/>
    </row>
    <row r="346">
      <c r="A346" s="149"/>
      <c r="B346" s="164"/>
      <c r="C346" s="306"/>
      <c r="D346" s="149"/>
      <c r="E346" s="164"/>
      <c r="F346" s="306"/>
      <c r="G346" s="149"/>
      <c r="H346" s="164"/>
      <c r="I346" s="306"/>
      <c r="J346" s="149"/>
      <c r="K346" s="164"/>
      <c r="L346" s="306"/>
      <c r="M346" s="310"/>
      <c r="N346" s="311"/>
      <c r="O346" s="312"/>
      <c r="P346" s="310"/>
      <c r="Q346" s="311"/>
      <c r="R346" s="312"/>
      <c r="S346" s="310"/>
      <c r="T346" s="311"/>
      <c r="U346" s="312"/>
      <c r="V346" s="149"/>
      <c r="W346" s="311"/>
      <c r="X346" s="306"/>
      <c r="Y346" s="188"/>
      <c r="Z346" s="188"/>
      <c r="AA346" s="188"/>
      <c r="AB346" s="20"/>
      <c r="AC346" s="20"/>
      <c r="AD346" s="20"/>
      <c r="AE346" s="20"/>
    </row>
    <row r="347">
      <c r="A347" s="149"/>
      <c r="B347" s="164"/>
      <c r="C347" s="306"/>
      <c r="D347" s="149"/>
      <c r="E347" s="164"/>
      <c r="F347" s="306"/>
      <c r="G347" s="149"/>
      <c r="H347" s="164"/>
      <c r="I347" s="306"/>
      <c r="J347" s="149"/>
      <c r="K347" s="164"/>
      <c r="L347" s="306"/>
      <c r="M347" s="310"/>
      <c r="N347" s="311"/>
      <c r="O347" s="312"/>
      <c r="P347" s="310"/>
      <c r="Q347" s="311"/>
      <c r="R347" s="312"/>
      <c r="S347" s="310"/>
      <c r="T347" s="311"/>
      <c r="U347" s="312"/>
      <c r="V347" s="149"/>
      <c r="W347" s="311"/>
      <c r="X347" s="306"/>
      <c r="Y347" s="188"/>
      <c r="Z347" s="188"/>
      <c r="AA347" s="188"/>
      <c r="AB347" s="20"/>
      <c r="AC347" s="20"/>
      <c r="AD347" s="20"/>
      <c r="AE347" s="20"/>
    </row>
    <row r="348">
      <c r="A348" s="149"/>
      <c r="B348" s="164"/>
      <c r="C348" s="306"/>
      <c r="D348" s="149"/>
      <c r="E348" s="164"/>
      <c r="F348" s="306"/>
      <c r="G348" s="149"/>
      <c r="H348" s="164"/>
      <c r="I348" s="306"/>
      <c r="J348" s="149"/>
      <c r="K348" s="164"/>
      <c r="L348" s="306"/>
      <c r="M348" s="310"/>
      <c r="N348" s="311"/>
      <c r="O348" s="312"/>
      <c r="P348" s="310"/>
      <c r="Q348" s="311"/>
      <c r="R348" s="312"/>
      <c r="S348" s="310"/>
      <c r="T348" s="311"/>
      <c r="U348" s="312"/>
      <c r="V348" s="149"/>
      <c r="W348" s="311"/>
      <c r="X348" s="306"/>
      <c r="Y348" s="188"/>
      <c r="Z348" s="188"/>
      <c r="AA348" s="188"/>
      <c r="AB348" s="20"/>
      <c r="AC348" s="20"/>
      <c r="AD348" s="20"/>
      <c r="AE348" s="20"/>
    </row>
    <row r="349">
      <c r="A349" s="149"/>
      <c r="B349" s="164"/>
      <c r="C349" s="306"/>
      <c r="D349" s="149"/>
      <c r="E349" s="164"/>
      <c r="F349" s="306"/>
      <c r="G349" s="149"/>
      <c r="H349" s="164"/>
      <c r="I349" s="306"/>
      <c r="J349" s="149"/>
      <c r="K349" s="164"/>
      <c r="L349" s="306"/>
      <c r="M349" s="310"/>
      <c r="N349" s="311"/>
      <c r="O349" s="312"/>
      <c r="P349" s="310"/>
      <c r="Q349" s="311"/>
      <c r="R349" s="312"/>
      <c r="S349" s="310"/>
      <c r="T349" s="311"/>
      <c r="U349" s="312"/>
      <c r="V349" s="149"/>
      <c r="W349" s="311"/>
      <c r="X349" s="306"/>
      <c r="Y349" s="188"/>
      <c r="Z349" s="188"/>
      <c r="AA349" s="188"/>
      <c r="AB349" s="20"/>
      <c r="AC349" s="20"/>
      <c r="AD349" s="20"/>
      <c r="AE349" s="20"/>
    </row>
    <row r="350">
      <c r="A350" s="149"/>
      <c r="B350" s="164"/>
      <c r="C350" s="306"/>
      <c r="D350" s="149"/>
      <c r="E350" s="164"/>
      <c r="F350" s="306"/>
      <c r="G350" s="149"/>
      <c r="H350" s="164"/>
      <c r="I350" s="306"/>
      <c r="J350" s="149"/>
      <c r="K350" s="164"/>
      <c r="L350" s="306"/>
      <c r="M350" s="310"/>
      <c r="N350" s="311"/>
      <c r="O350" s="312"/>
      <c r="P350" s="310"/>
      <c r="Q350" s="311"/>
      <c r="R350" s="312"/>
      <c r="S350" s="310"/>
      <c r="T350" s="311"/>
      <c r="U350" s="312"/>
      <c r="V350" s="149"/>
      <c r="W350" s="311"/>
      <c r="X350" s="306"/>
      <c r="Y350" s="188"/>
      <c r="Z350" s="188"/>
      <c r="AA350" s="188"/>
      <c r="AB350" s="20"/>
      <c r="AC350" s="20"/>
      <c r="AD350" s="20"/>
      <c r="AE350" s="20"/>
    </row>
    <row r="351">
      <c r="A351" s="149"/>
      <c r="B351" s="164"/>
      <c r="C351" s="306"/>
      <c r="D351" s="149"/>
      <c r="E351" s="164"/>
      <c r="F351" s="306"/>
      <c r="G351" s="149"/>
      <c r="H351" s="164"/>
      <c r="I351" s="306"/>
      <c r="J351" s="149"/>
      <c r="K351" s="164"/>
      <c r="L351" s="306"/>
      <c r="M351" s="310"/>
      <c r="N351" s="311"/>
      <c r="O351" s="312"/>
      <c r="P351" s="310"/>
      <c r="Q351" s="311"/>
      <c r="R351" s="312"/>
      <c r="S351" s="310"/>
      <c r="T351" s="311"/>
      <c r="U351" s="312"/>
      <c r="V351" s="149"/>
      <c r="W351" s="311"/>
      <c r="X351" s="306"/>
      <c r="Y351" s="188"/>
      <c r="Z351" s="188"/>
      <c r="AA351" s="188"/>
      <c r="AB351" s="20"/>
      <c r="AC351" s="20"/>
      <c r="AD351" s="20"/>
      <c r="AE351" s="20"/>
    </row>
    <row r="352">
      <c r="A352" s="149"/>
      <c r="B352" s="164"/>
      <c r="C352" s="306"/>
      <c r="D352" s="149"/>
      <c r="E352" s="164"/>
      <c r="F352" s="306"/>
      <c r="G352" s="149"/>
      <c r="H352" s="164"/>
      <c r="I352" s="306"/>
      <c r="J352" s="149"/>
      <c r="K352" s="164"/>
      <c r="L352" s="306"/>
      <c r="M352" s="310"/>
      <c r="N352" s="311"/>
      <c r="O352" s="312"/>
      <c r="P352" s="310"/>
      <c r="Q352" s="311"/>
      <c r="R352" s="312"/>
      <c r="S352" s="310"/>
      <c r="T352" s="311"/>
      <c r="U352" s="312"/>
      <c r="V352" s="149"/>
      <c r="W352" s="311"/>
      <c r="X352" s="306"/>
      <c r="Y352" s="188"/>
      <c r="Z352" s="188"/>
      <c r="AA352" s="188"/>
      <c r="AB352" s="20"/>
      <c r="AC352" s="20"/>
      <c r="AD352" s="20"/>
      <c r="AE352" s="20"/>
    </row>
    <row r="353">
      <c r="A353" s="149"/>
      <c r="B353" s="164"/>
      <c r="C353" s="306"/>
      <c r="D353" s="149"/>
      <c r="E353" s="164"/>
      <c r="F353" s="306"/>
      <c r="G353" s="149"/>
      <c r="H353" s="164"/>
      <c r="I353" s="306"/>
      <c r="J353" s="149"/>
      <c r="K353" s="164"/>
      <c r="L353" s="306"/>
      <c r="M353" s="310"/>
      <c r="N353" s="311"/>
      <c r="O353" s="312"/>
      <c r="P353" s="310"/>
      <c r="Q353" s="311"/>
      <c r="R353" s="312"/>
      <c r="S353" s="310"/>
      <c r="T353" s="311"/>
      <c r="U353" s="312"/>
      <c r="V353" s="149"/>
      <c r="W353" s="311"/>
      <c r="X353" s="306"/>
      <c r="Y353" s="188"/>
      <c r="Z353" s="188"/>
      <c r="AA353" s="188"/>
      <c r="AB353" s="20"/>
      <c r="AC353" s="20"/>
      <c r="AD353" s="20"/>
      <c r="AE353" s="20"/>
    </row>
    <row r="354">
      <c r="A354" s="149"/>
      <c r="B354" s="164"/>
      <c r="C354" s="306"/>
      <c r="D354" s="149"/>
      <c r="E354" s="164"/>
      <c r="F354" s="306"/>
      <c r="G354" s="149"/>
      <c r="H354" s="164"/>
      <c r="I354" s="306"/>
      <c r="J354" s="149"/>
      <c r="K354" s="164"/>
      <c r="L354" s="306"/>
      <c r="M354" s="310"/>
      <c r="N354" s="311"/>
      <c r="O354" s="312"/>
      <c r="P354" s="310"/>
      <c r="Q354" s="311"/>
      <c r="R354" s="312"/>
      <c r="S354" s="310"/>
      <c r="T354" s="311"/>
      <c r="U354" s="312"/>
      <c r="V354" s="149"/>
      <c r="W354" s="311"/>
      <c r="X354" s="306"/>
      <c r="Y354" s="188"/>
      <c r="Z354" s="188"/>
      <c r="AA354" s="188"/>
      <c r="AB354" s="20"/>
      <c r="AC354" s="20"/>
      <c r="AD354" s="20"/>
      <c r="AE354" s="20"/>
    </row>
    <row r="355">
      <c r="A355" s="149"/>
      <c r="B355" s="164"/>
      <c r="C355" s="306"/>
      <c r="D355" s="149"/>
      <c r="E355" s="164"/>
      <c r="F355" s="306"/>
      <c r="G355" s="149"/>
      <c r="H355" s="164"/>
      <c r="I355" s="306"/>
      <c r="J355" s="149"/>
      <c r="K355" s="164"/>
      <c r="L355" s="306"/>
      <c r="M355" s="310"/>
      <c r="N355" s="311"/>
      <c r="O355" s="312"/>
      <c r="P355" s="310"/>
      <c r="Q355" s="311"/>
      <c r="R355" s="312"/>
      <c r="S355" s="310"/>
      <c r="T355" s="311"/>
      <c r="U355" s="312"/>
      <c r="V355" s="149"/>
      <c r="W355" s="311"/>
      <c r="X355" s="306"/>
      <c r="Y355" s="188"/>
      <c r="Z355" s="188"/>
      <c r="AA355" s="188"/>
      <c r="AB355" s="20"/>
      <c r="AC355" s="20"/>
      <c r="AD355" s="20"/>
      <c r="AE355" s="20"/>
    </row>
    <row r="356">
      <c r="A356" s="149"/>
      <c r="B356" s="164"/>
      <c r="C356" s="306"/>
      <c r="D356" s="149"/>
      <c r="E356" s="164"/>
      <c r="F356" s="306"/>
      <c r="G356" s="149"/>
      <c r="H356" s="164"/>
      <c r="I356" s="306"/>
      <c r="J356" s="149"/>
      <c r="K356" s="164"/>
      <c r="L356" s="306"/>
      <c r="M356" s="310"/>
      <c r="N356" s="311"/>
      <c r="O356" s="312"/>
      <c r="P356" s="310"/>
      <c r="Q356" s="311"/>
      <c r="R356" s="312"/>
      <c r="S356" s="310"/>
      <c r="T356" s="311"/>
      <c r="U356" s="312"/>
      <c r="V356" s="149"/>
      <c r="W356" s="311"/>
      <c r="X356" s="306"/>
      <c r="Y356" s="188"/>
      <c r="Z356" s="188"/>
      <c r="AA356" s="188"/>
      <c r="AB356" s="20"/>
      <c r="AC356" s="20"/>
      <c r="AD356" s="20"/>
      <c r="AE356" s="20"/>
    </row>
    <row r="357">
      <c r="A357" s="149"/>
      <c r="B357" s="164"/>
      <c r="C357" s="306"/>
      <c r="D357" s="149"/>
      <c r="E357" s="164"/>
      <c r="F357" s="306"/>
      <c r="G357" s="149"/>
      <c r="H357" s="164"/>
      <c r="I357" s="306"/>
      <c r="J357" s="149"/>
      <c r="K357" s="164"/>
      <c r="L357" s="306"/>
      <c r="M357" s="310"/>
      <c r="N357" s="311"/>
      <c r="O357" s="312"/>
      <c r="P357" s="310"/>
      <c r="Q357" s="311"/>
      <c r="R357" s="312"/>
      <c r="S357" s="310"/>
      <c r="T357" s="311"/>
      <c r="U357" s="312"/>
      <c r="V357" s="149"/>
      <c r="W357" s="311"/>
      <c r="X357" s="306"/>
      <c r="Y357" s="188"/>
      <c r="Z357" s="188"/>
      <c r="AA357" s="188"/>
      <c r="AB357" s="20"/>
      <c r="AC357" s="20"/>
      <c r="AD357" s="20"/>
      <c r="AE357" s="20"/>
    </row>
    <row r="358">
      <c r="A358" s="149"/>
      <c r="B358" s="164"/>
      <c r="C358" s="306"/>
      <c r="D358" s="149"/>
      <c r="E358" s="164"/>
      <c r="F358" s="306"/>
      <c r="G358" s="149"/>
      <c r="H358" s="164"/>
      <c r="I358" s="306"/>
      <c r="J358" s="149"/>
      <c r="K358" s="164"/>
      <c r="L358" s="306"/>
      <c r="M358" s="310"/>
      <c r="N358" s="311"/>
      <c r="O358" s="312"/>
      <c r="P358" s="310"/>
      <c r="Q358" s="311"/>
      <c r="R358" s="312"/>
      <c r="S358" s="310"/>
      <c r="T358" s="311"/>
      <c r="U358" s="312"/>
      <c r="V358" s="149"/>
      <c r="W358" s="311"/>
      <c r="X358" s="306"/>
      <c r="Y358" s="188"/>
      <c r="Z358" s="188"/>
      <c r="AA358" s="188"/>
      <c r="AB358" s="20"/>
      <c r="AC358" s="20"/>
      <c r="AD358" s="20"/>
      <c r="AE358" s="20"/>
    </row>
    <row r="359">
      <c r="A359" s="149"/>
      <c r="B359" s="164"/>
      <c r="C359" s="306"/>
      <c r="D359" s="149"/>
      <c r="E359" s="164"/>
      <c r="F359" s="306"/>
      <c r="G359" s="149"/>
      <c r="H359" s="164"/>
      <c r="I359" s="306"/>
      <c r="J359" s="149"/>
      <c r="K359" s="164"/>
      <c r="L359" s="306"/>
      <c r="M359" s="310"/>
      <c r="N359" s="311"/>
      <c r="O359" s="312"/>
      <c r="P359" s="310"/>
      <c r="Q359" s="311"/>
      <c r="R359" s="312"/>
      <c r="S359" s="310"/>
      <c r="T359" s="311"/>
      <c r="U359" s="312"/>
      <c r="V359" s="149"/>
      <c r="W359" s="311"/>
      <c r="X359" s="306"/>
      <c r="Y359" s="188"/>
      <c r="Z359" s="188"/>
      <c r="AA359" s="188"/>
      <c r="AB359" s="20"/>
      <c r="AC359" s="20"/>
      <c r="AD359" s="20"/>
      <c r="AE359" s="20"/>
    </row>
    <row r="360">
      <c r="A360" s="149"/>
      <c r="B360" s="164"/>
      <c r="C360" s="306"/>
      <c r="D360" s="149"/>
      <c r="E360" s="164"/>
      <c r="F360" s="306"/>
      <c r="G360" s="149"/>
      <c r="H360" s="164"/>
      <c r="I360" s="306"/>
      <c r="J360" s="149"/>
      <c r="K360" s="164"/>
      <c r="L360" s="306"/>
      <c r="M360" s="310"/>
      <c r="N360" s="311"/>
      <c r="O360" s="312"/>
      <c r="P360" s="310"/>
      <c r="Q360" s="311"/>
      <c r="R360" s="312"/>
      <c r="S360" s="310"/>
      <c r="T360" s="311"/>
      <c r="U360" s="312"/>
      <c r="V360" s="149"/>
      <c r="W360" s="311"/>
      <c r="X360" s="306"/>
      <c r="Y360" s="188"/>
      <c r="Z360" s="188"/>
      <c r="AA360" s="188"/>
      <c r="AB360" s="20"/>
      <c r="AC360" s="20"/>
      <c r="AD360" s="20"/>
      <c r="AE360" s="20"/>
    </row>
    <row r="361">
      <c r="A361" s="149"/>
      <c r="B361" s="164"/>
      <c r="C361" s="306"/>
      <c r="D361" s="149"/>
      <c r="E361" s="164"/>
      <c r="F361" s="306"/>
      <c r="G361" s="149"/>
      <c r="H361" s="164"/>
      <c r="I361" s="306"/>
      <c r="J361" s="149"/>
      <c r="K361" s="164"/>
      <c r="L361" s="306"/>
      <c r="M361" s="310"/>
      <c r="N361" s="311"/>
      <c r="O361" s="312"/>
      <c r="P361" s="310"/>
      <c r="Q361" s="311"/>
      <c r="R361" s="312"/>
      <c r="S361" s="310"/>
      <c r="T361" s="311"/>
      <c r="U361" s="312"/>
      <c r="V361" s="149"/>
      <c r="W361" s="311"/>
      <c r="X361" s="306"/>
      <c r="Y361" s="188"/>
      <c r="Z361" s="188"/>
      <c r="AA361" s="188"/>
      <c r="AB361" s="20"/>
      <c r="AC361" s="20"/>
      <c r="AD361" s="20"/>
      <c r="AE361" s="20"/>
    </row>
    <row r="362">
      <c r="A362" s="149"/>
      <c r="B362" s="164"/>
      <c r="C362" s="306"/>
      <c r="D362" s="149"/>
      <c r="E362" s="164"/>
      <c r="F362" s="306"/>
      <c r="G362" s="149"/>
      <c r="H362" s="164"/>
      <c r="I362" s="306"/>
      <c r="J362" s="149"/>
      <c r="K362" s="164"/>
      <c r="L362" s="306"/>
      <c r="M362" s="310"/>
      <c r="N362" s="311"/>
      <c r="O362" s="312"/>
      <c r="P362" s="310"/>
      <c r="Q362" s="311"/>
      <c r="R362" s="312"/>
      <c r="S362" s="310"/>
      <c r="T362" s="311"/>
      <c r="U362" s="312"/>
      <c r="V362" s="149"/>
      <c r="W362" s="311"/>
      <c r="X362" s="306"/>
      <c r="Y362" s="188"/>
      <c r="Z362" s="188"/>
      <c r="AA362" s="188"/>
      <c r="AB362" s="20"/>
      <c r="AC362" s="20"/>
      <c r="AD362" s="20"/>
      <c r="AE362" s="20"/>
    </row>
    <row r="363">
      <c r="A363" s="149"/>
      <c r="B363" s="164"/>
      <c r="C363" s="306"/>
      <c r="D363" s="149"/>
      <c r="E363" s="164"/>
      <c r="F363" s="306"/>
      <c r="G363" s="149"/>
      <c r="H363" s="164"/>
      <c r="I363" s="306"/>
      <c r="J363" s="149"/>
      <c r="K363" s="164"/>
      <c r="L363" s="306"/>
      <c r="M363" s="310"/>
      <c r="N363" s="311"/>
      <c r="O363" s="312"/>
      <c r="P363" s="310"/>
      <c r="Q363" s="311"/>
      <c r="R363" s="312"/>
      <c r="S363" s="310"/>
      <c r="T363" s="311"/>
      <c r="U363" s="312"/>
      <c r="V363" s="149"/>
      <c r="W363" s="311"/>
      <c r="X363" s="306"/>
      <c r="Y363" s="188"/>
      <c r="Z363" s="188"/>
      <c r="AA363" s="188"/>
      <c r="AB363" s="20"/>
      <c r="AC363" s="20"/>
      <c r="AD363" s="20"/>
      <c r="AE363" s="20"/>
    </row>
    <row r="364">
      <c r="A364" s="149"/>
      <c r="B364" s="164"/>
      <c r="C364" s="306"/>
      <c r="D364" s="149"/>
      <c r="E364" s="164"/>
      <c r="F364" s="306"/>
      <c r="G364" s="149"/>
      <c r="H364" s="164"/>
      <c r="I364" s="306"/>
      <c r="J364" s="149"/>
      <c r="K364" s="164"/>
      <c r="L364" s="306"/>
      <c r="M364" s="310"/>
      <c r="N364" s="311"/>
      <c r="O364" s="312"/>
      <c r="P364" s="310"/>
      <c r="Q364" s="311"/>
      <c r="R364" s="312"/>
      <c r="S364" s="310"/>
      <c r="T364" s="311"/>
      <c r="U364" s="312"/>
      <c r="V364" s="149"/>
      <c r="W364" s="311"/>
      <c r="X364" s="306"/>
      <c r="Y364" s="188"/>
      <c r="Z364" s="188"/>
      <c r="AA364" s="188"/>
      <c r="AB364" s="20"/>
      <c r="AC364" s="20"/>
      <c r="AD364" s="20"/>
      <c r="AE364" s="20"/>
    </row>
    <row r="365">
      <c r="A365" s="149"/>
      <c r="B365" s="164"/>
      <c r="C365" s="306"/>
      <c r="D365" s="149"/>
      <c r="E365" s="164"/>
      <c r="F365" s="306"/>
      <c r="G365" s="149"/>
      <c r="H365" s="164"/>
      <c r="I365" s="306"/>
      <c r="J365" s="149"/>
      <c r="K365" s="164"/>
      <c r="L365" s="306"/>
      <c r="M365" s="310"/>
      <c r="N365" s="311"/>
      <c r="O365" s="312"/>
      <c r="P365" s="310"/>
      <c r="Q365" s="311"/>
      <c r="R365" s="312"/>
      <c r="S365" s="310"/>
      <c r="T365" s="311"/>
      <c r="U365" s="312"/>
      <c r="V365" s="149"/>
      <c r="W365" s="311"/>
      <c r="X365" s="306"/>
      <c r="Y365" s="188"/>
      <c r="Z365" s="188"/>
      <c r="AA365" s="188"/>
      <c r="AB365" s="20"/>
      <c r="AC365" s="20"/>
      <c r="AD365" s="20"/>
      <c r="AE365" s="20"/>
    </row>
    <row r="366">
      <c r="A366" s="149"/>
      <c r="B366" s="164"/>
      <c r="C366" s="306"/>
      <c r="D366" s="149"/>
      <c r="E366" s="164"/>
      <c r="F366" s="306"/>
      <c r="G366" s="149"/>
      <c r="H366" s="164"/>
      <c r="I366" s="306"/>
      <c r="J366" s="149"/>
      <c r="K366" s="164"/>
      <c r="L366" s="306"/>
      <c r="M366" s="310"/>
      <c r="N366" s="311"/>
      <c r="O366" s="312"/>
      <c r="P366" s="310"/>
      <c r="Q366" s="311"/>
      <c r="R366" s="312"/>
      <c r="S366" s="310"/>
      <c r="T366" s="311"/>
      <c r="U366" s="312"/>
      <c r="V366" s="149"/>
      <c r="W366" s="311"/>
      <c r="X366" s="306"/>
      <c r="Y366" s="188"/>
      <c r="Z366" s="188"/>
      <c r="AA366" s="188"/>
      <c r="AB366" s="20"/>
      <c r="AC366" s="20"/>
      <c r="AD366" s="20"/>
      <c r="AE366" s="20"/>
    </row>
    <row r="367">
      <c r="A367" s="149"/>
      <c r="B367" s="164"/>
      <c r="C367" s="306"/>
      <c r="D367" s="149"/>
      <c r="E367" s="164"/>
      <c r="F367" s="306"/>
      <c r="G367" s="149"/>
      <c r="H367" s="164"/>
      <c r="I367" s="306"/>
      <c r="J367" s="149"/>
      <c r="K367" s="164"/>
      <c r="L367" s="306"/>
      <c r="M367" s="310"/>
      <c r="N367" s="311"/>
      <c r="O367" s="312"/>
      <c r="P367" s="310"/>
      <c r="Q367" s="311"/>
      <c r="R367" s="312"/>
      <c r="S367" s="310"/>
      <c r="T367" s="311"/>
      <c r="U367" s="312"/>
      <c r="V367" s="149"/>
      <c r="W367" s="311"/>
      <c r="X367" s="306"/>
      <c r="Y367" s="188"/>
      <c r="Z367" s="188"/>
      <c r="AA367" s="188"/>
      <c r="AB367" s="20"/>
      <c r="AC367" s="20"/>
      <c r="AD367" s="20"/>
      <c r="AE367" s="20"/>
    </row>
    <row r="368">
      <c r="A368" s="149"/>
      <c r="B368" s="164"/>
      <c r="C368" s="306"/>
      <c r="D368" s="149"/>
      <c r="E368" s="164"/>
      <c r="F368" s="306"/>
      <c r="G368" s="149"/>
      <c r="H368" s="164"/>
      <c r="I368" s="306"/>
      <c r="J368" s="149"/>
      <c r="K368" s="164"/>
      <c r="L368" s="306"/>
      <c r="M368" s="310"/>
      <c r="N368" s="311"/>
      <c r="O368" s="312"/>
      <c r="P368" s="310"/>
      <c r="Q368" s="311"/>
      <c r="R368" s="312"/>
      <c r="S368" s="310"/>
      <c r="T368" s="311"/>
      <c r="U368" s="312"/>
      <c r="V368" s="149"/>
      <c r="W368" s="311"/>
      <c r="X368" s="306"/>
      <c r="Y368" s="188"/>
      <c r="Z368" s="188"/>
      <c r="AA368" s="188"/>
      <c r="AB368" s="20"/>
      <c r="AC368" s="20"/>
      <c r="AD368" s="20"/>
      <c r="AE368" s="20"/>
    </row>
    <row r="369">
      <c r="A369" s="149"/>
      <c r="B369" s="164"/>
      <c r="C369" s="306"/>
      <c r="D369" s="149"/>
      <c r="E369" s="164"/>
      <c r="F369" s="306"/>
      <c r="G369" s="149"/>
      <c r="H369" s="164"/>
      <c r="I369" s="306"/>
      <c r="J369" s="149"/>
      <c r="K369" s="164"/>
      <c r="L369" s="306"/>
      <c r="M369" s="310"/>
      <c r="N369" s="311"/>
      <c r="O369" s="312"/>
      <c r="P369" s="310"/>
      <c r="Q369" s="311"/>
      <c r="R369" s="312"/>
      <c r="S369" s="310"/>
      <c r="T369" s="311"/>
      <c r="U369" s="312"/>
      <c r="V369" s="149"/>
      <c r="W369" s="311"/>
      <c r="X369" s="306"/>
      <c r="Y369" s="188"/>
      <c r="Z369" s="188"/>
      <c r="AA369" s="188"/>
      <c r="AB369" s="20"/>
      <c r="AC369" s="20"/>
      <c r="AD369" s="20"/>
      <c r="AE369" s="20"/>
    </row>
    <row r="370">
      <c r="A370" s="149"/>
      <c r="B370" s="164"/>
      <c r="C370" s="306"/>
      <c r="D370" s="149"/>
      <c r="E370" s="164"/>
      <c r="F370" s="306"/>
      <c r="G370" s="149"/>
      <c r="H370" s="164"/>
      <c r="I370" s="306"/>
      <c r="J370" s="149"/>
      <c r="K370" s="164"/>
      <c r="L370" s="306"/>
      <c r="M370" s="310"/>
      <c r="N370" s="311"/>
      <c r="O370" s="312"/>
      <c r="P370" s="310"/>
      <c r="Q370" s="311"/>
      <c r="R370" s="312"/>
      <c r="S370" s="310"/>
      <c r="T370" s="311"/>
      <c r="U370" s="312"/>
      <c r="V370" s="149"/>
      <c r="W370" s="311"/>
      <c r="X370" s="306"/>
      <c r="Y370" s="188"/>
      <c r="Z370" s="188"/>
      <c r="AA370" s="188"/>
      <c r="AB370" s="20"/>
      <c r="AC370" s="20"/>
      <c r="AD370" s="20"/>
      <c r="AE370" s="20"/>
    </row>
    <row r="371">
      <c r="A371" s="149"/>
      <c r="B371" s="164"/>
      <c r="C371" s="306"/>
      <c r="D371" s="149"/>
      <c r="E371" s="164"/>
      <c r="F371" s="306"/>
      <c r="G371" s="149"/>
      <c r="H371" s="164"/>
      <c r="I371" s="306"/>
      <c r="J371" s="149"/>
      <c r="K371" s="164"/>
      <c r="L371" s="306"/>
      <c r="M371" s="310"/>
      <c r="N371" s="311"/>
      <c r="O371" s="312"/>
      <c r="P371" s="310"/>
      <c r="Q371" s="311"/>
      <c r="R371" s="312"/>
      <c r="S371" s="310"/>
      <c r="T371" s="311"/>
      <c r="U371" s="312"/>
      <c r="V371" s="149"/>
      <c r="W371" s="311"/>
      <c r="X371" s="306"/>
      <c r="Y371" s="188"/>
      <c r="Z371" s="188"/>
      <c r="AA371" s="188"/>
      <c r="AB371" s="20"/>
      <c r="AC371" s="20"/>
      <c r="AD371" s="20"/>
      <c r="AE371" s="20"/>
    </row>
    <row r="372">
      <c r="A372" s="149"/>
      <c r="B372" s="164"/>
      <c r="C372" s="306"/>
      <c r="D372" s="149"/>
      <c r="E372" s="164"/>
      <c r="F372" s="306"/>
      <c r="G372" s="149"/>
      <c r="H372" s="164"/>
      <c r="I372" s="306"/>
      <c r="J372" s="149"/>
      <c r="K372" s="164"/>
      <c r="L372" s="306"/>
      <c r="M372" s="310"/>
      <c r="N372" s="311"/>
      <c r="O372" s="312"/>
      <c r="P372" s="310"/>
      <c r="Q372" s="311"/>
      <c r="R372" s="312"/>
      <c r="S372" s="310"/>
      <c r="T372" s="311"/>
      <c r="U372" s="312"/>
      <c r="V372" s="149"/>
      <c r="W372" s="311"/>
      <c r="X372" s="306"/>
      <c r="Y372" s="188"/>
      <c r="Z372" s="188"/>
      <c r="AA372" s="188"/>
      <c r="AB372" s="20"/>
      <c r="AC372" s="20"/>
      <c r="AD372" s="20"/>
      <c r="AE372" s="20"/>
    </row>
    <row r="373">
      <c r="A373" s="149"/>
      <c r="B373" s="164"/>
      <c r="C373" s="306"/>
      <c r="D373" s="149"/>
      <c r="E373" s="164"/>
      <c r="F373" s="306"/>
      <c r="G373" s="149"/>
      <c r="H373" s="164"/>
      <c r="I373" s="306"/>
      <c r="J373" s="149"/>
      <c r="K373" s="164"/>
      <c r="L373" s="306"/>
      <c r="M373" s="310"/>
      <c r="N373" s="311"/>
      <c r="O373" s="312"/>
      <c r="P373" s="310"/>
      <c r="Q373" s="311"/>
      <c r="R373" s="312"/>
      <c r="S373" s="310"/>
      <c r="T373" s="311"/>
      <c r="U373" s="312"/>
      <c r="V373" s="149"/>
      <c r="W373" s="311"/>
      <c r="X373" s="306"/>
      <c r="Y373" s="188"/>
      <c r="Z373" s="188"/>
      <c r="AA373" s="188"/>
      <c r="AB373" s="20"/>
      <c r="AC373" s="20"/>
      <c r="AD373" s="20"/>
      <c r="AE373" s="20"/>
    </row>
    <row r="374">
      <c r="A374" s="149"/>
      <c r="B374" s="164"/>
      <c r="C374" s="306"/>
      <c r="D374" s="149"/>
      <c r="E374" s="164"/>
      <c r="F374" s="306"/>
      <c r="G374" s="149"/>
      <c r="H374" s="164"/>
      <c r="I374" s="306"/>
      <c r="J374" s="149"/>
      <c r="K374" s="164"/>
      <c r="L374" s="306"/>
      <c r="M374" s="310"/>
      <c r="N374" s="311"/>
      <c r="O374" s="312"/>
      <c r="P374" s="310"/>
      <c r="Q374" s="311"/>
      <c r="R374" s="312"/>
      <c r="S374" s="310"/>
      <c r="T374" s="311"/>
      <c r="U374" s="312"/>
      <c r="V374" s="149"/>
      <c r="W374" s="311"/>
      <c r="X374" s="306"/>
      <c r="Y374" s="188"/>
      <c r="Z374" s="188"/>
      <c r="AA374" s="188"/>
      <c r="AB374" s="20"/>
      <c r="AC374" s="20"/>
      <c r="AD374" s="20"/>
      <c r="AE374" s="20"/>
    </row>
    <row r="375">
      <c r="A375" s="149"/>
      <c r="B375" s="164"/>
      <c r="C375" s="306"/>
      <c r="D375" s="149"/>
      <c r="E375" s="164"/>
      <c r="F375" s="306"/>
      <c r="G375" s="149"/>
      <c r="H375" s="164"/>
      <c r="I375" s="306"/>
      <c r="J375" s="149"/>
      <c r="K375" s="164"/>
      <c r="L375" s="306"/>
      <c r="M375" s="310"/>
      <c r="N375" s="311"/>
      <c r="O375" s="312"/>
      <c r="P375" s="310"/>
      <c r="Q375" s="311"/>
      <c r="R375" s="312"/>
      <c r="S375" s="310"/>
      <c r="T375" s="311"/>
      <c r="U375" s="312"/>
      <c r="V375" s="149"/>
      <c r="W375" s="311"/>
      <c r="X375" s="306"/>
      <c r="Y375" s="188"/>
      <c r="Z375" s="188"/>
      <c r="AA375" s="188"/>
      <c r="AB375" s="20"/>
      <c r="AC375" s="20"/>
      <c r="AD375" s="20"/>
      <c r="AE375" s="20"/>
    </row>
    <row r="376">
      <c r="A376" s="149"/>
      <c r="B376" s="164"/>
      <c r="C376" s="306"/>
      <c r="D376" s="149"/>
      <c r="E376" s="164"/>
      <c r="F376" s="306"/>
      <c r="G376" s="149"/>
      <c r="H376" s="164"/>
      <c r="I376" s="306"/>
      <c r="J376" s="149"/>
      <c r="K376" s="164"/>
      <c r="L376" s="306"/>
      <c r="M376" s="310"/>
      <c r="N376" s="311"/>
      <c r="O376" s="312"/>
      <c r="P376" s="310"/>
      <c r="Q376" s="311"/>
      <c r="R376" s="312"/>
      <c r="S376" s="310"/>
      <c r="T376" s="311"/>
      <c r="U376" s="312"/>
      <c r="V376" s="149"/>
      <c r="W376" s="311"/>
      <c r="X376" s="306"/>
      <c r="Y376" s="188"/>
      <c r="Z376" s="188"/>
      <c r="AA376" s="188"/>
      <c r="AB376" s="20"/>
      <c r="AC376" s="20"/>
      <c r="AD376" s="20"/>
      <c r="AE376" s="20"/>
    </row>
    <row r="377">
      <c r="A377" s="149"/>
      <c r="B377" s="164"/>
      <c r="C377" s="306"/>
      <c r="D377" s="149"/>
      <c r="E377" s="164"/>
      <c r="F377" s="306"/>
      <c r="G377" s="149"/>
      <c r="H377" s="164"/>
      <c r="I377" s="306"/>
      <c r="J377" s="149"/>
      <c r="K377" s="164"/>
      <c r="L377" s="306"/>
      <c r="M377" s="310"/>
      <c r="N377" s="311"/>
      <c r="O377" s="312"/>
      <c r="P377" s="310"/>
      <c r="Q377" s="311"/>
      <c r="R377" s="312"/>
      <c r="S377" s="310"/>
      <c r="T377" s="311"/>
      <c r="U377" s="312"/>
      <c r="V377" s="149"/>
      <c r="W377" s="311"/>
      <c r="X377" s="306"/>
      <c r="Y377" s="188"/>
      <c r="Z377" s="188"/>
      <c r="AA377" s="188"/>
      <c r="AB377" s="20"/>
      <c r="AC377" s="20"/>
      <c r="AD377" s="20"/>
      <c r="AE377" s="20"/>
    </row>
    <row r="378">
      <c r="A378" s="149"/>
      <c r="B378" s="164"/>
      <c r="C378" s="306"/>
      <c r="D378" s="149"/>
      <c r="E378" s="164"/>
      <c r="F378" s="306"/>
      <c r="G378" s="149"/>
      <c r="H378" s="164"/>
      <c r="I378" s="306"/>
      <c r="J378" s="149"/>
      <c r="K378" s="164"/>
      <c r="L378" s="306"/>
      <c r="M378" s="310"/>
      <c r="N378" s="311"/>
      <c r="O378" s="312"/>
      <c r="P378" s="310"/>
      <c r="Q378" s="311"/>
      <c r="R378" s="312"/>
      <c r="S378" s="310"/>
      <c r="T378" s="311"/>
      <c r="U378" s="312"/>
      <c r="V378" s="149"/>
      <c r="W378" s="311"/>
      <c r="X378" s="306"/>
      <c r="Y378" s="188"/>
      <c r="Z378" s="188"/>
      <c r="AA378" s="188"/>
      <c r="AB378" s="20"/>
      <c r="AC378" s="20"/>
      <c r="AD378" s="20"/>
      <c r="AE378" s="20"/>
    </row>
    <row r="379">
      <c r="A379" s="149"/>
      <c r="B379" s="164"/>
      <c r="C379" s="306"/>
      <c r="D379" s="149"/>
      <c r="E379" s="164"/>
      <c r="F379" s="306"/>
      <c r="G379" s="149"/>
      <c r="H379" s="164"/>
      <c r="I379" s="306"/>
      <c r="J379" s="149"/>
      <c r="K379" s="164"/>
      <c r="L379" s="306"/>
      <c r="M379" s="310"/>
      <c r="N379" s="311"/>
      <c r="O379" s="312"/>
      <c r="P379" s="310"/>
      <c r="Q379" s="311"/>
      <c r="R379" s="312"/>
      <c r="S379" s="310"/>
      <c r="T379" s="311"/>
      <c r="U379" s="312"/>
      <c r="V379" s="149"/>
      <c r="W379" s="311"/>
      <c r="X379" s="306"/>
      <c r="Y379" s="188"/>
      <c r="Z379" s="188"/>
      <c r="AA379" s="188"/>
      <c r="AB379" s="20"/>
      <c r="AC379" s="20"/>
      <c r="AD379" s="20"/>
      <c r="AE379" s="20"/>
    </row>
    <row r="380">
      <c r="A380" s="149"/>
      <c r="B380" s="164"/>
      <c r="C380" s="306"/>
      <c r="D380" s="149"/>
      <c r="E380" s="164"/>
      <c r="F380" s="306"/>
      <c r="G380" s="149"/>
      <c r="H380" s="164"/>
      <c r="I380" s="306"/>
      <c r="J380" s="149"/>
      <c r="K380" s="164"/>
      <c r="L380" s="306"/>
      <c r="M380" s="310"/>
      <c r="N380" s="311"/>
      <c r="O380" s="312"/>
      <c r="P380" s="310"/>
      <c r="Q380" s="311"/>
      <c r="R380" s="312"/>
      <c r="S380" s="310"/>
      <c r="T380" s="311"/>
      <c r="U380" s="312"/>
      <c r="V380" s="149"/>
      <c r="W380" s="311"/>
      <c r="X380" s="306"/>
      <c r="Y380" s="188"/>
      <c r="Z380" s="188"/>
      <c r="AA380" s="188"/>
      <c r="AB380" s="20"/>
      <c r="AC380" s="20"/>
      <c r="AD380" s="20"/>
      <c r="AE380" s="20"/>
    </row>
    <row r="381">
      <c r="A381" s="149"/>
      <c r="B381" s="164"/>
      <c r="C381" s="306"/>
      <c r="D381" s="149"/>
      <c r="E381" s="164"/>
      <c r="F381" s="306"/>
      <c r="G381" s="149"/>
      <c r="H381" s="164"/>
      <c r="I381" s="306"/>
      <c r="J381" s="149"/>
      <c r="K381" s="164"/>
      <c r="L381" s="306"/>
      <c r="M381" s="310"/>
      <c r="N381" s="311"/>
      <c r="O381" s="312"/>
      <c r="P381" s="310"/>
      <c r="Q381" s="311"/>
      <c r="R381" s="312"/>
      <c r="S381" s="310"/>
      <c r="T381" s="311"/>
      <c r="U381" s="312"/>
      <c r="V381" s="149"/>
      <c r="W381" s="311"/>
      <c r="X381" s="306"/>
      <c r="Y381" s="188"/>
      <c r="Z381" s="188"/>
      <c r="AA381" s="188"/>
      <c r="AB381" s="20"/>
      <c r="AC381" s="20"/>
      <c r="AD381" s="20"/>
      <c r="AE381" s="20"/>
    </row>
    <row r="382">
      <c r="A382" s="149"/>
      <c r="B382" s="164"/>
      <c r="C382" s="306"/>
      <c r="D382" s="149"/>
      <c r="E382" s="164"/>
      <c r="F382" s="306"/>
      <c r="G382" s="149"/>
      <c r="H382" s="164"/>
      <c r="I382" s="306"/>
      <c r="J382" s="149"/>
      <c r="K382" s="164"/>
      <c r="L382" s="306"/>
      <c r="M382" s="310"/>
      <c r="N382" s="311"/>
      <c r="O382" s="312"/>
      <c r="P382" s="310"/>
      <c r="Q382" s="311"/>
      <c r="R382" s="312"/>
      <c r="S382" s="310"/>
      <c r="T382" s="311"/>
      <c r="U382" s="312"/>
      <c r="V382" s="149"/>
      <c r="W382" s="311"/>
      <c r="X382" s="306"/>
      <c r="Y382" s="188"/>
      <c r="Z382" s="188"/>
      <c r="AA382" s="188"/>
      <c r="AB382" s="20"/>
      <c r="AC382" s="20"/>
      <c r="AD382" s="20"/>
      <c r="AE382" s="20"/>
    </row>
    <row r="383">
      <c r="A383" s="149"/>
      <c r="B383" s="164"/>
      <c r="C383" s="306"/>
      <c r="D383" s="149"/>
      <c r="E383" s="164"/>
      <c r="F383" s="306"/>
      <c r="G383" s="149"/>
      <c r="H383" s="164"/>
      <c r="I383" s="306"/>
      <c r="J383" s="149"/>
      <c r="K383" s="164"/>
      <c r="L383" s="306"/>
      <c r="M383" s="310"/>
      <c r="N383" s="311"/>
      <c r="O383" s="312"/>
      <c r="P383" s="310"/>
      <c r="Q383" s="311"/>
      <c r="R383" s="312"/>
      <c r="S383" s="310"/>
      <c r="T383" s="311"/>
      <c r="U383" s="312"/>
      <c r="V383" s="149"/>
      <c r="W383" s="311"/>
      <c r="X383" s="306"/>
      <c r="Y383" s="188"/>
      <c r="Z383" s="188"/>
      <c r="AA383" s="188"/>
      <c r="AB383" s="20"/>
      <c r="AC383" s="20"/>
      <c r="AD383" s="20"/>
      <c r="AE383" s="20"/>
    </row>
    <row r="384">
      <c r="A384" s="149"/>
      <c r="B384" s="164"/>
      <c r="C384" s="306"/>
      <c r="D384" s="149"/>
      <c r="E384" s="164"/>
      <c r="F384" s="306"/>
      <c r="G384" s="149"/>
      <c r="H384" s="164"/>
      <c r="I384" s="306"/>
      <c r="J384" s="149"/>
      <c r="K384" s="164"/>
      <c r="L384" s="306"/>
      <c r="M384" s="310"/>
      <c r="N384" s="311"/>
      <c r="O384" s="312"/>
      <c r="P384" s="310"/>
      <c r="Q384" s="311"/>
      <c r="R384" s="312"/>
      <c r="S384" s="310"/>
      <c r="T384" s="311"/>
      <c r="U384" s="312"/>
      <c r="V384" s="149"/>
      <c r="W384" s="311"/>
      <c r="X384" s="306"/>
      <c r="Y384" s="188"/>
      <c r="Z384" s="188"/>
      <c r="AA384" s="188"/>
      <c r="AB384" s="20"/>
      <c r="AC384" s="20"/>
      <c r="AD384" s="20"/>
      <c r="AE384" s="20"/>
    </row>
    <row r="385">
      <c r="A385" s="149"/>
      <c r="B385" s="164"/>
      <c r="C385" s="306"/>
      <c r="D385" s="149"/>
      <c r="E385" s="164"/>
      <c r="F385" s="306"/>
      <c r="G385" s="149"/>
      <c r="H385" s="164"/>
      <c r="I385" s="306"/>
      <c r="J385" s="149"/>
      <c r="K385" s="164"/>
      <c r="L385" s="306"/>
      <c r="M385" s="310"/>
      <c r="N385" s="311"/>
      <c r="O385" s="312"/>
      <c r="P385" s="310"/>
      <c r="Q385" s="311"/>
      <c r="R385" s="312"/>
      <c r="S385" s="310"/>
      <c r="T385" s="311"/>
      <c r="U385" s="312"/>
      <c r="V385" s="149"/>
      <c r="W385" s="311"/>
      <c r="X385" s="306"/>
      <c r="Y385" s="188"/>
      <c r="Z385" s="188"/>
      <c r="AA385" s="188"/>
      <c r="AB385" s="20"/>
      <c r="AC385" s="20"/>
      <c r="AD385" s="20"/>
      <c r="AE385" s="20"/>
    </row>
    <row r="386">
      <c r="A386" s="149"/>
      <c r="B386" s="164"/>
      <c r="C386" s="306"/>
      <c r="D386" s="149"/>
      <c r="E386" s="164"/>
      <c r="F386" s="306"/>
      <c r="G386" s="149"/>
      <c r="H386" s="164"/>
      <c r="I386" s="306"/>
      <c r="J386" s="149"/>
      <c r="K386" s="164"/>
      <c r="L386" s="306"/>
      <c r="M386" s="310"/>
      <c r="N386" s="311"/>
      <c r="O386" s="312"/>
      <c r="P386" s="310"/>
      <c r="Q386" s="311"/>
      <c r="R386" s="312"/>
      <c r="S386" s="310"/>
      <c r="T386" s="311"/>
      <c r="U386" s="312"/>
      <c r="V386" s="149"/>
      <c r="W386" s="311"/>
      <c r="X386" s="306"/>
      <c r="Y386" s="188"/>
      <c r="Z386" s="188"/>
      <c r="AA386" s="188"/>
      <c r="AB386" s="20"/>
      <c r="AC386" s="20"/>
      <c r="AD386" s="20"/>
      <c r="AE386" s="20"/>
    </row>
    <row r="387">
      <c r="A387" s="149"/>
      <c r="B387" s="164"/>
      <c r="C387" s="306"/>
      <c r="D387" s="149"/>
      <c r="E387" s="164"/>
      <c r="F387" s="306"/>
      <c r="G387" s="149"/>
      <c r="H387" s="164"/>
      <c r="I387" s="306"/>
      <c r="J387" s="149"/>
      <c r="K387" s="164"/>
      <c r="L387" s="306"/>
      <c r="M387" s="310"/>
      <c r="N387" s="311"/>
      <c r="O387" s="312"/>
      <c r="P387" s="310"/>
      <c r="Q387" s="311"/>
      <c r="R387" s="312"/>
      <c r="S387" s="310"/>
      <c r="T387" s="311"/>
      <c r="U387" s="312"/>
      <c r="V387" s="149"/>
      <c r="W387" s="311"/>
      <c r="X387" s="306"/>
      <c r="Y387" s="188"/>
      <c r="Z387" s="188"/>
      <c r="AA387" s="188"/>
      <c r="AB387" s="20"/>
      <c r="AC387" s="20"/>
      <c r="AD387" s="20"/>
      <c r="AE387" s="20"/>
    </row>
    <row r="388">
      <c r="A388" s="149"/>
      <c r="B388" s="164"/>
      <c r="C388" s="306"/>
      <c r="D388" s="149"/>
      <c r="E388" s="164"/>
      <c r="F388" s="306"/>
      <c r="G388" s="149"/>
      <c r="H388" s="164"/>
      <c r="I388" s="306"/>
      <c r="J388" s="149"/>
      <c r="K388" s="164"/>
      <c r="L388" s="306"/>
      <c r="M388" s="310"/>
      <c r="N388" s="311"/>
      <c r="O388" s="312"/>
      <c r="P388" s="310"/>
      <c r="Q388" s="311"/>
      <c r="R388" s="312"/>
      <c r="S388" s="310"/>
      <c r="T388" s="311"/>
      <c r="U388" s="312"/>
      <c r="V388" s="149"/>
      <c r="W388" s="311"/>
      <c r="X388" s="306"/>
      <c r="Y388" s="188"/>
      <c r="Z388" s="188"/>
      <c r="AA388" s="188"/>
      <c r="AB388" s="20"/>
      <c r="AC388" s="20"/>
      <c r="AD388" s="20"/>
      <c r="AE388" s="20"/>
    </row>
    <row r="389">
      <c r="A389" s="149"/>
      <c r="B389" s="164"/>
      <c r="C389" s="306"/>
      <c r="D389" s="149"/>
      <c r="E389" s="164"/>
      <c r="F389" s="306"/>
      <c r="G389" s="149"/>
      <c r="H389" s="164"/>
      <c r="I389" s="306"/>
      <c r="J389" s="149"/>
      <c r="K389" s="164"/>
      <c r="L389" s="306"/>
      <c r="M389" s="310"/>
      <c r="N389" s="311"/>
      <c r="O389" s="312"/>
      <c r="P389" s="310"/>
      <c r="Q389" s="311"/>
      <c r="R389" s="312"/>
      <c r="S389" s="310"/>
      <c r="T389" s="311"/>
      <c r="U389" s="312"/>
      <c r="V389" s="149"/>
      <c r="W389" s="311"/>
      <c r="X389" s="306"/>
      <c r="Y389" s="188"/>
      <c r="Z389" s="188"/>
      <c r="AA389" s="188"/>
      <c r="AB389" s="20"/>
      <c r="AC389" s="20"/>
      <c r="AD389" s="20"/>
      <c r="AE389" s="20"/>
    </row>
    <row r="390">
      <c r="A390" s="149"/>
      <c r="B390" s="164"/>
      <c r="C390" s="306"/>
      <c r="D390" s="149"/>
      <c r="E390" s="164"/>
      <c r="F390" s="306"/>
      <c r="G390" s="149"/>
      <c r="H390" s="164"/>
      <c r="I390" s="306"/>
      <c r="J390" s="149"/>
      <c r="K390" s="164"/>
      <c r="L390" s="306"/>
      <c r="M390" s="310"/>
      <c r="N390" s="311"/>
      <c r="O390" s="312"/>
      <c r="P390" s="310"/>
      <c r="Q390" s="311"/>
      <c r="R390" s="312"/>
      <c r="S390" s="310"/>
      <c r="T390" s="311"/>
      <c r="U390" s="312"/>
      <c r="V390" s="149"/>
      <c r="W390" s="311"/>
      <c r="X390" s="306"/>
      <c r="Y390" s="188"/>
      <c r="Z390" s="188"/>
      <c r="AA390" s="188"/>
      <c r="AB390" s="20"/>
      <c r="AC390" s="20"/>
      <c r="AD390" s="20"/>
      <c r="AE390" s="20"/>
    </row>
    <row r="391">
      <c r="A391" s="149"/>
      <c r="B391" s="164"/>
      <c r="C391" s="306"/>
      <c r="D391" s="149"/>
      <c r="E391" s="164"/>
      <c r="F391" s="306"/>
      <c r="G391" s="149"/>
      <c r="H391" s="164"/>
      <c r="I391" s="306"/>
      <c r="J391" s="149"/>
      <c r="K391" s="164"/>
      <c r="L391" s="306"/>
      <c r="M391" s="310"/>
      <c r="N391" s="311"/>
      <c r="O391" s="312"/>
      <c r="P391" s="310"/>
      <c r="Q391" s="311"/>
      <c r="R391" s="312"/>
      <c r="S391" s="310"/>
      <c r="T391" s="311"/>
      <c r="U391" s="312"/>
      <c r="V391" s="149"/>
      <c r="W391" s="311"/>
      <c r="X391" s="306"/>
      <c r="Y391" s="188"/>
      <c r="Z391" s="188"/>
      <c r="AA391" s="188"/>
      <c r="AB391" s="20"/>
      <c r="AC391" s="20"/>
      <c r="AD391" s="20"/>
      <c r="AE391" s="20"/>
    </row>
    <row r="392">
      <c r="A392" s="149"/>
      <c r="B392" s="164"/>
      <c r="C392" s="306"/>
      <c r="D392" s="149"/>
      <c r="E392" s="164"/>
      <c r="F392" s="306"/>
      <c r="G392" s="149"/>
      <c r="H392" s="164"/>
      <c r="I392" s="306"/>
      <c r="J392" s="149"/>
      <c r="K392" s="164"/>
      <c r="L392" s="306"/>
      <c r="M392" s="310"/>
      <c r="N392" s="311"/>
      <c r="O392" s="312"/>
      <c r="P392" s="310"/>
      <c r="Q392" s="311"/>
      <c r="R392" s="312"/>
      <c r="S392" s="310"/>
      <c r="T392" s="311"/>
      <c r="U392" s="312"/>
      <c r="V392" s="149"/>
      <c r="W392" s="311"/>
      <c r="X392" s="306"/>
      <c r="Y392" s="188"/>
      <c r="Z392" s="188"/>
      <c r="AA392" s="188"/>
      <c r="AB392" s="20"/>
      <c r="AC392" s="20"/>
      <c r="AD392" s="20"/>
      <c r="AE392" s="20"/>
    </row>
    <row r="393">
      <c r="A393" s="149"/>
      <c r="B393" s="164"/>
      <c r="C393" s="306"/>
      <c r="D393" s="149"/>
      <c r="E393" s="164"/>
      <c r="F393" s="306"/>
      <c r="G393" s="149"/>
      <c r="H393" s="164"/>
      <c r="I393" s="306"/>
      <c r="J393" s="149"/>
      <c r="K393" s="164"/>
      <c r="L393" s="306"/>
      <c r="M393" s="310"/>
      <c r="N393" s="311"/>
      <c r="O393" s="312"/>
      <c r="P393" s="310"/>
      <c r="Q393" s="311"/>
      <c r="R393" s="312"/>
      <c r="S393" s="310"/>
      <c r="T393" s="311"/>
      <c r="U393" s="312"/>
      <c r="V393" s="149"/>
      <c r="W393" s="311"/>
      <c r="X393" s="306"/>
      <c r="Y393" s="188"/>
      <c r="Z393" s="188"/>
      <c r="AA393" s="188"/>
      <c r="AB393" s="20"/>
      <c r="AC393" s="20"/>
      <c r="AD393" s="20"/>
      <c r="AE393" s="20"/>
    </row>
    <row r="394">
      <c r="A394" s="149"/>
      <c r="B394" s="164"/>
      <c r="C394" s="306"/>
      <c r="D394" s="149"/>
      <c r="E394" s="164"/>
      <c r="F394" s="306"/>
      <c r="G394" s="149"/>
      <c r="H394" s="164"/>
      <c r="I394" s="306"/>
      <c r="J394" s="149"/>
      <c r="K394" s="164"/>
      <c r="L394" s="306"/>
      <c r="M394" s="310"/>
      <c r="N394" s="311"/>
      <c r="O394" s="312"/>
      <c r="P394" s="310"/>
      <c r="Q394" s="311"/>
      <c r="R394" s="312"/>
      <c r="S394" s="310"/>
      <c r="T394" s="311"/>
      <c r="U394" s="312"/>
      <c r="V394" s="149"/>
      <c r="W394" s="311"/>
      <c r="X394" s="306"/>
      <c r="Y394" s="188"/>
      <c r="Z394" s="188"/>
      <c r="AA394" s="188"/>
      <c r="AB394" s="20"/>
      <c r="AC394" s="20"/>
      <c r="AD394" s="20"/>
      <c r="AE394" s="20"/>
    </row>
    <row r="395">
      <c r="A395" s="149"/>
      <c r="B395" s="164"/>
      <c r="C395" s="306"/>
      <c r="D395" s="149"/>
      <c r="E395" s="164"/>
      <c r="F395" s="306"/>
      <c r="G395" s="149"/>
      <c r="H395" s="164"/>
      <c r="I395" s="306"/>
      <c r="J395" s="149"/>
      <c r="K395" s="164"/>
      <c r="L395" s="306"/>
      <c r="M395" s="310"/>
      <c r="N395" s="311"/>
      <c r="O395" s="312"/>
      <c r="P395" s="310"/>
      <c r="Q395" s="311"/>
      <c r="R395" s="312"/>
      <c r="S395" s="310"/>
      <c r="T395" s="311"/>
      <c r="U395" s="312"/>
      <c r="V395" s="149"/>
      <c r="W395" s="311"/>
      <c r="X395" s="306"/>
      <c r="Y395" s="188"/>
      <c r="Z395" s="188"/>
      <c r="AA395" s="188"/>
      <c r="AB395" s="20"/>
      <c r="AC395" s="20"/>
      <c r="AD395" s="20"/>
      <c r="AE395" s="20"/>
    </row>
    <row r="396">
      <c r="A396" s="149"/>
      <c r="B396" s="164"/>
      <c r="C396" s="306"/>
      <c r="D396" s="149"/>
      <c r="E396" s="164"/>
      <c r="F396" s="306"/>
      <c r="G396" s="149"/>
      <c r="H396" s="164"/>
      <c r="I396" s="306"/>
      <c r="J396" s="149"/>
      <c r="K396" s="164"/>
      <c r="L396" s="306"/>
      <c r="M396" s="310"/>
      <c r="N396" s="311"/>
      <c r="O396" s="312"/>
      <c r="P396" s="310"/>
      <c r="Q396" s="311"/>
      <c r="R396" s="312"/>
      <c r="S396" s="310"/>
      <c r="T396" s="311"/>
      <c r="U396" s="312"/>
      <c r="V396" s="149"/>
      <c r="W396" s="311"/>
      <c r="X396" s="306"/>
      <c r="Y396" s="188"/>
      <c r="Z396" s="188"/>
      <c r="AA396" s="188"/>
      <c r="AB396" s="20"/>
      <c r="AC396" s="20"/>
      <c r="AD396" s="20"/>
      <c r="AE396" s="20"/>
    </row>
    <row r="397">
      <c r="A397" s="149"/>
      <c r="B397" s="164"/>
      <c r="C397" s="306"/>
      <c r="D397" s="149"/>
      <c r="E397" s="164"/>
      <c r="F397" s="306"/>
      <c r="G397" s="149"/>
      <c r="H397" s="164"/>
      <c r="I397" s="306"/>
      <c r="J397" s="149"/>
      <c r="K397" s="164"/>
      <c r="L397" s="306"/>
      <c r="M397" s="310"/>
      <c r="N397" s="311"/>
      <c r="O397" s="312"/>
      <c r="P397" s="310"/>
      <c r="Q397" s="311"/>
      <c r="R397" s="312"/>
      <c r="S397" s="310"/>
      <c r="T397" s="311"/>
      <c r="U397" s="312"/>
      <c r="V397" s="149"/>
      <c r="W397" s="311"/>
      <c r="X397" s="306"/>
      <c r="Y397" s="188"/>
      <c r="Z397" s="188"/>
      <c r="AA397" s="188"/>
      <c r="AB397" s="20"/>
      <c r="AC397" s="20"/>
      <c r="AD397" s="20"/>
      <c r="AE397" s="20"/>
    </row>
    <row r="398">
      <c r="A398" s="149"/>
      <c r="B398" s="164"/>
      <c r="C398" s="306"/>
      <c r="D398" s="149"/>
      <c r="E398" s="164"/>
      <c r="F398" s="306"/>
      <c r="G398" s="149"/>
      <c r="H398" s="164"/>
      <c r="I398" s="306"/>
      <c r="J398" s="149"/>
      <c r="K398" s="164"/>
      <c r="L398" s="306"/>
      <c r="M398" s="310"/>
      <c r="N398" s="311"/>
      <c r="O398" s="312"/>
      <c r="P398" s="310"/>
      <c r="Q398" s="311"/>
      <c r="R398" s="312"/>
      <c r="S398" s="310"/>
      <c r="T398" s="311"/>
      <c r="U398" s="312"/>
      <c r="V398" s="149"/>
      <c r="W398" s="311"/>
      <c r="X398" s="306"/>
      <c r="Y398" s="188"/>
      <c r="Z398" s="188"/>
      <c r="AA398" s="188"/>
      <c r="AB398" s="20"/>
      <c r="AC398" s="20"/>
      <c r="AD398" s="20"/>
      <c r="AE398" s="20"/>
    </row>
    <row r="399">
      <c r="A399" s="149"/>
      <c r="B399" s="164"/>
      <c r="C399" s="306"/>
      <c r="D399" s="149"/>
      <c r="E399" s="164"/>
      <c r="F399" s="306"/>
      <c r="G399" s="149"/>
      <c r="H399" s="164"/>
      <c r="I399" s="306"/>
      <c r="J399" s="149"/>
      <c r="K399" s="164"/>
      <c r="L399" s="306"/>
      <c r="M399" s="310"/>
      <c r="N399" s="311"/>
      <c r="O399" s="312"/>
      <c r="P399" s="310"/>
      <c r="Q399" s="311"/>
      <c r="R399" s="312"/>
      <c r="S399" s="310"/>
      <c r="T399" s="311"/>
      <c r="U399" s="312"/>
      <c r="V399" s="149"/>
      <c r="W399" s="311"/>
      <c r="X399" s="306"/>
      <c r="Y399" s="188"/>
      <c r="Z399" s="188"/>
      <c r="AA399" s="188"/>
      <c r="AB399" s="20"/>
      <c r="AC399" s="20"/>
      <c r="AD399" s="20"/>
      <c r="AE399" s="20"/>
    </row>
    <row r="400">
      <c r="A400" s="149"/>
      <c r="B400" s="164"/>
      <c r="C400" s="306"/>
      <c r="D400" s="149"/>
      <c r="E400" s="164"/>
      <c r="F400" s="306"/>
      <c r="G400" s="149"/>
      <c r="H400" s="164"/>
      <c r="I400" s="306"/>
      <c r="J400" s="149"/>
      <c r="K400" s="164"/>
      <c r="L400" s="306"/>
      <c r="M400" s="310"/>
      <c r="N400" s="311"/>
      <c r="O400" s="312"/>
      <c r="P400" s="310"/>
      <c r="Q400" s="311"/>
      <c r="R400" s="312"/>
      <c r="S400" s="310"/>
      <c r="T400" s="311"/>
      <c r="U400" s="312"/>
      <c r="V400" s="149"/>
      <c r="W400" s="311"/>
      <c r="X400" s="306"/>
      <c r="Y400" s="188"/>
      <c r="Z400" s="188"/>
      <c r="AA400" s="188"/>
      <c r="AB400" s="20"/>
      <c r="AC400" s="20"/>
      <c r="AD400" s="20"/>
      <c r="AE400" s="20"/>
    </row>
    <row r="401">
      <c r="A401" s="149"/>
      <c r="B401" s="164"/>
      <c r="C401" s="306"/>
      <c r="D401" s="149"/>
      <c r="E401" s="164"/>
      <c r="F401" s="306"/>
      <c r="G401" s="149"/>
      <c r="H401" s="164"/>
      <c r="I401" s="306"/>
      <c r="J401" s="149"/>
      <c r="K401" s="164"/>
      <c r="L401" s="306"/>
      <c r="M401" s="310"/>
      <c r="N401" s="311"/>
      <c r="O401" s="312"/>
      <c r="P401" s="310"/>
      <c r="Q401" s="311"/>
      <c r="R401" s="312"/>
      <c r="S401" s="310"/>
      <c r="T401" s="311"/>
      <c r="U401" s="312"/>
      <c r="V401" s="149"/>
      <c r="W401" s="311"/>
      <c r="X401" s="306"/>
      <c r="Y401" s="188"/>
      <c r="Z401" s="188"/>
      <c r="AA401" s="188"/>
      <c r="AB401" s="20"/>
      <c r="AC401" s="20"/>
      <c r="AD401" s="20"/>
      <c r="AE401" s="20"/>
    </row>
    <row r="402">
      <c r="A402" s="149"/>
      <c r="B402" s="164"/>
      <c r="C402" s="306"/>
      <c r="D402" s="149"/>
      <c r="E402" s="164"/>
      <c r="F402" s="306"/>
      <c r="G402" s="149"/>
      <c r="H402" s="164"/>
      <c r="I402" s="306"/>
      <c r="J402" s="149"/>
      <c r="K402" s="164"/>
      <c r="L402" s="306"/>
      <c r="M402" s="310"/>
      <c r="N402" s="311"/>
      <c r="O402" s="312"/>
      <c r="P402" s="310"/>
      <c r="Q402" s="311"/>
      <c r="R402" s="312"/>
      <c r="S402" s="310"/>
      <c r="T402" s="311"/>
      <c r="U402" s="312"/>
      <c r="V402" s="149"/>
      <c r="W402" s="311"/>
      <c r="X402" s="306"/>
      <c r="Y402" s="188"/>
      <c r="Z402" s="188"/>
      <c r="AA402" s="188"/>
      <c r="AB402" s="20"/>
      <c r="AC402" s="20"/>
      <c r="AD402" s="20"/>
      <c r="AE402" s="20"/>
    </row>
    <row r="403">
      <c r="A403" s="149"/>
      <c r="B403" s="164"/>
      <c r="C403" s="306"/>
      <c r="D403" s="149"/>
      <c r="E403" s="164"/>
      <c r="F403" s="306"/>
      <c r="G403" s="149"/>
      <c r="H403" s="164"/>
      <c r="I403" s="306"/>
      <c r="J403" s="149"/>
      <c r="K403" s="164"/>
      <c r="L403" s="306"/>
      <c r="M403" s="310"/>
      <c r="N403" s="311"/>
      <c r="O403" s="312"/>
      <c r="P403" s="310"/>
      <c r="Q403" s="311"/>
      <c r="R403" s="312"/>
      <c r="S403" s="310"/>
      <c r="T403" s="311"/>
      <c r="U403" s="312"/>
      <c r="V403" s="149"/>
      <c r="W403" s="311"/>
      <c r="X403" s="306"/>
      <c r="Y403" s="188"/>
      <c r="Z403" s="188"/>
      <c r="AA403" s="188"/>
      <c r="AB403" s="20"/>
      <c r="AC403" s="20"/>
      <c r="AD403" s="20"/>
      <c r="AE403" s="20"/>
    </row>
    <row r="404">
      <c r="A404" s="149"/>
      <c r="B404" s="164"/>
      <c r="C404" s="306"/>
      <c r="D404" s="149"/>
      <c r="E404" s="164"/>
      <c r="F404" s="306"/>
      <c r="G404" s="149"/>
      <c r="H404" s="164"/>
      <c r="I404" s="306"/>
      <c r="J404" s="149"/>
      <c r="K404" s="164"/>
      <c r="L404" s="306"/>
      <c r="M404" s="310"/>
      <c r="N404" s="311"/>
      <c r="O404" s="312"/>
      <c r="P404" s="310"/>
      <c r="Q404" s="311"/>
      <c r="R404" s="312"/>
      <c r="S404" s="310"/>
      <c r="T404" s="311"/>
      <c r="U404" s="312"/>
      <c r="V404" s="149"/>
      <c r="W404" s="311"/>
      <c r="X404" s="306"/>
      <c r="Y404" s="188"/>
      <c r="Z404" s="188"/>
      <c r="AA404" s="188"/>
      <c r="AB404" s="20"/>
      <c r="AC404" s="20"/>
      <c r="AD404" s="20"/>
      <c r="AE404" s="20"/>
    </row>
    <row r="405">
      <c r="A405" s="149"/>
      <c r="B405" s="164"/>
      <c r="C405" s="306"/>
      <c r="D405" s="149"/>
      <c r="E405" s="164"/>
      <c r="F405" s="306"/>
      <c r="G405" s="149"/>
      <c r="H405" s="164"/>
      <c r="I405" s="306"/>
      <c r="J405" s="149"/>
      <c r="K405" s="164"/>
      <c r="L405" s="306"/>
      <c r="M405" s="310"/>
      <c r="N405" s="311"/>
      <c r="O405" s="312"/>
      <c r="P405" s="310"/>
      <c r="Q405" s="311"/>
      <c r="R405" s="312"/>
      <c r="S405" s="310"/>
      <c r="T405" s="311"/>
      <c r="U405" s="312"/>
      <c r="V405" s="149"/>
      <c r="W405" s="311"/>
      <c r="X405" s="306"/>
      <c r="Y405" s="188"/>
      <c r="Z405" s="188"/>
      <c r="AA405" s="188"/>
      <c r="AB405" s="20"/>
      <c r="AC405" s="20"/>
      <c r="AD405" s="20"/>
      <c r="AE405" s="20"/>
    </row>
    <row r="406">
      <c r="A406" s="149"/>
      <c r="B406" s="164"/>
      <c r="C406" s="306"/>
      <c r="D406" s="149"/>
      <c r="E406" s="164"/>
      <c r="F406" s="306"/>
      <c r="G406" s="149"/>
      <c r="H406" s="164"/>
      <c r="I406" s="306"/>
      <c r="J406" s="149"/>
      <c r="K406" s="164"/>
      <c r="L406" s="306"/>
      <c r="M406" s="310"/>
      <c r="N406" s="311"/>
      <c r="O406" s="312"/>
      <c r="P406" s="310"/>
      <c r="Q406" s="311"/>
      <c r="R406" s="312"/>
      <c r="S406" s="310"/>
      <c r="T406" s="311"/>
      <c r="U406" s="312"/>
      <c r="V406" s="149"/>
      <c r="W406" s="311"/>
      <c r="X406" s="306"/>
      <c r="Y406" s="188"/>
      <c r="Z406" s="188"/>
      <c r="AA406" s="188"/>
      <c r="AB406" s="20"/>
      <c r="AC406" s="20"/>
      <c r="AD406" s="20"/>
      <c r="AE406" s="20"/>
    </row>
    <row r="407">
      <c r="A407" s="149"/>
      <c r="B407" s="164"/>
      <c r="C407" s="306"/>
      <c r="D407" s="149"/>
      <c r="E407" s="164"/>
      <c r="F407" s="306"/>
      <c r="G407" s="149"/>
      <c r="H407" s="164"/>
      <c r="I407" s="306"/>
      <c r="J407" s="149"/>
      <c r="K407" s="164"/>
      <c r="L407" s="306"/>
      <c r="M407" s="310"/>
      <c r="N407" s="311"/>
      <c r="O407" s="312"/>
      <c r="P407" s="310"/>
      <c r="Q407" s="311"/>
      <c r="R407" s="312"/>
      <c r="S407" s="310"/>
      <c r="T407" s="311"/>
      <c r="U407" s="312"/>
      <c r="V407" s="149"/>
      <c r="W407" s="311"/>
      <c r="X407" s="306"/>
      <c r="Y407" s="188"/>
      <c r="Z407" s="188"/>
      <c r="AA407" s="188"/>
      <c r="AB407" s="20"/>
      <c r="AC407" s="20"/>
      <c r="AD407" s="20"/>
      <c r="AE407" s="20"/>
    </row>
    <row r="408">
      <c r="A408" s="149"/>
      <c r="B408" s="164"/>
      <c r="C408" s="306"/>
      <c r="D408" s="149"/>
      <c r="E408" s="164"/>
      <c r="F408" s="306"/>
      <c r="G408" s="149"/>
      <c r="H408" s="164"/>
      <c r="I408" s="306"/>
      <c r="J408" s="149"/>
      <c r="K408" s="164"/>
      <c r="L408" s="306"/>
      <c r="M408" s="310"/>
      <c r="N408" s="311"/>
      <c r="O408" s="312"/>
      <c r="P408" s="310"/>
      <c r="Q408" s="311"/>
      <c r="R408" s="312"/>
      <c r="S408" s="310"/>
      <c r="T408" s="311"/>
      <c r="U408" s="312"/>
      <c r="V408" s="149"/>
      <c r="W408" s="311"/>
      <c r="X408" s="306"/>
      <c r="Y408" s="188"/>
      <c r="Z408" s="188"/>
      <c r="AA408" s="188"/>
      <c r="AB408" s="20"/>
      <c r="AC408" s="20"/>
      <c r="AD408" s="20"/>
      <c r="AE408" s="20"/>
    </row>
    <row r="409">
      <c r="A409" s="149"/>
      <c r="B409" s="164"/>
      <c r="C409" s="306"/>
      <c r="D409" s="149"/>
      <c r="E409" s="164"/>
      <c r="F409" s="306"/>
      <c r="G409" s="149"/>
      <c r="H409" s="164"/>
      <c r="I409" s="306"/>
      <c r="J409" s="149"/>
      <c r="K409" s="164"/>
      <c r="L409" s="306"/>
      <c r="M409" s="310"/>
      <c r="N409" s="311"/>
      <c r="O409" s="312"/>
      <c r="P409" s="310"/>
      <c r="Q409" s="311"/>
      <c r="R409" s="312"/>
      <c r="S409" s="310"/>
      <c r="T409" s="311"/>
      <c r="U409" s="312"/>
      <c r="V409" s="149"/>
      <c r="W409" s="311"/>
      <c r="X409" s="306"/>
      <c r="Y409" s="188"/>
      <c r="Z409" s="188"/>
      <c r="AA409" s="188"/>
      <c r="AB409" s="20"/>
      <c r="AC409" s="20"/>
      <c r="AD409" s="20"/>
      <c r="AE409" s="20"/>
    </row>
    <row r="410">
      <c r="A410" s="149"/>
      <c r="B410" s="164"/>
      <c r="C410" s="306"/>
      <c r="D410" s="149"/>
      <c r="E410" s="164"/>
      <c r="F410" s="306"/>
      <c r="G410" s="149"/>
      <c r="H410" s="164"/>
      <c r="I410" s="306"/>
      <c r="J410" s="149"/>
      <c r="K410" s="164"/>
      <c r="L410" s="306"/>
      <c r="M410" s="310"/>
      <c r="N410" s="311"/>
      <c r="O410" s="312"/>
      <c r="P410" s="310"/>
      <c r="Q410" s="311"/>
      <c r="R410" s="312"/>
      <c r="S410" s="310"/>
      <c r="T410" s="311"/>
      <c r="U410" s="312"/>
      <c r="V410" s="149"/>
      <c r="W410" s="311"/>
      <c r="X410" s="306"/>
      <c r="Y410" s="188"/>
      <c r="Z410" s="188"/>
      <c r="AA410" s="188"/>
      <c r="AB410" s="20"/>
      <c r="AC410" s="20"/>
      <c r="AD410" s="20"/>
      <c r="AE410" s="20"/>
    </row>
    <row r="411">
      <c r="A411" s="149"/>
      <c r="B411" s="164"/>
      <c r="C411" s="306"/>
      <c r="D411" s="149"/>
      <c r="E411" s="164"/>
      <c r="F411" s="306"/>
      <c r="G411" s="149"/>
      <c r="H411" s="164"/>
      <c r="I411" s="306"/>
      <c r="J411" s="149"/>
      <c r="K411" s="164"/>
      <c r="L411" s="306"/>
      <c r="M411" s="310"/>
      <c r="N411" s="311"/>
      <c r="O411" s="312"/>
      <c r="P411" s="310"/>
      <c r="Q411" s="311"/>
      <c r="R411" s="312"/>
      <c r="S411" s="310"/>
      <c r="T411" s="311"/>
      <c r="U411" s="312"/>
      <c r="V411" s="149"/>
      <c r="W411" s="311"/>
      <c r="X411" s="306"/>
      <c r="Y411" s="188"/>
      <c r="Z411" s="188"/>
      <c r="AA411" s="188"/>
      <c r="AB411" s="20"/>
      <c r="AC411" s="20"/>
      <c r="AD411" s="20"/>
      <c r="AE411" s="20"/>
    </row>
    <row r="412">
      <c r="A412" s="149"/>
      <c r="B412" s="164"/>
      <c r="C412" s="306"/>
      <c r="D412" s="149"/>
      <c r="E412" s="164"/>
      <c r="F412" s="306"/>
      <c r="G412" s="149"/>
      <c r="H412" s="164"/>
      <c r="I412" s="306"/>
      <c r="J412" s="149"/>
      <c r="K412" s="164"/>
      <c r="L412" s="306"/>
      <c r="M412" s="310"/>
      <c r="N412" s="311"/>
      <c r="O412" s="312"/>
      <c r="P412" s="310"/>
      <c r="Q412" s="311"/>
      <c r="R412" s="312"/>
      <c r="S412" s="310"/>
      <c r="T412" s="311"/>
      <c r="U412" s="312"/>
      <c r="V412" s="149"/>
      <c r="W412" s="311"/>
      <c r="X412" s="306"/>
      <c r="Y412" s="188"/>
      <c r="Z412" s="188"/>
      <c r="AA412" s="188"/>
      <c r="AB412" s="20"/>
      <c r="AC412" s="20"/>
      <c r="AD412" s="20"/>
      <c r="AE412" s="20"/>
    </row>
    <row r="413">
      <c r="A413" s="149"/>
      <c r="B413" s="164"/>
      <c r="C413" s="306"/>
      <c r="D413" s="149"/>
      <c r="E413" s="164"/>
      <c r="F413" s="306"/>
      <c r="G413" s="149"/>
      <c r="H413" s="164"/>
      <c r="I413" s="306"/>
      <c r="J413" s="149"/>
      <c r="K413" s="164"/>
      <c r="L413" s="306"/>
      <c r="M413" s="310"/>
      <c r="N413" s="311"/>
      <c r="O413" s="312"/>
      <c r="P413" s="310"/>
      <c r="Q413" s="311"/>
      <c r="R413" s="312"/>
      <c r="S413" s="310"/>
      <c r="T413" s="311"/>
      <c r="U413" s="312"/>
      <c r="V413" s="149"/>
      <c r="W413" s="311"/>
      <c r="X413" s="306"/>
      <c r="Y413" s="188"/>
      <c r="Z413" s="188"/>
      <c r="AA413" s="188"/>
      <c r="AB413" s="20"/>
      <c r="AC413" s="20"/>
      <c r="AD413" s="20"/>
      <c r="AE413" s="20"/>
    </row>
    <row r="414">
      <c r="A414" s="149"/>
      <c r="B414" s="164"/>
      <c r="C414" s="306"/>
      <c r="D414" s="149"/>
      <c r="E414" s="164"/>
      <c r="F414" s="306"/>
      <c r="G414" s="149"/>
      <c r="H414" s="164"/>
      <c r="I414" s="306"/>
      <c r="J414" s="149"/>
      <c r="K414" s="164"/>
      <c r="L414" s="306"/>
      <c r="M414" s="310"/>
      <c r="N414" s="311"/>
      <c r="O414" s="312"/>
      <c r="P414" s="310"/>
      <c r="Q414" s="311"/>
      <c r="R414" s="312"/>
      <c r="S414" s="310"/>
      <c r="T414" s="311"/>
      <c r="U414" s="312"/>
      <c r="V414" s="149"/>
      <c r="W414" s="311"/>
      <c r="X414" s="306"/>
      <c r="Y414" s="188"/>
      <c r="Z414" s="188"/>
      <c r="AA414" s="188"/>
      <c r="AB414" s="20"/>
      <c r="AC414" s="20"/>
      <c r="AD414" s="20"/>
      <c r="AE414" s="20"/>
    </row>
    <row r="415">
      <c r="A415" s="149"/>
      <c r="B415" s="164"/>
      <c r="C415" s="306"/>
      <c r="D415" s="149"/>
      <c r="E415" s="164"/>
      <c r="F415" s="306"/>
      <c r="G415" s="149"/>
      <c r="H415" s="164"/>
      <c r="I415" s="306"/>
      <c r="J415" s="149"/>
      <c r="K415" s="164"/>
      <c r="L415" s="306"/>
      <c r="M415" s="310"/>
      <c r="N415" s="311"/>
      <c r="O415" s="312"/>
      <c r="P415" s="310"/>
      <c r="Q415" s="311"/>
      <c r="R415" s="312"/>
      <c r="S415" s="310"/>
      <c r="T415" s="311"/>
      <c r="U415" s="312"/>
      <c r="V415" s="149"/>
      <c r="W415" s="311"/>
      <c r="X415" s="306"/>
      <c r="Y415" s="188"/>
      <c r="Z415" s="188"/>
      <c r="AA415" s="188"/>
      <c r="AB415" s="20"/>
      <c r="AC415" s="20"/>
      <c r="AD415" s="20"/>
      <c r="AE415" s="20"/>
    </row>
    <row r="416">
      <c r="A416" s="149"/>
      <c r="B416" s="164"/>
      <c r="C416" s="306"/>
      <c r="D416" s="149"/>
      <c r="E416" s="164"/>
      <c r="F416" s="306"/>
      <c r="G416" s="149"/>
      <c r="H416" s="164"/>
      <c r="I416" s="306"/>
      <c r="J416" s="149"/>
      <c r="K416" s="164"/>
      <c r="L416" s="306"/>
      <c r="M416" s="310"/>
      <c r="N416" s="311"/>
      <c r="O416" s="312"/>
      <c r="P416" s="310"/>
      <c r="Q416" s="311"/>
      <c r="R416" s="312"/>
      <c r="S416" s="310"/>
      <c r="T416" s="311"/>
      <c r="U416" s="312"/>
      <c r="V416" s="149"/>
      <c r="W416" s="311"/>
      <c r="X416" s="306"/>
      <c r="Y416" s="188"/>
      <c r="Z416" s="188"/>
      <c r="AA416" s="188"/>
      <c r="AB416" s="20"/>
      <c r="AC416" s="20"/>
      <c r="AD416" s="20"/>
      <c r="AE416" s="20"/>
    </row>
    <row r="417">
      <c r="A417" s="149"/>
      <c r="B417" s="164"/>
      <c r="C417" s="306"/>
      <c r="D417" s="149"/>
      <c r="E417" s="164"/>
      <c r="F417" s="306"/>
      <c r="G417" s="149"/>
      <c r="H417" s="164"/>
      <c r="I417" s="306"/>
      <c r="J417" s="149"/>
      <c r="K417" s="164"/>
      <c r="L417" s="306"/>
      <c r="M417" s="310"/>
      <c r="N417" s="311"/>
      <c r="O417" s="312"/>
      <c r="P417" s="310"/>
      <c r="Q417" s="311"/>
      <c r="R417" s="312"/>
      <c r="S417" s="310"/>
      <c r="T417" s="311"/>
      <c r="U417" s="312"/>
      <c r="V417" s="149"/>
      <c r="W417" s="311"/>
      <c r="X417" s="306"/>
      <c r="Y417" s="188"/>
      <c r="Z417" s="188"/>
      <c r="AA417" s="188"/>
      <c r="AB417" s="20"/>
      <c r="AC417" s="20"/>
      <c r="AD417" s="20"/>
      <c r="AE417" s="20"/>
    </row>
    <row r="418">
      <c r="A418" s="149"/>
      <c r="B418" s="164"/>
      <c r="C418" s="306"/>
      <c r="D418" s="149"/>
      <c r="E418" s="164"/>
      <c r="F418" s="306"/>
      <c r="G418" s="149"/>
      <c r="H418" s="164"/>
      <c r="I418" s="306"/>
      <c r="J418" s="149"/>
      <c r="K418" s="164"/>
      <c r="L418" s="306"/>
      <c r="M418" s="310"/>
      <c r="N418" s="311"/>
      <c r="O418" s="312"/>
      <c r="P418" s="310"/>
      <c r="Q418" s="311"/>
      <c r="R418" s="312"/>
      <c r="S418" s="310"/>
      <c r="T418" s="311"/>
      <c r="U418" s="312"/>
      <c r="V418" s="149"/>
      <c r="W418" s="311"/>
      <c r="X418" s="306"/>
      <c r="Y418" s="188"/>
      <c r="Z418" s="188"/>
      <c r="AA418" s="188"/>
      <c r="AB418" s="20"/>
      <c r="AC418" s="20"/>
      <c r="AD418" s="20"/>
      <c r="AE418" s="20"/>
    </row>
    <row r="419">
      <c r="A419" s="149"/>
      <c r="B419" s="164"/>
      <c r="C419" s="306"/>
      <c r="D419" s="149"/>
      <c r="E419" s="164"/>
      <c r="F419" s="306"/>
      <c r="G419" s="149"/>
      <c r="H419" s="164"/>
      <c r="I419" s="306"/>
      <c r="J419" s="149"/>
      <c r="K419" s="164"/>
      <c r="L419" s="306"/>
      <c r="M419" s="310"/>
      <c r="N419" s="311"/>
      <c r="O419" s="312"/>
      <c r="P419" s="310"/>
      <c r="Q419" s="311"/>
      <c r="R419" s="312"/>
      <c r="S419" s="310"/>
      <c r="T419" s="311"/>
      <c r="U419" s="312"/>
      <c r="V419" s="149"/>
      <c r="W419" s="311"/>
      <c r="X419" s="306"/>
      <c r="Y419" s="188"/>
      <c r="Z419" s="188"/>
      <c r="AA419" s="188"/>
      <c r="AB419" s="20"/>
      <c r="AC419" s="20"/>
      <c r="AD419" s="20"/>
      <c r="AE419" s="20"/>
    </row>
    <row r="420">
      <c r="A420" s="149"/>
      <c r="B420" s="164"/>
      <c r="C420" s="306"/>
      <c r="D420" s="149"/>
      <c r="E420" s="164"/>
      <c r="F420" s="306"/>
      <c r="G420" s="149"/>
      <c r="H420" s="164"/>
      <c r="I420" s="306"/>
      <c r="J420" s="149"/>
      <c r="K420" s="164"/>
      <c r="L420" s="306"/>
      <c r="M420" s="310"/>
      <c r="N420" s="311"/>
      <c r="O420" s="312"/>
      <c r="P420" s="310"/>
      <c r="Q420" s="311"/>
      <c r="R420" s="312"/>
      <c r="S420" s="310"/>
      <c r="T420" s="311"/>
      <c r="U420" s="312"/>
      <c r="V420" s="149"/>
      <c r="W420" s="311"/>
      <c r="X420" s="306"/>
      <c r="Y420" s="188"/>
      <c r="Z420" s="188"/>
      <c r="AA420" s="188"/>
      <c r="AB420" s="20"/>
      <c r="AC420" s="20"/>
      <c r="AD420" s="20"/>
      <c r="AE420" s="20"/>
    </row>
    <row r="421">
      <c r="A421" s="149"/>
      <c r="B421" s="164"/>
      <c r="C421" s="306"/>
      <c r="D421" s="149"/>
      <c r="E421" s="164"/>
      <c r="F421" s="306"/>
      <c r="G421" s="149"/>
      <c r="H421" s="164"/>
      <c r="I421" s="306"/>
      <c r="J421" s="149"/>
      <c r="K421" s="164"/>
      <c r="L421" s="306"/>
      <c r="M421" s="310"/>
      <c r="N421" s="311"/>
      <c r="O421" s="312"/>
      <c r="P421" s="310"/>
      <c r="Q421" s="311"/>
      <c r="R421" s="312"/>
      <c r="S421" s="310"/>
      <c r="T421" s="311"/>
      <c r="U421" s="312"/>
      <c r="V421" s="149"/>
      <c r="W421" s="311"/>
      <c r="X421" s="306"/>
      <c r="Y421" s="188"/>
      <c r="Z421" s="188"/>
      <c r="AA421" s="188"/>
      <c r="AB421" s="20"/>
      <c r="AC421" s="20"/>
      <c r="AD421" s="20"/>
      <c r="AE421" s="20"/>
    </row>
    <row r="422">
      <c r="A422" s="149"/>
      <c r="B422" s="164"/>
      <c r="C422" s="306"/>
      <c r="D422" s="149"/>
      <c r="E422" s="164"/>
      <c r="F422" s="306"/>
      <c r="G422" s="149"/>
      <c r="H422" s="164"/>
      <c r="I422" s="306"/>
      <c r="J422" s="149"/>
      <c r="K422" s="164"/>
      <c r="L422" s="306"/>
      <c r="M422" s="310"/>
      <c r="N422" s="311"/>
      <c r="O422" s="312"/>
      <c r="P422" s="310"/>
      <c r="Q422" s="311"/>
      <c r="R422" s="312"/>
      <c r="S422" s="310"/>
      <c r="T422" s="311"/>
      <c r="U422" s="312"/>
      <c r="V422" s="149"/>
      <c r="W422" s="311"/>
      <c r="X422" s="306"/>
      <c r="Y422" s="188"/>
      <c r="Z422" s="188"/>
      <c r="AA422" s="188"/>
      <c r="AB422" s="20"/>
      <c r="AC422" s="20"/>
      <c r="AD422" s="20"/>
      <c r="AE422" s="20"/>
    </row>
    <row r="423">
      <c r="A423" s="149"/>
      <c r="B423" s="164"/>
      <c r="C423" s="306"/>
      <c r="D423" s="149"/>
      <c r="E423" s="164"/>
      <c r="F423" s="306"/>
      <c r="G423" s="149"/>
      <c r="H423" s="164"/>
      <c r="I423" s="306"/>
      <c r="J423" s="149"/>
      <c r="K423" s="164"/>
      <c r="L423" s="306"/>
      <c r="M423" s="310"/>
      <c r="N423" s="311"/>
      <c r="O423" s="312"/>
      <c r="P423" s="310"/>
      <c r="Q423" s="311"/>
      <c r="R423" s="312"/>
      <c r="S423" s="310"/>
      <c r="T423" s="311"/>
      <c r="U423" s="312"/>
      <c r="V423" s="149"/>
      <c r="W423" s="311"/>
      <c r="X423" s="306"/>
      <c r="Y423" s="188"/>
      <c r="Z423" s="188"/>
      <c r="AA423" s="188"/>
      <c r="AB423" s="20"/>
      <c r="AC423" s="20"/>
      <c r="AD423" s="20"/>
      <c r="AE423" s="20"/>
    </row>
    <row r="424">
      <c r="A424" s="149"/>
      <c r="B424" s="164"/>
      <c r="C424" s="306"/>
      <c r="D424" s="149"/>
      <c r="E424" s="164"/>
      <c r="F424" s="306"/>
      <c r="G424" s="149"/>
      <c r="H424" s="164"/>
      <c r="I424" s="306"/>
      <c r="J424" s="149"/>
      <c r="K424" s="164"/>
      <c r="L424" s="306"/>
      <c r="M424" s="310"/>
      <c r="N424" s="311"/>
      <c r="O424" s="312"/>
      <c r="P424" s="310"/>
      <c r="Q424" s="311"/>
      <c r="R424" s="312"/>
      <c r="S424" s="310"/>
      <c r="T424" s="311"/>
      <c r="U424" s="312"/>
      <c r="V424" s="149"/>
      <c r="W424" s="311"/>
      <c r="X424" s="306"/>
      <c r="Y424" s="188"/>
      <c r="Z424" s="188"/>
      <c r="AA424" s="188"/>
      <c r="AB424" s="20"/>
      <c r="AC424" s="20"/>
      <c r="AD424" s="20"/>
      <c r="AE424" s="20"/>
    </row>
    <row r="425">
      <c r="A425" s="149"/>
      <c r="B425" s="164"/>
      <c r="C425" s="306"/>
      <c r="D425" s="149"/>
      <c r="E425" s="164"/>
      <c r="F425" s="306"/>
      <c r="G425" s="149"/>
      <c r="H425" s="164"/>
      <c r="I425" s="306"/>
      <c r="J425" s="149"/>
      <c r="K425" s="164"/>
      <c r="L425" s="306"/>
      <c r="M425" s="310"/>
      <c r="N425" s="311"/>
      <c r="O425" s="312"/>
      <c r="P425" s="310"/>
      <c r="Q425" s="311"/>
      <c r="R425" s="312"/>
      <c r="S425" s="310"/>
      <c r="T425" s="311"/>
      <c r="U425" s="312"/>
      <c r="V425" s="149"/>
      <c r="W425" s="311"/>
      <c r="X425" s="306"/>
      <c r="Y425" s="188"/>
      <c r="Z425" s="188"/>
      <c r="AA425" s="188"/>
      <c r="AB425" s="20"/>
      <c r="AC425" s="20"/>
      <c r="AD425" s="20"/>
      <c r="AE425" s="20"/>
    </row>
    <row r="426">
      <c r="A426" s="149"/>
      <c r="B426" s="164"/>
      <c r="C426" s="306"/>
      <c r="D426" s="149"/>
      <c r="E426" s="164"/>
      <c r="F426" s="306"/>
      <c r="G426" s="149"/>
      <c r="H426" s="164"/>
      <c r="I426" s="306"/>
      <c r="J426" s="149"/>
      <c r="K426" s="164"/>
      <c r="L426" s="306"/>
      <c r="M426" s="310"/>
      <c r="N426" s="311"/>
      <c r="O426" s="312"/>
      <c r="P426" s="310"/>
      <c r="Q426" s="311"/>
      <c r="R426" s="312"/>
      <c r="S426" s="310"/>
      <c r="T426" s="311"/>
      <c r="U426" s="312"/>
      <c r="V426" s="149"/>
      <c r="W426" s="311"/>
      <c r="X426" s="306"/>
      <c r="Y426" s="188"/>
      <c r="Z426" s="188"/>
      <c r="AA426" s="188"/>
      <c r="AB426" s="20"/>
      <c r="AC426" s="20"/>
      <c r="AD426" s="20"/>
      <c r="AE426" s="20"/>
    </row>
    <row r="427">
      <c r="A427" s="149"/>
      <c r="B427" s="164"/>
      <c r="C427" s="306"/>
      <c r="D427" s="149"/>
      <c r="E427" s="164"/>
      <c r="F427" s="306"/>
      <c r="G427" s="149"/>
      <c r="H427" s="164"/>
      <c r="I427" s="306"/>
      <c r="J427" s="149"/>
      <c r="K427" s="164"/>
      <c r="L427" s="306"/>
      <c r="M427" s="310"/>
      <c r="N427" s="311"/>
      <c r="O427" s="312"/>
      <c r="P427" s="310"/>
      <c r="Q427" s="311"/>
      <c r="R427" s="312"/>
      <c r="S427" s="310"/>
      <c r="T427" s="311"/>
      <c r="U427" s="312"/>
      <c r="V427" s="149"/>
      <c r="W427" s="311"/>
      <c r="X427" s="306"/>
      <c r="Y427" s="188"/>
      <c r="Z427" s="188"/>
      <c r="AA427" s="188"/>
      <c r="AB427" s="20"/>
      <c r="AC427" s="20"/>
      <c r="AD427" s="20"/>
      <c r="AE427" s="20"/>
    </row>
    <row r="428">
      <c r="A428" s="149"/>
      <c r="B428" s="164"/>
      <c r="C428" s="306"/>
      <c r="D428" s="149"/>
      <c r="E428" s="164"/>
      <c r="F428" s="306"/>
      <c r="G428" s="149"/>
      <c r="H428" s="164"/>
      <c r="I428" s="306"/>
      <c r="J428" s="149"/>
      <c r="K428" s="164"/>
      <c r="L428" s="306"/>
      <c r="M428" s="310"/>
      <c r="N428" s="311"/>
      <c r="O428" s="312"/>
      <c r="P428" s="310"/>
      <c r="Q428" s="311"/>
      <c r="R428" s="312"/>
      <c r="S428" s="310"/>
      <c r="T428" s="311"/>
      <c r="U428" s="312"/>
      <c r="V428" s="149"/>
      <c r="W428" s="311"/>
      <c r="X428" s="306"/>
      <c r="Y428" s="188"/>
      <c r="Z428" s="188"/>
      <c r="AA428" s="188"/>
      <c r="AB428" s="20"/>
      <c r="AC428" s="20"/>
      <c r="AD428" s="20"/>
      <c r="AE428" s="20"/>
    </row>
    <row r="429">
      <c r="A429" s="149"/>
      <c r="B429" s="164"/>
      <c r="C429" s="306"/>
      <c r="D429" s="149"/>
      <c r="E429" s="164"/>
      <c r="F429" s="306"/>
      <c r="G429" s="149"/>
      <c r="H429" s="164"/>
      <c r="I429" s="306"/>
      <c r="J429" s="149"/>
      <c r="K429" s="164"/>
      <c r="L429" s="306"/>
      <c r="M429" s="310"/>
      <c r="N429" s="311"/>
      <c r="O429" s="312"/>
      <c r="P429" s="310"/>
      <c r="Q429" s="311"/>
      <c r="R429" s="312"/>
      <c r="S429" s="310"/>
      <c r="T429" s="311"/>
      <c r="U429" s="312"/>
      <c r="V429" s="149"/>
      <c r="W429" s="311"/>
      <c r="X429" s="306"/>
      <c r="Y429" s="188"/>
      <c r="Z429" s="188"/>
      <c r="AA429" s="188"/>
      <c r="AB429" s="20"/>
      <c r="AC429" s="20"/>
      <c r="AD429" s="20"/>
      <c r="AE429" s="20"/>
    </row>
    <row r="430">
      <c r="A430" s="149"/>
      <c r="B430" s="164"/>
      <c r="C430" s="306"/>
      <c r="D430" s="149"/>
      <c r="E430" s="164"/>
      <c r="F430" s="306"/>
      <c r="G430" s="149"/>
      <c r="H430" s="164"/>
      <c r="I430" s="306"/>
      <c r="J430" s="149"/>
      <c r="K430" s="164"/>
      <c r="L430" s="306"/>
      <c r="M430" s="310"/>
      <c r="N430" s="311"/>
      <c r="O430" s="312"/>
      <c r="P430" s="310"/>
      <c r="Q430" s="311"/>
      <c r="R430" s="312"/>
      <c r="S430" s="310"/>
      <c r="T430" s="311"/>
      <c r="U430" s="312"/>
      <c r="V430" s="149"/>
      <c r="W430" s="311"/>
      <c r="X430" s="306"/>
      <c r="Y430" s="188"/>
      <c r="Z430" s="188"/>
      <c r="AA430" s="188"/>
      <c r="AB430" s="20"/>
      <c r="AC430" s="20"/>
      <c r="AD430" s="20"/>
      <c r="AE430" s="20"/>
    </row>
    <row r="431">
      <c r="A431" s="149"/>
      <c r="B431" s="164"/>
      <c r="C431" s="306"/>
      <c r="D431" s="149"/>
      <c r="E431" s="164"/>
      <c r="F431" s="306"/>
      <c r="G431" s="149"/>
      <c r="H431" s="164"/>
      <c r="I431" s="306"/>
      <c r="J431" s="149"/>
      <c r="K431" s="164"/>
      <c r="L431" s="306"/>
      <c r="M431" s="310"/>
      <c r="N431" s="311"/>
      <c r="O431" s="312"/>
      <c r="P431" s="310"/>
      <c r="Q431" s="311"/>
      <c r="R431" s="312"/>
      <c r="S431" s="310"/>
      <c r="T431" s="311"/>
      <c r="U431" s="312"/>
      <c r="V431" s="149"/>
      <c r="W431" s="311"/>
      <c r="X431" s="306"/>
      <c r="Y431" s="188"/>
      <c r="Z431" s="188"/>
      <c r="AA431" s="188"/>
      <c r="AB431" s="20"/>
      <c r="AC431" s="20"/>
      <c r="AD431" s="20"/>
      <c r="AE431" s="20"/>
    </row>
    <row r="432">
      <c r="A432" s="149"/>
      <c r="B432" s="164"/>
      <c r="C432" s="306"/>
      <c r="D432" s="149"/>
      <c r="E432" s="164"/>
      <c r="F432" s="306"/>
      <c r="G432" s="149"/>
      <c r="H432" s="164"/>
      <c r="I432" s="306"/>
      <c r="J432" s="149"/>
      <c r="K432" s="164"/>
      <c r="L432" s="306"/>
      <c r="M432" s="310"/>
      <c r="N432" s="311"/>
      <c r="O432" s="312"/>
      <c r="P432" s="310"/>
      <c r="Q432" s="311"/>
      <c r="R432" s="312"/>
      <c r="S432" s="310"/>
      <c r="T432" s="311"/>
      <c r="U432" s="312"/>
      <c r="V432" s="149"/>
      <c r="W432" s="311"/>
      <c r="X432" s="306"/>
      <c r="Y432" s="188"/>
      <c r="Z432" s="188"/>
      <c r="AA432" s="188"/>
      <c r="AB432" s="20"/>
      <c r="AC432" s="20"/>
      <c r="AD432" s="20"/>
      <c r="AE432" s="20"/>
    </row>
    <row r="433">
      <c r="A433" s="149"/>
      <c r="B433" s="164"/>
      <c r="C433" s="306"/>
      <c r="D433" s="149"/>
      <c r="E433" s="164"/>
      <c r="F433" s="306"/>
      <c r="G433" s="149"/>
      <c r="H433" s="164"/>
      <c r="I433" s="306"/>
      <c r="J433" s="149"/>
      <c r="K433" s="164"/>
      <c r="L433" s="306"/>
      <c r="M433" s="310"/>
      <c r="N433" s="311"/>
      <c r="O433" s="312"/>
      <c r="P433" s="310"/>
      <c r="Q433" s="311"/>
      <c r="R433" s="312"/>
      <c r="S433" s="310"/>
      <c r="T433" s="311"/>
      <c r="U433" s="312"/>
      <c r="V433" s="149"/>
      <c r="W433" s="311"/>
      <c r="X433" s="306"/>
      <c r="Y433" s="188"/>
      <c r="Z433" s="188"/>
      <c r="AA433" s="188"/>
      <c r="AB433" s="20"/>
      <c r="AC433" s="20"/>
      <c r="AD433" s="20"/>
      <c r="AE433" s="20"/>
    </row>
    <row r="434">
      <c r="A434" s="149"/>
      <c r="B434" s="164"/>
      <c r="C434" s="306"/>
      <c r="D434" s="149"/>
      <c r="E434" s="164"/>
      <c r="F434" s="306"/>
      <c r="G434" s="149"/>
      <c r="H434" s="164"/>
      <c r="I434" s="306"/>
      <c r="J434" s="149"/>
      <c r="K434" s="164"/>
      <c r="L434" s="306"/>
      <c r="M434" s="310"/>
      <c r="N434" s="311"/>
      <c r="O434" s="312"/>
      <c r="P434" s="310"/>
      <c r="Q434" s="311"/>
      <c r="R434" s="312"/>
      <c r="S434" s="310"/>
      <c r="T434" s="311"/>
      <c r="U434" s="312"/>
      <c r="V434" s="149"/>
      <c r="W434" s="311"/>
      <c r="X434" s="306"/>
      <c r="Y434" s="188"/>
      <c r="Z434" s="188"/>
      <c r="AA434" s="188"/>
      <c r="AB434" s="20"/>
      <c r="AC434" s="20"/>
      <c r="AD434" s="20"/>
      <c r="AE434" s="20"/>
    </row>
    <row r="435">
      <c r="A435" s="149"/>
      <c r="B435" s="164"/>
      <c r="C435" s="306"/>
      <c r="D435" s="149"/>
      <c r="E435" s="164"/>
      <c r="F435" s="306"/>
      <c r="G435" s="149"/>
      <c r="H435" s="164"/>
      <c r="I435" s="306"/>
      <c r="J435" s="149"/>
      <c r="K435" s="164"/>
      <c r="L435" s="306"/>
      <c r="M435" s="310"/>
      <c r="N435" s="311"/>
      <c r="O435" s="312"/>
      <c r="P435" s="310"/>
      <c r="Q435" s="311"/>
      <c r="R435" s="312"/>
      <c r="S435" s="310"/>
      <c r="T435" s="311"/>
      <c r="U435" s="312"/>
      <c r="V435" s="149"/>
      <c r="W435" s="311"/>
      <c r="X435" s="306"/>
      <c r="Y435" s="188"/>
      <c r="Z435" s="188"/>
      <c r="AA435" s="188"/>
      <c r="AB435" s="20"/>
      <c r="AC435" s="20"/>
      <c r="AD435" s="20"/>
      <c r="AE435" s="20"/>
    </row>
    <row r="436">
      <c r="A436" s="149"/>
      <c r="B436" s="164"/>
      <c r="C436" s="306"/>
      <c r="D436" s="149"/>
      <c r="E436" s="164"/>
      <c r="F436" s="306"/>
      <c r="G436" s="149"/>
      <c r="H436" s="164"/>
      <c r="I436" s="306"/>
      <c r="J436" s="149"/>
      <c r="K436" s="164"/>
      <c r="L436" s="306"/>
      <c r="M436" s="310"/>
      <c r="N436" s="311"/>
      <c r="O436" s="312"/>
      <c r="P436" s="310"/>
      <c r="Q436" s="311"/>
      <c r="R436" s="312"/>
      <c r="S436" s="310"/>
      <c r="T436" s="311"/>
      <c r="U436" s="312"/>
      <c r="V436" s="149"/>
      <c r="W436" s="311"/>
      <c r="X436" s="306"/>
      <c r="Y436" s="188"/>
      <c r="Z436" s="188"/>
      <c r="AA436" s="188"/>
      <c r="AB436" s="20"/>
      <c r="AC436" s="20"/>
      <c r="AD436" s="20"/>
      <c r="AE436" s="20"/>
    </row>
    <row r="437">
      <c r="A437" s="149"/>
      <c r="B437" s="164"/>
      <c r="C437" s="306"/>
      <c r="D437" s="149"/>
      <c r="E437" s="164"/>
      <c r="F437" s="306"/>
      <c r="G437" s="149"/>
      <c r="H437" s="164"/>
      <c r="I437" s="306"/>
      <c r="J437" s="149"/>
      <c r="K437" s="164"/>
      <c r="L437" s="306"/>
      <c r="M437" s="310"/>
      <c r="N437" s="311"/>
      <c r="O437" s="312"/>
      <c r="P437" s="310"/>
      <c r="Q437" s="311"/>
      <c r="R437" s="312"/>
      <c r="S437" s="310"/>
      <c r="T437" s="311"/>
      <c r="U437" s="312"/>
      <c r="V437" s="149"/>
      <c r="W437" s="311"/>
      <c r="X437" s="306"/>
      <c r="Y437" s="188"/>
      <c r="Z437" s="188"/>
      <c r="AA437" s="188"/>
      <c r="AB437" s="20"/>
      <c r="AC437" s="20"/>
      <c r="AD437" s="20"/>
      <c r="AE437" s="20"/>
    </row>
    <row r="438">
      <c r="A438" s="149"/>
      <c r="B438" s="164"/>
      <c r="C438" s="306"/>
      <c r="D438" s="149"/>
      <c r="E438" s="164"/>
      <c r="F438" s="306"/>
      <c r="G438" s="149"/>
      <c r="H438" s="164"/>
      <c r="I438" s="306"/>
      <c r="J438" s="149"/>
      <c r="K438" s="164"/>
      <c r="L438" s="306"/>
      <c r="M438" s="310"/>
      <c r="N438" s="311"/>
      <c r="O438" s="312"/>
      <c r="P438" s="310"/>
      <c r="Q438" s="311"/>
      <c r="R438" s="312"/>
      <c r="S438" s="310"/>
      <c r="T438" s="311"/>
      <c r="U438" s="312"/>
      <c r="V438" s="149"/>
      <c r="W438" s="311"/>
      <c r="X438" s="306"/>
      <c r="Y438" s="188"/>
      <c r="Z438" s="188"/>
      <c r="AA438" s="188"/>
      <c r="AB438" s="20"/>
      <c r="AC438" s="20"/>
      <c r="AD438" s="20"/>
      <c r="AE438" s="20"/>
    </row>
    <row r="439">
      <c r="A439" s="149"/>
      <c r="B439" s="164"/>
      <c r="C439" s="306"/>
      <c r="D439" s="149"/>
      <c r="E439" s="164"/>
      <c r="F439" s="306"/>
      <c r="G439" s="149"/>
      <c r="H439" s="164"/>
      <c r="I439" s="306"/>
      <c r="J439" s="149"/>
      <c r="K439" s="164"/>
      <c r="L439" s="306"/>
      <c r="M439" s="310"/>
      <c r="N439" s="311"/>
      <c r="O439" s="312"/>
      <c r="P439" s="310"/>
      <c r="Q439" s="311"/>
      <c r="R439" s="312"/>
      <c r="S439" s="310"/>
      <c r="T439" s="311"/>
      <c r="U439" s="312"/>
      <c r="V439" s="149"/>
      <c r="W439" s="311"/>
      <c r="X439" s="306"/>
      <c r="Y439" s="188"/>
      <c r="Z439" s="188"/>
      <c r="AA439" s="188"/>
      <c r="AB439" s="20"/>
      <c r="AC439" s="20"/>
      <c r="AD439" s="20"/>
      <c r="AE439" s="20"/>
    </row>
    <row r="440">
      <c r="A440" s="149"/>
      <c r="B440" s="164"/>
      <c r="C440" s="306"/>
      <c r="D440" s="149"/>
      <c r="E440" s="164"/>
      <c r="F440" s="306"/>
      <c r="G440" s="149"/>
      <c r="H440" s="164"/>
      <c r="I440" s="306"/>
      <c r="J440" s="149"/>
      <c r="K440" s="164"/>
      <c r="L440" s="306"/>
      <c r="M440" s="310"/>
      <c r="N440" s="311"/>
      <c r="O440" s="312"/>
      <c r="P440" s="310"/>
      <c r="Q440" s="311"/>
      <c r="R440" s="312"/>
      <c r="S440" s="310"/>
      <c r="T440" s="311"/>
      <c r="U440" s="312"/>
      <c r="V440" s="149"/>
      <c r="W440" s="311"/>
      <c r="X440" s="306"/>
      <c r="Y440" s="188"/>
      <c r="Z440" s="188"/>
      <c r="AA440" s="188"/>
      <c r="AB440" s="20"/>
      <c r="AC440" s="20"/>
      <c r="AD440" s="20"/>
      <c r="AE440" s="20"/>
    </row>
    <row r="441">
      <c r="A441" s="149"/>
      <c r="B441" s="164"/>
      <c r="C441" s="306"/>
      <c r="D441" s="149"/>
      <c r="E441" s="164"/>
      <c r="F441" s="306"/>
      <c r="G441" s="149"/>
      <c r="H441" s="164"/>
      <c r="I441" s="306"/>
      <c r="J441" s="149"/>
      <c r="K441" s="164"/>
      <c r="L441" s="306"/>
      <c r="M441" s="310"/>
      <c r="N441" s="311"/>
      <c r="O441" s="312"/>
      <c r="P441" s="310"/>
      <c r="Q441" s="311"/>
      <c r="R441" s="312"/>
      <c r="S441" s="310"/>
      <c r="T441" s="311"/>
      <c r="U441" s="312"/>
      <c r="V441" s="149"/>
      <c r="W441" s="311"/>
      <c r="X441" s="306"/>
      <c r="Y441" s="188"/>
      <c r="Z441" s="188"/>
      <c r="AA441" s="188"/>
      <c r="AB441" s="20"/>
      <c r="AC441" s="20"/>
      <c r="AD441" s="20"/>
      <c r="AE441" s="20"/>
    </row>
    <row r="442">
      <c r="A442" s="149"/>
      <c r="B442" s="164"/>
      <c r="C442" s="306"/>
      <c r="D442" s="149"/>
      <c r="E442" s="164"/>
      <c r="F442" s="306"/>
      <c r="G442" s="149"/>
      <c r="H442" s="164"/>
      <c r="I442" s="306"/>
      <c r="J442" s="149"/>
      <c r="K442" s="164"/>
      <c r="L442" s="306"/>
      <c r="M442" s="310"/>
      <c r="N442" s="311"/>
      <c r="O442" s="312"/>
      <c r="P442" s="310"/>
      <c r="Q442" s="311"/>
      <c r="R442" s="312"/>
      <c r="S442" s="310"/>
      <c r="T442" s="311"/>
      <c r="U442" s="312"/>
      <c r="V442" s="149"/>
      <c r="W442" s="311"/>
      <c r="X442" s="306"/>
      <c r="Y442" s="188"/>
      <c r="Z442" s="188"/>
      <c r="AA442" s="188"/>
      <c r="AB442" s="20"/>
      <c r="AC442" s="20"/>
      <c r="AD442" s="20"/>
      <c r="AE442" s="20"/>
    </row>
    <row r="443">
      <c r="A443" s="149"/>
      <c r="B443" s="164"/>
      <c r="C443" s="306"/>
      <c r="D443" s="149"/>
      <c r="E443" s="164"/>
      <c r="F443" s="306"/>
      <c r="G443" s="149"/>
      <c r="H443" s="164"/>
      <c r="I443" s="306"/>
      <c r="J443" s="149"/>
      <c r="K443" s="164"/>
      <c r="L443" s="306"/>
      <c r="M443" s="310"/>
      <c r="N443" s="311"/>
      <c r="O443" s="312"/>
      <c r="P443" s="310"/>
      <c r="Q443" s="311"/>
      <c r="R443" s="312"/>
      <c r="S443" s="310"/>
      <c r="T443" s="311"/>
      <c r="U443" s="312"/>
      <c r="V443" s="149"/>
      <c r="W443" s="311"/>
      <c r="X443" s="306"/>
      <c r="Y443" s="188"/>
      <c r="Z443" s="188"/>
      <c r="AA443" s="188"/>
      <c r="AB443" s="20"/>
      <c r="AC443" s="20"/>
      <c r="AD443" s="20"/>
      <c r="AE443" s="20"/>
    </row>
    <row r="444">
      <c r="A444" s="149"/>
      <c r="B444" s="164"/>
      <c r="C444" s="306"/>
      <c r="D444" s="149"/>
      <c r="E444" s="164"/>
      <c r="F444" s="306"/>
      <c r="G444" s="149"/>
      <c r="H444" s="164"/>
      <c r="I444" s="306"/>
      <c r="J444" s="149"/>
      <c r="K444" s="164"/>
      <c r="L444" s="306"/>
      <c r="M444" s="310"/>
      <c r="N444" s="311"/>
      <c r="O444" s="312"/>
      <c r="P444" s="310"/>
      <c r="Q444" s="311"/>
      <c r="R444" s="312"/>
      <c r="S444" s="310"/>
      <c r="T444" s="311"/>
      <c r="U444" s="312"/>
      <c r="V444" s="149"/>
      <c r="W444" s="311"/>
      <c r="X444" s="306"/>
      <c r="Y444" s="188"/>
      <c r="Z444" s="188"/>
      <c r="AA444" s="188"/>
      <c r="AB444" s="20"/>
      <c r="AC444" s="20"/>
      <c r="AD444" s="20"/>
      <c r="AE444" s="20"/>
    </row>
    <row r="445">
      <c r="A445" s="149"/>
      <c r="B445" s="164"/>
      <c r="C445" s="306"/>
      <c r="D445" s="149"/>
      <c r="E445" s="164"/>
      <c r="F445" s="306"/>
      <c r="G445" s="149"/>
      <c r="H445" s="164"/>
      <c r="I445" s="306"/>
      <c r="J445" s="149"/>
      <c r="K445" s="164"/>
      <c r="L445" s="306"/>
      <c r="M445" s="310"/>
      <c r="N445" s="311"/>
      <c r="O445" s="312"/>
      <c r="P445" s="310"/>
      <c r="Q445" s="311"/>
      <c r="R445" s="312"/>
      <c r="S445" s="310"/>
      <c r="T445" s="311"/>
      <c r="U445" s="312"/>
      <c r="V445" s="149"/>
      <c r="W445" s="311"/>
      <c r="X445" s="306"/>
      <c r="Y445" s="188"/>
      <c r="Z445" s="188"/>
      <c r="AA445" s="188"/>
      <c r="AB445" s="20"/>
      <c r="AC445" s="20"/>
      <c r="AD445" s="20"/>
      <c r="AE445" s="20"/>
    </row>
    <row r="446">
      <c r="A446" s="149"/>
      <c r="B446" s="164"/>
      <c r="C446" s="306"/>
      <c r="D446" s="149"/>
      <c r="E446" s="164"/>
      <c r="F446" s="306"/>
      <c r="G446" s="149"/>
      <c r="H446" s="164"/>
      <c r="I446" s="306"/>
      <c r="J446" s="149"/>
      <c r="K446" s="164"/>
      <c r="L446" s="306"/>
      <c r="M446" s="310"/>
      <c r="N446" s="311"/>
      <c r="O446" s="312"/>
      <c r="P446" s="310"/>
      <c r="Q446" s="311"/>
      <c r="R446" s="312"/>
      <c r="S446" s="310"/>
      <c r="T446" s="311"/>
      <c r="U446" s="312"/>
      <c r="V446" s="149"/>
      <c r="W446" s="311"/>
      <c r="X446" s="306"/>
      <c r="Y446" s="188"/>
      <c r="Z446" s="188"/>
      <c r="AA446" s="188"/>
      <c r="AB446" s="20"/>
      <c r="AC446" s="20"/>
      <c r="AD446" s="20"/>
      <c r="AE446" s="20"/>
    </row>
    <row r="447">
      <c r="A447" s="149"/>
      <c r="B447" s="164"/>
      <c r="C447" s="306"/>
      <c r="D447" s="149"/>
      <c r="E447" s="164"/>
      <c r="F447" s="306"/>
      <c r="G447" s="149"/>
      <c r="H447" s="164"/>
      <c r="I447" s="306"/>
      <c r="J447" s="149"/>
      <c r="K447" s="164"/>
      <c r="L447" s="306"/>
      <c r="M447" s="310"/>
      <c r="N447" s="311"/>
      <c r="O447" s="312"/>
      <c r="P447" s="310"/>
      <c r="Q447" s="311"/>
      <c r="R447" s="312"/>
      <c r="S447" s="310"/>
      <c r="T447" s="311"/>
      <c r="U447" s="312"/>
      <c r="V447" s="149"/>
      <c r="W447" s="311"/>
      <c r="X447" s="306"/>
      <c r="Y447" s="188"/>
      <c r="Z447" s="188"/>
      <c r="AA447" s="188"/>
      <c r="AB447" s="20"/>
      <c r="AC447" s="20"/>
      <c r="AD447" s="20"/>
      <c r="AE447" s="20"/>
    </row>
    <row r="448">
      <c r="A448" s="149"/>
      <c r="B448" s="164"/>
      <c r="C448" s="306"/>
      <c r="D448" s="149"/>
      <c r="E448" s="164"/>
      <c r="F448" s="306"/>
      <c r="G448" s="149"/>
      <c r="H448" s="164"/>
      <c r="I448" s="306"/>
      <c r="J448" s="149"/>
      <c r="K448" s="164"/>
      <c r="L448" s="306"/>
      <c r="M448" s="310"/>
      <c r="N448" s="311"/>
      <c r="O448" s="312"/>
      <c r="P448" s="310"/>
      <c r="Q448" s="311"/>
      <c r="R448" s="312"/>
      <c r="S448" s="310"/>
      <c r="T448" s="311"/>
      <c r="U448" s="312"/>
      <c r="V448" s="149"/>
      <c r="W448" s="311"/>
      <c r="X448" s="306"/>
      <c r="Y448" s="188"/>
      <c r="Z448" s="188"/>
      <c r="AA448" s="188"/>
      <c r="AB448" s="20"/>
      <c r="AC448" s="20"/>
      <c r="AD448" s="20"/>
      <c r="AE448" s="20"/>
    </row>
    <row r="449">
      <c r="A449" s="149"/>
      <c r="B449" s="164"/>
      <c r="C449" s="306"/>
      <c r="D449" s="149"/>
      <c r="E449" s="164"/>
      <c r="F449" s="306"/>
      <c r="G449" s="149"/>
      <c r="H449" s="164"/>
      <c r="I449" s="306"/>
      <c r="J449" s="149"/>
      <c r="K449" s="164"/>
      <c r="L449" s="306"/>
      <c r="M449" s="310"/>
      <c r="N449" s="311"/>
      <c r="O449" s="312"/>
      <c r="P449" s="310"/>
      <c r="Q449" s="311"/>
      <c r="R449" s="312"/>
      <c r="S449" s="310"/>
      <c r="T449" s="311"/>
      <c r="U449" s="312"/>
      <c r="V449" s="149"/>
      <c r="W449" s="311"/>
      <c r="X449" s="306"/>
      <c r="Y449" s="188"/>
      <c r="Z449" s="188"/>
      <c r="AA449" s="188"/>
      <c r="AB449" s="20"/>
      <c r="AC449" s="20"/>
      <c r="AD449" s="20"/>
      <c r="AE449" s="20"/>
    </row>
    <row r="450">
      <c r="A450" s="149"/>
      <c r="B450" s="164"/>
      <c r="C450" s="306"/>
      <c r="D450" s="149"/>
      <c r="E450" s="164"/>
      <c r="F450" s="306"/>
      <c r="G450" s="149"/>
      <c r="H450" s="164"/>
      <c r="I450" s="306"/>
      <c r="J450" s="149"/>
      <c r="K450" s="164"/>
      <c r="L450" s="306"/>
      <c r="M450" s="310"/>
      <c r="N450" s="311"/>
      <c r="O450" s="312"/>
      <c r="P450" s="310"/>
      <c r="Q450" s="311"/>
      <c r="R450" s="312"/>
      <c r="S450" s="310"/>
      <c r="T450" s="311"/>
      <c r="U450" s="312"/>
      <c r="V450" s="149"/>
      <c r="W450" s="311"/>
      <c r="X450" s="306"/>
      <c r="Y450" s="188"/>
      <c r="Z450" s="188"/>
      <c r="AA450" s="188"/>
      <c r="AB450" s="20"/>
      <c r="AC450" s="20"/>
      <c r="AD450" s="20"/>
      <c r="AE450" s="20"/>
    </row>
    <row r="451">
      <c r="A451" s="149"/>
      <c r="B451" s="164"/>
      <c r="C451" s="306"/>
      <c r="D451" s="149"/>
      <c r="E451" s="164"/>
      <c r="F451" s="306"/>
      <c r="G451" s="149"/>
      <c r="H451" s="164"/>
      <c r="I451" s="306"/>
      <c r="J451" s="149"/>
      <c r="K451" s="164"/>
      <c r="L451" s="306"/>
      <c r="M451" s="310"/>
      <c r="N451" s="311"/>
      <c r="O451" s="312"/>
      <c r="P451" s="310"/>
      <c r="Q451" s="311"/>
      <c r="R451" s="312"/>
      <c r="S451" s="310"/>
      <c r="T451" s="311"/>
      <c r="U451" s="312"/>
      <c r="V451" s="149"/>
      <c r="W451" s="311"/>
      <c r="X451" s="306"/>
      <c r="Y451" s="188"/>
      <c r="Z451" s="188"/>
      <c r="AA451" s="188"/>
      <c r="AB451" s="20"/>
      <c r="AC451" s="20"/>
      <c r="AD451" s="20"/>
      <c r="AE451" s="20"/>
    </row>
    <row r="452">
      <c r="A452" s="149"/>
      <c r="B452" s="164"/>
      <c r="C452" s="306"/>
      <c r="D452" s="149"/>
      <c r="E452" s="164"/>
      <c r="F452" s="306"/>
      <c r="G452" s="149"/>
      <c r="H452" s="164"/>
      <c r="I452" s="306"/>
      <c r="J452" s="149"/>
      <c r="K452" s="164"/>
      <c r="L452" s="306"/>
      <c r="M452" s="310"/>
      <c r="N452" s="311"/>
      <c r="O452" s="312"/>
      <c r="P452" s="310"/>
      <c r="Q452" s="311"/>
      <c r="R452" s="312"/>
      <c r="S452" s="310"/>
      <c r="T452" s="311"/>
      <c r="U452" s="312"/>
      <c r="V452" s="149"/>
      <c r="W452" s="311"/>
      <c r="X452" s="306"/>
      <c r="Y452" s="188"/>
      <c r="Z452" s="188"/>
      <c r="AA452" s="188"/>
      <c r="AB452" s="20"/>
      <c r="AC452" s="20"/>
      <c r="AD452" s="20"/>
      <c r="AE452" s="20"/>
    </row>
    <row r="453">
      <c r="A453" s="149"/>
      <c r="B453" s="164"/>
      <c r="C453" s="306"/>
      <c r="D453" s="149"/>
      <c r="E453" s="164"/>
      <c r="F453" s="306"/>
      <c r="G453" s="149"/>
      <c r="H453" s="164"/>
      <c r="I453" s="306"/>
      <c r="J453" s="149"/>
      <c r="K453" s="164"/>
      <c r="L453" s="306"/>
      <c r="M453" s="310"/>
      <c r="N453" s="311"/>
      <c r="O453" s="312"/>
      <c r="P453" s="310"/>
      <c r="Q453" s="311"/>
      <c r="R453" s="312"/>
      <c r="S453" s="310"/>
      <c r="T453" s="311"/>
      <c r="U453" s="312"/>
      <c r="V453" s="149"/>
      <c r="W453" s="311"/>
      <c r="X453" s="306"/>
      <c r="Y453" s="188"/>
      <c r="Z453" s="188"/>
      <c r="AA453" s="188"/>
      <c r="AB453" s="20"/>
      <c r="AC453" s="20"/>
      <c r="AD453" s="20"/>
      <c r="AE453" s="20"/>
    </row>
    <row r="454">
      <c r="A454" s="149"/>
      <c r="B454" s="164"/>
      <c r="C454" s="306"/>
      <c r="D454" s="149"/>
      <c r="E454" s="164"/>
      <c r="F454" s="306"/>
      <c r="G454" s="149"/>
      <c r="H454" s="164"/>
      <c r="I454" s="306"/>
      <c r="J454" s="149"/>
      <c r="K454" s="164"/>
      <c r="L454" s="306"/>
      <c r="M454" s="310"/>
      <c r="N454" s="311"/>
      <c r="O454" s="312"/>
      <c r="P454" s="310"/>
      <c r="Q454" s="311"/>
      <c r="R454" s="312"/>
      <c r="S454" s="310"/>
      <c r="T454" s="311"/>
      <c r="U454" s="312"/>
      <c r="V454" s="149"/>
      <c r="W454" s="311"/>
      <c r="X454" s="306"/>
      <c r="Y454" s="188"/>
      <c r="Z454" s="188"/>
      <c r="AA454" s="188"/>
      <c r="AB454" s="20"/>
      <c r="AC454" s="20"/>
      <c r="AD454" s="20"/>
      <c r="AE454" s="20"/>
    </row>
    <row r="455">
      <c r="A455" s="149"/>
      <c r="B455" s="164"/>
      <c r="C455" s="306"/>
      <c r="D455" s="149"/>
      <c r="E455" s="164"/>
      <c r="F455" s="306"/>
      <c r="G455" s="149"/>
      <c r="H455" s="164"/>
      <c r="I455" s="306"/>
      <c r="J455" s="149"/>
      <c r="K455" s="164"/>
      <c r="L455" s="306"/>
      <c r="M455" s="310"/>
      <c r="N455" s="311"/>
      <c r="O455" s="312"/>
      <c r="P455" s="310"/>
      <c r="Q455" s="311"/>
      <c r="R455" s="312"/>
      <c r="S455" s="310"/>
      <c r="T455" s="311"/>
      <c r="U455" s="312"/>
      <c r="V455" s="149"/>
      <c r="W455" s="311"/>
      <c r="X455" s="306"/>
      <c r="Y455" s="188"/>
      <c r="Z455" s="188"/>
      <c r="AA455" s="188"/>
      <c r="AB455" s="20"/>
      <c r="AC455" s="20"/>
      <c r="AD455" s="20"/>
      <c r="AE455" s="20"/>
    </row>
    <row r="456">
      <c r="A456" s="149"/>
      <c r="B456" s="164"/>
      <c r="C456" s="306"/>
      <c r="D456" s="149"/>
      <c r="E456" s="164"/>
      <c r="F456" s="306"/>
      <c r="G456" s="149"/>
      <c r="H456" s="164"/>
      <c r="I456" s="306"/>
      <c r="J456" s="149"/>
      <c r="K456" s="164"/>
      <c r="L456" s="306"/>
      <c r="M456" s="310"/>
      <c r="N456" s="311"/>
      <c r="O456" s="312"/>
      <c r="P456" s="310"/>
      <c r="Q456" s="311"/>
      <c r="R456" s="312"/>
      <c r="S456" s="310"/>
      <c r="T456" s="311"/>
      <c r="U456" s="312"/>
      <c r="V456" s="149"/>
      <c r="W456" s="311"/>
      <c r="X456" s="306"/>
      <c r="Y456" s="188"/>
      <c r="Z456" s="188"/>
      <c r="AA456" s="188"/>
      <c r="AB456" s="20"/>
      <c r="AC456" s="20"/>
      <c r="AD456" s="20"/>
      <c r="AE456" s="20"/>
    </row>
    <row r="457">
      <c r="A457" s="149"/>
      <c r="B457" s="164"/>
      <c r="C457" s="306"/>
      <c r="D457" s="149"/>
      <c r="E457" s="164"/>
      <c r="F457" s="306"/>
      <c r="G457" s="149"/>
      <c r="H457" s="164"/>
      <c r="I457" s="306"/>
      <c r="J457" s="149"/>
      <c r="K457" s="164"/>
      <c r="L457" s="306"/>
      <c r="M457" s="310"/>
      <c r="N457" s="311"/>
      <c r="O457" s="312"/>
      <c r="P457" s="310"/>
      <c r="Q457" s="311"/>
      <c r="R457" s="312"/>
      <c r="S457" s="310"/>
      <c r="T457" s="311"/>
      <c r="U457" s="312"/>
      <c r="V457" s="149"/>
      <c r="W457" s="311"/>
      <c r="X457" s="306"/>
      <c r="Y457" s="188"/>
      <c r="Z457" s="188"/>
      <c r="AA457" s="188"/>
      <c r="AB457" s="20"/>
      <c r="AC457" s="20"/>
      <c r="AD457" s="20"/>
      <c r="AE457" s="20"/>
    </row>
    <row r="458">
      <c r="A458" s="149"/>
      <c r="B458" s="164"/>
      <c r="C458" s="306"/>
      <c r="D458" s="149"/>
      <c r="E458" s="164"/>
      <c r="F458" s="306"/>
      <c r="G458" s="149"/>
      <c r="H458" s="164"/>
      <c r="I458" s="306"/>
      <c r="J458" s="149"/>
      <c r="K458" s="164"/>
      <c r="L458" s="306"/>
      <c r="M458" s="310"/>
      <c r="N458" s="311"/>
      <c r="O458" s="312"/>
      <c r="P458" s="310"/>
      <c r="Q458" s="311"/>
      <c r="R458" s="312"/>
      <c r="S458" s="310"/>
      <c r="T458" s="311"/>
      <c r="U458" s="312"/>
      <c r="V458" s="149"/>
      <c r="W458" s="311"/>
      <c r="X458" s="306"/>
      <c r="Y458" s="188"/>
      <c r="Z458" s="188"/>
      <c r="AA458" s="188"/>
      <c r="AB458" s="20"/>
      <c r="AC458" s="20"/>
      <c r="AD458" s="20"/>
      <c r="AE458" s="20"/>
    </row>
    <row r="459">
      <c r="A459" s="149"/>
      <c r="B459" s="164"/>
      <c r="C459" s="306"/>
      <c r="D459" s="149"/>
      <c r="E459" s="164"/>
      <c r="F459" s="306"/>
      <c r="G459" s="149"/>
      <c r="H459" s="164"/>
      <c r="I459" s="306"/>
      <c r="J459" s="149"/>
      <c r="K459" s="164"/>
      <c r="L459" s="306"/>
      <c r="M459" s="310"/>
      <c r="N459" s="311"/>
      <c r="O459" s="312"/>
      <c r="P459" s="310"/>
      <c r="Q459" s="311"/>
      <c r="R459" s="312"/>
      <c r="S459" s="310"/>
      <c r="T459" s="311"/>
      <c r="U459" s="312"/>
      <c r="V459" s="149"/>
      <c r="W459" s="311"/>
      <c r="X459" s="306"/>
      <c r="Y459" s="188"/>
      <c r="Z459" s="188"/>
      <c r="AA459" s="188"/>
      <c r="AB459" s="20"/>
      <c r="AC459" s="20"/>
      <c r="AD459" s="20"/>
      <c r="AE459" s="20"/>
    </row>
    <row r="460">
      <c r="A460" s="149"/>
      <c r="B460" s="164"/>
      <c r="C460" s="306"/>
      <c r="D460" s="149"/>
      <c r="E460" s="164"/>
      <c r="F460" s="306"/>
      <c r="G460" s="149"/>
      <c r="H460" s="164"/>
      <c r="I460" s="306"/>
      <c r="J460" s="149"/>
      <c r="K460" s="164"/>
      <c r="L460" s="306"/>
      <c r="M460" s="310"/>
      <c r="N460" s="311"/>
      <c r="O460" s="312"/>
      <c r="P460" s="310"/>
      <c r="Q460" s="311"/>
      <c r="R460" s="312"/>
      <c r="S460" s="310"/>
      <c r="T460" s="311"/>
      <c r="U460" s="312"/>
      <c r="V460" s="149"/>
      <c r="W460" s="311"/>
      <c r="X460" s="306"/>
      <c r="Y460" s="188"/>
      <c r="Z460" s="188"/>
      <c r="AA460" s="188"/>
      <c r="AB460" s="20"/>
      <c r="AC460" s="20"/>
      <c r="AD460" s="20"/>
      <c r="AE460" s="20"/>
    </row>
    <row r="461">
      <c r="A461" s="149"/>
      <c r="B461" s="164"/>
      <c r="C461" s="306"/>
      <c r="D461" s="149"/>
      <c r="E461" s="164"/>
      <c r="F461" s="306"/>
      <c r="G461" s="149"/>
      <c r="H461" s="164"/>
      <c r="I461" s="306"/>
      <c r="J461" s="149"/>
      <c r="K461" s="164"/>
      <c r="L461" s="306"/>
      <c r="M461" s="310"/>
      <c r="N461" s="311"/>
      <c r="O461" s="312"/>
      <c r="P461" s="310"/>
      <c r="Q461" s="311"/>
      <c r="R461" s="312"/>
      <c r="S461" s="310"/>
      <c r="T461" s="311"/>
      <c r="U461" s="312"/>
      <c r="V461" s="149"/>
      <c r="W461" s="311"/>
      <c r="X461" s="306"/>
      <c r="Y461" s="188"/>
      <c r="Z461" s="188"/>
      <c r="AA461" s="188"/>
      <c r="AB461" s="20"/>
      <c r="AC461" s="20"/>
      <c r="AD461" s="20"/>
      <c r="AE461" s="20"/>
    </row>
    <row r="462">
      <c r="A462" s="149"/>
      <c r="B462" s="164"/>
      <c r="C462" s="306"/>
      <c r="D462" s="149"/>
      <c r="E462" s="164"/>
      <c r="F462" s="306"/>
      <c r="G462" s="149"/>
      <c r="H462" s="164"/>
      <c r="I462" s="306"/>
      <c r="J462" s="149"/>
      <c r="K462" s="164"/>
      <c r="L462" s="306"/>
      <c r="M462" s="310"/>
      <c r="N462" s="311"/>
      <c r="O462" s="312"/>
      <c r="P462" s="310"/>
      <c r="Q462" s="311"/>
      <c r="R462" s="312"/>
      <c r="S462" s="310"/>
      <c r="T462" s="311"/>
      <c r="U462" s="312"/>
      <c r="V462" s="149"/>
      <c r="W462" s="311"/>
      <c r="X462" s="306"/>
      <c r="Y462" s="188"/>
      <c r="Z462" s="188"/>
      <c r="AA462" s="188"/>
      <c r="AB462" s="20"/>
      <c r="AC462" s="20"/>
      <c r="AD462" s="20"/>
      <c r="AE462" s="20"/>
    </row>
    <row r="463">
      <c r="A463" s="149"/>
      <c r="B463" s="164"/>
      <c r="C463" s="306"/>
      <c r="D463" s="149"/>
      <c r="E463" s="164"/>
      <c r="F463" s="306"/>
      <c r="G463" s="149"/>
      <c r="H463" s="164"/>
      <c r="I463" s="306"/>
      <c r="J463" s="149"/>
      <c r="K463" s="164"/>
      <c r="L463" s="306"/>
      <c r="M463" s="310"/>
      <c r="N463" s="311"/>
      <c r="O463" s="312"/>
      <c r="P463" s="310"/>
      <c r="Q463" s="311"/>
      <c r="R463" s="312"/>
      <c r="S463" s="310"/>
      <c r="T463" s="311"/>
      <c r="U463" s="312"/>
      <c r="V463" s="149"/>
      <c r="W463" s="311"/>
      <c r="X463" s="306"/>
      <c r="Y463" s="188"/>
      <c r="Z463" s="188"/>
      <c r="AA463" s="188"/>
      <c r="AB463" s="20"/>
      <c r="AC463" s="20"/>
      <c r="AD463" s="20"/>
      <c r="AE463" s="20"/>
    </row>
    <row r="464">
      <c r="A464" s="149"/>
      <c r="B464" s="164"/>
      <c r="C464" s="306"/>
      <c r="D464" s="149"/>
      <c r="E464" s="164"/>
      <c r="F464" s="306"/>
      <c r="G464" s="149"/>
      <c r="H464" s="164"/>
      <c r="I464" s="306"/>
      <c r="J464" s="149"/>
      <c r="K464" s="164"/>
      <c r="L464" s="306"/>
      <c r="M464" s="310"/>
      <c r="N464" s="311"/>
      <c r="O464" s="312"/>
      <c r="P464" s="310"/>
      <c r="Q464" s="311"/>
      <c r="R464" s="312"/>
      <c r="S464" s="310"/>
      <c r="T464" s="311"/>
      <c r="U464" s="312"/>
      <c r="V464" s="149"/>
      <c r="W464" s="311"/>
      <c r="X464" s="306"/>
      <c r="Y464" s="188"/>
      <c r="Z464" s="188"/>
      <c r="AA464" s="188"/>
      <c r="AB464" s="20"/>
      <c r="AC464" s="20"/>
      <c r="AD464" s="20"/>
      <c r="AE464" s="20"/>
    </row>
    <row r="465">
      <c r="A465" s="149"/>
      <c r="B465" s="164"/>
      <c r="C465" s="306"/>
      <c r="D465" s="149"/>
      <c r="E465" s="164"/>
      <c r="F465" s="306"/>
      <c r="G465" s="149"/>
      <c r="H465" s="164"/>
      <c r="I465" s="306"/>
      <c r="J465" s="149"/>
      <c r="K465" s="164"/>
      <c r="L465" s="306"/>
      <c r="M465" s="310"/>
      <c r="N465" s="311"/>
      <c r="O465" s="312"/>
      <c r="P465" s="310"/>
      <c r="Q465" s="311"/>
      <c r="R465" s="312"/>
      <c r="S465" s="310"/>
      <c r="T465" s="311"/>
      <c r="U465" s="312"/>
      <c r="V465" s="149"/>
      <c r="W465" s="311"/>
      <c r="X465" s="306"/>
      <c r="Y465" s="188"/>
      <c r="Z465" s="188"/>
      <c r="AA465" s="188"/>
      <c r="AB465" s="20"/>
      <c r="AC465" s="20"/>
      <c r="AD465" s="20"/>
      <c r="AE465" s="20"/>
    </row>
    <row r="466">
      <c r="A466" s="149"/>
      <c r="B466" s="164"/>
      <c r="C466" s="306"/>
      <c r="D466" s="149"/>
      <c r="E466" s="164"/>
      <c r="F466" s="306"/>
      <c r="G466" s="149"/>
      <c r="H466" s="164"/>
      <c r="I466" s="306"/>
      <c r="J466" s="149"/>
      <c r="K466" s="164"/>
      <c r="L466" s="306"/>
      <c r="M466" s="310"/>
      <c r="N466" s="311"/>
      <c r="O466" s="312"/>
      <c r="P466" s="310"/>
      <c r="Q466" s="311"/>
      <c r="R466" s="312"/>
      <c r="S466" s="310"/>
      <c r="T466" s="311"/>
      <c r="U466" s="312"/>
      <c r="V466" s="149"/>
      <c r="W466" s="311"/>
      <c r="X466" s="306"/>
      <c r="Y466" s="188"/>
      <c r="Z466" s="188"/>
      <c r="AA466" s="188"/>
      <c r="AB466" s="20"/>
      <c r="AC466" s="20"/>
      <c r="AD466" s="20"/>
      <c r="AE466" s="20"/>
    </row>
    <row r="467">
      <c r="A467" s="149"/>
      <c r="B467" s="164"/>
      <c r="C467" s="306"/>
      <c r="D467" s="149"/>
      <c r="E467" s="164"/>
      <c r="F467" s="306"/>
      <c r="G467" s="149"/>
      <c r="H467" s="164"/>
      <c r="I467" s="306"/>
      <c r="J467" s="149"/>
      <c r="K467" s="164"/>
      <c r="L467" s="306"/>
      <c r="M467" s="310"/>
      <c r="N467" s="311"/>
      <c r="O467" s="312"/>
      <c r="P467" s="310"/>
      <c r="Q467" s="311"/>
      <c r="R467" s="312"/>
      <c r="S467" s="310"/>
      <c r="T467" s="311"/>
      <c r="U467" s="312"/>
      <c r="V467" s="149"/>
      <c r="W467" s="311"/>
      <c r="X467" s="306"/>
      <c r="Y467" s="188"/>
      <c r="Z467" s="188"/>
      <c r="AA467" s="188"/>
      <c r="AB467" s="20"/>
      <c r="AC467" s="20"/>
      <c r="AD467" s="20"/>
      <c r="AE467" s="20"/>
    </row>
    <row r="468">
      <c r="A468" s="149"/>
      <c r="B468" s="164"/>
      <c r="C468" s="306"/>
      <c r="D468" s="149"/>
      <c r="E468" s="164"/>
      <c r="F468" s="306"/>
      <c r="G468" s="149"/>
      <c r="H468" s="164"/>
      <c r="I468" s="306"/>
      <c r="J468" s="149"/>
      <c r="K468" s="164"/>
      <c r="L468" s="306"/>
      <c r="M468" s="310"/>
      <c r="N468" s="311"/>
      <c r="O468" s="312"/>
      <c r="P468" s="310"/>
      <c r="Q468" s="311"/>
      <c r="R468" s="312"/>
      <c r="S468" s="310"/>
      <c r="T468" s="311"/>
      <c r="U468" s="312"/>
      <c r="V468" s="149"/>
      <c r="W468" s="311"/>
      <c r="X468" s="306"/>
      <c r="Y468" s="188"/>
      <c r="Z468" s="188"/>
      <c r="AA468" s="188"/>
      <c r="AB468" s="20"/>
      <c r="AC468" s="20"/>
      <c r="AD468" s="20"/>
      <c r="AE468" s="20"/>
    </row>
    <row r="469">
      <c r="A469" s="149"/>
      <c r="B469" s="164"/>
      <c r="C469" s="306"/>
      <c r="D469" s="149"/>
      <c r="E469" s="164"/>
      <c r="F469" s="306"/>
      <c r="G469" s="149"/>
      <c r="H469" s="164"/>
      <c r="I469" s="306"/>
      <c r="J469" s="149"/>
      <c r="K469" s="164"/>
      <c r="L469" s="306"/>
      <c r="M469" s="310"/>
      <c r="N469" s="311"/>
      <c r="O469" s="312"/>
      <c r="P469" s="310"/>
      <c r="Q469" s="311"/>
      <c r="R469" s="312"/>
      <c r="S469" s="310"/>
      <c r="T469" s="311"/>
      <c r="U469" s="312"/>
      <c r="V469" s="149"/>
      <c r="W469" s="311"/>
      <c r="X469" s="306"/>
      <c r="Y469" s="188"/>
      <c r="Z469" s="188"/>
      <c r="AA469" s="188"/>
      <c r="AB469" s="20"/>
      <c r="AC469" s="20"/>
      <c r="AD469" s="20"/>
      <c r="AE469" s="20"/>
    </row>
    <row r="470">
      <c r="A470" s="149"/>
      <c r="B470" s="164"/>
      <c r="C470" s="306"/>
      <c r="D470" s="149"/>
      <c r="E470" s="164"/>
      <c r="F470" s="306"/>
      <c r="G470" s="149"/>
      <c r="H470" s="164"/>
      <c r="I470" s="306"/>
      <c r="J470" s="149"/>
      <c r="K470" s="164"/>
      <c r="L470" s="306"/>
      <c r="M470" s="310"/>
      <c r="N470" s="311"/>
      <c r="O470" s="312"/>
      <c r="P470" s="310"/>
      <c r="Q470" s="311"/>
      <c r="R470" s="312"/>
      <c r="S470" s="310"/>
      <c r="T470" s="311"/>
      <c r="U470" s="312"/>
      <c r="V470" s="149"/>
      <c r="W470" s="311"/>
      <c r="X470" s="306"/>
      <c r="Y470" s="188"/>
      <c r="Z470" s="188"/>
      <c r="AA470" s="188"/>
      <c r="AB470" s="20"/>
      <c r="AC470" s="20"/>
      <c r="AD470" s="20"/>
      <c r="AE470" s="20"/>
    </row>
    <row r="471">
      <c r="A471" s="149"/>
      <c r="B471" s="164"/>
      <c r="C471" s="306"/>
      <c r="D471" s="149"/>
      <c r="E471" s="164"/>
      <c r="F471" s="306"/>
      <c r="G471" s="149"/>
      <c r="H471" s="164"/>
      <c r="I471" s="306"/>
      <c r="J471" s="149"/>
      <c r="K471" s="164"/>
      <c r="L471" s="306"/>
      <c r="M471" s="310"/>
      <c r="N471" s="311"/>
      <c r="O471" s="312"/>
      <c r="P471" s="310"/>
      <c r="Q471" s="311"/>
      <c r="R471" s="312"/>
      <c r="S471" s="310"/>
      <c r="T471" s="311"/>
      <c r="U471" s="312"/>
      <c r="V471" s="149"/>
      <c r="W471" s="311"/>
      <c r="X471" s="306"/>
      <c r="Y471" s="188"/>
      <c r="Z471" s="188"/>
      <c r="AA471" s="188"/>
      <c r="AB471" s="20"/>
      <c r="AC471" s="20"/>
      <c r="AD471" s="20"/>
      <c r="AE471" s="20"/>
    </row>
    <row r="472">
      <c r="A472" s="149"/>
      <c r="B472" s="164"/>
      <c r="C472" s="306"/>
      <c r="D472" s="149"/>
      <c r="E472" s="164"/>
      <c r="F472" s="306"/>
      <c r="G472" s="149"/>
      <c r="H472" s="164"/>
      <c r="I472" s="306"/>
      <c r="J472" s="149"/>
      <c r="K472" s="164"/>
      <c r="L472" s="306"/>
      <c r="M472" s="310"/>
      <c r="N472" s="311"/>
      <c r="O472" s="312"/>
      <c r="P472" s="310"/>
      <c r="Q472" s="311"/>
      <c r="R472" s="312"/>
      <c r="S472" s="310"/>
      <c r="T472" s="311"/>
      <c r="U472" s="312"/>
      <c r="V472" s="149"/>
      <c r="W472" s="311"/>
      <c r="X472" s="306"/>
      <c r="Y472" s="188"/>
      <c r="Z472" s="188"/>
      <c r="AA472" s="188"/>
      <c r="AB472" s="20"/>
      <c r="AC472" s="20"/>
      <c r="AD472" s="20"/>
      <c r="AE472" s="20"/>
    </row>
    <row r="473">
      <c r="A473" s="149"/>
      <c r="B473" s="164"/>
      <c r="C473" s="306"/>
      <c r="D473" s="149"/>
      <c r="E473" s="164"/>
      <c r="F473" s="306"/>
      <c r="G473" s="149"/>
      <c r="H473" s="164"/>
      <c r="I473" s="306"/>
      <c r="J473" s="149"/>
      <c r="K473" s="164"/>
      <c r="L473" s="306"/>
      <c r="M473" s="310"/>
      <c r="N473" s="311"/>
      <c r="O473" s="312"/>
      <c r="P473" s="310"/>
      <c r="Q473" s="311"/>
      <c r="R473" s="312"/>
      <c r="S473" s="310"/>
      <c r="T473" s="311"/>
      <c r="U473" s="312"/>
      <c r="V473" s="149"/>
      <c r="W473" s="311"/>
      <c r="X473" s="306"/>
      <c r="Y473" s="188"/>
      <c r="Z473" s="188"/>
      <c r="AA473" s="188"/>
      <c r="AB473" s="20"/>
      <c r="AC473" s="20"/>
      <c r="AD473" s="20"/>
      <c r="AE473" s="20"/>
    </row>
    <row r="474">
      <c r="A474" s="149"/>
      <c r="B474" s="164"/>
      <c r="C474" s="306"/>
      <c r="D474" s="149"/>
      <c r="E474" s="164"/>
      <c r="F474" s="306"/>
      <c r="G474" s="149"/>
      <c r="H474" s="164"/>
      <c r="I474" s="306"/>
      <c r="J474" s="149"/>
      <c r="K474" s="164"/>
      <c r="L474" s="306"/>
      <c r="M474" s="310"/>
      <c r="N474" s="311"/>
      <c r="O474" s="312"/>
      <c r="P474" s="310"/>
      <c r="Q474" s="311"/>
      <c r="R474" s="312"/>
      <c r="S474" s="310"/>
      <c r="T474" s="311"/>
      <c r="U474" s="312"/>
      <c r="V474" s="149"/>
      <c r="W474" s="311"/>
      <c r="X474" s="306"/>
      <c r="Y474" s="188"/>
      <c r="Z474" s="188"/>
      <c r="AA474" s="188"/>
      <c r="AB474" s="20"/>
      <c r="AC474" s="20"/>
      <c r="AD474" s="20"/>
      <c r="AE474" s="20"/>
    </row>
    <row r="475">
      <c r="A475" s="149"/>
      <c r="B475" s="164"/>
      <c r="C475" s="306"/>
      <c r="D475" s="149"/>
      <c r="E475" s="164"/>
      <c r="F475" s="306"/>
      <c r="G475" s="149"/>
      <c r="H475" s="164"/>
      <c r="I475" s="306"/>
      <c r="J475" s="149"/>
      <c r="K475" s="164"/>
      <c r="L475" s="306"/>
      <c r="M475" s="310"/>
      <c r="N475" s="311"/>
      <c r="O475" s="312"/>
      <c r="P475" s="310"/>
      <c r="Q475" s="311"/>
      <c r="R475" s="312"/>
      <c r="S475" s="310"/>
      <c r="T475" s="311"/>
      <c r="U475" s="312"/>
      <c r="V475" s="149"/>
      <c r="W475" s="311"/>
      <c r="X475" s="306"/>
      <c r="Y475" s="188"/>
      <c r="Z475" s="188"/>
      <c r="AA475" s="188"/>
      <c r="AB475" s="20"/>
      <c r="AC475" s="20"/>
      <c r="AD475" s="20"/>
      <c r="AE475" s="20"/>
    </row>
    <row r="476">
      <c r="A476" s="149"/>
      <c r="B476" s="164"/>
      <c r="C476" s="306"/>
      <c r="D476" s="149"/>
      <c r="E476" s="164"/>
      <c r="F476" s="306"/>
      <c r="G476" s="149"/>
      <c r="H476" s="164"/>
      <c r="I476" s="306"/>
      <c r="J476" s="149"/>
      <c r="K476" s="164"/>
      <c r="L476" s="306"/>
      <c r="M476" s="310"/>
      <c r="N476" s="311"/>
      <c r="O476" s="312"/>
      <c r="P476" s="310"/>
      <c r="Q476" s="311"/>
      <c r="R476" s="312"/>
      <c r="S476" s="310"/>
      <c r="T476" s="311"/>
      <c r="U476" s="312"/>
      <c r="V476" s="149"/>
      <c r="W476" s="311"/>
      <c r="X476" s="306"/>
      <c r="Y476" s="188"/>
      <c r="Z476" s="188"/>
      <c r="AA476" s="188"/>
      <c r="AB476" s="20"/>
      <c r="AC476" s="20"/>
      <c r="AD476" s="20"/>
      <c r="AE476" s="20"/>
    </row>
    <row r="477">
      <c r="A477" s="149"/>
      <c r="B477" s="164"/>
      <c r="C477" s="306"/>
      <c r="D477" s="149"/>
      <c r="E477" s="164"/>
      <c r="F477" s="306"/>
      <c r="G477" s="149"/>
      <c r="H477" s="164"/>
      <c r="I477" s="306"/>
      <c r="J477" s="149"/>
      <c r="K477" s="164"/>
      <c r="L477" s="306"/>
      <c r="M477" s="310"/>
      <c r="N477" s="311"/>
      <c r="O477" s="312"/>
      <c r="P477" s="310"/>
      <c r="Q477" s="311"/>
      <c r="R477" s="312"/>
      <c r="S477" s="310"/>
      <c r="T477" s="311"/>
      <c r="U477" s="312"/>
      <c r="V477" s="149"/>
      <c r="W477" s="311"/>
      <c r="X477" s="306"/>
      <c r="Y477" s="188"/>
      <c r="Z477" s="188"/>
      <c r="AA477" s="188"/>
      <c r="AB477" s="20"/>
      <c r="AC477" s="20"/>
      <c r="AD477" s="20"/>
      <c r="AE477" s="20"/>
    </row>
    <row r="478">
      <c r="A478" s="149"/>
      <c r="B478" s="164"/>
      <c r="C478" s="306"/>
      <c r="D478" s="149"/>
      <c r="E478" s="164"/>
      <c r="F478" s="306"/>
      <c r="G478" s="149"/>
      <c r="H478" s="164"/>
      <c r="I478" s="306"/>
      <c r="J478" s="149"/>
      <c r="K478" s="164"/>
      <c r="L478" s="306"/>
      <c r="M478" s="310"/>
      <c r="N478" s="311"/>
      <c r="O478" s="312"/>
      <c r="P478" s="310"/>
      <c r="Q478" s="311"/>
      <c r="R478" s="312"/>
      <c r="S478" s="310"/>
      <c r="T478" s="311"/>
      <c r="U478" s="312"/>
      <c r="V478" s="149"/>
      <c r="W478" s="311"/>
      <c r="X478" s="306"/>
      <c r="Y478" s="188"/>
      <c r="Z478" s="188"/>
      <c r="AA478" s="188"/>
      <c r="AB478" s="20"/>
      <c r="AC478" s="20"/>
      <c r="AD478" s="20"/>
      <c r="AE478" s="20"/>
    </row>
    <row r="479">
      <c r="A479" s="149"/>
      <c r="B479" s="164"/>
      <c r="C479" s="306"/>
      <c r="D479" s="149"/>
      <c r="E479" s="164"/>
      <c r="F479" s="306"/>
      <c r="G479" s="149"/>
      <c r="H479" s="164"/>
      <c r="I479" s="306"/>
      <c r="J479" s="149"/>
      <c r="K479" s="164"/>
      <c r="L479" s="306"/>
      <c r="M479" s="310"/>
      <c r="N479" s="311"/>
      <c r="O479" s="312"/>
      <c r="P479" s="310"/>
      <c r="Q479" s="311"/>
      <c r="R479" s="312"/>
      <c r="S479" s="310"/>
      <c r="T479" s="311"/>
      <c r="U479" s="312"/>
      <c r="V479" s="149"/>
      <c r="W479" s="311"/>
      <c r="X479" s="306"/>
      <c r="Y479" s="188"/>
      <c r="Z479" s="188"/>
      <c r="AA479" s="188"/>
      <c r="AB479" s="20"/>
      <c r="AC479" s="20"/>
      <c r="AD479" s="20"/>
      <c r="AE479" s="20"/>
    </row>
    <row r="480">
      <c r="A480" s="149"/>
      <c r="B480" s="164"/>
      <c r="C480" s="306"/>
      <c r="D480" s="149"/>
      <c r="E480" s="164"/>
      <c r="F480" s="306"/>
      <c r="G480" s="149"/>
      <c r="H480" s="164"/>
      <c r="I480" s="306"/>
      <c r="J480" s="149"/>
      <c r="K480" s="164"/>
      <c r="L480" s="306"/>
      <c r="M480" s="310"/>
      <c r="N480" s="311"/>
      <c r="O480" s="312"/>
      <c r="P480" s="310"/>
      <c r="Q480" s="311"/>
      <c r="R480" s="312"/>
      <c r="S480" s="310"/>
      <c r="T480" s="311"/>
      <c r="U480" s="312"/>
      <c r="V480" s="149"/>
      <c r="W480" s="311"/>
      <c r="X480" s="306"/>
      <c r="Y480" s="188"/>
      <c r="Z480" s="188"/>
      <c r="AA480" s="188"/>
      <c r="AB480" s="20"/>
      <c r="AC480" s="20"/>
      <c r="AD480" s="20"/>
      <c r="AE480" s="20"/>
    </row>
    <row r="481">
      <c r="A481" s="149"/>
      <c r="B481" s="164"/>
      <c r="C481" s="306"/>
      <c r="D481" s="149"/>
      <c r="E481" s="164"/>
      <c r="F481" s="306"/>
      <c r="G481" s="149"/>
      <c r="H481" s="164"/>
      <c r="I481" s="306"/>
      <c r="J481" s="149"/>
      <c r="K481" s="164"/>
      <c r="L481" s="306"/>
      <c r="M481" s="310"/>
      <c r="N481" s="311"/>
      <c r="O481" s="312"/>
      <c r="P481" s="310"/>
      <c r="Q481" s="311"/>
      <c r="R481" s="312"/>
      <c r="S481" s="310"/>
      <c r="T481" s="311"/>
      <c r="U481" s="312"/>
      <c r="V481" s="149"/>
      <c r="W481" s="311"/>
      <c r="X481" s="306"/>
      <c r="Y481" s="188"/>
      <c r="Z481" s="188"/>
      <c r="AA481" s="188"/>
      <c r="AB481" s="20"/>
      <c r="AC481" s="20"/>
      <c r="AD481" s="20"/>
      <c r="AE481" s="20"/>
    </row>
    <row r="482">
      <c r="A482" s="149"/>
      <c r="B482" s="164"/>
      <c r="C482" s="306"/>
      <c r="D482" s="149"/>
      <c r="E482" s="164"/>
      <c r="F482" s="306"/>
      <c r="G482" s="149"/>
      <c r="H482" s="164"/>
      <c r="I482" s="306"/>
      <c r="J482" s="149"/>
      <c r="K482" s="164"/>
      <c r="L482" s="306"/>
      <c r="M482" s="310"/>
      <c r="N482" s="311"/>
      <c r="O482" s="312"/>
      <c r="P482" s="310"/>
      <c r="Q482" s="311"/>
      <c r="R482" s="312"/>
      <c r="S482" s="310"/>
      <c r="T482" s="311"/>
      <c r="U482" s="312"/>
      <c r="V482" s="149"/>
      <c r="W482" s="311"/>
      <c r="X482" s="306"/>
      <c r="Y482" s="188"/>
      <c r="Z482" s="188"/>
      <c r="AA482" s="188"/>
      <c r="AB482" s="20"/>
      <c r="AC482" s="20"/>
      <c r="AD482" s="20"/>
      <c r="AE482" s="20"/>
    </row>
    <row r="483">
      <c r="A483" s="149"/>
      <c r="B483" s="164"/>
      <c r="C483" s="306"/>
      <c r="D483" s="149"/>
      <c r="E483" s="164"/>
      <c r="F483" s="306"/>
      <c r="G483" s="149"/>
      <c r="H483" s="164"/>
      <c r="I483" s="306"/>
      <c r="J483" s="149"/>
      <c r="K483" s="164"/>
      <c r="L483" s="306"/>
      <c r="M483" s="310"/>
      <c r="N483" s="311"/>
      <c r="O483" s="312"/>
      <c r="P483" s="310"/>
      <c r="Q483" s="311"/>
      <c r="R483" s="312"/>
      <c r="S483" s="310"/>
      <c r="T483" s="311"/>
      <c r="U483" s="312"/>
      <c r="V483" s="149"/>
      <c r="W483" s="311"/>
      <c r="X483" s="306"/>
      <c r="Y483" s="188"/>
      <c r="Z483" s="188"/>
      <c r="AA483" s="188"/>
      <c r="AB483" s="20"/>
      <c r="AC483" s="20"/>
      <c r="AD483" s="20"/>
      <c r="AE483" s="20"/>
    </row>
    <row r="484">
      <c r="A484" s="149"/>
      <c r="B484" s="164"/>
      <c r="C484" s="306"/>
      <c r="D484" s="149"/>
      <c r="E484" s="164"/>
      <c r="F484" s="306"/>
      <c r="G484" s="149"/>
      <c r="H484" s="164"/>
      <c r="I484" s="306"/>
      <c r="J484" s="149"/>
      <c r="K484" s="164"/>
      <c r="L484" s="306"/>
      <c r="M484" s="310"/>
      <c r="N484" s="311"/>
      <c r="O484" s="312"/>
      <c r="P484" s="310"/>
      <c r="Q484" s="311"/>
      <c r="R484" s="312"/>
      <c r="S484" s="310"/>
      <c r="T484" s="311"/>
      <c r="U484" s="312"/>
      <c r="V484" s="149"/>
      <c r="W484" s="311"/>
      <c r="X484" s="306"/>
      <c r="Y484" s="188"/>
      <c r="Z484" s="188"/>
      <c r="AA484" s="188"/>
      <c r="AB484" s="20"/>
      <c r="AC484" s="20"/>
      <c r="AD484" s="20"/>
      <c r="AE484" s="20"/>
    </row>
    <row r="485">
      <c r="A485" s="149"/>
      <c r="B485" s="164"/>
      <c r="C485" s="306"/>
      <c r="D485" s="149"/>
      <c r="E485" s="164"/>
      <c r="F485" s="306"/>
      <c r="G485" s="149"/>
      <c r="H485" s="164"/>
      <c r="I485" s="306"/>
      <c r="J485" s="149"/>
      <c r="K485" s="164"/>
      <c r="L485" s="306"/>
      <c r="M485" s="310"/>
      <c r="N485" s="311"/>
      <c r="O485" s="312"/>
      <c r="P485" s="310"/>
      <c r="Q485" s="311"/>
      <c r="R485" s="312"/>
      <c r="S485" s="310"/>
      <c r="T485" s="311"/>
      <c r="U485" s="312"/>
      <c r="V485" s="149"/>
      <c r="W485" s="311"/>
      <c r="X485" s="306"/>
      <c r="Y485" s="188"/>
      <c r="Z485" s="188"/>
      <c r="AA485" s="188"/>
      <c r="AB485" s="20"/>
      <c r="AC485" s="20"/>
      <c r="AD485" s="20"/>
      <c r="AE485" s="20"/>
    </row>
    <row r="486">
      <c r="A486" s="149"/>
      <c r="B486" s="164"/>
      <c r="C486" s="306"/>
      <c r="D486" s="149"/>
      <c r="E486" s="164"/>
      <c r="F486" s="306"/>
      <c r="G486" s="149"/>
      <c r="H486" s="164"/>
      <c r="I486" s="306"/>
      <c r="J486" s="149"/>
      <c r="K486" s="164"/>
      <c r="L486" s="306"/>
      <c r="M486" s="310"/>
      <c r="N486" s="311"/>
      <c r="O486" s="312"/>
      <c r="P486" s="310"/>
      <c r="Q486" s="311"/>
      <c r="R486" s="312"/>
      <c r="S486" s="310"/>
      <c r="T486" s="311"/>
      <c r="U486" s="312"/>
      <c r="V486" s="149"/>
      <c r="W486" s="311"/>
      <c r="X486" s="306"/>
      <c r="Y486" s="188"/>
      <c r="Z486" s="188"/>
      <c r="AA486" s="188"/>
      <c r="AB486" s="20"/>
      <c r="AC486" s="20"/>
      <c r="AD486" s="20"/>
      <c r="AE486" s="20"/>
    </row>
    <row r="487">
      <c r="A487" s="149"/>
      <c r="B487" s="164"/>
      <c r="C487" s="306"/>
      <c r="D487" s="149"/>
      <c r="E487" s="164"/>
      <c r="F487" s="306"/>
      <c r="G487" s="149"/>
      <c r="H487" s="164"/>
      <c r="I487" s="306"/>
      <c r="J487" s="149"/>
      <c r="K487" s="164"/>
      <c r="L487" s="306"/>
      <c r="M487" s="310"/>
      <c r="N487" s="311"/>
      <c r="O487" s="312"/>
      <c r="P487" s="310"/>
      <c r="Q487" s="311"/>
      <c r="R487" s="312"/>
      <c r="S487" s="310"/>
      <c r="T487" s="311"/>
      <c r="U487" s="312"/>
      <c r="V487" s="149"/>
      <c r="W487" s="311"/>
      <c r="X487" s="306"/>
      <c r="Y487" s="188"/>
      <c r="Z487" s="188"/>
      <c r="AA487" s="188"/>
      <c r="AB487" s="20"/>
      <c r="AC487" s="20"/>
      <c r="AD487" s="20"/>
      <c r="AE487" s="20"/>
    </row>
    <row r="488">
      <c r="A488" s="149"/>
      <c r="B488" s="164"/>
      <c r="C488" s="306"/>
      <c r="D488" s="149"/>
      <c r="E488" s="164"/>
      <c r="F488" s="306"/>
      <c r="G488" s="149"/>
      <c r="H488" s="164"/>
      <c r="I488" s="306"/>
      <c r="J488" s="149"/>
      <c r="K488" s="164"/>
      <c r="L488" s="306"/>
      <c r="M488" s="310"/>
      <c r="N488" s="311"/>
      <c r="O488" s="312"/>
      <c r="P488" s="310"/>
      <c r="Q488" s="311"/>
      <c r="R488" s="312"/>
      <c r="S488" s="310"/>
      <c r="T488" s="311"/>
      <c r="U488" s="312"/>
      <c r="V488" s="149"/>
      <c r="W488" s="311"/>
      <c r="X488" s="306"/>
      <c r="Y488" s="188"/>
      <c r="Z488" s="188"/>
      <c r="AA488" s="188"/>
      <c r="AB488" s="20"/>
      <c r="AC488" s="20"/>
      <c r="AD488" s="20"/>
      <c r="AE488" s="20"/>
    </row>
    <row r="489">
      <c r="A489" s="149"/>
      <c r="B489" s="164"/>
      <c r="C489" s="306"/>
      <c r="D489" s="149"/>
      <c r="E489" s="164"/>
      <c r="F489" s="306"/>
      <c r="G489" s="149"/>
      <c r="H489" s="164"/>
      <c r="I489" s="306"/>
      <c r="J489" s="149"/>
      <c r="K489" s="164"/>
      <c r="L489" s="306"/>
      <c r="M489" s="310"/>
      <c r="N489" s="311"/>
      <c r="O489" s="312"/>
      <c r="P489" s="310"/>
      <c r="Q489" s="311"/>
      <c r="R489" s="312"/>
      <c r="S489" s="310"/>
      <c r="T489" s="311"/>
      <c r="U489" s="312"/>
      <c r="V489" s="149"/>
      <c r="W489" s="311"/>
      <c r="X489" s="306"/>
      <c r="Y489" s="188"/>
      <c r="Z489" s="188"/>
      <c r="AA489" s="188"/>
      <c r="AB489" s="20"/>
      <c r="AC489" s="20"/>
      <c r="AD489" s="20"/>
      <c r="AE489" s="20"/>
    </row>
    <row r="490">
      <c r="A490" s="149"/>
      <c r="B490" s="164"/>
      <c r="C490" s="306"/>
      <c r="D490" s="149"/>
      <c r="E490" s="164"/>
      <c r="F490" s="306"/>
      <c r="G490" s="149"/>
      <c r="H490" s="164"/>
      <c r="I490" s="306"/>
      <c r="J490" s="149"/>
      <c r="K490" s="164"/>
      <c r="L490" s="306"/>
      <c r="M490" s="310"/>
      <c r="N490" s="311"/>
      <c r="O490" s="312"/>
      <c r="P490" s="310"/>
      <c r="Q490" s="311"/>
      <c r="R490" s="312"/>
      <c r="S490" s="310"/>
      <c r="T490" s="311"/>
      <c r="U490" s="312"/>
      <c r="V490" s="149"/>
      <c r="W490" s="311"/>
      <c r="X490" s="306"/>
      <c r="Y490" s="188"/>
      <c r="Z490" s="188"/>
      <c r="AA490" s="188"/>
      <c r="AB490" s="20"/>
      <c r="AC490" s="20"/>
      <c r="AD490" s="20"/>
      <c r="AE490" s="20"/>
    </row>
    <row r="491">
      <c r="A491" s="149"/>
      <c r="B491" s="164"/>
      <c r="C491" s="306"/>
      <c r="D491" s="149"/>
      <c r="E491" s="164"/>
      <c r="F491" s="306"/>
      <c r="G491" s="149"/>
      <c r="H491" s="164"/>
      <c r="I491" s="306"/>
      <c r="J491" s="149"/>
      <c r="K491" s="164"/>
      <c r="L491" s="306"/>
      <c r="M491" s="310"/>
      <c r="N491" s="311"/>
      <c r="O491" s="312"/>
      <c r="P491" s="310"/>
      <c r="Q491" s="311"/>
      <c r="R491" s="312"/>
      <c r="S491" s="310"/>
      <c r="T491" s="311"/>
      <c r="U491" s="312"/>
      <c r="V491" s="149"/>
      <c r="W491" s="311"/>
      <c r="X491" s="306"/>
      <c r="Y491" s="188"/>
      <c r="Z491" s="188"/>
      <c r="AA491" s="188"/>
      <c r="AB491" s="20"/>
      <c r="AC491" s="20"/>
      <c r="AD491" s="20"/>
      <c r="AE491" s="20"/>
    </row>
    <row r="492">
      <c r="A492" s="149"/>
      <c r="B492" s="164"/>
      <c r="C492" s="306"/>
      <c r="D492" s="149"/>
      <c r="E492" s="164"/>
      <c r="F492" s="306"/>
      <c r="G492" s="149"/>
      <c r="H492" s="164"/>
      <c r="I492" s="306"/>
      <c r="J492" s="149"/>
      <c r="K492" s="164"/>
      <c r="L492" s="306"/>
      <c r="M492" s="310"/>
      <c r="N492" s="311"/>
      <c r="O492" s="312"/>
      <c r="P492" s="310"/>
      <c r="Q492" s="311"/>
      <c r="R492" s="312"/>
      <c r="S492" s="310"/>
      <c r="T492" s="311"/>
      <c r="U492" s="312"/>
      <c r="V492" s="149"/>
      <c r="W492" s="311"/>
      <c r="X492" s="306"/>
      <c r="Y492" s="188"/>
      <c r="Z492" s="188"/>
      <c r="AA492" s="188"/>
      <c r="AB492" s="20"/>
      <c r="AC492" s="20"/>
      <c r="AD492" s="20"/>
      <c r="AE492" s="20"/>
    </row>
    <row r="493">
      <c r="A493" s="149"/>
      <c r="B493" s="164"/>
      <c r="C493" s="306"/>
      <c r="D493" s="149"/>
      <c r="E493" s="164"/>
      <c r="F493" s="306"/>
      <c r="G493" s="149"/>
      <c r="H493" s="164"/>
      <c r="I493" s="306"/>
      <c r="J493" s="149"/>
      <c r="K493" s="164"/>
      <c r="L493" s="306"/>
      <c r="M493" s="310"/>
      <c r="N493" s="311"/>
      <c r="O493" s="312"/>
      <c r="P493" s="310"/>
      <c r="Q493" s="311"/>
      <c r="R493" s="312"/>
      <c r="S493" s="310"/>
      <c r="T493" s="311"/>
      <c r="U493" s="312"/>
      <c r="V493" s="149"/>
      <c r="W493" s="311"/>
      <c r="X493" s="306"/>
      <c r="Y493" s="188"/>
      <c r="Z493" s="188"/>
      <c r="AA493" s="188"/>
      <c r="AB493" s="20"/>
      <c r="AC493" s="20"/>
      <c r="AD493" s="20"/>
      <c r="AE493" s="20"/>
    </row>
    <row r="494">
      <c r="A494" s="149"/>
      <c r="B494" s="164"/>
      <c r="C494" s="306"/>
      <c r="D494" s="149"/>
      <c r="E494" s="164"/>
      <c r="F494" s="306"/>
      <c r="G494" s="149"/>
      <c r="H494" s="164"/>
      <c r="I494" s="306"/>
      <c r="J494" s="149"/>
      <c r="K494" s="164"/>
      <c r="L494" s="306"/>
      <c r="M494" s="310"/>
      <c r="N494" s="311"/>
      <c r="O494" s="312"/>
      <c r="P494" s="310"/>
      <c r="Q494" s="311"/>
      <c r="R494" s="312"/>
      <c r="S494" s="310"/>
      <c r="T494" s="311"/>
      <c r="U494" s="312"/>
      <c r="V494" s="149"/>
      <c r="W494" s="311"/>
      <c r="X494" s="306"/>
      <c r="Y494" s="188"/>
      <c r="Z494" s="188"/>
      <c r="AA494" s="188"/>
      <c r="AB494" s="20"/>
      <c r="AC494" s="20"/>
      <c r="AD494" s="20"/>
      <c r="AE494" s="20"/>
    </row>
    <row r="495">
      <c r="A495" s="149"/>
      <c r="B495" s="164"/>
      <c r="C495" s="306"/>
      <c r="D495" s="149"/>
      <c r="E495" s="164"/>
      <c r="F495" s="306"/>
      <c r="G495" s="149"/>
      <c r="H495" s="164"/>
      <c r="I495" s="306"/>
      <c r="J495" s="149"/>
      <c r="K495" s="164"/>
      <c r="L495" s="306"/>
      <c r="M495" s="310"/>
      <c r="N495" s="311"/>
      <c r="O495" s="312"/>
      <c r="P495" s="310"/>
      <c r="Q495" s="311"/>
      <c r="R495" s="312"/>
      <c r="S495" s="310"/>
      <c r="T495" s="311"/>
      <c r="U495" s="312"/>
      <c r="V495" s="149"/>
      <c r="W495" s="311"/>
      <c r="X495" s="306"/>
      <c r="Y495" s="188"/>
      <c r="Z495" s="188"/>
      <c r="AA495" s="188"/>
      <c r="AB495" s="20"/>
      <c r="AC495" s="20"/>
      <c r="AD495" s="20"/>
      <c r="AE495" s="20"/>
    </row>
    <row r="496">
      <c r="A496" s="149"/>
      <c r="B496" s="164"/>
      <c r="C496" s="306"/>
      <c r="D496" s="149"/>
      <c r="E496" s="164"/>
      <c r="F496" s="306"/>
      <c r="G496" s="149"/>
      <c r="H496" s="164"/>
      <c r="I496" s="306"/>
      <c r="J496" s="149"/>
      <c r="K496" s="164"/>
      <c r="L496" s="306"/>
      <c r="M496" s="310"/>
      <c r="N496" s="311"/>
      <c r="O496" s="312"/>
      <c r="P496" s="310"/>
      <c r="Q496" s="311"/>
      <c r="R496" s="312"/>
      <c r="S496" s="310"/>
      <c r="T496" s="311"/>
      <c r="U496" s="312"/>
      <c r="V496" s="149"/>
      <c r="W496" s="311"/>
      <c r="X496" s="306"/>
      <c r="Y496" s="188"/>
      <c r="Z496" s="188"/>
      <c r="AA496" s="188"/>
      <c r="AB496" s="20"/>
      <c r="AC496" s="20"/>
      <c r="AD496" s="20"/>
      <c r="AE496" s="20"/>
    </row>
    <row r="497">
      <c r="A497" s="149"/>
      <c r="B497" s="164"/>
      <c r="C497" s="306"/>
      <c r="D497" s="149"/>
      <c r="E497" s="164"/>
      <c r="F497" s="306"/>
      <c r="G497" s="149"/>
      <c r="H497" s="164"/>
      <c r="I497" s="306"/>
      <c r="J497" s="149"/>
      <c r="K497" s="164"/>
      <c r="L497" s="306"/>
      <c r="M497" s="310"/>
      <c r="N497" s="311"/>
      <c r="O497" s="312"/>
      <c r="P497" s="310"/>
      <c r="Q497" s="311"/>
      <c r="R497" s="312"/>
      <c r="S497" s="310"/>
      <c r="T497" s="311"/>
      <c r="U497" s="312"/>
      <c r="V497" s="149"/>
      <c r="W497" s="311"/>
      <c r="X497" s="306"/>
      <c r="Y497" s="188"/>
      <c r="Z497" s="188"/>
      <c r="AA497" s="188"/>
      <c r="AB497" s="20"/>
      <c r="AC497" s="20"/>
      <c r="AD497" s="20"/>
      <c r="AE497" s="20"/>
    </row>
    <row r="498">
      <c r="A498" s="149"/>
      <c r="B498" s="164"/>
      <c r="C498" s="306"/>
      <c r="D498" s="149"/>
      <c r="E498" s="164"/>
      <c r="F498" s="306"/>
      <c r="G498" s="149"/>
      <c r="H498" s="164"/>
      <c r="I498" s="306"/>
      <c r="J498" s="149"/>
      <c r="K498" s="164"/>
      <c r="L498" s="306"/>
      <c r="M498" s="310"/>
      <c r="N498" s="311"/>
      <c r="O498" s="312"/>
      <c r="P498" s="310"/>
      <c r="Q498" s="311"/>
      <c r="R498" s="312"/>
      <c r="S498" s="310"/>
      <c r="T498" s="311"/>
      <c r="U498" s="312"/>
      <c r="V498" s="149"/>
      <c r="W498" s="311"/>
      <c r="X498" s="306"/>
      <c r="Y498" s="188"/>
      <c r="Z498" s="188"/>
      <c r="AA498" s="188"/>
      <c r="AB498" s="20"/>
      <c r="AC498" s="20"/>
      <c r="AD498" s="20"/>
      <c r="AE498" s="20"/>
    </row>
    <row r="499">
      <c r="A499" s="149"/>
      <c r="B499" s="164"/>
      <c r="C499" s="306"/>
      <c r="D499" s="149"/>
      <c r="E499" s="164"/>
      <c r="F499" s="306"/>
      <c r="G499" s="149"/>
      <c r="H499" s="164"/>
      <c r="I499" s="306"/>
      <c r="J499" s="149"/>
      <c r="K499" s="164"/>
      <c r="L499" s="306"/>
      <c r="M499" s="310"/>
      <c r="N499" s="311"/>
      <c r="O499" s="312"/>
      <c r="P499" s="310"/>
      <c r="Q499" s="311"/>
      <c r="R499" s="312"/>
      <c r="S499" s="310"/>
      <c r="T499" s="311"/>
      <c r="U499" s="312"/>
      <c r="V499" s="149"/>
      <c r="W499" s="311"/>
      <c r="X499" s="306"/>
      <c r="Y499" s="188"/>
      <c r="Z499" s="188"/>
      <c r="AA499" s="188"/>
      <c r="AB499" s="20"/>
      <c r="AC499" s="20"/>
      <c r="AD499" s="20"/>
      <c r="AE499" s="20"/>
    </row>
    <row r="500">
      <c r="A500" s="149"/>
      <c r="B500" s="164"/>
      <c r="C500" s="306"/>
      <c r="D500" s="149"/>
      <c r="E500" s="164"/>
      <c r="F500" s="306"/>
      <c r="G500" s="149"/>
      <c r="H500" s="164"/>
      <c r="I500" s="306"/>
      <c r="J500" s="149"/>
      <c r="K500" s="164"/>
      <c r="L500" s="306"/>
      <c r="M500" s="310"/>
      <c r="N500" s="311"/>
      <c r="O500" s="312"/>
      <c r="P500" s="310"/>
      <c r="Q500" s="311"/>
      <c r="R500" s="312"/>
      <c r="S500" s="310"/>
      <c r="T500" s="311"/>
      <c r="U500" s="312"/>
      <c r="V500" s="149"/>
      <c r="W500" s="311"/>
      <c r="X500" s="306"/>
      <c r="Y500" s="188"/>
      <c r="Z500" s="188"/>
      <c r="AA500" s="188"/>
      <c r="AB500" s="20"/>
      <c r="AC500" s="20"/>
      <c r="AD500" s="20"/>
      <c r="AE500" s="20"/>
    </row>
    <row r="501">
      <c r="A501" s="149"/>
      <c r="B501" s="164"/>
      <c r="C501" s="306"/>
      <c r="D501" s="149"/>
      <c r="E501" s="164"/>
      <c r="F501" s="306"/>
      <c r="G501" s="149"/>
      <c r="H501" s="164"/>
      <c r="I501" s="306"/>
      <c r="J501" s="149"/>
      <c r="K501" s="164"/>
      <c r="L501" s="306"/>
      <c r="M501" s="310"/>
      <c r="N501" s="311"/>
      <c r="O501" s="312"/>
      <c r="P501" s="310"/>
      <c r="Q501" s="311"/>
      <c r="R501" s="312"/>
      <c r="S501" s="310"/>
      <c r="T501" s="311"/>
      <c r="U501" s="312"/>
      <c r="V501" s="149"/>
      <c r="W501" s="311"/>
      <c r="X501" s="306"/>
      <c r="Y501" s="188"/>
      <c r="Z501" s="188"/>
      <c r="AA501" s="188"/>
      <c r="AB501" s="20"/>
      <c r="AC501" s="20"/>
      <c r="AD501" s="20"/>
      <c r="AE501" s="20"/>
    </row>
    <row r="502">
      <c r="A502" s="149"/>
      <c r="B502" s="164"/>
      <c r="C502" s="306"/>
      <c r="D502" s="149"/>
      <c r="E502" s="164"/>
      <c r="F502" s="306"/>
      <c r="G502" s="149"/>
      <c r="H502" s="164"/>
      <c r="I502" s="306"/>
      <c r="J502" s="149"/>
      <c r="K502" s="164"/>
      <c r="L502" s="306"/>
      <c r="M502" s="310"/>
      <c r="N502" s="311"/>
      <c r="O502" s="312"/>
      <c r="P502" s="310"/>
      <c r="Q502" s="311"/>
      <c r="R502" s="312"/>
      <c r="S502" s="310"/>
      <c r="T502" s="311"/>
      <c r="U502" s="312"/>
      <c r="V502" s="149"/>
      <c r="W502" s="311"/>
      <c r="X502" s="306"/>
      <c r="Y502" s="188"/>
      <c r="Z502" s="188"/>
      <c r="AA502" s="188"/>
      <c r="AB502" s="20"/>
      <c r="AC502" s="20"/>
      <c r="AD502" s="20"/>
      <c r="AE502" s="20"/>
    </row>
    <row r="503">
      <c r="A503" s="149"/>
      <c r="B503" s="164"/>
      <c r="C503" s="306"/>
      <c r="D503" s="149"/>
      <c r="E503" s="164"/>
      <c r="F503" s="306"/>
      <c r="G503" s="149"/>
      <c r="H503" s="164"/>
      <c r="I503" s="306"/>
      <c r="J503" s="149"/>
      <c r="K503" s="164"/>
      <c r="L503" s="306"/>
      <c r="M503" s="310"/>
      <c r="N503" s="311"/>
      <c r="O503" s="312"/>
      <c r="P503" s="310"/>
      <c r="Q503" s="311"/>
      <c r="R503" s="312"/>
      <c r="S503" s="310"/>
      <c r="T503" s="311"/>
      <c r="U503" s="312"/>
      <c r="V503" s="149"/>
      <c r="W503" s="311"/>
      <c r="X503" s="306"/>
      <c r="Y503" s="188"/>
      <c r="Z503" s="188"/>
      <c r="AA503" s="188"/>
      <c r="AB503" s="20"/>
      <c r="AC503" s="20"/>
      <c r="AD503" s="20"/>
      <c r="AE503" s="20"/>
    </row>
    <row r="504">
      <c r="A504" s="149"/>
      <c r="B504" s="164"/>
      <c r="C504" s="306"/>
      <c r="D504" s="149"/>
      <c r="E504" s="164"/>
      <c r="F504" s="306"/>
      <c r="G504" s="149"/>
      <c r="H504" s="164"/>
      <c r="I504" s="306"/>
      <c r="J504" s="149"/>
      <c r="K504" s="164"/>
      <c r="L504" s="306"/>
      <c r="M504" s="310"/>
      <c r="N504" s="311"/>
      <c r="O504" s="312"/>
      <c r="P504" s="310"/>
      <c r="Q504" s="311"/>
      <c r="R504" s="312"/>
      <c r="S504" s="310"/>
      <c r="T504" s="311"/>
      <c r="U504" s="312"/>
      <c r="V504" s="149"/>
      <c r="W504" s="311"/>
      <c r="X504" s="306"/>
      <c r="Y504" s="188"/>
      <c r="Z504" s="188"/>
      <c r="AA504" s="188"/>
      <c r="AB504" s="20"/>
      <c r="AC504" s="20"/>
      <c r="AD504" s="20"/>
      <c r="AE504" s="20"/>
    </row>
    <row r="505">
      <c r="A505" s="149"/>
      <c r="B505" s="164"/>
      <c r="C505" s="306"/>
      <c r="D505" s="149"/>
      <c r="E505" s="164"/>
      <c r="F505" s="306"/>
      <c r="G505" s="149"/>
      <c r="H505" s="164"/>
      <c r="I505" s="306"/>
      <c r="J505" s="149"/>
      <c r="K505" s="164"/>
      <c r="L505" s="306"/>
      <c r="M505" s="310"/>
      <c r="N505" s="311"/>
      <c r="O505" s="312"/>
      <c r="P505" s="310"/>
      <c r="Q505" s="311"/>
      <c r="R505" s="312"/>
      <c r="S505" s="310"/>
      <c r="T505" s="311"/>
      <c r="U505" s="312"/>
      <c r="V505" s="149"/>
      <c r="W505" s="311"/>
      <c r="X505" s="306"/>
      <c r="Y505" s="188"/>
      <c r="Z505" s="188"/>
      <c r="AA505" s="188"/>
      <c r="AB505" s="20"/>
      <c r="AC505" s="20"/>
      <c r="AD505" s="20"/>
      <c r="AE505" s="20"/>
    </row>
    <row r="506">
      <c r="A506" s="149"/>
      <c r="B506" s="164"/>
      <c r="C506" s="306"/>
      <c r="D506" s="149"/>
      <c r="E506" s="164"/>
      <c r="F506" s="306"/>
      <c r="G506" s="149"/>
      <c r="H506" s="164"/>
      <c r="I506" s="306"/>
      <c r="J506" s="149"/>
      <c r="K506" s="164"/>
      <c r="L506" s="306"/>
      <c r="M506" s="310"/>
      <c r="N506" s="311"/>
      <c r="O506" s="312"/>
      <c r="P506" s="310"/>
      <c r="Q506" s="311"/>
      <c r="R506" s="312"/>
      <c r="S506" s="310"/>
      <c r="T506" s="311"/>
      <c r="U506" s="312"/>
      <c r="V506" s="149"/>
      <c r="W506" s="311"/>
      <c r="X506" s="306"/>
      <c r="Y506" s="188"/>
      <c r="Z506" s="188"/>
      <c r="AA506" s="188"/>
      <c r="AB506" s="20"/>
      <c r="AC506" s="20"/>
      <c r="AD506" s="20"/>
      <c r="AE506" s="20"/>
    </row>
    <row r="507">
      <c r="A507" s="149"/>
      <c r="B507" s="164"/>
      <c r="C507" s="306"/>
      <c r="D507" s="149"/>
      <c r="E507" s="164"/>
      <c r="F507" s="306"/>
      <c r="G507" s="149"/>
      <c r="H507" s="164"/>
      <c r="I507" s="306"/>
      <c r="J507" s="149"/>
      <c r="K507" s="164"/>
      <c r="L507" s="306"/>
      <c r="M507" s="310"/>
      <c r="N507" s="311"/>
      <c r="O507" s="312"/>
      <c r="P507" s="310"/>
      <c r="Q507" s="311"/>
      <c r="R507" s="312"/>
      <c r="S507" s="310"/>
      <c r="T507" s="311"/>
      <c r="U507" s="312"/>
      <c r="V507" s="149"/>
      <c r="W507" s="311"/>
      <c r="X507" s="306"/>
      <c r="Y507" s="188"/>
      <c r="Z507" s="188"/>
      <c r="AA507" s="188"/>
      <c r="AB507" s="20"/>
      <c r="AC507" s="20"/>
      <c r="AD507" s="20"/>
      <c r="AE507" s="20"/>
    </row>
    <row r="508">
      <c r="A508" s="149"/>
      <c r="B508" s="164"/>
      <c r="C508" s="306"/>
      <c r="D508" s="149"/>
      <c r="E508" s="164"/>
      <c r="F508" s="306"/>
      <c r="G508" s="149"/>
      <c r="H508" s="164"/>
      <c r="I508" s="306"/>
      <c r="J508" s="149"/>
      <c r="K508" s="164"/>
      <c r="L508" s="306"/>
      <c r="M508" s="310"/>
      <c r="N508" s="311"/>
      <c r="O508" s="312"/>
      <c r="P508" s="310"/>
      <c r="Q508" s="311"/>
      <c r="R508" s="312"/>
      <c r="S508" s="310"/>
      <c r="T508" s="311"/>
      <c r="U508" s="312"/>
      <c r="V508" s="149"/>
      <c r="W508" s="311"/>
      <c r="X508" s="306"/>
      <c r="Y508" s="188"/>
      <c r="Z508" s="188"/>
      <c r="AA508" s="188"/>
      <c r="AB508" s="20"/>
      <c r="AC508" s="20"/>
      <c r="AD508" s="20"/>
      <c r="AE508" s="20"/>
    </row>
    <row r="509">
      <c r="A509" s="149"/>
      <c r="B509" s="164"/>
      <c r="C509" s="306"/>
      <c r="D509" s="149"/>
      <c r="E509" s="164"/>
      <c r="F509" s="306"/>
      <c r="G509" s="149"/>
      <c r="H509" s="164"/>
      <c r="I509" s="306"/>
      <c r="J509" s="149"/>
      <c r="K509" s="164"/>
      <c r="L509" s="306"/>
      <c r="M509" s="310"/>
      <c r="N509" s="311"/>
      <c r="O509" s="312"/>
      <c r="P509" s="310"/>
      <c r="Q509" s="311"/>
      <c r="R509" s="312"/>
      <c r="S509" s="310"/>
      <c r="T509" s="311"/>
      <c r="U509" s="312"/>
      <c r="V509" s="149"/>
      <c r="W509" s="311"/>
      <c r="X509" s="306"/>
      <c r="Y509" s="188"/>
      <c r="Z509" s="188"/>
      <c r="AA509" s="188"/>
      <c r="AB509" s="20"/>
      <c r="AC509" s="20"/>
      <c r="AD509" s="20"/>
      <c r="AE509" s="20"/>
    </row>
    <row r="510">
      <c r="A510" s="149"/>
      <c r="B510" s="164"/>
      <c r="C510" s="306"/>
      <c r="D510" s="149"/>
      <c r="E510" s="164"/>
      <c r="F510" s="306"/>
      <c r="G510" s="149"/>
      <c r="H510" s="164"/>
      <c r="I510" s="306"/>
      <c r="J510" s="149"/>
      <c r="K510" s="164"/>
      <c r="L510" s="306"/>
      <c r="M510" s="310"/>
      <c r="N510" s="311"/>
      <c r="O510" s="312"/>
      <c r="P510" s="310"/>
      <c r="Q510" s="311"/>
      <c r="R510" s="312"/>
      <c r="S510" s="310"/>
      <c r="T510" s="311"/>
      <c r="U510" s="312"/>
      <c r="V510" s="149"/>
      <c r="W510" s="311"/>
      <c r="X510" s="306"/>
      <c r="Y510" s="188"/>
      <c r="Z510" s="188"/>
      <c r="AA510" s="188"/>
      <c r="AB510" s="20"/>
      <c r="AC510" s="20"/>
      <c r="AD510" s="20"/>
      <c r="AE510" s="20"/>
    </row>
    <row r="511">
      <c r="A511" s="149"/>
      <c r="B511" s="164"/>
      <c r="C511" s="306"/>
      <c r="D511" s="149"/>
      <c r="E511" s="164"/>
      <c r="F511" s="306"/>
      <c r="G511" s="149"/>
      <c r="H511" s="164"/>
      <c r="I511" s="306"/>
      <c r="J511" s="149"/>
      <c r="K511" s="164"/>
      <c r="L511" s="306"/>
      <c r="M511" s="310"/>
      <c r="N511" s="311"/>
      <c r="O511" s="312"/>
      <c r="P511" s="310"/>
      <c r="Q511" s="311"/>
      <c r="R511" s="312"/>
      <c r="S511" s="310"/>
      <c r="T511" s="311"/>
      <c r="U511" s="312"/>
      <c r="V511" s="149"/>
      <c r="W511" s="311"/>
      <c r="X511" s="306"/>
      <c r="Y511" s="188"/>
      <c r="Z511" s="188"/>
      <c r="AA511" s="188"/>
      <c r="AB511" s="20"/>
      <c r="AC511" s="20"/>
      <c r="AD511" s="20"/>
      <c r="AE511" s="20"/>
    </row>
    <row r="512">
      <c r="A512" s="149"/>
      <c r="B512" s="164"/>
      <c r="C512" s="306"/>
      <c r="D512" s="149"/>
      <c r="E512" s="164"/>
      <c r="F512" s="306"/>
      <c r="G512" s="149"/>
      <c r="H512" s="164"/>
      <c r="I512" s="306"/>
      <c r="J512" s="149"/>
      <c r="K512" s="164"/>
      <c r="L512" s="306"/>
      <c r="M512" s="310"/>
      <c r="N512" s="311"/>
      <c r="O512" s="312"/>
      <c r="P512" s="310"/>
      <c r="Q512" s="311"/>
      <c r="R512" s="312"/>
      <c r="S512" s="310"/>
      <c r="T512" s="311"/>
      <c r="U512" s="312"/>
      <c r="V512" s="149"/>
      <c r="W512" s="311"/>
      <c r="X512" s="306"/>
      <c r="Y512" s="188"/>
      <c r="Z512" s="188"/>
      <c r="AA512" s="188"/>
      <c r="AB512" s="20"/>
      <c r="AC512" s="20"/>
      <c r="AD512" s="20"/>
      <c r="AE512" s="20"/>
    </row>
    <row r="513">
      <c r="A513" s="149"/>
      <c r="B513" s="164"/>
      <c r="C513" s="306"/>
      <c r="D513" s="149"/>
      <c r="E513" s="164"/>
      <c r="F513" s="306"/>
      <c r="G513" s="149"/>
      <c r="H513" s="164"/>
      <c r="I513" s="306"/>
      <c r="J513" s="149"/>
      <c r="K513" s="164"/>
      <c r="L513" s="306"/>
      <c r="M513" s="310"/>
      <c r="N513" s="311"/>
      <c r="O513" s="312"/>
      <c r="P513" s="310"/>
      <c r="Q513" s="311"/>
      <c r="R513" s="312"/>
      <c r="S513" s="310"/>
      <c r="T513" s="311"/>
      <c r="U513" s="312"/>
      <c r="V513" s="149"/>
      <c r="W513" s="311"/>
      <c r="X513" s="306"/>
      <c r="Y513" s="188"/>
      <c r="Z513" s="188"/>
      <c r="AA513" s="188"/>
      <c r="AB513" s="20"/>
      <c r="AC513" s="20"/>
      <c r="AD513" s="20"/>
      <c r="AE513" s="20"/>
    </row>
    <row r="514">
      <c r="A514" s="149"/>
      <c r="B514" s="164"/>
      <c r="C514" s="306"/>
      <c r="D514" s="149"/>
      <c r="E514" s="164"/>
      <c r="F514" s="306"/>
      <c r="G514" s="149"/>
      <c r="H514" s="164"/>
      <c r="I514" s="306"/>
      <c r="J514" s="149"/>
      <c r="K514" s="164"/>
      <c r="L514" s="306"/>
      <c r="M514" s="310"/>
      <c r="N514" s="311"/>
      <c r="O514" s="312"/>
      <c r="P514" s="310"/>
      <c r="Q514" s="311"/>
      <c r="R514" s="312"/>
      <c r="S514" s="310"/>
      <c r="T514" s="311"/>
      <c r="U514" s="312"/>
      <c r="V514" s="149"/>
      <c r="W514" s="311"/>
      <c r="X514" s="306"/>
      <c r="Y514" s="188"/>
      <c r="Z514" s="188"/>
      <c r="AA514" s="188"/>
      <c r="AB514" s="20"/>
      <c r="AC514" s="20"/>
      <c r="AD514" s="20"/>
      <c r="AE514" s="20"/>
    </row>
    <row r="515">
      <c r="A515" s="149"/>
      <c r="B515" s="164"/>
      <c r="C515" s="306"/>
      <c r="D515" s="149"/>
      <c r="E515" s="164"/>
      <c r="F515" s="306"/>
      <c r="G515" s="149"/>
      <c r="H515" s="164"/>
      <c r="I515" s="306"/>
      <c r="J515" s="149"/>
      <c r="K515" s="164"/>
      <c r="L515" s="306"/>
      <c r="M515" s="310"/>
      <c r="N515" s="311"/>
      <c r="O515" s="312"/>
      <c r="P515" s="310"/>
      <c r="Q515" s="311"/>
      <c r="R515" s="312"/>
      <c r="S515" s="310"/>
      <c r="T515" s="311"/>
      <c r="U515" s="312"/>
      <c r="V515" s="149"/>
      <c r="W515" s="311"/>
      <c r="X515" s="306"/>
      <c r="Y515" s="188"/>
      <c r="Z515" s="188"/>
      <c r="AA515" s="188"/>
      <c r="AB515" s="20"/>
      <c r="AC515" s="20"/>
      <c r="AD515" s="20"/>
      <c r="AE515" s="20"/>
    </row>
    <row r="516">
      <c r="A516" s="149"/>
      <c r="B516" s="164"/>
      <c r="C516" s="306"/>
      <c r="D516" s="149"/>
      <c r="E516" s="164"/>
      <c r="F516" s="306"/>
      <c r="G516" s="149"/>
      <c r="H516" s="164"/>
      <c r="I516" s="306"/>
      <c r="J516" s="149"/>
      <c r="K516" s="164"/>
      <c r="L516" s="306"/>
      <c r="M516" s="310"/>
      <c r="N516" s="311"/>
      <c r="O516" s="312"/>
      <c r="P516" s="310"/>
      <c r="Q516" s="311"/>
      <c r="R516" s="312"/>
      <c r="S516" s="310"/>
      <c r="T516" s="311"/>
      <c r="U516" s="312"/>
      <c r="V516" s="149"/>
      <c r="W516" s="311"/>
      <c r="X516" s="306"/>
      <c r="Y516" s="188"/>
      <c r="Z516" s="188"/>
      <c r="AA516" s="188"/>
      <c r="AB516" s="20"/>
      <c r="AC516" s="20"/>
      <c r="AD516" s="20"/>
      <c r="AE516" s="20"/>
    </row>
    <row r="517">
      <c r="A517" s="149"/>
      <c r="B517" s="164"/>
      <c r="C517" s="306"/>
      <c r="D517" s="149"/>
      <c r="E517" s="164"/>
      <c r="F517" s="306"/>
      <c r="G517" s="149"/>
      <c r="H517" s="164"/>
      <c r="I517" s="306"/>
      <c r="J517" s="149"/>
      <c r="K517" s="164"/>
      <c r="L517" s="306"/>
      <c r="M517" s="310"/>
      <c r="N517" s="311"/>
      <c r="O517" s="312"/>
      <c r="P517" s="310"/>
      <c r="Q517" s="311"/>
      <c r="R517" s="312"/>
      <c r="S517" s="310"/>
      <c r="T517" s="311"/>
      <c r="U517" s="312"/>
      <c r="V517" s="149"/>
      <c r="W517" s="311"/>
      <c r="X517" s="306"/>
      <c r="Y517" s="188"/>
      <c r="Z517" s="188"/>
      <c r="AA517" s="188"/>
      <c r="AB517" s="20"/>
      <c r="AC517" s="20"/>
      <c r="AD517" s="20"/>
      <c r="AE517" s="20"/>
    </row>
    <row r="518">
      <c r="A518" s="149"/>
      <c r="B518" s="164"/>
      <c r="C518" s="306"/>
      <c r="D518" s="149"/>
      <c r="E518" s="164"/>
      <c r="F518" s="306"/>
      <c r="G518" s="149"/>
      <c r="H518" s="164"/>
      <c r="I518" s="306"/>
      <c r="J518" s="149"/>
      <c r="K518" s="164"/>
      <c r="L518" s="306"/>
      <c r="M518" s="310"/>
      <c r="N518" s="311"/>
      <c r="O518" s="312"/>
      <c r="P518" s="310"/>
      <c r="Q518" s="311"/>
      <c r="R518" s="312"/>
      <c r="S518" s="310"/>
      <c r="T518" s="311"/>
      <c r="U518" s="312"/>
      <c r="V518" s="149"/>
      <c r="W518" s="311"/>
      <c r="X518" s="306"/>
      <c r="Y518" s="188"/>
      <c r="Z518" s="188"/>
      <c r="AA518" s="188"/>
      <c r="AB518" s="20"/>
      <c r="AC518" s="20"/>
      <c r="AD518" s="20"/>
      <c r="AE518" s="20"/>
    </row>
    <row r="519">
      <c r="A519" s="149"/>
      <c r="B519" s="164"/>
      <c r="C519" s="306"/>
      <c r="D519" s="149"/>
      <c r="E519" s="164"/>
      <c r="F519" s="306"/>
      <c r="G519" s="149"/>
      <c r="H519" s="164"/>
      <c r="I519" s="306"/>
      <c r="J519" s="149"/>
      <c r="K519" s="164"/>
      <c r="L519" s="306"/>
      <c r="M519" s="310"/>
      <c r="N519" s="311"/>
      <c r="O519" s="312"/>
      <c r="P519" s="310"/>
      <c r="Q519" s="311"/>
      <c r="R519" s="312"/>
      <c r="S519" s="310"/>
      <c r="T519" s="311"/>
      <c r="U519" s="312"/>
      <c r="V519" s="149"/>
      <c r="W519" s="311"/>
      <c r="X519" s="306"/>
      <c r="Y519" s="188"/>
      <c r="Z519" s="188"/>
      <c r="AA519" s="188"/>
      <c r="AB519" s="20"/>
      <c r="AC519" s="20"/>
      <c r="AD519" s="20"/>
      <c r="AE519" s="20"/>
    </row>
    <row r="520">
      <c r="A520" s="149"/>
      <c r="B520" s="164"/>
      <c r="C520" s="306"/>
      <c r="D520" s="149"/>
      <c r="E520" s="164"/>
      <c r="F520" s="306"/>
      <c r="G520" s="149"/>
      <c r="H520" s="164"/>
      <c r="I520" s="306"/>
      <c r="J520" s="149"/>
      <c r="K520" s="164"/>
      <c r="L520" s="306"/>
      <c r="M520" s="310"/>
      <c r="N520" s="311"/>
      <c r="O520" s="312"/>
      <c r="P520" s="310"/>
      <c r="Q520" s="311"/>
      <c r="R520" s="312"/>
      <c r="S520" s="310"/>
      <c r="T520" s="311"/>
      <c r="U520" s="312"/>
      <c r="V520" s="149"/>
      <c r="W520" s="311"/>
      <c r="X520" s="306"/>
      <c r="Y520" s="188"/>
      <c r="Z520" s="188"/>
      <c r="AA520" s="188"/>
      <c r="AB520" s="20"/>
      <c r="AC520" s="20"/>
      <c r="AD520" s="20"/>
      <c r="AE520" s="20"/>
    </row>
    <row r="521">
      <c r="A521" s="149"/>
      <c r="B521" s="164"/>
      <c r="C521" s="306"/>
      <c r="D521" s="149"/>
      <c r="E521" s="164"/>
      <c r="F521" s="306"/>
      <c r="G521" s="149"/>
      <c r="H521" s="164"/>
      <c r="I521" s="306"/>
      <c r="J521" s="149"/>
      <c r="K521" s="164"/>
      <c r="L521" s="306"/>
      <c r="M521" s="310"/>
      <c r="N521" s="311"/>
      <c r="O521" s="312"/>
      <c r="P521" s="310"/>
      <c r="Q521" s="311"/>
      <c r="R521" s="312"/>
      <c r="S521" s="310"/>
      <c r="T521" s="311"/>
      <c r="U521" s="312"/>
      <c r="V521" s="149"/>
      <c r="W521" s="311"/>
      <c r="X521" s="306"/>
      <c r="Y521" s="188"/>
      <c r="Z521" s="188"/>
      <c r="AA521" s="188"/>
      <c r="AB521" s="20"/>
      <c r="AC521" s="20"/>
      <c r="AD521" s="20"/>
      <c r="AE521" s="20"/>
    </row>
    <row r="522">
      <c r="A522" s="149"/>
      <c r="B522" s="164"/>
      <c r="C522" s="306"/>
      <c r="D522" s="149"/>
      <c r="E522" s="164"/>
      <c r="F522" s="306"/>
      <c r="G522" s="149"/>
      <c r="H522" s="164"/>
      <c r="I522" s="306"/>
      <c r="J522" s="149"/>
      <c r="K522" s="164"/>
      <c r="L522" s="306"/>
      <c r="M522" s="310"/>
      <c r="N522" s="311"/>
      <c r="O522" s="312"/>
      <c r="P522" s="310"/>
      <c r="Q522" s="311"/>
      <c r="R522" s="312"/>
      <c r="S522" s="310"/>
      <c r="T522" s="311"/>
      <c r="U522" s="312"/>
      <c r="V522" s="149"/>
      <c r="W522" s="311"/>
      <c r="X522" s="306"/>
      <c r="Y522" s="188"/>
      <c r="Z522" s="188"/>
      <c r="AA522" s="188"/>
      <c r="AB522" s="20"/>
      <c r="AC522" s="20"/>
      <c r="AD522" s="20"/>
      <c r="AE522" s="20"/>
    </row>
    <row r="523">
      <c r="A523" s="149"/>
      <c r="B523" s="164"/>
      <c r="C523" s="306"/>
      <c r="D523" s="149"/>
      <c r="E523" s="164"/>
      <c r="F523" s="306"/>
      <c r="G523" s="149"/>
      <c r="H523" s="164"/>
      <c r="I523" s="306"/>
      <c r="J523" s="149"/>
      <c r="K523" s="164"/>
      <c r="L523" s="306"/>
      <c r="M523" s="310"/>
      <c r="N523" s="311"/>
      <c r="O523" s="312"/>
      <c r="P523" s="310"/>
      <c r="Q523" s="311"/>
      <c r="R523" s="312"/>
      <c r="S523" s="310"/>
      <c r="T523" s="311"/>
      <c r="U523" s="312"/>
      <c r="V523" s="149"/>
      <c r="W523" s="311"/>
      <c r="X523" s="306"/>
      <c r="Y523" s="188"/>
      <c r="Z523" s="188"/>
      <c r="AA523" s="188"/>
      <c r="AB523" s="20"/>
      <c r="AC523" s="20"/>
      <c r="AD523" s="20"/>
      <c r="AE523" s="20"/>
    </row>
    <row r="524">
      <c r="A524" s="149"/>
      <c r="B524" s="164"/>
      <c r="C524" s="306"/>
      <c r="D524" s="149"/>
      <c r="E524" s="164"/>
      <c r="F524" s="306"/>
      <c r="G524" s="149"/>
      <c r="H524" s="164"/>
      <c r="I524" s="306"/>
      <c r="J524" s="149"/>
      <c r="K524" s="164"/>
      <c r="L524" s="306"/>
      <c r="M524" s="310"/>
      <c r="N524" s="311"/>
      <c r="O524" s="312"/>
      <c r="P524" s="310"/>
      <c r="Q524" s="311"/>
      <c r="R524" s="312"/>
      <c r="S524" s="310"/>
      <c r="T524" s="311"/>
      <c r="U524" s="312"/>
      <c r="V524" s="149"/>
      <c r="W524" s="311"/>
      <c r="X524" s="306"/>
      <c r="Y524" s="188"/>
      <c r="Z524" s="188"/>
      <c r="AA524" s="188"/>
      <c r="AB524" s="20"/>
      <c r="AC524" s="20"/>
      <c r="AD524" s="20"/>
      <c r="AE524" s="20"/>
    </row>
    <row r="525">
      <c r="A525" s="149"/>
      <c r="B525" s="164"/>
      <c r="C525" s="306"/>
      <c r="D525" s="149"/>
      <c r="E525" s="164"/>
      <c r="F525" s="306"/>
      <c r="G525" s="149"/>
      <c r="H525" s="164"/>
      <c r="I525" s="306"/>
      <c r="J525" s="149"/>
      <c r="K525" s="164"/>
      <c r="L525" s="306"/>
      <c r="M525" s="310"/>
      <c r="N525" s="311"/>
      <c r="O525" s="312"/>
      <c r="P525" s="310"/>
      <c r="Q525" s="311"/>
      <c r="R525" s="312"/>
      <c r="S525" s="310"/>
      <c r="T525" s="311"/>
      <c r="U525" s="312"/>
      <c r="V525" s="149"/>
      <c r="W525" s="311"/>
      <c r="X525" s="306"/>
      <c r="Y525" s="188"/>
      <c r="Z525" s="188"/>
      <c r="AA525" s="188"/>
      <c r="AB525" s="20"/>
      <c r="AC525" s="20"/>
      <c r="AD525" s="20"/>
      <c r="AE525" s="20"/>
    </row>
    <row r="526">
      <c r="A526" s="149"/>
      <c r="B526" s="164"/>
      <c r="C526" s="306"/>
      <c r="D526" s="149"/>
      <c r="E526" s="164"/>
      <c r="F526" s="306"/>
      <c r="G526" s="149"/>
      <c r="H526" s="164"/>
      <c r="I526" s="306"/>
      <c r="J526" s="149"/>
      <c r="K526" s="164"/>
      <c r="L526" s="306"/>
      <c r="M526" s="310"/>
      <c r="N526" s="311"/>
      <c r="O526" s="312"/>
      <c r="P526" s="310"/>
      <c r="Q526" s="311"/>
      <c r="R526" s="312"/>
      <c r="S526" s="310"/>
      <c r="T526" s="311"/>
      <c r="U526" s="312"/>
      <c r="V526" s="149"/>
      <c r="W526" s="311"/>
      <c r="X526" s="306"/>
      <c r="Y526" s="188"/>
      <c r="Z526" s="188"/>
      <c r="AA526" s="188"/>
      <c r="AB526" s="20"/>
      <c r="AC526" s="20"/>
      <c r="AD526" s="20"/>
      <c r="AE526" s="20"/>
    </row>
    <row r="527">
      <c r="A527" s="149"/>
      <c r="B527" s="164"/>
      <c r="C527" s="306"/>
      <c r="D527" s="149"/>
      <c r="E527" s="164"/>
      <c r="F527" s="306"/>
      <c r="G527" s="149"/>
      <c r="H527" s="164"/>
      <c r="I527" s="306"/>
      <c r="J527" s="149"/>
      <c r="K527" s="164"/>
      <c r="L527" s="306"/>
      <c r="M527" s="310"/>
      <c r="N527" s="311"/>
      <c r="O527" s="312"/>
      <c r="P527" s="310"/>
      <c r="Q527" s="311"/>
      <c r="R527" s="312"/>
      <c r="S527" s="310"/>
      <c r="T527" s="311"/>
      <c r="U527" s="312"/>
      <c r="V527" s="149"/>
      <c r="W527" s="311"/>
      <c r="X527" s="306"/>
      <c r="Y527" s="188"/>
      <c r="Z527" s="188"/>
      <c r="AA527" s="188"/>
      <c r="AB527" s="20"/>
      <c r="AC527" s="20"/>
      <c r="AD527" s="20"/>
      <c r="AE527" s="20"/>
    </row>
    <row r="528">
      <c r="A528" s="149"/>
      <c r="B528" s="164"/>
      <c r="C528" s="306"/>
      <c r="D528" s="149"/>
      <c r="E528" s="164"/>
      <c r="F528" s="306"/>
      <c r="G528" s="149"/>
      <c r="H528" s="164"/>
      <c r="I528" s="306"/>
      <c r="J528" s="149"/>
      <c r="K528" s="164"/>
      <c r="L528" s="306"/>
      <c r="M528" s="310"/>
      <c r="N528" s="311"/>
      <c r="O528" s="312"/>
      <c r="P528" s="310"/>
      <c r="Q528" s="311"/>
      <c r="R528" s="312"/>
      <c r="S528" s="310"/>
      <c r="T528" s="311"/>
      <c r="U528" s="312"/>
      <c r="V528" s="149"/>
      <c r="W528" s="311"/>
      <c r="X528" s="306"/>
      <c r="Y528" s="188"/>
      <c r="Z528" s="188"/>
      <c r="AA528" s="188"/>
      <c r="AB528" s="20"/>
      <c r="AC528" s="20"/>
      <c r="AD528" s="20"/>
      <c r="AE528" s="20"/>
    </row>
    <row r="529">
      <c r="A529" s="149"/>
      <c r="B529" s="164"/>
      <c r="C529" s="306"/>
      <c r="D529" s="149"/>
      <c r="E529" s="164"/>
      <c r="F529" s="306"/>
      <c r="G529" s="149"/>
      <c r="H529" s="164"/>
      <c r="I529" s="306"/>
      <c r="J529" s="149"/>
      <c r="K529" s="164"/>
      <c r="L529" s="306"/>
      <c r="M529" s="310"/>
      <c r="N529" s="311"/>
      <c r="O529" s="312"/>
      <c r="P529" s="310"/>
      <c r="Q529" s="311"/>
      <c r="R529" s="312"/>
      <c r="S529" s="310"/>
      <c r="T529" s="311"/>
      <c r="U529" s="312"/>
      <c r="V529" s="149"/>
      <c r="W529" s="311"/>
      <c r="X529" s="306"/>
      <c r="Y529" s="188"/>
      <c r="Z529" s="188"/>
      <c r="AA529" s="188"/>
      <c r="AB529" s="20"/>
      <c r="AC529" s="20"/>
      <c r="AD529" s="20"/>
      <c r="AE529" s="20"/>
    </row>
    <row r="530">
      <c r="A530" s="149"/>
      <c r="B530" s="164"/>
      <c r="C530" s="306"/>
      <c r="D530" s="149"/>
      <c r="E530" s="164"/>
      <c r="F530" s="306"/>
      <c r="G530" s="149"/>
      <c r="H530" s="164"/>
      <c r="I530" s="306"/>
      <c r="J530" s="149"/>
      <c r="K530" s="164"/>
      <c r="L530" s="306"/>
      <c r="M530" s="310"/>
      <c r="N530" s="311"/>
      <c r="O530" s="312"/>
      <c r="P530" s="310"/>
      <c r="Q530" s="311"/>
      <c r="R530" s="312"/>
      <c r="S530" s="310"/>
      <c r="T530" s="311"/>
      <c r="U530" s="312"/>
      <c r="V530" s="149"/>
      <c r="W530" s="311"/>
      <c r="X530" s="306"/>
      <c r="Y530" s="188"/>
      <c r="Z530" s="188"/>
      <c r="AA530" s="188"/>
      <c r="AB530" s="20"/>
      <c r="AC530" s="20"/>
      <c r="AD530" s="20"/>
      <c r="AE530" s="20"/>
    </row>
    <row r="531">
      <c r="A531" s="149"/>
      <c r="B531" s="164"/>
      <c r="C531" s="306"/>
      <c r="D531" s="149"/>
      <c r="E531" s="164"/>
      <c r="F531" s="306"/>
      <c r="G531" s="149"/>
      <c r="H531" s="164"/>
      <c r="I531" s="306"/>
      <c r="J531" s="149"/>
      <c r="K531" s="164"/>
      <c r="L531" s="306"/>
      <c r="M531" s="310"/>
      <c r="N531" s="311"/>
      <c r="O531" s="312"/>
      <c r="P531" s="310"/>
      <c r="Q531" s="311"/>
      <c r="R531" s="312"/>
      <c r="S531" s="310"/>
      <c r="T531" s="311"/>
      <c r="U531" s="312"/>
      <c r="V531" s="149"/>
      <c r="W531" s="311"/>
      <c r="X531" s="306"/>
      <c r="Y531" s="188"/>
      <c r="Z531" s="188"/>
      <c r="AA531" s="188"/>
      <c r="AB531" s="20"/>
      <c r="AC531" s="20"/>
      <c r="AD531" s="20"/>
      <c r="AE531" s="20"/>
    </row>
    <row r="532">
      <c r="A532" s="149"/>
      <c r="B532" s="164"/>
      <c r="C532" s="306"/>
      <c r="D532" s="149"/>
      <c r="E532" s="164"/>
      <c r="F532" s="306"/>
      <c r="G532" s="149"/>
      <c r="H532" s="164"/>
      <c r="I532" s="306"/>
      <c r="J532" s="149"/>
      <c r="K532" s="164"/>
      <c r="L532" s="306"/>
      <c r="M532" s="310"/>
      <c r="N532" s="311"/>
      <c r="O532" s="312"/>
      <c r="P532" s="310"/>
      <c r="Q532" s="311"/>
      <c r="R532" s="312"/>
      <c r="S532" s="310"/>
      <c r="T532" s="311"/>
      <c r="U532" s="312"/>
      <c r="V532" s="149"/>
      <c r="W532" s="311"/>
      <c r="X532" s="306"/>
      <c r="Y532" s="188"/>
      <c r="Z532" s="188"/>
      <c r="AA532" s="188"/>
      <c r="AB532" s="20"/>
      <c r="AC532" s="20"/>
      <c r="AD532" s="20"/>
      <c r="AE532" s="20"/>
    </row>
    <row r="533">
      <c r="A533" s="149"/>
      <c r="B533" s="164"/>
      <c r="C533" s="306"/>
      <c r="D533" s="149"/>
      <c r="E533" s="164"/>
      <c r="F533" s="306"/>
      <c r="G533" s="149"/>
      <c r="H533" s="164"/>
      <c r="I533" s="306"/>
      <c r="J533" s="149"/>
      <c r="K533" s="164"/>
      <c r="L533" s="306"/>
      <c r="M533" s="310"/>
      <c r="N533" s="311"/>
      <c r="O533" s="312"/>
      <c r="P533" s="310"/>
      <c r="Q533" s="311"/>
      <c r="R533" s="312"/>
      <c r="S533" s="310"/>
      <c r="T533" s="311"/>
      <c r="U533" s="312"/>
      <c r="V533" s="149"/>
      <c r="W533" s="311"/>
      <c r="X533" s="306"/>
      <c r="Y533" s="188"/>
      <c r="Z533" s="188"/>
      <c r="AA533" s="188"/>
      <c r="AB533" s="20"/>
      <c r="AC533" s="20"/>
      <c r="AD533" s="20"/>
      <c r="AE533" s="20"/>
    </row>
    <row r="534">
      <c r="A534" s="149"/>
      <c r="B534" s="164"/>
      <c r="C534" s="306"/>
      <c r="D534" s="149"/>
      <c r="E534" s="164"/>
      <c r="F534" s="306"/>
      <c r="G534" s="149"/>
      <c r="H534" s="164"/>
      <c r="I534" s="306"/>
      <c r="J534" s="149"/>
      <c r="K534" s="164"/>
      <c r="L534" s="306"/>
      <c r="M534" s="310"/>
      <c r="N534" s="311"/>
      <c r="O534" s="312"/>
      <c r="P534" s="310"/>
      <c r="Q534" s="311"/>
      <c r="R534" s="312"/>
      <c r="S534" s="310"/>
      <c r="T534" s="311"/>
      <c r="U534" s="312"/>
      <c r="V534" s="149"/>
      <c r="W534" s="311"/>
      <c r="X534" s="306"/>
      <c r="Y534" s="188"/>
      <c r="Z534" s="188"/>
      <c r="AA534" s="188"/>
      <c r="AB534" s="20"/>
      <c r="AC534" s="20"/>
      <c r="AD534" s="20"/>
      <c r="AE534" s="20"/>
    </row>
    <row r="535">
      <c r="A535" s="149"/>
      <c r="B535" s="164"/>
      <c r="C535" s="306"/>
      <c r="D535" s="149"/>
      <c r="E535" s="164"/>
      <c r="F535" s="306"/>
      <c r="G535" s="149"/>
      <c r="H535" s="164"/>
      <c r="I535" s="306"/>
      <c r="J535" s="149"/>
      <c r="K535" s="164"/>
      <c r="L535" s="306"/>
      <c r="M535" s="310"/>
      <c r="N535" s="311"/>
      <c r="O535" s="312"/>
      <c r="P535" s="310"/>
      <c r="Q535" s="311"/>
      <c r="R535" s="312"/>
      <c r="S535" s="310"/>
      <c r="T535" s="311"/>
      <c r="U535" s="312"/>
      <c r="V535" s="149"/>
      <c r="W535" s="311"/>
      <c r="X535" s="306"/>
      <c r="Y535" s="188"/>
      <c r="Z535" s="188"/>
      <c r="AA535" s="188"/>
      <c r="AB535" s="20"/>
      <c r="AC535" s="20"/>
      <c r="AD535" s="20"/>
      <c r="AE535" s="20"/>
    </row>
    <row r="536">
      <c r="A536" s="149"/>
      <c r="B536" s="164"/>
      <c r="C536" s="306"/>
      <c r="D536" s="149"/>
      <c r="E536" s="164"/>
      <c r="F536" s="306"/>
      <c r="G536" s="149"/>
      <c r="H536" s="164"/>
      <c r="I536" s="306"/>
      <c r="J536" s="149"/>
      <c r="K536" s="164"/>
      <c r="L536" s="306"/>
      <c r="M536" s="310"/>
      <c r="N536" s="311"/>
      <c r="O536" s="312"/>
      <c r="P536" s="310"/>
      <c r="Q536" s="311"/>
      <c r="R536" s="312"/>
      <c r="S536" s="310"/>
      <c r="T536" s="311"/>
      <c r="U536" s="312"/>
      <c r="V536" s="149"/>
      <c r="W536" s="311"/>
      <c r="X536" s="306"/>
      <c r="Y536" s="188"/>
      <c r="Z536" s="188"/>
      <c r="AA536" s="188"/>
      <c r="AB536" s="20"/>
      <c r="AC536" s="20"/>
      <c r="AD536" s="20"/>
      <c r="AE536" s="20"/>
    </row>
    <row r="537">
      <c r="A537" s="149"/>
      <c r="B537" s="164"/>
      <c r="C537" s="306"/>
      <c r="D537" s="149"/>
      <c r="E537" s="164"/>
      <c r="F537" s="306"/>
      <c r="G537" s="149"/>
      <c r="H537" s="164"/>
      <c r="I537" s="306"/>
      <c r="J537" s="149"/>
      <c r="K537" s="164"/>
      <c r="L537" s="306"/>
      <c r="M537" s="310"/>
      <c r="N537" s="311"/>
      <c r="O537" s="312"/>
      <c r="P537" s="310"/>
      <c r="Q537" s="311"/>
      <c r="R537" s="312"/>
      <c r="S537" s="310"/>
      <c r="T537" s="311"/>
      <c r="U537" s="312"/>
      <c r="V537" s="149"/>
      <c r="W537" s="311"/>
      <c r="X537" s="306"/>
      <c r="Y537" s="188"/>
      <c r="Z537" s="188"/>
      <c r="AA537" s="188"/>
      <c r="AB537" s="20"/>
      <c r="AC537" s="20"/>
      <c r="AD537" s="20"/>
      <c r="AE537" s="20"/>
    </row>
    <row r="538">
      <c r="A538" s="149"/>
      <c r="B538" s="164"/>
      <c r="C538" s="306"/>
      <c r="D538" s="149"/>
      <c r="E538" s="164"/>
      <c r="F538" s="306"/>
      <c r="G538" s="149"/>
      <c r="H538" s="164"/>
      <c r="I538" s="306"/>
      <c r="J538" s="149"/>
      <c r="K538" s="164"/>
      <c r="L538" s="306"/>
      <c r="M538" s="310"/>
      <c r="N538" s="311"/>
      <c r="O538" s="312"/>
      <c r="P538" s="310"/>
      <c r="Q538" s="311"/>
      <c r="R538" s="312"/>
      <c r="S538" s="310"/>
      <c r="T538" s="311"/>
      <c r="U538" s="312"/>
      <c r="V538" s="149"/>
      <c r="W538" s="311"/>
      <c r="X538" s="306"/>
      <c r="Y538" s="188"/>
      <c r="Z538" s="188"/>
      <c r="AA538" s="188"/>
      <c r="AB538" s="20"/>
      <c r="AC538" s="20"/>
      <c r="AD538" s="20"/>
      <c r="AE538" s="20"/>
    </row>
    <row r="539">
      <c r="A539" s="149"/>
      <c r="B539" s="164"/>
      <c r="C539" s="306"/>
      <c r="D539" s="149"/>
      <c r="E539" s="164"/>
      <c r="F539" s="306"/>
      <c r="G539" s="149"/>
      <c r="H539" s="164"/>
      <c r="I539" s="306"/>
      <c r="J539" s="149"/>
      <c r="K539" s="164"/>
      <c r="L539" s="306"/>
      <c r="M539" s="310"/>
      <c r="N539" s="311"/>
      <c r="O539" s="312"/>
      <c r="P539" s="310"/>
      <c r="Q539" s="311"/>
      <c r="R539" s="312"/>
      <c r="S539" s="310"/>
      <c r="T539" s="311"/>
      <c r="U539" s="312"/>
      <c r="V539" s="149"/>
      <c r="W539" s="311"/>
      <c r="X539" s="306"/>
      <c r="Y539" s="188"/>
      <c r="Z539" s="188"/>
      <c r="AA539" s="188"/>
      <c r="AB539" s="20"/>
      <c r="AC539" s="20"/>
      <c r="AD539" s="20"/>
      <c r="AE539" s="20"/>
    </row>
    <row r="540">
      <c r="A540" s="149"/>
      <c r="B540" s="164"/>
      <c r="C540" s="306"/>
      <c r="D540" s="149"/>
      <c r="E540" s="164"/>
      <c r="F540" s="306"/>
      <c r="G540" s="149"/>
      <c r="H540" s="164"/>
      <c r="I540" s="306"/>
      <c r="J540" s="149"/>
      <c r="K540" s="164"/>
      <c r="L540" s="306"/>
      <c r="M540" s="310"/>
      <c r="N540" s="311"/>
      <c r="O540" s="312"/>
      <c r="P540" s="310"/>
      <c r="Q540" s="311"/>
      <c r="R540" s="312"/>
      <c r="S540" s="310"/>
      <c r="T540" s="311"/>
      <c r="U540" s="312"/>
      <c r="V540" s="149"/>
      <c r="W540" s="311"/>
      <c r="X540" s="306"/>
      <c r="Y540" s="188"/>
      <c r="Z540" s="188"/>
      <c r="AA540" s="188"/>
      <c r="AB540" s="20"/>
      <c r="AC540" s="20"/>
      <c r="AD540" s="20"/>
      <c r="AE540" s="20"/>
    </row>
    <row r="541">
      <c r="A541" s="149"/>
      <c r="B541" s="164"/>
      <c r="C541" s="306"/>
      <c r="D541" s="149"/>
      <c r="E541" s="164"/>
      <c r="F541" s="306"/>
      <c r="G541" s="149"/>
      <c r="H541" s="164"/>
      <c r="I541" s="306"/>
      <c r="J541" s="149"/>
      <c r="K541" s="164"/>
      <c r="L541" s="306"/>
      <c r="M541" s="310"/>
      <c r="N541" s="311"/>
      <c r="O541" s="312"/>
      <c r="P541" s="310"/>
      <c r="Q541" s="311"/>
      <c r="R541" s="312"/>
      <c r="S541" s="310"/>
      <c r="T541" s="311"/>
      <c r="U541" s="312"/>
      <c r="V541" s="149"/>
      <c r="W541" s="311"/>
      <c r="X541" s="306"/>
      <c r="Y541" s="188"/>
      <c r="Z541" s="188"/>
      <c r="AA541" s="188"/>
      <c r="AB541" s="20"/>
      <c r="AC541" s="20"/>
      <c r="AD541" s="20"/>
      <c r="AE541" s="20"/>
    </row>
    <row r="542">
      <c r="A542" s="149"/>
      <c r="B542" s="164"/>
      <c r="C542" s="306"/>
      <c r="D542" s="149"/>
      <c r="E542" s="164"/>
      <c r="F542" s="306"/>
      <c r="G542" s="149"/>
      <c r="H542" s="164"/>
      <c r="I542" s="306"/>
      <c r="J542" s="149"/>
      <c r="K542" s="164"/>
      <c r="L542" s="306"/>
      <c r="M542" s="310"/>
      <c r="N542" s="311"/>
      <c r="O542" s="312"/>
      <c r="P542" s="310"/>
      <c r="Q542" s="311"/>
      <c r="R542" s="312"/>
      <c r="S542" s="310"/>
      <c r="T542" s="311"/>
      <c r="U542" s="312"/>
      <c r="V542" s="149"/>
      <c r="W542" s="311"/>
      <c r="X542" s="306"/>
      <c r="Y542" s="188"/>
      <c r="Z542" s="188"/>
      <c r="AA542" s="188"/>
      <c r="AB542" s="20"/>
      <c r="AC542" s="20"/>
      <c r="AD542" s="20"/>
      <c r="AE542" s="20"/>
    </row>
    <row r="543">
      <c r="A543" s="149"/>
      <c r="B543" s="164"/>
      <c r="C543" s="306"/>
      <c r="D543" s="149"/>
      <c r="E543" s="164"/>
      <c r="F543" s="306"/>
      <c r="G543" s="149"/>
      <c r="H543" s="164"/>
      <c r="I543" s="306"/>
      <c r="J543" s="149"/>
      <c r="K543" s="164"/>
      <c r="L543" s="306"/>
      <c r="M543" s="310"/>
      <c r="N543" s="311"/>
      <c r="O543" s="312"/>
      <c r="P543" s="310"/>
      <c r="Q543" s="311"/>
      <c r="R543" s="312"/>
      <c r="S543" s="310"/>
      <c r="T543" s="311"/>
      <c r="U543" s="312"/>
      <c r="V543" s="149"/>
      <c r="W543" s="311"/>
      <c r="X543" s="306"/>
      <c r="Y543" s="188"/>
      <c r="Z543" s="188"/>
      <c r="AA543" s="188"/>
      <c r="AB543" s="20"/>
      <c r="AC543" s="20"/>
      <c r="AD543" s="20"/>
      <c r="AE543" s="20"/>
    </row>
    <row r="544">
      <c r="A544" s="149"/>
      <c r="B544" s="164"/>
      <c r="C544" s="306"/>
      <c r="D544" s="149"/>
      <c r="E544" s="164"/>
      <c r="F544" s="306"/>
      <c r="G544" s="149"/>
      <c r="H544" s="164"/>
      <c r="I544" s="306"/>
      <c r="J544" s="149"/>
      <c r="K544" s="164"/>
      <c r="L544" s="306"/>
      <c r="M544" s="310"/>
      <c r="N544" s="311"/>
      <c r="O544" s="312"/>
      <c r="P544" s="310"/>
      <c r="Q544" s="311"/>
      <c r="R544" s="312"/>
      <c r="S544" s="310"/>
      <c r="T544" s="311"/>
      <c r="U544" s="312"/>
      <c r="V544" s="149"/>
      <c r="W544" s="311"/>
      <c r="X544" s="306"/>
      <c r="Y544" s="188"/>
      <c r="Z544" s="188"/>
      <c r="AA544" s="188"/>
      <c r="AB544" s="20"/>
      <c r="AC544" s="20"/>
      <c r="AD544" s="20"/>
      <c r="AE544" s="20"/>
    </row>
    <row r="545">
      <c r="A545" s="149"/>
      <c r="B545" s="164"/>
      <c r="C545" s="306"/>
      <c r="D545" s="149"/>
      <c r="E545" s="164"/>
      <c r="F545" s="306"/>
      <c r="G545" s="149"/>
      <c r="H545" s="164"/>
      <c r="I545" s="306"/>
      <c r="J545" s="149"/>
      <c r="K545" s="164"/>
      <c r="L545" s="306"/>
      <c r="M545" s="310"/>
      <c r="N545" s="311"/>
      <c r="O545" s="312"/>
      <c r="P545" s="310"/>
      <c r="Q545" s="311"/>
      <c r="R545" s="312"/>
      <c r="S545" s="310"/>
      <c r="T545" s="311"/>
      <c r="U545" s="312"/>
      <c r="V545" s="149"/>
      <c r="W545" s="311"/>
      <c r="X545" s="306"/>
      <c r="Y545" s="188"/>
      <c r="Z545" s="188"/>
      <c r="AA545" s="188"/>
      <c r="AB545" s="20"/>
      <c r="AC545" s="20"/>
      <c r="AD545" s="20"/>
      <c r="AE545" s="20"/>
    </row>
    <row r="546">
      <c r="A546" s="149"/>
      <c r="B546" s="164"/>
      <c r="C546" s="306"/>
      <c r="D546" s="149"/>
      <c r="E546" s="164"/>
      <c r="F546" s="306"/>
      <c r="G546" s="149"/>
      <c r="H546" s="164"/>
      <c r="I546" s="306"/>
      <c r="J546" s="149"/>
      <c r="K546" s="164"/>
      <c r="L546" s="306"/>
      <c r="M546" s="310"/>
      <c r="N546" s="311"/>
      <c r="O546" s="312"/>
      <c r="P546" s="310"/>
      <c r="Q546" s="311"/>
      <c r="R546" s="312"/>
      <c r="S546" s="310"/>
      <c r="T546" s="311"/>
      <c r="U546" s="312"/>
      <c r="V546" s="149"/>
      <c r="W546" s="311"/>
      <c r="X546" s="306"/>
      <c r="Y546" s="188"/>
      <c r="Z546" s="188"/>
      <c r="AA546" s="188"/>
      <c r="AB546" s="20"/>
      <c r="AC546" s="20"/>
      <c r="AD546" s="20"/>
      <c r="AE546" s="20"/>
    </row>
    <row r="547">
      <c r="A547" s="149"/>
      <c r="B547" s="164"/>
      <c r="C547" s="306"/>
      <c r="D547" s="149"/>
      <c r="E547" s="164"/>
      <c r="F547" s="306"/>
      <c r="G547" s="149"/>
      <c r="H547" s="164"/>
      <c r="I547" s="306"/>
      <c r="J547" s="149"/>
      <c r="K547" s="164"/>
      <c r="L547" s="306"/>
      <c r="M547" s="310"/>
      <c r="N547" s="311"/>
      <c r="O547" s="312"/>
      <c r="P547" s="310"/>
      <c r="Q547" s="311"/>
      <c r="R547" s="312"/>
      <c r="S547" s="310"/>
      <c r="T547" s="311"/>
      <c r="U547" s="312"/>
      <c r="V547" s="149"/>
      <c r="W547" s="311"/>
      <c r="X547" s="306"/>
      <c r="Y547" s="188"/>
      <c r="Z547" s="188"/>
      <c r="AA547" s="188"/>
      <c r="AB547" s="20"/>
      <c r="AC547" s="20"/>
      <c r="AD547" s="20"/>
      <c r="AE547" s="20"/>
    </row>
    <row r="548">
      <c r="A548" s="149"/>
      <c r="B548" s="164"/>
      <c r="C548" s="306"/>
      <c r="D548" s="149"/>
      <c r="E548" s="164"/>
      <c r="F548" s="306"/>
      <c r="G548" s="149"/>
      <c r="H548" s="164"/>
      <c r="I548" s="306"/>
      <c r="J548" s="149"/>
      <c r="K548" s="164"/>
      <c r="L548" s="306"/>
      <c r="M548" s="310"/>
      <c r="N548" s="311"/>
      <c r="O548" s="312"/>
      <c r="P548" s="310"/>
      <c r="Q548" s="311"/>
      <c r="R548" s="312"/>
      <c r="S548" s="310"/>
      <c r="T548" s="311"/>
      <c r="U548" s="312"/>
      <c r="V548" s="149"/>
      <c r="W548" s="311"/>
      <c r="X548" s="306"/>
      <c r="Y548" s="188"/>
      <c r="Z548" s="188"/>
      <c r="AA548" s="188"/>
      <c r="AB548" s="20"/>
      <c r="AC548" s="20"/>
      <c r="AD548" s="20"/>
      <c r="AE548" s="20"/>
    </row>
    <row r="549">
      <c r="A549" s="149"/>
      <c r="B549" s="164"/>
      <c r="C549" s="306"/>
      <c r="D549" s="149"/>
      <c r="E549" s="164"/>
      <c r="F549" s="306"/>
      <c r="G549" s="149"/>
      <c r="H549" s="164"/>
      <c r="I549" s="306"/>
      <c r="J549" s="149"/>
      <c r="K549" s="164"/>
      <c r="L549" s="306"/>
      <c r="M549" s="310"/>
      <c r="N549" s="311"/>
      <c r="O549" s="312"/>
      <c r="P549" s="310"/>
      <c r="Q549" s="311"/>
      <c r="R549" s="312"/>
      <c r="S549" s="310"/>
      <c r="T549" s="311"/>
      <c r="U549" s="312"/>
      <c r="V549" s="149"/>
      <c r="W549" s="311"/>
      <c r="X549" s="306"/>
      <c r="Y549" s="188"/>
      <c r="Z549" s="188"/>
      <c r="AA549" s="188"/>
      <c r="AB549" s="20"/>
      <c r="AC549" s="20"/>
      <c r="AD549" s="20"/>
      <c r="AE549" s="20"/>
    </row>
    <row r="550">
      <c r="A550" s="149"/>
      <c r="B550" s="164"/>
      <c r="C550" s="306"/>
      <c r="D550" s="149"/>
      <c r="E550" s="164"/>
      <c r="F550" s="306"/>
      <c r="G550" s="149"/>
      <c r="H550" s="164"/>
      <c r="I550" s="306"/>
      <c r="J550" s="149"/>
      <c r="K550" s="164"/>
      <c r="L550" s="306"/>
      <c r="M550" s="310"/>
      <c r="N550" s="311"/>
      <c r="O550" s="312"/>
      <c r="P550" s="310"/>
      <c r="Q550" s="311"/>
      <c r="R550" s="312"/>
      <c r="S550" s="310"/>
      <c r="T550" s="311"/>
      <c r="U550" s="312"/>
      <c r="V550" s="149"/>
      <c r="W550" s="311"/>
      <c r="X550" s="306"/>
      <c r="Y550" s="188"/>
      <c r="Z550" s="188"/>
      <c r="AA550" s="188"/>
      <c r="AB550" s="20"/>
      <c r="AC550" s="20"/>
      <c r="AD550" s="20"/>
      <c r="AE550" s="20"/>
    </row>
    <row r="551">
      <c r="A551" s="149"/>
      <c r="B551" s="164"/>
      <c r="C551" s="306"/>
      <c r="D551" s="149"/>
      <c r="E551" s="164"/>
      <c r="F551" s="306"/>
      <c r="G551" s="149"/>
      <c r="H551" s="164"/>
      <c r="I551" s="306"/>
      <c r="J551" s="149"/>
      <c r="K551" s="164"/>
      <c r="L551" s="306"/>
      <c r="M551" s="310"/>
      <c r="N551" s="311"/>
      <c r="O551" s="312"/>
      <c r="P551" s="310"/>
      <c r="Q551" s="311"/>
      <c r="R551" s="312"/>
      <c r="S551" s="310"/>
      <c r="T551" s="311"/>
      <c r="U551" s="312"/>
      <c r="V551" s="149"/>
      <c r="W551" s="311"/>
      <c r="X551" s="306"/>
      <c r="Y551" s="188"/>
      <c r="Z551" s="188"/>
      <c r="AA551" s="188"/>
      <c r="AB551" s="20"/>
      <c r="AC551" s="20"/>
      <c r="AD551" s="20"/>
      <c r="AE551" s="20"/>
    </row>
    <row r="552">
      <c r="A552" s="149"/>
      <c r="B552" s="164"/>
      <c r="C552" s="306"/>
      <c r="D552" s="149"/>
      <c r="E552" s="164"/>
      <c r="F552" s="306"/>
      <c r="G552" s="149"/>
      <c r="H552" s="164"/>
      <c r="I552" s="306"/>
      <c r="J552" s="149"/>
      <c r="K552" s="164"/>
      <c r="L552" s="306"/>
      <c r="M552" s="310"/>
      <c r="N552" s="311"/>
      <c r="O552" s="312"/>
      <c r="P552" s="310"/>
      <c r="Q552" s="311"/>
      <c r="R552" s="312"/>
      <c r="S552" s="310"/>
      <c r="T552" s="311"/>
      <c r="U552" s="312"/>
      <c r="V552" s="149"/>
      <c r="W552" s="311"/>
      <c r="X552" s="306"/>
      <c r="Y552" s="188"/>
      <c r="Z552" s="188"/>
      <c r="AA552" s="188"/>
      <c r="AB552" s="20"/>
      <c r="AC552" s="20"/>
      <c r="AD552" s="20"/>
      <c r="AE552" s="20"/>
    </row>
    <row r="553">
      <c r="A553" s="149"/>
      <c r="B553" s="164"/>
      <c r="C553" s="306"/>
      <c r="D553" s="149"/>
      <c r="E553" s="164"/>
      <c r="F553" s="306"/>
      <c r="G553" s="149"/>
      <c r="H553" s="164"/>
      <c r="I553" s="306"/>
      <c r="J553" s="149"/>
      <c r="K553" s="164"/>
      <c r="L553" s="306"/>
      <c r="M553" s="310"/>
      <c r="N553" s="311"/>
      <c r="O553" s="312"/>
      <c r="P553" s="310"/>
      <c r="Q553" s="311"/>
      <c r="R553" s="312"/>
      <c r="S553" s="310"/>
      <c r="T553" s="311"/>
      <c r="U553" s="312"/>
      <c r="V553" s="149"/>
      <c r="W553" s="311"/>
      <c r="X553" s="306"/>
      <c r="Y553" s="188"/>
      <c r="Z553" s="188"/>
      <c r="AA553" s="188"/>
      <c r="AB553" s="20"/>
      <c r="AC553" s="20"/>
      <c r="AD553" s="20"/>
      <c r="AE553" s="20"/>
    </row>
    <row r="554">
      <c r="A554" s="149"/>
      <c r="B554" s="164"/>
      <c r="C554" s="306"/>
      <c r="D554" s="149"/>
      <c r="E554" s="164"/>
      <c r="F554" s="306"/>
      <c r="G554" s="149"/>
      <c r="H554" s="164"/>
      <c r="I554" s="306"/>
      <c r="J554" s="149"/>
      <c r="K554" s="164"/>
      <c r="L554" s="306"/>
      <c r="M554" s="310"/>
      <c r="N554" s="311"/>
      <c r="O554" s="312"/>
      <c r="P554" s="310"/>
      <c r="Q554" s="311"/>
      <c r="R554" s="312"/>
      <c r="S554" s="310"/>
      <c r="T554" s="311"/>
      <c r="U554" s="312"/>
      <c r="V554" s="149"/>
      <c r="W554" s="311"/>
      <c r="X554" s="306"/>
      <c r="Y554" s="188"/>
      <c r="Z554" s="188"/>
      <c r="AA554" s="188"/>
      <c r="AB554" s="20"/>
      <c r="AC554" s="20"/>
      <c r="AD554" s="20"/>
      <c r="AE554" s="20"/>
    </row>
    <row r="555">
      <c r="A555" s="149"/>
      <c r="B555" s="164"/>
      <c r="C555" s="306"/>
      <c r="D555" s="149"/>
      <c r="E555" s="164"/>
      <c r="F555" s="306"/>
      <c r="G555" s="149"/>
      <c r="H555" s="164"/>
      <c r="I555" s="306"/>
      <c r="J555" s="149"/>
      <c r="K555" s="164"/>
      <c r="L555" s="306"/>
      <c r="M555" s="310"/>
      <c r="N555" s="311"/>
      <c r="O555" s="312"/>
      <c r="P555" s="310"/>
      <c r="Q555" s="311"/>
      <c r="R555" s="312"/>
      <c r="S555" s="310"/>
      <c r="T555" s="311"/>
      <c r="U555" s="312"/>
      <c r="V555" s="149"/>
      <c r="W555" s="311"/>
      <c r="X555" s="306"/>
      <c r="Y555" s="188"/>
      <c r="Z555" s="188"/>
      <c r="AA555" s="188"/>
      <c r="AB555" s="20"/>
      <c r="AC555" s="20"/>
      <c r="AD555" s="20"/>
      <c r="AE555" s="20"/>
    </row>
    <row r="556">
      <c r="A556" s="149"/>
      <c r="B556" s="164"/>
      <c r="C556" s="306"/>
      <c r="D556" s="149"/>
      <c r="E556" s="164"/>
      <c r="F556" s="306"/>
      <c r="G556" s="149"/>
      <c r="H556" s="164"/>
      <c r="I556" s="306"/>
      <c r="J556" s="149"/>
      <c r="K556" s="164"/>
      <c r="L556" s="306"/>
      <c r="M556" s="310"/>
      <c r="N556" s="311"/>
      <c r="O556" s="312"/>
      <c r="P556" s="310"/>
      <c r="Q556" s="311"/>
      <c r="R556" s="312"/>
      <c r="S556" s="310"/>
      <c r="T556" s="311"/>
      <c r="U556" s="312"/>
      <c r="V556" s="149"/>
      <c r="W556" s="311"/>
      <c r="X556" s="306"/>
      <c r="Y556" s="188"/>
      <c r="Z556" s="188"/>
      <c r="AA556" s="188"/>
      <c r="AB556" s="20"/>
      <c r="AC556" s="20"/>
      <c r="AD556" s="20"/>
      <c r="AE556" s="20"/>
    </row>
    <row r="557">
      <c r="A557" s="149"/>
      <c r="B557" s="164"/>
      <c r="C557" s="306"/>
      <c r="D557" s="149"/>
      <c r="E557" s="164"/>
      <c r="F557" s="306"/>
      <c r="G557" s="149"/>
      <c r="H557" s="164"/>
      <c r="I557" s="306"/>
      <c r="J557" s="149"/>
      <c r="K557" s="164"/>
      <c r="L557" s="306"/>
      <c r="M557" s="310"/>
      <c r="N557" s="311"/>
      <c r="O557" s="312"/>
      <c r="P557" s="310"/>
      <c r="Q557" s="311"/>
      <c r="R557" s="312"/>
      <c r="S557" s="310"/>
      <c r="T557" s="311"/>
      <c r="U557" s="312"/>
      <c r="V557" s="149"/>
      <c r="W557" s="311"/>
      <c r="X557" s="306"/>
      <c r="Y557" s="188"/>
      <c r="Z557" s="188"/>
      <c r="AA557" s="188"/>
      <c r="AB557" s="20"/>
      <c r="AC557" s="20"/>
      <c r="AD557" s="20"/>
      <c r="AE557" s="20"/>
    </row>
    <row r="558">
      <c r="A558" s="149"/>
      <c r="B558" s="164"/>
      <c r="C558" s="306"/>
      <c r="D558" s="149"/>
      <c r="E558" s="164"/>
      <c r="F558" s="306"/>
      <c r="G558" s="149"/>
      <c r="H558" s="164"/>
      <c r="I558" s="306"/>
      <c r="J558" s="149"/>
      <c r="K558" s="164"/>
      <c r="L558" s="306"/>
      <c r="M558" s="310"/>
      <c r="N558" s="311"/>
      <c r="O558" s="312"/>
      <c r="P558" s="310"/>
      <c r="Q558" s="311"/>
      <c r="R558" s="312"/>
      <c r="S558" s="310"/>
      <c r="T558" s="311"/>
      <c r="U558" s="312"/>
      <c r="V558" s="149"/>
      <c r="W558" s="311"/>
      <c r="X558" s="306"/>
      <c r="Y558" s="188"/>
      <c r="Z558" s="188"/>
      <c r="AA558" s="188"/>
      <c r="AB558" s="20"/>
      <c r="AC558" s="20"/>
      <c r="AD558" s="20"/>
      <c r="AE558" s="20"/>
    </row>
    <row r="559">
      <c r="A559" s="149"/>
      <c r="B559" s="164"/>
      <c r="C559" s="306"/>
      <c r="D559" s="149"/>
      <c r="E559" s="164"/>
      <c r="F559" s="306"/>
      <c r="G559" s="149"/>
      <c r="H559" s="164"/>
      <c r="I559" s="306"/>
      <c r="J559" s="149"/>
      <c r="K559" s="164"/>
      <c r="L559" s="306"/>
      <c r="M559" s="310"/>
      <c r="N559" s="311"/>
      <c r="O559" s="312"/>
      <c r="P559" s="310"/>
      <c r="Q559" s="311"/>
      <c r="R559" s="312"/>
      <c r="S559" s="310"/>
      <c r="T559" s="311"/>
      <c r="U559" s="312"/>
      <c r="V559" s="149"/>
      <c r="W559" s="311"/>
      <c r="X559" s="306"/>
      <c r="Y559" s="188"/>
      <c r="Z559" s="188"/>
      <c r="AA559" s="188"/>
      <c r="AB559" s="20"/>
      <c r="AC559" s="20"/>
      <c r="AD559" s="20"/>
      <c r="AE559" s="20"/>
    </row>
    <row r="560">
      <c r="A560" s="149"/>
      <c r="B560" s="164"/>
      <c r="C560" s="306"/>
      <c r="D560" s="149"/>
      <c r="E560" s="164"/>
      <c r="F560" s="306"/>
      <c r="G560" s="149"/>
      <c r="H560" s="164"/>
      <c r="I560" s="306"/>
      <c r="J560" s="149"/>
      <c r="K560" s="164"/>
      <c r="L560" s="306"/>
      <c r="M560" s="310"/>
      <c r="N560" s="311"/>
      <c r="O560" s="312"/>
      <c r="P560" s="310"/>
      <c r="Q560" s="311"/>
      <c r="R560" s="312"/>
      <c r="S560" s="310"/>
      <c r="T560" s="311"/>
      <c r="U560" s="312"/>
      <c r="V560" s="149"/>
      <c r="W560" s="311"/>
      <c r="X560" s="306"/>
      <c r="Y560" s="188"/>
      <c r="Z560" s="188"/>
      <c r="AA560" s="188"/>
      <c r="AB560" s="20"/>
      <c r="AC560" s="20"/>
      <c r="AD560" s="20"/>
      <c r="AE560" s="20"/>
    </row>
    <row r="561">
      <c r="A561" s="149"/>
      <c r="B561" s="164"/>
      <c r="C561" s="306"/>
      <c r="D561" s="149"/>
      <c r="E561" s="164"/>
      <c r="F561" s="306"/>
      <c r="G561" s="149"/>
      <c r="H561" s="164"/>
      <c r="I561" s="306"/>
      <c r="J561" s="149"/>
      <c r="K561" s="164"/>
      <c r="L561" s="306"/>
      <c r="M561" s="310"/>
      <c r="N561" s="311"/>
      <c r="O561" s="312"/>
      <c r="P561" s="310"/>
      <c r="Q561" s="311"/>
      <c r="R561" s="312"/>
      <c r="S561" s="310"/>
      <c r="T561" s="311"/>
      <c r="U561" s="312"/>
      <c r="V561" s="149"/>
      <c r="W561" s="311"/>
      <c r="X561" s="306"/>
      <c r="Y561" s="188"/>
      <c r="Z561" s="188"/>
      <c r="AA561" s="188"/>
      <c r="AB561" s="20"/>
      <c r="AC561" s="20"/>
      <c r="AD561" s="20"/>
      <c r="AE561" s="20"/>
    </row>
    <row r="562">
      <c r="A562" s="149"/>
      <c r="B562" s="164"/>
      <c r="C562" s="306"/>
      <c r="D562" s="149"/>
      <c r="E562" s="164"/>
      <c r="F562" s="306"/>
      <c r="G562" s="149"/>
      <c r="H562" s="164"/>
      <c r="I562" s="306"/>
      <c r="J562" s="149"/>
      <c r="K562" s="164"/>
      <c r="L562" s="306"/>
      <c r="M562" s="310"/>
      <c r="N562" s="311"/>
      <c r="O562" s="312"/>
      <c r="P562" s="310"/>
      <c r="Q562" s="311"/>
      <c r="R562" s="312"/>
      <c r="S562" s="310"/>
      <c r="T562" s="311"/>
      <c r="U562" s="312"/>
      <c r="V562" s="149"/>
      <c r="W562" s="311"/>
      <c r="X562" s="306"/>
      <c r="Y562" s="188"/>
      <c r="Z562" s="188"/>
      <c r="AA562" s="188"/>
      <c r="AB562" s="20"/>
      <c r="AC562" s="20"/>
      <c r="AD562" s="20"/>
      <c r="AE562" s="20"/>
    </row>
    <row r="563">
      <c r="A563" s="149"/>
      <c r="B563" s="164"/>
      <c r="C563" s="306"/>
      <c r="D563" s="149"/>
      <c r="E563" s="164"/>
      <c r="F563" s="306"/>
      <c r="G563" s="149"/>
      <c r="H563" s="164"/>
      <c r="I563" s="306"/>
      <c r="J563" s="149"/>
      <c r="K563" s="164"/>
      <c r="L563" s="306"/>
      <c r="M563" s="310"/>
      <c r="N563" s="311"/>
      <c r="O563" s="312"/>
      <c r="P563" s="310"/>
      <c r="Q563" s="311"/>
      <c r="R563" s="312"/>
      <c r="S563" s="310"/>
      <c r="T563" s="311"/>
      <c r="U563" s="312"/>
      <c r="V563" s="149"/>
      <c r="W563" s="311"/>
      <c r="X563" s="306"/>
      <c r="Y563" s="188"/>
      <c r="Z563" s="188"/>
      <c r="AA563" s="188"/>
      <c r="AB563" s="20"/>
      <c r="AC563" s="20"/>
      <c r="AD563" s="20"/>
      <c r="AE563" s="20"/>
    </row>
    <row r="564">
      <c r="A564" s="149"/>
      <c r="B564" s="164"/>
      <c r="C564" s="306"/>
      <c r="D564" s="149"/>
      <c r="E564" s="164"/>
      <c r="F564" s="306"/>
      <c r="G564" s="149"/>
      <c r="H564" s="164"/>
      <c r="I564" s="306"/>
      <c r="J564" s="149"/>
      <c r="K564" s="164"/>
      <c r="L564" s="306"/>
      <c r="M564" s="310"/>
      <c r="N564" s="311"/>
      <c r="O564" s="312"/>
      <c r="P564" s="310"/>
      <c r="Q564" s="311"/>
      <c r="R564" s="312"/>
      <c r="S564" s="310"/>
      <c r="T564" s="311"/>
      <c r="U564" s="312"/>
      <c r="V564" s="149"/>
      <c r="W564" s="311"/>
      <c r="X564" s="306"/>
      <c r="Y564" s="188"/>
      <c r="Z564" s="188"/>
      <c r="AA564" s="188"/>
      <c r="AB564" s="20"/>
      <c r="AC564" s="20"/>
      <c r="AD564" s="20"/>
      <c r="AE564" s="20"/>
    </row>
    <row r="565">
      <c r="A565" s="149"/>
      <c r="B565" s="164"/>
      <c r="C565" s="306"/>
      <c r="D565" s="149"/>
      <c r="E565" s="164"/>
      <c r="F565" s="306"/>
      <c r="G565" s="149"/>
      <c r="H565" s="164"/>
      <c r="I565" s="306"/>
      <c r="J565" s="149"/>
      <c r="K565" s="164"/>
      <c r="L565" s="306"/>
      <c r="M565" s="310"/>
      <c r="N565" s="311"/>
      <c r="O565" s="312"/>
      <c r="P565" s="310"/>
      <c r="Q565" s="311"/>
      <c r="R565" s="312"/>
      <c r="S565" s="310"/>
      <c r="T565" s="311"/>
      <c r="U565" s="312"/>
      <c r="V565" s="149"/>
      <c r="W565" s="311"/>
      <c r="X565" s="306"/>
      <c r="Y565" s="188"/>
      <c r="Z565" s="188"/>
      <c r="AA565" s="188"/>
      <c r="AB565" s="20"/>
      <c r="AC565" s="20"/>
      <c r="AD565" s="20"/>
      <c r="AE565" s="20"/>
    </row>
    <row r="566">
      <c r="A566" s="149"/>
      <c r="B566" s="164"/>
      <c r="C566" s="306"/>
      <c r="D566" s="149"/>
      <c r="E566" s="164"/>
      <c r="F566" s="306"/>
      <c r="G566" s="149"/>
      <c r="H566" s="164"/>
      <c r="I566" s="306"/>
      <c r="J566" s="149"/>
      <c r="K566" s="164"/>
      <c r="L566" s="306"/>
      <c r="M566" s="310"/>
      <c r="N566" s="311"/>
      <c r="O566" s="312"/>
      <c r="P566" s="310"/>
      <c r="Q566" s="311"/>
      <c r="R566" s="312"/>
      <c r="S566" s="310"/>
      <c r="T566" s="311"/>
      <c r="U566" s="312"/>
      <c r="V566" s="149"/>
      <c r="W566" s="311"/>
      <c r="X566" s="306"/>
      <c r="Y566" s="188"/>
      <c r="Z566" s="188"/>
      <c r="AA566" s="188"/>
      <c r="AB566" s="20"/>
      <c r="AC566" s="20"/>
      <c r="AD566" s="20"/>
      <c r="AE566" s="20"/>
    </row>
    <row r="567">
      <c r="A567" s="149"/>
      <c r="B567" s="164"/>
      <c r="C567" s="306"/>
      <c r="D567" s="149"/>
      <c r="E567" s="164"/>
      <c r="F567" s="306"/>
      <c r="G567" s="149"/>
      <c r="H567" s="164"/>
      <c r="I567" s="306"/>
      <c r="J567" s="149"/>
      <c r="K567" s="164"/>
      <c r="L567" s="306"/>
      <c r="M567" s="310"/>
      <c r="N567" s="311"/>
      <c r="O567" s="312"/>
      <c r="P567" s="310"/>
      <c r="Q567" s="311"/>
      <c r="R567" s="312"/>
      <c r="S567" s="310"/>
      <c r="T567" s="311"/>
      <c r="U567" s="312"/>
      <c r="V567" s="149"/>
      <c r="W567" s="311"/>
      <c r="X567" s="306"/>
      <c r="Y567" s="188"/>
      <c r="Z567" s="188"/>
      <c r="AA567" s="188"/>
      <c r="AB567" s="20"/>
      <c r="AC567" s="20"/>
      <c r="AD567" s="20"/>
      <c r="AE567" s="20"/>
    </row>
    <row r="568">
      <c r="A568" s="149"/>
      <c r="B568" s="164"/>
      <c r="C568" s="306"/>
      <c r="D568" s="149"/>
      <c r="E568" s="164"/>
      <c r="F568" s="306"/>
      <c r="G568" s="149"/>
      <c r="H568" s="164"/>
      <c r="I568" s="306"/>
      <c r="J568" s="149"/>
      <c r="K568" s="164"/>
      <c r="L568" s="306"/>
      <c r="M568" s="310"/>
      <c r="N568" s="311"/>
      <c r="O568" s="312"/>
      <c r="P568" s="310"/>
      <c r="Q568" s="311"/>
      <c r="R568" s="312"/>
      <c r="S568" s="310"/>
      <c r="T568" s="311"/>
      <c r="U568" s="312"/>
      <c r="V568" s="149"/>
      <c r="W568" s="311"/>
      <c r="X568" s="306"/>
      <c r="Y568" s="188"/>
      <c r="Z568" s="188"/>
      <c r="AA568" s="188"/>
      <c r="AB568" s="20"/>
      <c r="AC568" s="20"/>
      <c r="AD568" s="20"/>
      <c r="AE568" s="20"/>
    </row>
    <row r="569">
      <c r="A569" s="149"/>
      <c r="B569" s="164"/>
      <c r="C569" s="306"/>
      <c r="D569" s="149"/>
      <c r="E569" s="164"/>
      <c r="F569" s="306"/>
      <c r="G569" s="149"/>
      <c r="H569" s="164"/>
      <c r="I569" s="306"/>
      <c r="J569" s="149"/>
      <c r="K569" s="164"/>
      <c r="L569" s="306"/>
      <c r="M569" s="310"/>
      <c r="N569" s="311"/>
      <c r="O569" s="312"/>
      <c r="P569" s="310"/>
      <c r="Q569" s="311"/>
      <c r="R569" s="312"/>
      <c r="S569" s="310"/>
      <c r="T569" s="311"/>
      <c r="U569" s="312"/>
      <c r="V569" s="149"/>
      <c r="W569" s="311"/>
      <c r="X569" s="306"/>
      <c r="Y569" s="188"/>
      <c r="Z569" s="188"/>
      <c r="AA569" s="188"/>
      <c r="AB569" s="20"/>
      <c r="AC569" s="20"/>
      <c r="AD569" s="20"/>
      <c r="AE569" s="20"/>
    </row>
    <row r="570">
      <c r="A570" s="149"/>
      <c r="B570" s="164"/>
      <c r="C570" s="306"/>
      <c r="D570" s="149"/>
      <c r="E570" s="164"/>
      <c r="F570" s="306"/>
      <c r="G570" s="149"/>
      <c r="H570" s="164"/>
      <c r="I570" s="306"/>
      <c r="J570" s="149"/>
      <c r="K570" s="164"/>
      <c r="L570" s="306"/>
      <c r="M570" s="310"/>
      <c r="N570" s="311"/>
      <c r="O570" s="312"/>
      <c r="P570" s="310"/>
      <c r="Q570" s="311"/>
      <c r="R570" s="312"/>
      <c r="S570" s="310"/>
      <c r="T570" s="311"/>
      <c r="U570" s="312"/>
      <c r="V570" s="149"/>
      <c r="W570" s="311"/>
      <c r="X570" s="306"/>
      <c r="Y570" s="188"/>
      <c r="Z570" s="188"/>
      <c r="AA570" s="188"/>
      <c r="AB570" s="20"/>
      <c r="AC570" s="20"/>
      <c r="AD570" s="20"/>
      <c r="AE570" s="20"/>
    </row>
    <row r="571">
      <c r="A571" s="149"/>
      <c r="B571" s="164"/>
      <c r="C571" s="306"/>
      <c r="D571" s="149"/>
      <c r="E571" s="164"/>
      <c r="F571" s="306"/>
      <c r="G571" s="149"/>
      <c r="H571" s="164"/>
      <c r="I571" s="306"/>
      <c r="J571" s="149"/>
      <c r="K571" s="164"/>
      <c r="L571" s="306"/>
      <c r="M571" s="310"/>
      <c r="N571" s="311"/>
      <c r="O571" s="312"/>
      <c r="P571" s="310"/>
      <c r="Q571" s="311"/>
      <c r="R571" s="312"/>
      <c r="S571" s="310"/>
      <c r="T571" s="311"/>
      <c r="U571" s="312"/>
      <c r="V571" s="149"/>
      <c r="W571" s="311"/>
      <c r="X571" s="306"/>
      <c r="Y571" s="188"/>
      <c r="Z571" s="188"/>
      <c r="AA571" s="188"/>
      <c r="AB571" s="20"/>
      <c r="AC571" s="20"/>
      <c r="AD571" s="20"/>
      <c r="AE571" s="20"/>
    </row>
    <row r="572">
      <c r="A572" s="149"/>
      <c r="B572" s="164"/>
      <c r="C572" s="306"/>
      <c r="D572" s="149"/>
      <c r="E572" s="164"/>
      <c r="F572" s="306"/>
      <c r="G572" s="149"/>
      <c r="H572" s="164"/>
      <c r="I572" s="306"/>
      <c r="J572" s="149"/>
      <c r="K572" s="164"/>
      <c r="L572" s="306"/>
      <c r="M572" s="310"/>
      <c r="N572" s="311"/>
      <c r="O572" s="312"/>
      <c r="P572" s="310"/>
      <c r="Q572" s="311"/>
      <c r="R572" s="312"/>
      <c r="S572" s="310"/>
      <c r="T572" s="311"/>
      <c r="U572" s="312"/>
      <c r="V572" s="149"/>
      <c r="W572" s="311"/>
      <c r="X572" s="306"/>
      <c r="Y572" s="188"/>
      <c r="Z572" s="188"/>
      <c r="AA572" s="188"/>
      <c r="AB572" s="20"/>
      <c r="AC572" s="20"/>
      <c r="AD572" s="20"/>
      <c r="AE572" s="20"/>
    </row>
    <row r="573">
      <c r="A573" s="149"/>
      <c r="B573" s="164"/>
      <c r="C573" s="306"/>
      <c r="D573" s="149"/>
      <c r="E573" s="164"/>
      <c r="F573" s="306"/>
      <c r="G573" s="149"/>
      <c r="H573" s="164"/>
      <c r="I573" s="306"/>
      <c r="J573" s="149"/>
      <c r="K573" s="164"/>
      <c r="L573" s="306"/>
      <c r="M573" s="310"/>
      <c r="N573" s="311"/>
      <c r="O573" s="312"/>
      <c r="P573" s="310"/>
      <c r="Q573" s="311"/>
      <c r="R573" s="312"/>
      <c r="S573" s="310"/>
      <c r="T573" s="311"/>
      <c r="U573" s="312"/>
      <c r="V573" s="149"/>
      <c r="W573" s="311"/>
      <c r="X573" s="306"/>
      <c r="Y573" s="188"/>
      <c r="Z573" s="188"/>
      <c r="AA573" s="188"/>
      <c r="AB573" s="20"/>
      <c r="AC573" s="20"/>
      <c r="AD573" s="20"/>
      <c r="AE573" s="20"/>
    </row>
    <row r="574">
      <c r="A574" s="149"/>
      <c r="B574" s="164"/>
      <c r="C574" s="306"/>
      <c r="D574" s="149"/>
      <c r="E574" s="164"/>
      <c r="F574" s="306"/>
      <c r="G574" s="149"/>
      <c r="H574" s="164"/>
      <c r="I574" s="306"/>
      <c r="J574" s="149"/>
      <c r="K574" s="164"/>
      <c r="L574" s="306"/>
      <c r="M574" s="310"/>
      <c r="N574" s="311"/>
      <c r="O574" s="312"/>
      <c r="P574" s="310"/>
      <c r="Q574" s="311"/>
      <c r="R574" s="312"/>
      <c r="S574" s="310"/>
      <c r="T574" s="311"/>
      <c r="U574" s="312"/>
      <c r="V574" s="149"/>
      <c r="W574" s="311"/>
      <c r="X574" s="306"/>
      <c r="Y574" s="188"/>
      <c r="Z574" s="188"/>
      <c r="AA574" s="188"/>
      <c r="AB574" s="20"/>
      <c r="AC574" s="20"/>
      <c r="AD574" s="20"/>
      <c r="AE574" s="20"/>
    </row>
    <row r="575">
      <c r="A575" s="149"/>
      <c r="B575" s="164"/>
      <c r="C575" s="306"/>
      <c r="D575" s="149"/>
      <c r="E575" s="164"/>
      <c r="F575" s="306"/>
      <c r="G575" s="149"/>
      <c r="H575" s="164"/>
      <c r="I575" s="306"/>
      <c r="J575" s="149"/>
      <c r="K575" s="164"/>
      <c r="L575" s="306"/>
      <c r="M575" s="310"/>
      <c r="N575" s="311"/>
      <c r="O575" s="312"/>
      <c r="P575" s="310"/>
      <c r="Q575" s="311"/>
      <c r="R575" s="312"/>
      <c r="S575" s="310"/>
      <c r="T575" s="311"/>
      <c r="U575" s="312"/>
      <c r="V575" s="149"/>
      <c r="W575" s="311"/>
      <c r="X575" s="306"/>
      <c r="Y575" s="188"/>
      <c r="Z575" s="188"/>
      <c r="AA575" s="188"/>
      <c r="AB575" s="20"/>
      <c r="AC575" s="20"/>
      <c r="AD575" s="20"/>
      <c r="AE575" s="20"/>
    </row>
    <row r="576">
      <c r="A576" s="149"/>
      <c r="B576" s="164"/>
      <c r="C576" s="306"/>
      <c r="D576" s="149"/>
      <c r="E576" s="164"/>
      <c r="F576" s="306"/>
      <c r="G576" s="149"/>
      <c r="H576" s="164"/>
      <c r="I576" s="306"/>
      <c r="J576" s="149"/>
      <c r="K576" s="164"/>
      <c r="L576" s="306"/>
      <c r="M576" s="310"/>
      <c r="N576" s="311"/>
      <c r="O576" s="312"/>
      <c r="P576" s="310"/>
      <c r="Q576" s="311"/>
      <c r="R576" s="312"/>
      <c r="S576" s="310"/>
      <c r="T576" s="311"/>
      <c r="U576" s="312"/>
      <c r="V576" s="149"/>
      <c r="W576" s="311"/>
      <c r="X576" s="306"/>
      <c r="Y576" s="188"/>
      <c r="Z576" s="188"/>
      <c r="AA576" s="188"/>
      <c r="AB576" s="20"/>
      <c r="AC576" s="20"/>
      <c r="AD576" s="20"/>
      <c r="AE576" s="20"/>
    </row>
    <row r="577">
      <c r="A577" s="149"/>
      <c r="B577" s="164"/>
      <c r="C577" s="306"/>
      <c r="D577" s="149"/>
      <c r="E577" s="164"/>
      <c r="F577" s="306"/>
      <c r="G577" s="149"/>
      <c r="H577" s="164"/>
      <c r="I577" s="306"/>
      <c r="J577" s="149"/>
      <c r="K577" s="164"/>
      <c r="L577" s="306"/>
      <c r="M577" s="310"/>
      <c r="N577" s="311"/>
      <c r="O577" s="312"/>
      <c r="P577" s="310"/>
      <c r="Q577" s="311"/>
      <c r="R577" s="312"/>
      <c r="S577" s="310"/>
      <c r="T577" s="311"/>
      <c r="U577" s="312"/>
      <c r="V577" s="149"/>
      <c r="W577" s="311"/>
      <c r="X577" s="306"/>
      <c r="Y577" s="188"/>
      <c r="Z577" s="188"/>
      <c r="AA577" s="188"/>
      <c r="AB577" s="20"/>
      <c r="AC577" s="20"/>
      <c r="AD577" s="20"/>
      <c r="AE577" s="20"/>
    </row>
    <row r="578">
      <c r="A578" s="149"/>
      <c r="B578" s="164"/>
      <c r="C578" s="306"/>
      <c r="D578" s="149"/>
      <c r="E578" s="164"/>
      <c r="F578" s="306"/>
      <c r="G578" s="149"/>
      <c r="H578" s="164"/>
      <c r="I578" s="306"/>
      <c r="J578" s="149"/>
      <c r="K578" s="164"/>
      <c r="L578" s="306"/>
      <c r="M578" s="310"/>
      <c r="N578" s="311"/>
      <c r="O578" s="312"/>
      <c r="P578" s="310"/>
      <c r="Q578" s="311"/>
      <c r="R578" s="312"/>
      <c r="S578" s="310"/>
      <c r="T578" s="311"/>
      <c r="U578" s="312"/>
      <c r="V578" s="149"/>
      <c r="W578" s="311"/>
      <c r="X578" s="306"/>
      <c r="Y578" s="188"/>
      <c r="Z578" s="188"/>
      <c r="AA578" s="188"/>
      <c r="AB578" s="20"/>
      <c r="AC578" s="20"/>
      <c r="AD578" s="20"/>
      <c r="AE578" s="20"/>
    </row>
    <row r="579">
      <c r="A579" s="149"/>
      <c r="B579" s="164"/>
      <c r="C579" s="306"/>
      <c r="D579" s="149"/>
      <c r="E579" s="164"/>
      <c r="F579" s="306"/>
      <c r="G579" s="149"/>
      <c r="H579" s="164"/>
      <c r="I579" s="306"/>
      <c r="J579" s="149"/>
      <c r="K579" s="164"/>
      <c r="L579" s="306"/>
      <c r="M579" s="310"/>
      <c r="N579" s="311"/>
      <c r="O579" s="312"/>
      <c r="P579" s="310"/>
      <c r="Q579" s="311"/>
      <c r="R579" s="312"/>
      <c r="S579" s="310"/>
      <c r="T579" s="311"/>
      <c r="U579" s="312"/>
      <c r="V579" s="149"/>
      <c r="W579" s="311"/>
      <c r="X579" s="306"/>
      <c r="Y579" s="188"/>
      <c r="Z579" s="188"/>
      <c r="AA579" s="188"/>
      <c r="AB579" s="20"/>
      <c r="AC579" s="20"/>
      <c r="AD579" s="20"/>
      <c r="AE579" s="20"/>
    </row>
    <row r="580">
      <c r="A580" s="149"/>
      <c r="B580" s="164"/>
      <c r="C580" s="306"/>
      <c r="D580" s="149"/>
      <c r="E580" s="164"/>
      <c r="F580" s="306"/>
      <c r="G580" s="149"/>
      <c r="H580" s="164"/>
      <c r="I580" s="306"/>
      <c r="J580" s="149"/>
      <c r="K580" s="164"/>
      <c r="L580" s="306"/>
      <c r="M580" s="310"/>
      <c r="N580" s="311"/>
      <c r="O580" s="312"/>
      <c r="P580" s="310"/>
      <c r="Q580" s="311"/>
      <c r="R580" s="312"/>
      <c r="S580" s="310"/>
      <c r="T580" s="311"/>
      <c r="U580" s="312"/>
      <c r="V580" s="149"/>
      <c r="W580" s="311"/>
      <c r="X580" s="306"/>
      <c r="Y580" s="188"/>
      <c r="Z580" s="188"/>
      <c r="AA580" s="188"/>
      <c r="AB580" s="20"/>
      <c r="AC580" s="20"/>
      <c r="AD580" s="20"/>
      <c r="AE580" s="20"/>
    </row>
    <row r="581">
      <c r="A581" s="149"/>
      <c r="B581" s="164"/>
      <c r="C581" s="306"/>
      <c r="D581" s="149"/>
      <c r="E581" s="164"/>
      <c r="F581" s="306"/>
      <c r="G581" s="149"/>
      <c r="H581" s="164"/>
      <c r="I581" s="306"/>
      <c r="J581" s="149"/>
      <c r="K581" s="164"/>
      <c r="L581" s="306"/>
      <c r="M581" s="310"/>
      <c r="N581" s="311"/>
      <c r="O581" s="312"/>
      <c r="P581" s="310"/>
      <c r="Q581" s="311"/>
      <c r="R581" s="312"/>
      <c r="S581" s="310"/>
      <c r="T581" s="311"/>
      <c r="U581" s="312"/>
      <c r="V581" s="149"/>
      <c r="W581" s="311"/>
      <c r="X581" s="306"/>
      <c r="Y581" s="188"/>
      <c r="Z581" s="188"/>
      <c r="AA581" s="188"/>
      <c r="AB581" s="20"/>
      <c r="AC581" s="20"/>
      <c r="AD581" s="20"/>
      <c r="AE581" s="20"/>
    </row>
    <row r="582">
      <c r="A582" s="149"/>
      <c r="B582" s="164"/>
      <c r="C582" s="306"/>
      <c r="D582" s="149"/>
      <c r="E582" s="164"/>
      <c r="F582" s="306"/>
      <c r="G582" s="149"/>
      <c r="H582" s="164"/>
      <c r="I582" s="306"/>
      <c r="J582" s="149"/>
      <c r="K582" s="164"/>
      <c r="L582" s="306"/>
      <c r="M582" s="310"/>
      <c r="N582" s="311"/>
      <c r="O582" s="312"/>
      <c r="P582" s="310"/>
      <c r="Q582" s="311"/>
      <c r="R582" s="312"/>
      <c r="S582" s="310"/>
      <c r="T582" s="311"/>
      <c r="U582" s="312"/>
      <c r="V582" s="149"/>
      <c r="W582" s="311"/>
      <c r="X582" s="306"/>
      <c r="Y582" s="188"/>
      <c r="Z582" s="188"/>
      <c r="AA582" s="188"/>
      <c r="AB582" s="20"/>
      <c r="AC582" s="20"/>
      <c r="AD582" s="20"/>
      <c r="AE582" s="20"/>
    </row>
    <row r="583">
      <c r="A583" s="149"/>
      <c r="B583" s="164"/>
      <c r="C583" s="306"/>
      <c r="D583" s="149"/>
      <c r="E583" s="164"/>
      <c r="F583" s="306"/>
      <c r="G583" s="149"/>
      <c r="H583" s="164"/>
      <c r="I583" s="306"/>
      <c r="J583" s="149"/>
      <c r="K583" s="164"/>
      <c r="L583" s="306"/>
      <c r="M583" s="310"/>
      <c r="N583" s="311"/>
      <c r="O583" s="312"/>
      <c r="P583" s="310"/>
      <c r="Q583" s="311"/>
      <c r="R583" s="312"/>
      <c r="S583" s="310"/>
      <c r="T583" s="311"/>
      <c r="U583" s="312"/>
      <c r="V583" s="149"/>
      <c r="W583" s="311"/>
      <c r="X583" s="306"/>
      <c r="Y583" s="188"/>
      <c r="Z583" s="188"/>
      <c r="AA583" s="188"/>
      <c r="AB583" s="20"/>
      <c r="AC583" s="20"/>
      <c r="AD583" s="20"/>
      <c r="AE583" s="20"/>
    </row>
    <row r="584">
      <c r="A584" s="149"/>
      <c r="B584" s="164"/>
      <c r="C584" s="306"/>
      <c r="D584" s="149"/>
      <c r="E584" s="164"/>
      <c r="F584" s="306"/>
      <c r="G584" s="149"/>
      <c r="H584" s="164"/>
      <c r="I584" s="306"/>
      <c r="J584" s="149"/>
      <c r="K584" s="164"/>
      <c r="L584" s="306"/>
      <c r="M584" s="310"/>
      <c r="N584" s="311"/>
      <c r="O584" s="312"/>
      <c r="P584" s="310"/>
      <c r="Q584" s="311"/>
      <c r="R584" s="312"/>
      <c r="S584" s="310"/>
      <c r="T584" s="311"/>
      <c r="U584" s="312"/>
      <c r="V584" s="149"/>
      <c r="W584" s="311"/>
      <c r="X584" s="306"/>
      <c r="Y584" s="188"/>
      <c r="Z584" s="188"/>
      <c r="AA584" s="188"/>
      <c r="AB584" s="20"/>
      <c r="AC584" s="20"/>
      <c r="AD584" s="20"/>
      <c r="AE584" s="20"/>
    </row>
    <row r="585">
      <c r="A585" s="149"/>
      <c r="B585" s="164"/>
      <c r="C585" s="306"/>
      <c r="D585" s="149"/>
      <c r="E585" s="164"/>
      <c r="F585" s="306"/>
      <c r="G585" s="149"/>
      <c r="H585" s="164"/>
      <c r="I585" s="306"/>
      <c r="J585" s="149"/>
      <c r="K585" s="164"/>
      <c r="L585" s="306"/>
      <c r="M585" s="310"/>
      <c r="N585" s="311"/>
      <c r="O585" s="312"/>
      <c r="P585" s="310"/>
      <c r="Q585" s="311"/>
      <c r="R585" s="312"/>
      <c r="S585" s="310"/>
      <c r="T585" s="311"/>
      <c r="U585" s="312"/>
      <c r="V585" s="149"/>
      <c r="W585" s="311"/>
      <c r="X585" s="306"/>
      <c r="Y585" s="188"/>
      <c r="Z585" s="188"/>
      <c r="AA585" s="188"/>
      <c r="AB585" s="20"/>
      <c r="AC585" s="20"/>
      <c r="AD585" s="20"/>
      <c r="AE585" s="20"/>
    </row>
    <row r="586">
      <c r="A586" s="149"/>
      <c r="B586" s="164"/>
      <c r="C586" s="306"/>
      <c r="D586" s="149"/>
      <c r="E586" s="164"/>
      <c r="F586" s="306"/>
      <c r="G586" s="149"/>
      <c r="H586" s="164"/>
      <c r="I586" s="306"/>
      <c r="J586" s="149"/>
      <c r="K586" s="164"/>
      <c r="L586" s="306"/>
      <c r="M586" s="310"/>
      <c r="N586" s="311"/>
      <c r="O586" s="312"/>
      <c r="P586" s="310"/>
      <c r="Q586" s="311"/>
      <c r="R586" s="312"/>
      <c r="S586" s="310"/>
      <c r="T586" s="311"/>
      <c r="U586" s="312"/>
      <c r="V586" s="149"/>
      <c r="W586" s="311"/>
      <c r="X586" s="306"/>
      <c r="Y586" s="188"/>
      <c r="Z586" s="188"/>
      <c r="AA586" s="188"/>
      <c r="AB586" s="20"/>
      <c r="AC586" s="20"/>
      <c r="AD586" s="20"/>
      <c r="AE586" s="20"/>
    </row>
    <row r="587">
      <c r="A587" s="149"/>
      <c r="B587" s="164"/>
      <c r="C587" s="306"/>
      <c r="D587" s="149"/>
      <c r="E587" s="164"/>
      <c r="F587" s="306"/>
      <c r="G587" s="149"/>
      <c r="H587" s="164"/>
      <c r="I587" s="306"/>
      <c r="J587" s="149"/>
      <c r="K587" s="164"/>
      <c r="L587" s="306"/>
      <c r="M587" s="310"/>
      <c r="N587" s="311"/>
      <c r="O587" s="312"/>
      <c r="P587" s="310"/>
      <c r="Q587" s="311"/>
      <c r="R587" s="312"/>
      <c r="S587" s="310"/>
      <c r="T587" s="311"/>
      <c r="U587" s="312"/>
      <c r="V587" s="149"/>
      <c r="W587" s="311"/>
      <c r="X587" s="306"/>
      <c r="Y587" s="188"/>
      <c r="Z587" s="188"/>
      <c r="AA587" s="188"/>
      <c r="AB587" s="20"/>
      <c r="AC587" s="20"/>
      <c r="AD587" s="20"/>
      <c r="AE587" s="20"/>
    </row>
    <row r="588">
      <c r="A588" s="149"/>
      <c r="B588" s="164"/>
      <c r="C588" s="306"/>
      <c r="D588" s="149"/>
      <c r="E588" s="164"/>
      <c r="F588" s="306"/>
      <c r="G588" s="149"/>
      <c r="H588" s="164"/>
      <c r="I588" s="306"/>
      <c r="J588" s="149"/>
      <c r="K588" s="164"/>
      <c r="L588" s="306"/>
      <c r="M588" s="310"/>
      <c r="N588" s="311"/>
      <c r="O588" s="312"/>
      <c r="P588" s="310"/>
      <c r="Q588" s="311"/>
      <c r="R588" s="312"/>
      <c r="S588" s="310"/>
      <c r="T588" s="311"/>
      <c r="U588" s="312"/>
      <c r="V588" s="149"/>
      <c r="W588" s="311"/>
      <c r="X588" s="306"/>
      <c r="Y588" s="188"/>
      <c r="Z588" s="188"/>
      <c r="AA588" s="188"/>
      <c r="AB588" s="20"/>
      <c r="AC588" s="20"/>
      <c r="AD588" s="20"/>
      <c r="AE588" s="20"/>
    </row>
    <row r="589">
      <c r="A589" s="149"/>
      <c r="B589" s="164"/>
      <c r="C589" s="306"/>
      <c r="D589" s="149"/>
      <c r="E589" s="164"/>
      <c r="F589" s="306"/>
      <c r="G589" s="149"/>
      <c r="H589" s="164"/>
      <c r="I589" s="306"/>
      <c r="J589" s="149"/>
      <c r="K589" s="164"/>
      <c r="L589" s="306"/>
      <c r="M589" s="310"/>
      <c r="N589" s="311"/>
      <c r="O589" s="312"/>
      <c r="P589" s="310"/>
      <c r="Q589" s="311"/>
      <c r="R589" s="312"/>
      <c r="S589" s="310"/>
      <c r="T589" s="311"/>
      <c r="U589" s="312"/>
      <c r="V589" s="149"/>
      <c r="W589" s="311"/>
      <c r="X589" s="306"/>
      <c r="Y589" s="188"/>
      <c r="Z589" s="188"/>
      <c r="AA589" s="188"/>
      <c r="AB589" s="20"/>
      <c r="AC589" s="20"/>
      <c r="AD589" s="20"/>
      <c r="AE589" s="20"/>
    </row>
    <row r="590">
      <c r="A590" s="149"/>
      <c r="B590" s="164"/>
      <c r="C590" s="306"/>
      <c r="D590" s="149"/>
      <c r="E590" s="164"/>
      <c r="F590" s="306"/>
      <c r="G590" s="149"/>
      <c r="H590" s="164"/>
      <c r="I590" s="306"/>
      <c r="J590" s="149"/>
      <c r="K590" s="164"/>
      <c r="L590" s="306"/>
      <c r="M590" s="310"/>
      <c r="N590" s="311"/>
      <c r="O590" s="312"/>
      <c r="P590" s="310"/>
      <c r="Q590" s="311"/>
      <c r="R590" s="312"/>
      <c r="S590" s="310"/>
      <c r="T590" s="311"/>
      <c r="U590" s="312"/>
      <c r="V590" s="149"/>
      <c r="W590" s="311"/>
      <c r="X590" s="306"/>
      <c r="Y590" s="188"/>
      <c r="Z590" s="188"/>
      <c r="AA590" s="188"/>
      <c r="AB590" s="20"/>
      <c r="AC590" s="20"/>
      <c r="AD590" s="20"/>
      <c r="AE590" s="20"/>
    </row>
    <row r="591">
      <c r="A591" s="149"/>
      <c r="B591" s="164"/>
      <c r="C591" s="306"/>
      <c r="D591" s="149"/>
      <c r="E591" s="164"/>
      <c r="F591" s="306"/>
      <c r="G591" s="149"/>
      <c r="H591" s="164"/>
      <c r="I591" s="306"/>
      <c r="J591" s="149"/>
      <c r="K591" s="164"/>
      <c r="L591" s="306"/>
      <c r="M591" s="310"/>
      <c r="N591" s="311"/>
      <c r="O591" s="312"/>
      <c r="P591" s="310"/>
      <c r="Q591" s="311"/>
      <c r="R591" s="312"/>
      <c r="S591" s="310"/>
      <c r="T591" s="311"/>
      <c r="U591" s="312"/>
      <c r="V591" s="149"/>
      <c r="W591" s="311"/>
      <c r="X591" s="306"/>
      <c r="Y591" s="188"/>
      <c r="Z591" s="188"/>
      <c r="AA591" s="188"/>
      <c r="AB591" s="20"/>
      <c r="AC591" s="20"/>
      <c r="AD591" s="20"/>
      <c r="AE591" s="20"/>
    </row>
    <row r="592">
      <c r="A592" s="149"/>
      <c r="B592" s="164"/>
      <c r="C592" s="306"/>
      <c r="D592" s="149"/>
      <c r="E592" s="164"/>
      <c r="F592" s="306"/>
      <c r="G592" s="149"/>
      <c r="H592" s="164"/>
      <c r="I592" s="306"/>
      <c r="J592" s="149"/>
      <c r="K592" s="164"/>
      <c r="L592" s="306"/>
      <c r="M592" s="310"/>
      <c r="N592" s="311"/>
      <c r="O592" s="312"/>
      <c r="P592" s="310"/>
      <c r="Q592" s="311"/>
      <c r="R592" s="312"/>
      <c r="S592" s="310"/>
      <c r="T592" s="311"/>
      <c r="U592" s="312"/>
      <c r="V592" s="149"/>
      <c r="W592" s="311"/>
      <c r="X592" s="306"/>
      <c r="Y592" s="188"/>
      <c r="Z592" s="188"/>
      <c r="AA592" s="188"/>
      <c r="AB592" s="20"/>
      <c r="AC592" s="20"/>
      <c r="AD592" s="20"/>
      <c r="AE592" s="20"/>
    </row>
    <row r="593">
      <c r="A593" s="149"/>
      <c r="B593" s="164"/>
      <c r="C593" s="306"/>
      <c r="D593" s="149"/>
      <c r="E593" s="164"/>
      <c r="F593" s="306"/>
      <c r="G593" s="149"/>
      <c r="H593" s="164"/>
      <c r="I593" s="306"/>
      <c r="J593" s="149"/>
      <c r="K593" s="164"/>
      <c r="L593" s="306"/>
      <c r="M593" s="310"/>
      <c r="N593" s="311"/>
      <c r="O593" s="312"/>
      <c r="P593" s="310"/>
      <c r="Q593" s="311"/>
      <c r="R593" s="312"/>
      <c r="S593" s="310"/>
      <c r="T593" s="311"/>
      <c r="U593" s="312"/>
      <c r="V593" s="149"/>
      <c r="W593" s="311"/>
      <c r="X593" s="306"/>
      <c r="Y593" s="188"/>
      <c r="Z593" s="188"/>
      <c r="AA593" s="188"/>
      <c r="AB593" s="20"/>
      <c r="AC593" s="20"/>
      <c r="AD593" s="20"/>
      <c r="AE593" s="20"/>
    </row>
    <row r="594">
      <c r="A594" s="149"/>
      <c r="B594" s="164"/>
      <c r="C594" s="306"/>
      <c r="D594" s="149"/>
      <c r="E594" s="164"/>
      <c r="F594" s="306"/>
      <c r="G594" s="149"/>
      <c r="H594" s="164"/>
      <c r="I594" s="306"/>
      <c r="J594" s="149"/>
      <c r="K594" s="164"/>
      <c r="L594" s="306"/>
      <c r="M594" s="310"/>
      <c r="N594" s="311"/>
      <c r="O594" s="312"/>
      <c r="P594" s="310"/>
      <c r="Q594" s="311"/>
      <c r="R594" s="312"/>
      <c r="S594" s="310"/>
      <c r="T594" s="311"/>
      <c r="U594" s="312"/>
      <c r="V594" s="149"/>
      <c r="W594" s="311"/>
      <c r="X594" s="306"/>
      <c r="Y594" s="188"/>
      <c r="Z594" s="188"/>
      <c r="AA594" s="188"/>
      <c r="AB594" s="20"/>
      <c r="AC594" s="20"/>
      <c r="AD594" s="20"/>
      <c r="AE594" s="20"/>
    </row>
    <row r="595">
      <c r="A595" s="149"/>
      <c r="B595" s="164"/>
      <c r="C595" s="306"/>
      <c r="D595" s="149"/>
      <c r="E595" s="164"/>
      <c r="F595" s="306"/>
      <c r="G595" s="149"/>
      <c r="H595" s="164"/>
      <c r="I595" s="306"/>
      <c r="J595" s="149"/>
      <c r="K595" s="164"/>
      <c r="L595" s="306"/>
      <c r="M595" s="310"/>
      <c r="N595" s="311"/>
      <c r="O595" s="312"/>
      <c r="P595" s="310"/>
      <c r="Q595" s="311"/>
      <c r="R595" s="312"/>
      <c r="S595" s="310"/>
      <c r="T595" s="311"/>
      <c r="U595" s="312"/>
      <c r="V595" s="149"/>
      <c r="W595" s="311"/>
      <c r="X595" s="306"/>
      <c r="Y595" s="188"/>
      <c r="Z595" s="188"/>
      <c r="AA595" s="188"/>
      <c r="AB595" s="20"/>
      <c r="AC595" s="20"/>
      <c r="AD595" s="20"/>
      <c r="AE595" s="20"/>
    </row>
    <row r="596">
      <c r="A596" s="149"/>
      <c r="B596" s="164"/>
      <c r="C596" s="306"/>
      <c r="D596" s="149"/>
      <c r="E596" s="164"/>
      <c r="F596" s="306"/>
      <c r="G596" s="149"/>
      <c r="H596" s="164"/>
      <c r="I596" s="306"/>
      <c r="J596" s="149"/>
      <c r="K596" s="164"/>
      <c r="L596" s="306"/>
      <c r="M596" s="310"/>
      <c r="N596" s="311"/>
      <c r="O596" s="312"/>
      <c r="P596" s="310"/>
      <c r="Q596" s="311"/>
      <c r="R596" s="312"/>
      <c r="S596" s="310"/>
      <c r="T596" s="311"/>
      <c r="U596" s="312"/>
      <c r="V596" s="149"/>
      <c r="W596" s="311"/>
      <c r="X596" s="306"/>
      <c r="Y596" s="188"/>
      <c r="Z596" s="188"/>
      <c r="AA596" s="188"/>
      <c r="AB596" s="20"/>
      <c r="AC596" s="20"/>
      <c r="AD596" s="20"/>
      <c r="AE596" s="20"/>
    </row>
    <row r="597">
      <c r="A597" s="149"/>
      <c r="B597" s="164"/>
      <c r="C597" s="306"/>
      <c r="D597" s="149"/>
      <c r="E597" s="164"/>
      <c r="F597" s="306"/>
      <c r="G597" s="149"/>
      <c r="H597" s="164"/>
      <c r="I597" s="306"/>
      <c r="J597" s="149"/>
      <c r="K597" s="164"/>
      <c r="L597" s="306"/>
      <c r="M597" s="310"/>
      <c r="N597" s="311"/>
      <c r="O597" s="312"/>
      <c r="P597" s="310"/>
      <c r="Q597" s="311"/>
      <c r="R597" s="312"/>
      <c r="S597" s="310"/>
      <c r="T597" s="311"/>
      <c r="U597" s="312"/>
      <c r="V597" s="149"/>
      <c r="W597" s="311"/>
      <c r="X597" s="306"/>
      <c r="Y597" s="188"/>
      <c r="Z597" s="188"/>
      <c r="AA597" s="188"/>
      <c r="AB597" s="20"/>
      <c r="AC597" s="20"/>
      <c r="AD597" s="20"/>
      <c r="AE597" s="20"/>
    </row>
    <row r="598">
      <c r="A598" s="149"/>
      <c r="B598" s="164"/>
      <c r="C598" s="306"/>
      <c r="D598" s="149"/>
      <c r="E598" s="164"/>
      <c r="F598" s="306"/>
      <c r="G598" s="149"/>
      <c r="H598" s="164"/>
      <c r="I598" s="306"/>
      <c r="J598" s="149"/>
      <c r="K598" s="164"/>
      <c r="L598" s="306"/>
      <c r="M598" s="310"/>
      <c r="N598" s="311"/>
      <c r="O598" s="312"/>
      <c r="P598" s="310"/>
      <c r="Q598" s="311"/>
      <c r="R598" s="312"/>
      <c r="S598" s="310"/>
      <c r="T598" s="311"/>
      <c r="U598" s="312"/>
      <c r="V598" s="149"/>
      <c r="W598" s="311"/>
      <c r="X598" s="306"/>
      <c r="Y598" s="188"/>
      <c r="Z598" s="188"/>
      <c r="AA598" s="188"/>
      <c r="AB598" s="20"/>
      <c r="AC598" s="20"/>
      <c r="AD598" s="20"/>
      <c r="AE598" s="20"/>
    </row>
    <row r="599">
      <c r="A599" s="149"/>
      <c r="B599" s="164"/>
      <c r="C599" s="306"/>
      <c r="D599" s="149"/>
      <c r="E599" s="164"/>
      <c r="F599" s="306"/>
      <c r="G599" s="149"/>
      <c r="H599" s="164"/>
      <c r="I599" s="306"/>
      <c r="J599" s="149"/>
      <c r="K599" s="164"/>
      <c r="L599" s="306"/>
      <c r="M599" s="310"/>
      <c r="N599" s="311"/>
      <c r="O599" s="312"/>
      <c r="P599" s="310"/>
      <c r="Q599" s="311"/>
      <c r="R599" s="312"/>
      <c r="S599" s="310"/>
      <c r="T599" s="311"/>
      <c r="U599" s="312"/>
      <c r="V599" s="149"/>
      <c r="W599" s="311"/>
      <c r="X599" s="306"/>
      <c r="Y599" s="188"/>
      <c r="Z599" s="188"/>
      <c r="AA599" s="188"/>
      <c r="AB599" s="20"/>
      <c r="AC599" s="20"/>
      <c r="AD599" s="20"/>
      <c r="AE599" s="20"/>
    </row>
    <row r="600">
      <c r="A600" s="149"/>
      <c r="B600" s="164"/>
      <c r="C600" s="306"/>
      <c r="D600" s="149"/>
      <c r="E600" s="164"/>
      <c r="F600" s="306"/>
      <c r="G600" s="149"/>
      <c r="H600" s="164"/>
      <c r="I600" s="306"/>
      <c r="J600" s="149"/>
      <c r="K600" s="164"/>
      <c r="L600" s="306"/>
      <c r="M600" s="310"/>
      <c r="N600" s="311"/>
      <c r="O600" s="312"/>
      <c r="P600" s="310"/>
      <c r="Q600" s="311"/>
      <c r="R600" s="312"/>
      <c r="S600" s="310"/>
      <c r="T600" s="311"/>
      <c r="U600" s="312"/>
      <c r="V600" s="149"/>
      <c r="W600" s="311"/>
      <c r="X600" s="306"/>
      <c r="Y600" s="188"/>
      <c r="Z600" s="188"/>
      <c r="AA600" s="188"/>
      <c r="AB600" s="20"/>
      <c r="AC600" s="20"/>
      <c r="AD600" s="20"/>
      <c r="AE600" s="20"/>
    </row>
    <row r="601">
      <c r="A601" s="149"/>
      <c r="B601" s="164"/>
      <c r="C601" s="306"/>
      <c r="D601" s="149"/>
      <c r="E601" s="164"/>
      <c r="F601" s="306"/>
      <c r="G601" s="149"/>
      <c r="H601" s="164"/>
      <c r="I601" s="306"/>
      <c r="J601" s="149"/>
      <c r="K601" s="164"/>
      <c r="L601" s="306"/>
      <c r="M601" s="310"/>
      <c r="N601" s="311"/>
      <c r="O601" s="312"/>
      <c r="P601" s="310"/>
      <c r="Q601" s="311"/>
      <c r="R601" s="312"/>
      <c r="S601" s="310"/>
      <c r="T601" s="311"/>
      <c r="U601" s="312"/>
      <c r="V601" s="149"/>
      <c r="W601" s="311"/>
      <c r="X601" s="306"/>
      <c r="Y601" s="188"/>
      <c r="Z601" s="188"/>
      <c r="AA601" s="188"/>
      <c r="AB601" s="20"/>
      <c r="AC601" s="20"/>
      <c r="AD601" s="20"/>
      <c r="AE601" s="20"/>
    </row>
    <row r="602">
      <c r="A602" s="149"/>
      <c r="B602" s="164"/>
      <c r="C602" s="306"/>
      <c r="D602" s="149"/>
      <c r="E602" s="164"/>
      <c r="F602" s="306"/>
      <c r="G602" s="149"/>
      <c r="H602" s="164"/>
      <c r="I602" s="306"/>
      <c r="J602" s="149"/>
      <c r="K602" s="164"/>
      <c r="L602" s="306"/>
      <c r="M602" s="310"/>
      <c r="N602" s="311"/>
      <c r="O602" s="312"/>
      <c r="P602" s="310"/>
      <c r="Q602" s="311"/>
      <c r="R602" s="312"/>
      <c r="S602" s="310"/>
      <c r="T602" s="311"/>
      <c r="U602" s="312"/>
      <c r="V602" s="149"/>
      <c r="W602" s="311"/>
      <c r="X602" s="306"/>
      <c r="Y602" s="188"/>
      <c r="Z602" s="188"/>
      <c r="AA602" s="188"/>
      <c r="AB602" s="20"/>
      <c r="AC602" s="20"/>
      <c r="AD602" s="20"/>
      <c r="AE602" s="20"/>
    </row>
    <row r="603">
      <c r="A603" s="149"/>
      <c r="B603" s="164"/>
      <c r="C603" s="306"/>
      <c r="D603" s="149"/>
      <c r="E603" s="164"/>
      <c r="F603" s="306"/>
      <c r="G603" s="149"/>
      <c r="H603" s="164"/>
      <c r="I603" s="306"/>
      <c r="J603" s="149"/>
      <c r="K603" s="164"/>
      <c r="L603" s="306"/>
      <c r="M603" s="310"/>
      <c r="N603" s="311"/>
      <c r="O603" s="312"/>
      <c r="P603" s="310"/>
      <c r="Q603" s="311"/>
      <c r="R603" s="312"/>
      <c r="S603" s="310"/>
      <c r="T603" s="311"/>
      <c r="U603" s="312"/>
      <c r="V603" s="149"/>
      <c r="W603" s="311"/>
      <c r="X603" s="306"/>
      <c r="Y603" s="188"/>
      <c r="Z603" s="188"/>
      <c r="AA603" s="188"/>
      <c r="AB603" s="20"/>
      <c r="AC603" s="20"/>
      <c r="AD603" s="20"/>
      <c r="AE603" s="20"/>
    </row>
    <row r="604">
      <c r="A604" s="149"/>
      <c r="B604" s="164"/>
      <c r="C604" s="306"/>
      <c r="D604" s="149"/>
      <c r="E604" s="164"/>
      <c r="F604" s="306"/>
      <c r="G604" s="149"/>
      <c r="H604" s="164"/>
      <c r="I604" s="306"/>
      <c r="J604" s="149"/>
      <c r="K604" s="164"/>
      <c r="L604" s="306"/>
      <c r="M604" s="310"/>
      <c r="N604" s="311"/>
      <c r="O604" s="312"/>
      <c r="P604" s="310"/>
      <c r="Q604" s="311"/>
      <c r="R604" s="312"/>
      <c r="S604" s="310"/>
      <c r="T604" s="311"/>
      <c r="U604" s="312"/>
      <c r="V604" s="149"/>
      <c r="W604" s="311"/>
      <c r="X604" s="306"/>
      <c r="Y604" s="188"/>
      <c r="Z604" s="188"/>
      <c r="AA604" s="188"/>
      <c r="AB604" s="20"/>
      <c r="AC604" s="20"/>
      <c r="AD604" s="20"/>
      <c r="AE604" s="20"/>
    </row>
    <row r="605">
      <c r="A605" s="149"/>
      <c r="B605" s="164"/>
      <c r="C605" s="306"/>
      <c r="D605" s="149"/>
      <c r="E605" s="164"/>
      <c r="F605" s="306"/>
      <c r="G605" s="149"/>
      <c r="H605" s="164"/>
      <c r="I605" s="306"/>
      <c r="J605" s="149"/>
      <c r="K605" s="164"/>
      <c r="L605" s="306"/>
      <c r="M605" s="310"/>
      <c r="N605" s="311"/>
      <c r="O605" s="312"/>
      <c r="P605" s="310"/>
      <c r="Q605" s="311"/>
      <c r="R605" s="312"/>
      <c r="S605" s="310"/>
      <c r="T605" s="311"/>
      <c r="U605" s="312"/>
      <c r="V605" s="149"/>
      <c r="W605" s="311"/>
      <c r="X605" s="306"/>
      <c r="Y605" s="188"/>
      <c r="Z605" s="188"/>
      <c r="AA605" s="188"/>
      <c r="AB605" s="20"/>
      <c r="AC605" s="20"/>
      <c r="AD605" s="20"/>
      <c r="AE605" s="20"/>
    </row>
    <row r="606">
      <c r="A606" s="149"/>
      <c r="B606" s="164"/>
      <c r="C606" s="306"/>
      <c r="D606" s="149"/>
      <c r="E606" s="164"/>
      <c r="F606" s="306"/>
      <c r="G606" s="149"/>
      <c r="H606" s="164"/>
      <c r="I606" s="306"/>
      <c r="J606" s="149"/>
      <c r="K606" s="164"/>
      <c r="L606" s="306"/>
      <c r="M606" s="310"/>
      <c r="N606" s="311"/>
      <c r="O606" s="312"/>
      <c r="P606" s="310"/>
      <c r="Q606" s="311"/>
      <c r="R606" s="312"/>
      <c r="S606" s="310"/>
      <c r="T606" s="311"/>
      <c r="U606" s="312"/>
      <c r="V606" s="149"/>
      <c r="W606" s="311"/>
      <c r="X606" s="306"/>
      <c r="Y606" s="188"/>
      <c r="Z606" s="188"/>
      <c r="AA606" s="188"/>
      <c r="AB606" s="20"/>
      <c r="AC606" s="20"/>
      <c r="AD606" s="20"/>
      <c r="AE606" s="20"/>
    </row>
    <row r="607">
      <c r="A607" s="149"/>
      <c r="B607" s="164"/>
      <c r="C607" s="306"/>
      <c r="D607" s="149"/>
      <c r="E607" s="164"/>
      <c r="F607" s="306"/>
      <c r="G607" s="149"/>
      <c r="H607" s="164"/>
      <c r="I607" s="306"/>
      <c r="J607" s="149"/>
      <c r="K607" s="164"/>
      <c r="L607" s="306"/>
      <c r="M607" s="310"/>
      <c r="N607" s="311"/>
      <c r="O607" s="312"/>
      <c r="P607" s="310"/>
      <c r="Q607" s="311"/>
      <c r="R607" s="312"/>
      <c r="S607" s="310"/>
      <c r="T607" s="311"/>
      <c r="U607" s="312"/>
      <c r="V607" s="149"/>
      <c r="W607" s="311"/>
      <c r="X607" s="306"/>
      <c r="Y607" s="188"/>
      <c r="Z607" s="188"/>
      <c r="AA607" s="188"/>
      <c r="AB607" s="20"/>
      <c r="AC607" s="20"/>
      <c r="AD607" s="20"/>
      <c r="AE607" s="20"/>
    </row>
    <row r="608">
      <c r="A608" s="149"/>
      <c r="B608" s="164"/>
      <c r="C608" s="306"/>
      <c r="D608" s="149"/>
      <c r="E608" s="164"/>
      <c r="F608" s="306"/>
      <c r="G608" s="149"/>
      <c r="H608" s="164"/>
      <c r="I608" s="306"/>
      <c r="J608" s="149"/>
      <c r="K608" s="164"/>
      <c r="L608" s="306"/>
      <c r="M608" s="310"/>
      <c r="N608" s="311"/>
      <c r="O608" s="312"/>
      <c r="P608" s="310"/>
      <c r="Q608" s="311"/>
      <c r="R608" s="312"/>
      <c r="S608" s="310"/>
      <c r="T608" s="311"/>
      <c r="U608" s="312"/>
      <c r="V608" s="149"/>
      <c r="W608" s="311"/>
      <c r="X608" s="306"/>
      <c r="Y608" s="188"/>
      <c r="Z608" s="188"/>
      <c r="AA608" s="188"/>
      <c r="AB608" s="20"/>
      <c r="AC608" s="20"/>
      <c r="AD608" s="20"/>
      <c r="AE608" s="20"/>
    </row>
    <row r="609">
      <c r="A609" s="149"/>
      <c r="B609" s="164"/>
      <c r="C609" s="306"/>
      <c r="D609" s="149"/>
      <c r="E609" s="164"/>
      <c r="F609" s="306"/>
      <c r="G609" s="149"/>
      <c r="H609" s="164"/>
      <c r="I609" s="306"/>
      <c r="J609" s="149"/>
      <c r="K609" s="164"/>
      <c r="L609" s="306"/>
      <c r="M609" s="310"/>
      <c r="N609" s="311"/>
      <c r="O609" s="312"/>
      <c r="P609" s="310"/>
      <c r="Q609" s="311"/>
      <c r="R609" s="312"/>
      <c r="S609" s="310"/>
      <c r="T609" s="311"/>
      <c r="U609" s="312"/>
      <c r="V609" s="149"/>
      <c r="W609" s="311"/>
      <c r="X609" s="306"/>
      <c r="Y609" s="188"/>
      <c r="Z609" s="188"/>
      <c r="AA609" s="188"/>
      <c r="AB609" s="20"/>
      <c r="AC609" s="20"/>
      <c r="AD609" s="20"/>
      <c r="AE609" s="20"/>
    </row>
    <row r="610">
      <c r="A610" s="149"/>
      <c r="B610" s="164"/>
      <c r="C610" s="306"/>
      <c r="D610" s="149"/>
      <c r="E610" s="164"/>
      <c r="F610" s="306"/>
      <c r="G610" s="149"/>
      <c r="H610" s="164"/>
      <c r="I610" s="306"/>
      <c r="J610" s="149"/>
      <c r="K610" s="164"/>
      <c r="L610" s="306"/>
      <c r="M610" s="310"/>
      <c r="N610" s="311"/>
      <c r="O610" s="312"/>
      <c r="P610" s="310"/>
      <c r="Q610" s="311"/>
      <c r="R610" s="312"/>
      <c r="S610" s="310"/>
      <c r="T610" s="311"/>
      <c r="U610" s="312"/>
      <c r="V610" s="149"/>
      <c r="W610" s="311"/>
      <c r="X610" s="306"/>
      <c r="Y610" s="188"/>
      <c r="Z610" s="188"/>
      <c r="AA610" s="188"/>
      <c r="AB610" s="20"/>
      <c r="AC610" s="20"/>
      <c r="AD610" s="20"/>
      <c r="AE610" s="20"/>
    </row>
    <row r="611">
      <c r="A611" s="149"/>
      <c r="B611" s="164"/>
      <c r="C611" s="306"/>
      <c r="D611" s="149"/>
      <c r="E611" s="164"/>
      <c r="F611" s="306"/>
      <c r="G611" s="149"/>
      <c r="H611" s="164"/>
      <c r="I611" s="306"/>
      <c r="J611" s="149"/>
      <c r="K611" s="164"/>
      <c r="L611" s="306"/>
      <c r="M611" s="310"/>
      <c r="N611" s="311"/>
      <c r="O611" s="312"/>
      <c r="P611" s="310"/>
      <c r="Q611" s="311"/>
      <c r="R611" s="312"/>
      <c r="S611" s="310"/>
      <c r="T611" s="311"/>
      <c r="U611" s="312"/>
      <c r="V611" s="149"/>
      <c r="W611" s="311"/>
      <c r="X611" s="306"/>
      <c r="Y611" s="188"/>
      <c r="Z611" s="188"/>
      <c r="AA611" s="188"/>
      <c r="AB611" s="20"/>
      <c r="AC611" s="20"/>
      <c r="AD611" s="20"/>
      <c r="AE611" s="20"/>
    </row>
    <row r="612">
      <c r="A612" s="149"/>
      <c r="B612" s="164"/>
      <c r="C612" s="306"/>
      <c r="D612" s="149"/>
      <c r="E612" s="164"/>
      <c r="F612" s="306"/>
      <c r="G612" s="149"/>
      <c r="H612" s="164"/>
      <c r="I612" s="306"/>
      <c r="J612" s="149"/>
      <c r="K612" s="164"/>
      <c r="L612" s="306"/>
      <c r="M612" s="310"/>
      <c r="N612" s="311"/>
      <c r="O612" s="312"/>
      <c r="P612" s="310"/>
      <c r="Q612" s="311"/>
      <c r="R612" s="312"/>
      <c r="S612" s="310"/>
      <c r="T612" s="311"/>
      <c r="U612" s="312"/>
      <c r="V612" s="149"/>
      <c r="W612" s="311"/>
      <c r="X612" s="306"/>
      <c r="Y612" s="188"/>
      <c r="Z612" s="188"/>
      <c r="AA612" s="188"/>
      <c r="AB612" s="20"/>
      <c r="AC612" s="20"/>
      <c r="AD612" s="20"/>
      <c r="AE612" s="20"/>
    </row>
    <row r="613">
      <c r="A613" s="149"/>
      <c r="B613" s="164"/>
      <c r="C613" s="306"/>
      <c r="D613" s="149"/>
      <c r="E613" s="164"/>
      <c r="F613" s="306"/>
      <c r="G613" s="149"/>
      <c r="H613" s="164"/>
      <c r="I613" s="306"/>
      <c r="J613" s="149"/>
      <c r="K613" s="164"/>
      <c r="L613" s="306"/>
      <c r="M613" s="310"/>
      <c r="N613" s="311"/>
      <c r="O613" s="312"/>
      <c r="P613" s="310"/>
      <c r="Q613" s="311"/>
      <c r="R613" s="312"/>
      <c r="S613" s="310"/>
      <c r="T613" s="311"/>
      <c r="U613" s="312"/>
      <c r="V613" s="149"/>
      <c r="W613" s="311"/>
      <c r="X613" s="306"/>
      <c r="Y613" s="188"/>
      <c r="Z613" s="188"/>
      <c r="AA613" s="188"/>
      <c r="AB613" s="20"/>
      <c r="AC613" s="20"/>
      <c r="AD613" s="20"/>
      <c r="AE613" s="20"/>
    </row>
    <row r="614">
      <c r="A614" s="149"/>
      <c r="B614" s="164"/>
      <c r="C614" s="306"/>
      <c r="D614" s="149"/>
      <c r="E614" s="164"/>
      <c r="F614" s="306"/>
      <c r="G614" s="149"/>
      <c r="H614" s="164"/>
      <c r="I614" s="306"/>
      <c r="J614" s="149"/>
      <c r="K614" s="164"/>
      <c r="L614" s="306"/>
      <c r="M614" s="310"/>
      <c r="N614" s="311"/>
      <c r="O614" s="312"/>
      <c r="P614" s="310"/>
      <c r="Q614" s="311"/>
      <c r="R614" s="312"/>
      <c r="S614" s="310"/>
      <c r="T614" s="311"/>
      <c r="U614" s="312"/>
      <c r="V614" s="149"/>
      <c r="W614" s="311"/>
      <c r="X614" s="306"/>
      <c r="Y614" s="188"/>
      <c r="Z614" s="188"/>
      <c r="AA614" s="188"/>
      <c r="AB614" s="20"/>
      <c r="AC614" s="20"/>
      <c r="AD614" s="20"/>
      <c r="AE614" s="20"/>
    </row>
    <row r="615">
      <c r="A615" s="149"/>
      <c r="B615" s="164"/>
      <c r="C615" s="306"/>
      <c r="D615" s="149"/>
      <c r="E615" s="164"/>
      <c r="F615" s="306"/>
      <c r="G615" s="149"/>
      <c r="H615" s="164"/>
      <c r="I615" s="306"/>
      <c r="J615" s="149"/>
      <c r="K615" s="164"/>
      <c r="L615" s="306"/>
      <c r="M615" s="310"/>
      <c r="N615" s="311"/>
      <c r="O615" s="312"/>
      <c r="P615" s="310"/>
      <c r="Q615" s="311"/>
      <c r="R615" s="312"/>
      <c r="S615" s="310"/>
      <c r="T615" s="311"/>
      <c r="U615" s="312"/>
      <c r="V615" s="149"/>
      <c r="W615" s="311"/>
      <c r="X615" s="306"/>
      <c r="Y615" s="188"/>
      <c r="Z615" s="188"/>
      <c r="AA615" s="188"/>
      <c r="AB615" s="20"/>
      <c r="AC615" s="20"/>
      <c r="AD615" s="20"/>
      <c r="AE615" s="20"/>
    </row>
    <row r="616">
      <c r="A616" s="149"/>
      <c r="B616" s="164"/>
      <c r="C616" s="306"/>
      <c r="D616" s="149"/>
      <c r="E616" s="164"/>
      <c r="F616" s="306"/>
      <c r="G616" s="149"/>
      <c r="H616" s="164"/>
      <c r="I616" s="306"/>
      <c r="J616" s="149"/>
      <c r="K616" s="164"/>
      <c r="L616" s="306"/>
      <c r="M616" s="310"/>
      <c r="N616" s="311"/>
      <c r="O616" s="312"/>
      <c r="P616" s="310"/>
      <c r="Q616" s="311"/>
      <c r="R616" s="312"/>
      <c r="S616" s="310"/>
      <c r="T616" s="311"/>
      <c r="U616" s="312"/>
      <c r="V616" s="149"/>
      <c r="W616" s="311"/>
      <c r="X616" s="306"/>
      <c r="Y616" s="188"/>
      <c r="Z616" s="188"/>
      <c r="AA616" s="188"/>
      <c r="AB616" s="20"/>
      <c r="AC616" s="20"/>
      <c r="AD616" s="20"/>
      <c r="AE616" s="20"/>
    </row>
    <row r="617">
      <c r="A617" s="149"/>
      <c r="B617" s="164"/>
      <c r="C617" s="306"/>
      <c r="D617" s="149"/>
      <c r="E617" s="164"/>
      <c r="F617" s="306"/>
      <c r="G617" s="149"/>
      <c r="H617" s="164"/>
      <c r="I617" s="306"/>
      <c r="J617" s="149"/>
      <c r="K617" s="164"/>
      <c r="L617" s="306"/>
      <c r="M617" s="310"/>
      <c r="N617" s="311"/>
      <c r="O617" s="312"/>
      <c r="P617" s="310"/>
      <c r="Q617" s="311"/>
      <c r="R617" s="312"/>
      <c r="S617" s="310"/>
      <c r="T617" s="311"/>
      <c r="U617" s="312"/>
      <c r="V617" s="149"/>
      <c r="W617" s="311"/>
      <c r="X617" s="306"/>
      <c r="Y617" s="188"/>
      <c r="Z617" s="188"/>
      <c r="AA617" s="188"/>
      <c r="AB617" s="20"/>
      <c r="AC617" s="20"/>
      <c r="AD617" s="20"/>
      <c r="AE617" s="20"/>
    </row>
    <row r="618">
      <c r="A618" s="149"/>
      <c r="B618" s="164"/>
      <c r="C618" s="306"/>
      <c r="D618" s="149"/>
      <c r="E618" s="164"/>
      <c r="F618" s="306"/>
      <c r="G618" s="149"/>
      <c r="H618" s="164"/>
      <c r="I618" s="306"/>
      <c r="J618" s="149"/>
      <c r="K618" s="164"/>
      <c r="L618" s="306"/>
      <c r="M618" s="310"/>
      <c r="N618" s="311"/>
      <c r="O618" s="312"/>
      <c r="P618" s="310"/>
      <c r="Q618" s="311"/>
      <c r="R618" s="312"/>
      <c r="S618" s="310"/>
      <c r="T618" s="311"/>
      <c r="U618" s="312"/>
      <c r="V618" s="149"/>
      <c r="W618" s="311"/>
      <c r="X618" s="306"/>
      <c r="Y618" s="188"/>
      <c r="Z618" s="188"/>
      <c r="AA618" s="188"/>
      <c r="AB618" s="20"/>
      <c r="AC618" s="20"/>
      <c r="AD618" s="20"/>
      <c r="AE618" s="20"/>
    </row>
    <row r="619">
      <c r="A619" s="149"/>
      <c r="B619" s="164"/>
      <c r="C619" s="306"/>
      <c r="D619" s="149"/>
      <c r="E619" s="164"/>
      <c r="F619" s="306"/>
      <c r="G619" s="149"/>
      <c r="H619" s="164"/>
      <c r="I619" s="306"/>
      <c r="J619" s="149"/>
      <c r="K619" s="164"/>
      <c r="L619" s="306"/>
      <c r="M619" s="310"/>
      <c r="N619" s="311"/>
      <c r="O619" s="312"/>
      <c r="P619" s="310"/>
      <c r="Q619" s="311"/>
      <c r="R619" s="312"/>
      <c r="S619" s="310"/>
      <c r="T619" s="311"/>
      <c r="U619" s="312"/>
      <c r="V619" s="149"/>
      <c r="W619" s="311"/>
      <c r="X619" s="306"/>
      <c r="Y619" s="188"/>
      <c r="Z619" s="188"/>
      <c r="AA619" s="188"/>
      <c r="AB619" s="20"/>
      <c r="AC619" s="20"/>
      <c r="AD619" s="20"/>
      <c r="AE619" s="20"/>
    </row>
    <row r="620">
      <c r="A620" s="149"/>
      <c r="B620" s="164"/>
      <c r="C620" s="306"/>
      <c r="D620" s="149"/>
      <c r="E620" s="164"/>
      <c r="F620" s="306"/>
      <c r="G620" s="149"/>
      <c r="H620" s="164"/>
      <c r="I620" s="306"/>
      <c r="J620" s="149"/>
      <c r="K620" s="164"/>
      <c r="L620" s="306"/>
      <c r="M620" s="310"/>
      <c r="N620" s="311"/>
      <c r="O620" s="312"/>
      <c r="P620" s="310"/>
      <c r="Q620" s="311"/>
      <c r="R620" s="312"/>
      <c r="S620" s="310"/>
      <c r="T620" s="311"/>
      <c r="U620" s="312"/>
      <c r="V620" s="149"/>
      <c r="W620" s="311"/>
      <c r="X620" s="306"/>
      <c r="Y620" s="188"/>
      <c r="Z620" s="188"/>
      <c r="AA620" s="188"/>
      <c r="AB620" s="20"/>
      <c r="AC620" s="20"/>
      <c r="AD620" s="20"/>
      <c r="AE620" s="20"/>
    </row>
    <row r="621">
      <c r="A621" s="149"/>
      <c r="B621" s="164"/>
      <c r="C621" s="306"/>
      <c r="D621" s="149"/>
      <c r="E621" s="164"/>
      <c r="F621" s="306"/>
      <c r="G621" s="149"/>
      <c r="H621" s="164"/>
      <c r="I621" s="306"/>
      <c r="J621" s="149"/>
      <c r="K621" s="164"/>
      <c r="L621" s="306"/>
      <c r="M621" s="310"/>
      <c r="N621" s="311"/>
      <c r="O621" s="312"/>
      <c r="P621" s="310"/>
      <c r="Q621" s="311"/>
      <c r="R621" s="312"/>
      <c r="S621" s="310"/>
      <c r="T621" s="311"/>
      <c r="U621" s="312"/>
      <c r="V621" s="149"/>
      <c r="W621" s="311"/>
      <c r="X621" s="306"/>
      <c r="Y621" s="188"/>
      <c r="Z621" s="188"/>
      <c r="AA621" s="188"/>
      <c r="AB621" s="20"/>
      <c r="AC621" s="20"/>
      <c r="AD621" s="20"/>
      <c r="AE621" s="20"/>
    </row>
    <row r="622">
      <c r="A622" s="149"/>
      <c r="B622" s="164"/>
      <c r="C622" s="306"/>
      <c r="D622" s="149"/>
      <c r="E622" s="164"/>
      <c r="F622" s="306"/>
      <c r="G622" s="149"/>
      <c r="H622" s="164"/>
      <c r="I622" s="306"/>
      <c r="J622" s="149"/>
      <c r="K622" s="164"/>
      <c r="L622" s="306"/>
      <c r="M622" s="310"/>
      <c r="N622" s="311"/>
      <c r="O622" s="312"/>
      <c r="P622" s="310"/>
      <c r="Q622" s="311"/>
      <c r="R622" s="312"/>
      <c r="S622" s="310"/>
      <c r="T622" s="311"/>
      <c r="U622" s="312"/>
      <c r="V622" s="149"/>
      <c r="W622" s="311"/>
      <c r="X622" s="306"/>
      <c r="Y622" s="188"/>
      <c r="Z622" s="188"/>
      <c r="AA622" s="188"/>
      <c r="AB622" s="20"/>
      <c r="AC622" s="20"/>
      <c r="AD622" s="20"/>
      <c r="AE622" s="20"/>
    </row>
    <row r="623">
      <c r="A623" s="149"/>
      <c r="B623" s="164"/>
      <c r="C623" s="306"/>
      <c r="D623" s="149"/>
      <c r="E623" s="164"/>
      <c r="F623" s="306"/>
      <c r="G623" s="149"/>
      <c r="H623" s="164"/>
      <c r="I623" s="306"/>
      <c r="J623" s="149"/>
      <c r="K623" s="164"/>
      <c r="L623" s="306"/>
      <c r="M623" s="310"/>
      <c r="N623" s="311"/>
      <c r="O623" s="312"/>
      <c r="P623" s="310"/>
      <c r="Q623" s="311"/>
      <c r="R623" s="312"/>
      <c r="S623" s="310"/>
      <c r="T623" s="311"/>
      <c r="U623" s="312"/>
      <c r="V623" s="149"/>
      <c r="W623" s="311"/>
      <c r="X623" s="306"/>
      <c r="Y623" s="188"/>
      <c r="Z623" s="188"/>
      <c r="AA623" s="188"/>
      <c r="AB623" s="20"/>
      <c r="AC623" s="20"/>
      <c r="AD623" s="20"/>
      <c r="AE623" s="20"/>
    </row>
    <row r="624">
      <c r="A624" s="149"/>
      <c r="B624" s="164"/>
      <c r="C624" s="306"/>
      <c r="D624" s="149"/>
      <c r="E624" s="164"/>
      <c r="F624" s="306"/>
      <c r="G624" s="149"/>
      <c r="H624" s="164"/>
      <c r="I624" s="306"/>
      <c r="J624" s="149"/>
      <c r="K624" s="164"/>
      <c r="L624" s="306"/>
      <c r="M624" s="310"/>
      <c r="N624" s="311"/>
      <c r="O624" s="312"/>
      <c r="P624" s="310"/>
      <c r="Q624" s="311"/>
      <c r="R624" s="312"/>
      <c r="S624" s="310"/>
      <c r="T624" s="311"/>
      <c r="U624" s="312"/>
      <c r="V624" s="149"/>
      <c r="W624" s="311"/>
      <c r="X624" s="306"/>
      <c r="Y624" s="188"/>
      <c r="Z624" s="188"/>
      <c r="AA624" s="188"/>
      <c r="AB624" s="20"/>
      <c r="AC624" s="20"/>
      <c r="AD624" s="20"/>
      <c r="AE624" s="20"/>
    </row>
    <row r="625">
      <c r="A625" s="149"/>
      <c r="B625" s="164"/>
      <c r="C625" s="306"/>
      <c r="D625" s="149"/>
      <c r="E625" s="164"/>
      <c r="F625" s="306"/>
      <c r="G625" s="149"/>
      <c r="H625" s="164"/>
      <c r="I625" s="306"/>
      <c r="J625" s="149"/>
      <c r="K625" s="164"/>
      <c r="L625" s="306"/>
      <c r="M625" s="310"/>
      <c r="N625" s="311"/>
      <c r="O625" s="312"/>
      <c r="P625" s="310"/>
      <c r="Q625" s="311"/>
      <c r="R625" s="312"/>
      <c r="S625" s="310"/>
      <c r="T625" s="311"/>
      <c r="U625" s="312"/>
      <c r="V625" s="149"/>
      <c r="W625" s="311"/>
      <c r="X625" s="306"/>
      <c r="Y625" s="188"/>
      <c r="Z625" s="188"/>
      <c r="AA625" s="188"/>
      <c r="AB625" s="20"/>
      <c r="AC625" s="20"/>
      <c r="AD625" s="20"/>
      <c r="AE625" s="20"/>
    </row>
    <row r="626">
      <c r="A626" s="149"/>
      <c r="B626" s="164"/>
      <c r="C626" s="306"/>
      <c r="D626" s="149"/>
      <c r="E626" s="164"/>
      <c r="F626" s="306"/>
      <c r="G626" s="149"/>
      <c r="H626" s="164"/>
      <c r="I626" s="306"/>
      <c r="J626" s="149"/>
      <c r="K626" s="164"/>
      <c r="L626" s="306"/>
      <c r="M626" s="310"/>
      <c r="N626" s="311"/>
      <c r="O626" s="312"/>
      <c r="P626" s="310"/>
      <c r="Q626" s="311"/>
      <c r="R626" s="312"/>
      <c r="S626" s="310"/>
      <c r="T626" s="311"/>
      <c r="U626" s="312"/>
      <c r="V626" s="149"/>
      <c r="W626" s="311"/>
      <c r="X626" s="306"/>
      <c r="Y626" s="188"/>
      <c r="Z626" s="188"/>
      <c r="AA626" s="188"/>
      <c r="AB626" s="20"/>
      <c r="AC626" s="20"/>
      <c r="AD626" s="20"/>
      <c r="AE626" s="20"/>
    </row>
    <row r="627">
      <c r="A627" s="149"/>
      <c r="B627" s="164"/>
      <c r="C627" s="306"/>
      <c r="D627" s="149"/>
      <c r="E627" s="164"/>
      <c r="F627" s="306"/>
      <c r="G627" s="149"/>
      <c r="H627" s="164"/>
      <c r="I627" s="306"/>
      <c r="J627" s="149"/>
      <c r="K627" s="164"/>
      <c r="L627" s="306"/>
      <c r="M627" s="310"/>
      <c r="N627" s="311"/>
      <c r="O627" s="312"/>
      <c r="P627" s="310"/>
      <c r="Q627" s="311"/>
      <c r="R627" s="312"/>
      <c r="S627" s="310"/>
      <c r="T627" s="311"/>
      <c r="U627" s="312"/>
      <c r="V627" s="149"/>
      <c r="W627" s="311"/>
      <c r="X627" s="306"/>
      <c r="Y627" s="188"/>
      <c r="Z627" s="188"/>
      <c r="AA627" s="188"/>
      <c r="AB627" s="20"/>
      <c r="AC627" s="20"/>
      <c r="AD627" s="20"/>
      <c r="AE627" s="20"/>
    </row>
    <row r="628">
      <c r="A628" s="149"/>
      <c r="B628" s="164"/>
      <c r="C628" s="306"/>
      <c r="D628" s="149"/>
      <c r="E628" s="164"/>
      <c r="F628" s="306"/>
      <c r="G628" s="149"/>
      <c r="H628" s="164"/>
      <c r="I628" s="306"/>
      <c r="J628" s="149"/>
      <c r="K628" s="164"/>
      <c r="L628" s="306"/>
      <c r="M628" s="310"/>
      <c r="N628" s="311"/>
      <c r="O628" s="312"/>
      <c r="P628" s="310"/>
      <c r="Q628" s="311"/>
      <c r="R628" s="312"/>
      <c r="S628" s="310"/>
      <c r="T628" s="311"/>
      <c r="U628" s="312"/>
      <c r="V628" s="149"/>
      <c r="W628" s="311"/>
      <c r="X628" s="306"/>
      <c r="Y628" s="188"/>
      <c r="Z628" s="188"/>
      <c r="AA628" s="188"/>
      <c r="AB628" s="20"/>
      <c r="AC628" s="20"/>
      <c r="AD628" s="20"/>
      <c r="AE628" s="20"/>
    </row>
    <row r="629">
      <c r="A629" s="149"/>
      <c r="B629" s="164"/>
      <c r="C629" s="306"/>
      <c r="D629" s="149"/>
      <c r="E629" s="164"/>
      <c r="F629" s="306"/>
      <c r="G629" s="149"/>
      <c r="H629" s="164"/>
      <c r="I629" s="306"/>
      <c r="J629" s="149"/>
      <c r="K629" s="164"/>
      <c r="L629" s="306"/>
      <c r="M629" s="310"/>
      <c r="N629" s="311"/>
      <c r="O629" s="312"/>
      <c r="P629" s="310"/>
      <c r="Q629" s="311"/>
      <c r="R629" s="312"/>
      <c r="S629" s="310"/>
      <c r="T629" s="311"/>
      <c r="U629" s="312"/>
      <c r="V629" s="149"/>
      <c r="W629" s="311"/>
      <c r="X629" s="306"/>
      <c r="Y629" s="188"/>
      <c r="Z629" s="188"/>
      <c r="AA629" s="188"/>
      <c r="AB629" s="20"/>
      <c r="AC629" s="20"/>
      <c r="AD629" s="20"/>
      <c r="AE629" s="20"/>
    </row>
    <row r="630">
      <c r="A630" s="149"/>
      <c r="B630" s="164"/>
      <c r="C630" s="306"/>
      <c r="D630" s="149"/>
      <c r="E630" s="164"/>
      <c r="F630" s="306"/>
      <c r="G630" s="149"/>
      <c r="H630" s="164"/>
      <c r="I630" s="306"/>
      <c r="J630" s="149"/>
      <c r="K630" s="164"/>
      <c r="L630" s="306"/>
      <c r="M630" s="310"/>
      <c r="N630" s="311"/>
      <c r="O630" s="312"/>
      <c r="P630" s="310"/>
      <c r="Q630" s="311"/>
      <c r="R630" s="312"/>
      <c r="S630" s="310"/>
      <c r="T630" s="311"/>
      <c r="U630" s="312"/>
      <c r="V630" s="149"/>
      <c r="W630" s="311"/>
      <c r="X630" s="306"/>
      <c r="Y630" s="188"/>
      <c r="Z630" s="188"/>
      <c r="AA630" s="188"/>
      <c r="AB630" s="20"/>
      <c r="AC630" s="20"/>
      <c r="AD630" s="20"/>
      <c r="AE630" s="20"/>
    </row>
    <row r="631">
      <c r="A631" s="149"/>
      <c r="B631" s="164"/>
      <c r="C631" s="306"/>
      <c r="D631" s="149"/>
      <c r="E631" s="164"/>
      <c r="F631" s="306"/>
      <c r="G631" s="149"/>
      <c r="H631" s="164"/>
      <c r="I631" s="306"/>
      <c r="J631" s="149"/>
      <c r="K631" s="164"/>
      <c r="L631" s="306"/>
      <c r="M631" s="310"/>
      <c r="N631" s="311"/>
      <c r="O631" s="312"/>
      <c r="P631" s="310"/>
      <c r="Q631" s="311"/>
      <c r="R631" s="312"/>
      <c r="S631" s="310"/>
      <c r="T631" s="311"/>
      <c r="U631" s="312"/>
      <c r="V631" s="149"/>
      <c r="W631" s="311"/>
      <c r="X631" s="306"/>
      <c r="Y631" s="188"/>
      <c r="Z631" s="188"/>
      <c r="AA631" s="188"/>
      <c r="AB631" s="20"/>
      <c r="AC631" s="20"/>
      <c r="AD631" s="20"/>
      <c r="AE631" s="20"/>
    </row>
    <row r="632">
      <c r="A632" s="149"/>
      <c r="B632" s="164"/>
      <c r="C632" s="306"/>
      <c r="D632" s="149"/>
      <c r="E632" s="164"/>
      <c r="F632" s="306"/>
      <c r="G632" s="149"/>
      <c r="H632" s="164"/>
      <c r="I632" s="306"/>
      <c r="J632" s="149"/>
      <c r="K632" s="164"/>
      <c r="L632" s="306"/>
      <c r="M632" s="310"/>
      <c r="N632" s="311"/>
      <c r="O632" s="312"/>
      <c r="P632" s="310"/>
      <c r="Q632" s="311"/>
      <c r="R632" s="312"/>
      <c r="S632" s="310"/>
      <c r="T632" s="311"/>
      <c r="U632" s="312"/>
      <c r="V632" s="149"/>
      <c r="W632" s="311"/>
      <c r="X632" s="306"/>
      <c r="Y632" s="188"/>
      <c r="Z632" s="188"/>
      <c r="AA632" s="188"/>
      <c r="AB632" s="20"/>
      <c r="AC632" s="20"/>
      <c r="AD632" s="20"/>
      <c r="AE632" s="20"/>
    </row>
    <row r="633">
      <c r="A633" s="149"/>
      <c r="B633" s="164"/>
      <c r="C633" s="306"/>
      <c r="D633" s="149"/>
      <c r="E633" s="164"/>
      <c r="F633" s="306"/>
      <c r="G633" s="149"/>
      <c r="H633" s="164"/>
      <c r="I633" s="306"/>
      <c r="J633" s="149"/>
      <c r="K633" s="164"/>
      <c r="L633" s="306"/>
      <c r="M633" s="310"/>
      <c r="N633" s="311"/>
      <c r="O633" s="312"/>
      <c r="P633" s="310"/>
      <c r="Q633" s="311"/>
      <c r="R633" s="312"/>
      <c r="S633" s="310"/>
      <c r="T633" s="311"/>
      <c r="U633" s="312"/>
      <c r="V633" s="149"/>
      <c r="W633" s="311"/>
      <c r="X633" s="306"/>
      <c r="Y633" s="188"/>
      <c r="Z633" s="188"/>
      <c r="AA633" s="188"/>
      <c r="AB633" s="20"/>
      <c r="AC633" s="20"/>
      <c r="AD633" s="20"/>
      <c r="AE633" s="20"/>
    </row>
    <row r="634">
      <c r="A634" s="149"/>
      <c r="B634" s="164"/>
      <c r="C634" s="306"/>
      <c r="D634" s="149"/>
      <c r="E634" s="164"/>
      <c r="F634" s="306"/>
      <c r="G634" s="149"/>
      <c r="H634" s="164"/>
      <c r="I634" s="306"/>
      <c r="J634" s="149"/>
      <c r="K634" s="164"/>
      <c r="L634" s="306"/>
      <c r="M634" s="310"/>
      <c r="N634" s="311"/>
      <c r="O634" s="312"/>
      <c r="P634" s="310"/>
      <c r="Q634" s="311"/>
      <c r="R634" s="312"/>
      <c r="S634" s="310"/>
      <c r="T634" s="311"/>
      <c r="U634" s="312"/>
      <c r="V634" s="149"/>
      <c r="W634" s="311"/>
      <c r="X634" s="306"/>
      <c r="Y634" s="188"/>
      <c r="Z634" s="188"/>
      <c r="AA634" s="188"/>
      <c r="AB634" s="20"/>
      <c r="AC634" s="20"/>
      <c r="AD634" s="20"/>
      <c r="AE634" s="20"/>
    </row>
    <row r="635">
      <c r="A635" s="149"/>
      <c r="B635" s="164"/>
      <c r="C635" s="306"/>
      <c r="D635" s="149"/>
      <c r="E635" s="164"/>
      <c r="F635" s="306"/>
      <c r="G635" s="149"/>
      <c r="H635" s="164"/>
      <c r="I635" s="306"/>
      <c r="J635" s="149"/>
      <c r="K635" s="164"/>
      <c r="L635" s="306"/>
      <c r="M635" s="310"/>
      <c r="N635" s="311"/>
      <c r="O635" s="312"/>
      <c r="P635" s="310"/>
      <c r="Q635" s="311"/>
      <c r="R635" s="312"/>
      <c r="S635" s="310"/>
      <c r="T635" s="311"/>
      <c r="U635" s="312"/>
      <c r="V635" s="149"/>
      <c r="W635" s="311"/>
      <c r="X635" s="306"/>
      <c r="Y635" s="188"/>
      <c r="Z635" s="188"/>
      <c r="AA635" s="188"/>
      <c r="AB635" s="20"/>
      <c r="AC635" s="20"/>
      <c r="AD635" s="20"/>
      <c r="AE635" s="20"/>
    </row>
    <row r="636">
      <c r="A636" s="149"/>
      <c r="B636" s="164"/>
      <c r="C636" s="306"/>
      <c r="D636" s="149"/>
      <c r="E636" s="164"/>
      <c r="F636" s="306"/>
      <c r="G636" s="149"/>
      <c r="H636" s="164"/>
      <c r="I636" s="306"/>
      <c r="J636" s="149"/>
      <c r="K636" s="164"/>
      <c r="L636" s="306"/>
      <c r="M636" s="310"/>
      <c r="N636" s="311"/>
      <c r="O636" s="312"/>
      <c r="P636" s="310"/>
      <c r="Q636" s="311"/>
      <c r="R636" s="312"/>
      <c r="S636" s="310"/>
      <c r="T636" s="311"/>
      <c r="U636" s="312"/>
      <c r="V636" s="149"/>
      <c r="W636" s="311"/>
      <c r="X636" s="306"/>
      <c r="Y636" s="188"/>
      <c r="Z636" s="188"/>
      <c r="AA636" s="188"/>
      <c r="AB636" s="20"/>
      <c r="AC636" s="20"/>
      <c r="AD636" s="20"/>
      <c r="AE636" s="20"/>
    </row>
    <row r="637">
      <c r="A637" s="149"/>
      <c r="B637" s="164"/>
      <c r="C637" s="306"/>
      <c r="D637" s="149"/>
      <c r="E637" s="164"/>
      <c r="F637" s="306"/>
      <c r="G637" s="149"/>
      <c r="H637" s="164"/>
      <c r="I637" s="306"/>
      <c r="J637" s="149"/>
      <c r="K637" s="164"/>
      <c r="L637" s="306"/>
      <c r="M637" s="310"/>
      <c r="N637" s="311"/>
      <c r="O637" s="312"/>
      <c r="P637" s="310"/>
      <c r="Q637" s="311"/>
      <c r="R637" s="312"/>
      <c r="S637" s="310"/>
      <c r="T637" s="311"/>
      <c r="U637" s="312"/>
      <c r="V637" s="149"/>
      <c r="W637" s="311"/>
      <c r="X637" s="306"/>
      <c r="Y637" s="188"/>
      <c r="Z637" s="188"/>
      <c r="AA637" s="188"/>
      <c r="AB637" s="20"/>
      <c r="AC637" s="20"/>
      <c r="AD637" s="20"/>
      <c r="AE637" s="20"/>
    </row>
    <row r="638">
      <c r="A638" s="149"/>
      <c r="B638" s="164"/>
      <c r="C638" s="306"/>
      <c r="D638" s="149"/>
      <c r="E638" s="164"/>
      <c r="F638" s="306"/>
      <c r="G638" s="149"/>
      <c r="H638" s="164"/>
      <c r="I638" s="306"/>
      <c r="J638" s="149"/>
      <c r="K638" s="164"/>
      <c r="L638" s="306"/>
      <c r="M638" s="310"/>
      <c r="N638" s="311"/>
      <c r="O638" s="312"/>
      <c r="P638" s="310"/>
      <c r="Q638" s="311"/>
      <c r="R638" s="312"/>
      <c r="S638" s="310"/>
      <c r="T638" s="311"/>
      <c r="U638" s="312"/>
      <c r="V638" s="149"/>
      <c r="W638" s="311"/>
      <c r="X638" s="306"/>
      <c r="Y638" s="188"/>
      <c r="Z638" s="188"/>
      <c r="AA638" s="188"/>
      <c r="AB638" s="20"/>
      <c r="AC638" s="20"/>
      <c r="AD638" s="20"/>
      <c r="AE638" s="20"/>
    </row>
    <row r="639">
      <c r="A639" s="149"/>
      <c r="B639" s="164"/>
      <c r="C639" s="306"/>
      <c r="D639" s="149"/>
      <c r="E639" s="164"/>
      <c r="F639" s="306"/>
      <c r="G639" s="149"/>
      <c r="H639" s="164"/>
      <c r="I639" s="306"/>
      <c r="J639" s="149"/>
      <c r="K639" s="164"/>
      <c r="L639" s="306"/>
      <c r="M639" s="310"/>
      <c r="N639" s="311"/>
      <c r="O639" s="312"/>
      <c r="P639" s="310"/>
      <c r="Q639" s="311"/>
      <c r="R639" s="312"/>
      <c r="S639" s="310"/>
      <c r="T639" s="311"/>
      <c r="U639" s="312"/>
      <c r="V639" s="149"/>
      <c r="W639" s="311"/>
      <c r="X639" s="306"/>
      <c r="Y639" s="188"/>
      <c r="Z639" s="188"/>
      <c r="AA639" s="188"/>
      <c r="AB639" s="20"/>
      <c r="AC639" s="20"/>
      <c r="AD639" s="20"/>
      <c r="AE639" s="20"/>
    </row>
    <row r="640">
      <c r="A640" s="149"/>
      <c r="B640" s="164"/>
      <c r="C640" s="306"/>
      <c r="D640" s="149"/>
      <c r="E640" s="164"/>
      <c r="F640" s="306"/>
      <c r="G640" s="149"/>
      <c r="H640" s="164"/>
      <c r="I640" s="306"/>
      <c r="J640" s="149"/>
      <c r="K640" s="164"/>
      <c r="L640" s="306"/>
      <c r="M640" s="310"/>
      <c r="N640" s="311"/>
      <c r="O640" s="312"/>
      <c r="P640" s="310"/>
      <c r="Q640" s="311"/>
      <c r="R640" s="312"/>
      <c r="S640" s="310"/>
      <c r="T640" s="311"/>
      <c r="U640" s="312"/>
      <c r="V640" s="149"/>
      <c r="W640" s="311"/>
      <c r="X640" s="306"/>
      <c r="Y640" s="188"/>
      <c r="Z640" s="188"/>
      <c r="AA640" s="188"/>
      <c r="AB640" s="20"/>
      <c r="AC640" s="20"/>
      <c r="AD640" s="20"/>
      <c r="AE640" s="20"/>
    </row>
    <row r="641">
      <c r="A641" s="149"/>
      <c r="B641" s="164"/>
      <c r="C641" s="306"/>
      <c r="D641" s="149"/>
      <c r="E641" s="164"/>
      <c r="F641" s="306"/>
      <c r="G641" s="149"/>
      <c r="H641" s="164"/>
      <c r="I641" s="306"/>
      <c r="J641" s="149"/>
      <c r="K641" s="164"/>
      <c r="L641" s="306"/>
      <c r="M641" s="310"/>
      <c r="N641" s="311"/>
      <c r="O641" s="312"/>
      <c r="P641" s="310"/>
      <c r="Q641" s="311"/>
      <c r="R641" s="312"/>
      <c r="S641" s="310"/>
      <c r="T641" s="311"/>
      <c r="U641" s="312"/>
      <c r="V641" s="149"/>
      <c r="W641" s="311"/>
      <c r="X641" s="306"/>
      <c r="Y641" s="188"/>
      <c r="Z641" s="188"/>
      <c r="AA641" s="188"/>
      <c r="AB641" s="20"/>
      <c r="AC641" s="20"/>
      <c r="AD641" s="20"/>
      <c r="AE641" s="20"/>
    </row>
    <row r="642">
      <c r="A642" s="149"/>
      <c r="B642" s="164"/>
      <c r="C642" s="306"/>
      <c r="D642" s="149"/>
      <c r="E642" s="164"/>
      <c r="F642" s="306"/>
      <c r="G642" s="149"/>
      <c r="H642" s="164"/>
      <c r="I642" s="306"/>
      <c r="J642" s="149"/>
      <c r="K642" s="164"/>
      <c r="L642" s="306"/>
      <c r="M642" s="310"/>
      <c r="N642" s="311"/>
      <c r="O642" s="312"/>
      <c r="P642" s="310"/>
      <c r="Q642" s="311"/>
      <c r="R642" s="312"/>
      <c r="S642" s="310"/>
      <c r="T642" s="311"/>
      <c r="U642" s="312"/>
      <c r="V642" s="149"/>
      <c r="W642" s="311"/>
      <c r="X642" s="306"/>
      <c r="Y642" s="188"/>
      <c r="Z642" s="188"/>
      <c r="AA642" s="188"/>
      <c r="AB642" s="20"/>
      <c r="AC642" s="20"/>
      <c r="AD642" s="20"/>
      <c r="AE642" s="20"/>
    </row>
    <row r="643">
      <c r="A643" s="149"/>
      <c r="B643" s="164"/>
      <c r="C643" s="306"/>
      <c r="D643" s="149"/>
      <c r="E643" s="164"/>
      <c r="F643" s="306"/>
      <c r="G643" s="149"/>
      <c r="H643" s="164"/>
      <c r="I643" s="306"/>
      <c r="J643" s="149"/>
      <c r="K643" s="164"/>
      <c r="L643" s="306"/>
      <c r="M643" s="310"/>
      <c r="N643" s="311"/>
      <c r="O643" s="312"/>
      <c r="P643" s="310"/>
      <c r="Q643" s="311"/>
      <c r="R643" s="312"/>
      <c r="S643" s="310"/>
      <c r="T643" s="311"/>
      <c r="U643" s="312"/>
      <c r="V643" s="149"/>
      <c r="W643" s="311"/>
      <c r="X643" s="306"/>
      <c r="Y643" s="188"/>
      <c r="Z643" s="188"/>
      <c r="AA643" s="188"/>
      <c r="AB643" s="20"/>
      <c r="AC643" s="20"/>
      <c r="AD643" s="20"/>
      <c r="AE643" s="20"/>
    </row>
    <row r="644">
      <c r="A644" s="149"/>
      <c r="B644" s="164"/>
      <c r="C644" s="306"/>
      <c r="D644" s="149"/>
      <c r="E644" s="164"/>
      <c r="F644" s="306"/>
      <c r="G644" s="149"/>
      <c r="H644" s="164"/>
      <c r="I644" s="306"/>
      <c r="J644" s="149"/>
      <c r="K644" s="164"/>
      <c r="L644" s="306"/>
      <c r="M644" s="310"/>
      <c r="N644" s="311"/>
      <c r="O644" s="312"/>
      <c r="P644" s="310"/>
      <c r="Q644" s="311"/>
      <c r="R644" s="312"/>
      <c r="S644" s="310"/>
      <c r="T644" s="311"/>
      <c r="U644" s="312"/>
      <c r="V644" s="149"/>
      <c r="W644" s="311"/>
      <c r="X644" s="306"/>
      <c r="Y644" s="188"/>
      <c r="Z644" s="188"/>
      <c r="AA644" s="188"/>
      <c r="AB644" s="20"/>
      <c r="AC644" s="20"/>
      <c r="AD644" s="20"/>
      <c r="AE644" s="20"/>
    </row>
    <row r="645">
      <c r="A645" s="149"/>
      <c r="B645" s="164"/>
      <c r="C645" s="306"/>
      <c r="D645" s="149"/>
      <c r="E645" s="164"/>
      <c r="F645" s="306"/>
      <c r="G645" s="149"/>
      <c r="H645" s="164"/>
      <c r="I645" s="306"/>
      <c r="J645" s="149"/>
      <c r="K645" s="164"/>
      <c r="L645" s="306"/>
      <c r="M645" s="310"/>
      <c r="N645" s="311"/>
      <c r="O645" s="312"/>
      <c r="P645" s="310"/>
      <c r="Q645" s="311"/>
      <c r="R645" s="312"/>
      <c r="S645" s="310"/>
      <c r="T645" s="311"/>
      <c r="U645" s="312"/>
      <c r="V645" s="149"/>
      <c r="W645" s="311"/>
      <c r="X645" s="306"/>
      <c r="Y645" s="188"/>
      <c r="Z645" s="188"/>
      <c r="AA645" s="188"/>
      <c r="AB645" s="20"/>
      <c r="AC645" s="20"/>
      <c r="AD645" s="20"/>
      <c r="AE645" s="20"/>
    </row>
    <row r="646">
      <c r="A646" s="149"/>
      <c r="B646" s="164"/>
      <c r="C646" s="306"/>
      <c r="D646" s="149"/>
      <c r="E646" s="164"/>
      <c r="F646" s="306"/>
      <c r="G646" s="149"/>
      <c r="H646" s="164"/>
      <c r="I646" s="306"/>
      <c r="J646" s="149"/>
      <c r="K646" s="164"/>
      <c r="L646" s="306"/>
      <c r="M646" s="310"/>
      <c r="N646" s="311"/>
      <c r="O646" s="312"/>
      <c r="P646" s="310"/>
      <c r="Q646" s="311"/>
      <c r="R646" s="312"/>
      <c r="S646" s="310"/>
      <c r="T646" s="311"/>
      <c r="U646" s="312"/>
      <c r="V646" s="149"/>
      <c r="W646" s="311"/>
      <c r="X646" s="306"/>
      <c r="Y646" s="188"/>
      <c r="Z646" s="188"/>
      <c r="AA646" s="188"/>
      <c r="AB646" s="20"/>
      <c r="AC646" s="20"/>
      <c r="AD646" s="20"/>
      <c r="AE646" s="20"/>
    </row>
    <row r="647">
      <c r="A647" s="149"/>
      <c r="B647" s="164"/>
      <c r="C647" s="306"/>
      <c r="D647" s="149"/>
      <c r="E647" s="164"/>
      <c r="F647" s="306"/>
      <c r="G647" s="149"/>
      <c r="H647" s="164"/>
      <c r="I647" s="306"/>
      <c r="J647" s="149"/>
      <c r="K647" s="164"/>
      <c r="L647" s="306"/>
      <c r="M647" s="310"/>
      <c r="N647" s="311"/>
      <c r="O647" s="312"/>
      <c r="P647" s="310"/>
      <c r="Q647" s="311"/>
      <c r="R647" s="312"/>
      <c r="S647" s="310"/>
      <c r="T647" s="311"/>
      <c r="U647" s="312"/>
      <c r="V647" s="149"/>
      <c r="W647" s="311"/>
      <c r="X647" s="306"/>
      <c r="Y647" s="188"/>
      <c r="Z647" s="188"/>
      <c r="AA647" s="188"/>
      <c r="AB647" s="20"/>
      <c r="AC647" s="20"/>
      <c r="AD647" s="20"/>
      <c r="AE647" s="20"/>
    </row>
    <row r="648">
      <c r="A648" s="149"/>
      <c r="B648" s="164"/>
      <c r="C648" s="306"/>
      <c r="D648" s="149"/>
      <c r="E648" s="164"/>
      <c r="F648" s="306"/>
      <c r="G648" s="149"/>
      <c r="H648" s="164"/>
      <c r="I648" s="306"/>
      <c r="J648" s="149"/>
      <c r="K648" s="164"/>
      <c r="L648" s="306"/>
      <c r="M648" s="310"/>
      <c r="N648" s="311"/>
      <c r="O648" s="312"/>
      <c r="P648" s="310"/>
      <c r="Q648" s="311"/>
      <c r="R648" s="312"/>
      <c r="S648" s="310"/>
      <c r="T648" s="311"/>
      <c r="U648" s="312"/>
      <c r="V648" s="149"/>
      <c r="W648" s="311"/>
      <c r="X648" s="306"/>
      <c r="Y648" s="188"/>
      <c r="Z648" s="188"/>
      <c r="AA648" s="188"/>
      <c r="AB648" s="20"/>
      <c r="AC648" s="20"/>
      <c r="AD648" s="20"/>
      <c r="AE648" s="20"/>
    </row>
    <row r="649">
      <c r="A649" s="149"/>
      <c r="B649" s="164"/>
      <c r="C649" s="306"/>
      <c r="D649" s="149"/>
      <c r="E649" s="164"/>
      <c r="F649" s="306"/>
      <c r="G649" s="149"/>
      <c r="H649" s="164"/>
      <c r="I649" s="306"/>
      <c r="J649" s="149"/>
      <c r="K649" s="164"/>
      <c r="L649" s="306"/>
      <c r="M649" s="310"/>
      <c r="N649" s="311"/>
      <c r="O649" s="312"/>
      <c r="P649" s="310"/>
      <c r="Q649" s="311"/>
      <c r="R649" s="312"/>
      <c r="S649" s="310"/>
      <c r="T649" s="311"/>
      <c r="U649" s="312"/>
      <c r="V649" s="149"/>
      <c r="W649" s="311"/>
      <c r="X649" s="306"/>
      <c r="Y649" s="188"/>
      <c r="Z649" s="188"/>
      <c r="AA649" s="188"/>
      <c r="AB649" s="20"/>
      <c r="AC649" s="20"/>
      <c r="AD649" s="20"/>
      <c r="AE649" s="20"/>
    </row>
    <row r="650">
      <c r="A650" s="149"/>
      <c r="B650" s="164"/>
      <c r="C650" s="306"/>
      <c r="D650" s="149"/>
      <c r="E650" s="164"/>
      <c r="F650" s="306"/>
      <c r="G650" s="149"/>
      <c r="H650" s="164"/>
      <c r="I650" s="306"/>
      <c r="J650" s="149"/>
      <c r="K650" s="164"/>
      <c r="L650" s="306"/>
      <c r="M650" s="310"/>
      <c r="N650" s="311"/>
      <c r="O650" s="312"/>
      <c r="P650" s="310"/>
      <c r="Q650" s="311"/>
      <c r="R650" s="312"/>
      <c r="S650" s="310"/>
      <c r="T650" s="311"/>
      <c r="U650" s="312"/>
      <c r="V650" s="149"/>
      <c r="W650" s="311"/>
      <c r="X650" s="306"/>
      <c r="Y650" s="188"/>
      <c r="Z650" s="188"/>
      <c r="AA650" s="188"/>
      <c r="AB650" s="20"/>
      <c r="AC650" s="20"/>
      <c r="AD650" s="20"/>
      <c r="AE650" s="20"/>
    </row>
    <row r="651">
      <c r="A651" s="149"/>
      <c r="B651" s="164"/>
      <c r="C651" s="306"/>
      <c r="D651" s="149"/>
      <c r="E651" s="164"/>
      <c r="F651" s="306"/>
      <c r="G651" s="149"/>
      <c r="H651" s="164"/>
      <c r="I651" s="306"/>
      <c r="J651" s="149"/>
      <c r="K651" s="164"/>
      <c r="L651" s="306"/>
      <c r="M651" s="310"/>
      <c r="N651" s="311"/>
      <c r="O651" s="312"/>
      <c r="P651" s="310"/>
      <c r="Q651" s="311"/>
      <c r="R651" s="312"/>
      <c r="S651" s="310"/>
      <c r="T651" s="311"/>
      <c r="U651" s="312"/>
      <c r="V651" s="149"/>
      <c r="W651" s="311"/>
      <c r="X651" s="306"/>
      <c r="Y651" s="188"/>
      <c r="Z651" s="188"/>
      <c r="AA651" s="188"/>
      <c r="AB651" s="20"/>
      <c r="AC651" s="20"/>
      <c r="AD651" s="20"/>
      <c r="AE651" s="20"/>
    </row>
    <row r="652">
      <c r="A652" s="149"/>
      <c r="B652" s="164"/>
      <c r="C652" s="306"/>
      <c r="D652" s="149"/>
      <c r="E652" s="164"/>
      <c r="F652" s="306"/>
      <c r="G652" s="149"/>
      <c r="H652" s="164"/>
      <c r="I652" s="306"/>
      <c r="J652" s="149"/>
      <c r="K652" s="164"/>
      <c r="L652" s="306"/>
      <c r="M652" s="310"/>
      <c r="N652" s="311"/>
      <c r="O652" s="312"/>
      <c r="P652" s="310"/>
      <c r="Q652" s="311"/>
      <c r="R652" s="312"/>
      <c r="S652" s="310"/>
      <c r="T652" s="311"/>
      <c r="U652" s="312"/>
      <c r="V652" s="149"/>
      <c r="W652" s="311"/>
      <c r="X652" s="306"/>
      <c r="Y652" s="188"/>
      <c r="Z652" s="188"/>
      <c r="AA652" s="188"/>
      <c r="AB652" s="20"/>
      <c r="AC652" s="20"/>
      <c r="AD652" s="20"/>
      <c r="AE652" s="20"/>
    </row>
    <row r="653">
      <c r="A653" s="149"/>
      <c r="B653" s="164"/>
      <c r="C653" s="306"/>
      <c r="D653" s="149"/>
      <c r="E653" s="164"/>
      <c r="F653" s="306"/>
      <c r="G653" s="149"/>
      <c r="H653" s="164"/>
      <c r="I653" s="306"/>
      <c r="J653" s="149"/>
      <c r="K653" s="164"/>
      <c r="L653" s="306"/>
      <c r="M653" s="310"/>
      <c r="N653" s="311"/>
      <c r="O653" s="312"/>
      <c r="P653" s="310"/>
      <c r="Q653" s="311"/>
      <c r="R653" s="312"/>
      <c r="S653" s="310"/>
      <c r="T653" s="311"/>
      <c r="U653" s="312"/>
      <c r="V653" s="149"/>
      <c r="W653" s="311"/>
      <c r="X653" s="306"/>
      <c r="Y653" s="188"/>
      <c r="Z653" s="188"/>
      <c r="AA653" s="188"/>
      <c r="AB653" s="20"/>
      <c r="AC653" s="20"/>
      <c r="AD653" s="20"/>
      <c r="AE653" s="20"/>
    </row>
    <row r="654">
      <c r="A654" s="149"/>
      <c r="B654" s="164"/>
      <c r="C654" s="306"/>
      <c r="D654" s="149"/>
      <c r="E654" s="164"/>
      <c r="F654" s="306"/>
      <c r="G654" s="149"/>
      <c r="H654" s="164"/>
      <c r="I654" s="306"/>
      <c r="J654" s="149"/>
      <c r="K654" s="164"/>
      <c r="L654" s="306"/>
      <c r="M654" s="310"/>
      <c r="N654" s="311"/>
      <c r="O654" s="312"/>
      <c r="P654" s="310"/>
      <c r="Q654" s="311"/>
      <c r="R654" s="312"/>
      <c r="S654" s="310"/>
      <c r="T654" s="311"/>
      <c r="U654" s="312"/>
      <c r="V654" s="149"/>
      <c r="W654" s="311"/>
      <c r="X654" s="306"/>
      <c r="Y654" s="188"/>
      <c r="Z654" s="188"/>
      <c r="AA654" s="188"/>
      <c r="AB654" s="20"/>
      <c r="AC654" s="20"/>
      <c r="AD654" s="20"/>
      <c r="AE654" s="20"/>
    </row>
    <row r="655">
      <c r="A655" s="149"/>
      <c r="B655" s="164"/>
      <c r="C655" s="306"/>
      <c r="D655" s="149"/>
      <c r="E655" s="164"/>
      <c r="F655" s="306"/>
      <c r="G655" s="149"/>
      <c r="H655" s="164"/>
      <c r="I655" s="306"/>
      <c r="J655" s="149"/>
      <c r="K655" s="164"/>
      <c r="L655" s="306"/>
      <c r="M655" s="310"/>
      <c r="N655" s="311"/>
      <c r="O655" s="312"/>
      <c r="P655" s="310"/>
      <c r="Q655" s="311"/>
      <c r="R655" s="312"/>
      <c r="S655" s="310"/>
      <c r="T655" s="311"/>
      <c r="U655" s="312"/>
      <c r="V655" s="149"/>
      <c r="W655" s="311"/>
      <c r="X655" s="306"/>
      <c r="Y655" s="188"/>
      <c r="Z655" s="188"/>
      <c r="AA655" s="188"/>
      <c r="AB655" s="20"/>
      <c r="AC655" s="20"/>
      <c r="AD655" s="20"/>
      <c r="AE655" s="20"/>
    </row>
    <row r="656">
      <c r="A656" s="149"/>
      <c r="B656" s="164"/>
      <c r="C656" s="306"/>
      <c r="D656" s="149"/>
      <c r="E656" s="164"/>
      <c r="F656" s="306"/>
      <c r="G656" s="149"/>
      <c r="H656" s="164"/>
      <c r="I656" s="306"/>
      <c r="J656" s="149"/>
      <c r="K656" s="164"/>
      <c r="L656" s="306"/>
      <c r="M656" s="310"/>
      <c r="N656" s="311"/>
      <c r="O656" s="312"/>
      <c r="P656" s="310"/>
      <c r="Q656" s="311"/>
      <c r="R656" s="312"/>
      <c r="S656" s="310"/>
      <c r="T656" s="311"/>
      <c r="U656" s="312"/>
      <c r="V656" s="149"/>
      <c r="W656" s="311"/>
      <c r="X656" s="306"/>
      <c r="Y656" s="188"/>
      <c r="Z656" s="188"/>
      <c r="AA656" s="188"/>
      <c r="AB656" s="20"/>
      <c r="AC656" s="20"/>
      <c r="AD656" s="20"/>
      <c r="AE656" s="20"/>
    </row>
    <row r="657">
      <c r="A657" s="149"/>
      <c r="B657" s="164"/>
      <c r="C657" s="306"/>
      <c r="D657" s="149"/>
      <c r="E657" s="164"/>
      <c r="F657" s="306"/>
      <c r="G657" s="149"/>
      <c r="H657" s="164"/>
      <c r="I657" s="306"/>
      <c r="J657" s="149"/>
      <c r="K657" s="164"/>
      <c r="L657" s="306"/>
      <c r="M657" s="310"/>
      <c r="N657" s="311"/>
      <c r="O657" s="312"/>
      <c r="P657" s="310"/>
      <c r="Q657" s="311"/>
      <c r="R657" s="312"/>
      <c r="S657" s="310"/>
      <c r="T657" s="311"/>
      <c r="U657" s="312"/>
      <c r="V657" s="149"/>
      <c r="W657" s="311"/>
      <c r="X657" s="306"/>
      <c r="Y657" s="188"/>
      <c r="Z657" s="188"/>
      <c r="AA657" s="188"/>
      <c r="AB657" s="20"/>
      <c r="AC657" s="20"/>
      <c r="AD657" s="20"/>
      <c r="AE657" s="20"/>
    </row>
    <row r="658">
      <c r="A658" s="149"/>
      <c r="B658" s="164"/>
      <c r="C658" s="306"/>
      <c r="D658" s="149"/>
      <c r="E658" s="164"/>
      <c r="F658" s="306"/>
      <c r="G658" s="149"/>
      <c r="H658" s="164"/>
      <c r="I658" s="306"/>
      <c r="J658" s="149"/>
      <c r="K658" s="164"/>
      <c r="L658" s="306"/>
      <c r="M658" s="310"/>
      <c r="N658" s="311"/>
      <c r="O658" s="312"/>
      <c r="P658" s="310"/>
      <c r="Q658" s="311"/>
      <c r="R658" s="312"/>
      <c r="S658" s="310"/>
      <c r="T658" s="311"/>
      <c r="U658" s="312"/>
      <c r="V658" s="149"/>
      <c r="W658" s="311"/>
      <c r="X658" s="306"/>
      <c r="Y658" s="188"/>
      <c r="Z658" s="188"/>
      <c r="AA658" s="188"/>
      <c r="AB658" s="20"/>
      <c r="AC658" s="20"/>
      <c r="AD658" s="20"/>
      <c r="AE658" s="20"/>
    </row>
    <row r="659">
      <c r="A659" s="149"/>
      <c r="B659" s="164"/>
      <c r="C659" s="306"/>
      <c r="D659" s="149"/>
      <c r="E659" s="164"/>
      <c r="F659" s="306"/>
      <c r="G659" s="149"/>
      <c r="H659" s="164"/>
      <c r="I659" s="306"/>
      <c r="J659" s="149"/>
      <c r="K659" s="164"/>
      <c r="L659" s="306"/>
      <c r="M659" s="310"/>
      <c r="N659" s="311"/>
      <c r="O659" s="312"/>
      <c r="P659" s="310"/>
      <c r="Q659" s="311"/>
      <c r="R659" s="312"/>
      <c r="S659" s="310"/>
      <c r="T659" s="311"/>
      <c r="U659" s="312"/>
      <c r="V659" s="149"/>
      <c r="W659" s="311"/>
      <c r="X659" s="306"/>
      <c r="Y659" s="188"/>
      <c r="Z659" s="188"/>
      <c r="AA659" s="188"/>
      <c r="AB659" s="20"/>
      <c r="AC659" s="20"/>
      <c r="AD659" s="20"/>
      <c r="AE659" s="20"/>
    </row>
    <row r="660">
      <c r="A660" s="149"/>
      <c r="B660" s="164"/>
      <c r="C660" s="306"/>
      <c r="D660" s="149"/>
      <c r="E660" s="164"/>
      <c r="F660" s="306"/>
      <c r="G660" s="149"/>
      <c r="H660" s="164"/>
      <c r="I660" s="306"/>
      <c r="J660" s="149"/>
      <c r="K660" s="164"/>
      <c r="L660" s="306"/>
      <c r="M660" s="310"/>
      <c r="N660" s="311"/>
      <c r="O660" s="312"/>
      <c r="P660" s="310"/>
      <c r="Q660" s="311"/>
      <c r="R660" s="312"/>
      <c r="S660" s="310"/>
      <c r="T660" s="311"/>
      <c r="U660" s="312"/>
      <c r="V660" s="149"/>
      <c r="W660" s="311"/>
      <c r="X660" s="306"/>
      <c r="Y660" s="188"/>
      <c r="Z660" s="188"/>
      <c r="AA660" s="188"/>
      <c r="AB660" s="20"/>
      <c r="AC660" s="20"/>
      <c r="AD660" s="20"/>
      <c r="AE660" s="20"/>
    </row>
    <row r="661">
      <c r="A661" s="149"/>
      <c r="B661" s="164"/>
      <c r="C661" s="306"/>
      <c r="D661" s="149"/>
      <c r="E661" s="164"/>
      <c r="F661" s="306"/>
      <c r="G661" s="149"/>
      <c r="H661" s="164"/>
      <c r="I661" s="306"/>
      <c r="J661" s="149"/>
      <c r="K661" s="164"/>
      <c r="L661" s="306"/>
      <c r="M661" s="310"/>
      <c r="N661" s="311"/>
      <c r="O661" s="312"/>
      <c r="P661" s="310"/>
      <c r="Q661" s="311"/>
      <c r="R661" s="312"/>
      <c r="S661" s="310"/>
      <c r="T661" s="311"/>
      <c r="U661" s="312"/>
      <c r="V661" s="149"/>
      <c r="W661" s="311"/>
      <c r="X661" s="306"/>
      <c r="Y661" s="188"/>
      <c r="Z661" s="188"/>
      <c r="AA661" s="188"/>
      <c r="AB661" s="20"/>
      <c r="AC661" s="20"/>
      <c r="AD661" s="20"/>
      <c r="AE661" s="20"/>
    </row>
    <row r="662">
      <c r="A662" s="149"/>
      <c r="B662" s="164"/>
      <c r="C662" s="306"/>
      <c r="D662" s="149"/>
      <c r="E662" s="164"/>
      <c r="F662" s="306"/>
      <c r="G662" s="149"/>
      <c r="H662" s="164"/>
      <c r="I662" s="306"/>
      <c r="J662" s="149"/>
      <c r="K662" s="164"/>
      <c r="L662" s="306"/>
      <c r="M662" s="310"/>
      <c r="N662" s="311"/>
      <c r="O662" s="312"/>
      <c r="P662" s="310"/>
      <c r="Q662" s="311"/>
      <c r="R662" s="312"/>
      <c r="S662" s="310"/>
      <c r="T662" s="311"/>
      <c r="U662" s="312"/>
      <c r="V662" s="149"/>
      <c r="W662" s="311"/>
      <c r="X662" s="306"/>
      <c r="Y662" s="188"/>
      <c r="Z662" s="188"/>
      <c r="AA662" s="188"/>
      <c r="AB662" s="20"/>
      <c r="AC662" s="20"/>
      <c r="AD662" s="20"/>
      <c r="AE662" s="20"/>
    </row>
    <row r="663">
      <c r="A663" s="149"/>
      <c r="B663" s="164"/>
      <c r="C663" s="306"/>
      <c r="D663" s="149"/>
      <c r="E663" s="164"/>
      <c r="F663" s="306"/>
      <c r="G663" s="149"/>
      <c r="H663" s="164"/>
      <c r="I663" s="306"/>
      <c r="J663" s="149"/>
      <c r="K663" s="164"/>
      <c r="L663" s="306"/>
      <c r="M663" s="310"/>
      <c r="N663" s="311"/>
      <c r="O663" s="312"/>
      <c r="P663" s="310"/>
      <c r="Q663" s="311"/>
      <c r="R663" s="312"/>
      <c r="S663" s="310"/>
      <c r="T663" s="311"/>
      <c r="U663" s="312"/>
      <c r="V663" s="149"/>
      <c r="W663" s="311"/>
      <c r="X663" s="306"/>
      <c r="Y663" s="188"/>
      <c r="Z663" s="188"/>
      <c r="AA663" s="188"/>
      <c r="AB663" s="20"/>
      <c r="AC663" s="20"/>
      <c r="AD663" s="20"/>
      <c r="AE663" s="20"/>
    </row>
    <row r="664">
      <c r="A664" s="149"/>
      <c r="B664" s="164"/>
      <c r="C664" s="306"/>
      <c r="D664" s="149"/>
      <c r="E664" s="164"/>
      <c r="F664" s="306"/>
      <c r="G664" s="149"/>
      <c r="H664" s="164"/>
      <c r="I664" s="306"/>
      <c r="J664" s="149"/>
      <c r="K664" s="164"/>
      <c r="L664" s="306"/>
      <c r="M664" s="310"/>
      <c r="N664" s="311"/>
      <c r="O664" s="312"/>
      <c r="P664" s="310"/>
      <c r="Q664" s="311"/>
      <c r="R664" s="312"/>
      <c r="S664" s="310"/>
      <c r="T664" s="311"/>
      <c r="U664" s="312"/>
      <c r="V664" s="149"/>
      <c r="W664" s="311"/>
      <c r="X664" s="306"/>
      <c r="Y664" s="188"/>
      <c r="Z664" s="188"/>
      <c r="AA664" s="188"/>
      <c r="AB664" s="20"/>
      <c r="AC664" s="20"/>
      <c r="AD664" s="20"/>
      <c r="AE664" s="20"/>
    </row>
    <row r="665">
      <c r="A665" s="149"/>
      <c r="B665" s="164"/>
      <c r="C665" s="306"/>
      <c r="D665" s="149"/>
      <c r="E665" s="164"/>
      <c r="F665" s="306"/>
      <c r="G665" s="149"/>
      <c r="H665" s="164"/>
      <c r="I665" s="306"/>
      <c r="J665" s="149"/>
      <c r="K665" s="164"/>
      <c r="L665" s="306"/>
      <c r="M665" s="310"/>
      <c r="N665" s="311"/>
      <c r="O665" s="312"/>
      <c r="P665" s="310"/>
      <c r="Q665" s="311"/>
      <c r="R665" s="312"/>
      <c r="S665" s="310"/>
      <c r="T665" s="311"/>
      <c r="U665" s="312"/>
      <c r="V665" s="149"/>
      <c r="W665" s="311"/>
      <c r="X665" s="306"/>
      <c r="Y665" s="188"/>
      <c r="Z665" s="188"/>
      <c r="AA665" s="188"/>
      <c r="AB665" s="20"/>
      <c r="AC665" s="20"/>
      <c r="AD665" s="20"/>
      <c r="AE665" s="20"/>
    </row>
    <row r="666">
      <c r="A666" s="149"/>
      <c r="B666" s="164"/>
      <c r="C666" s="306"/>
      <c r="D666" s="149"/>
      <c r="E666" s="164"/>
      <c r="F666" s="306"/>
      <c r="G666" s="149"/>
      <c r="H666" s="164"/>
      <c r="I666" s="306"/>
      <c r="J666" s="149"/>
      <c r="K666" s="164"/>
      <c r="L666" s="306"/>
      <c r="M666" s="310"/>
      <c r="N666" s="311"/>
      <c r="O666" s="312"/>
      <c r="P666" s="310"/>
      <c r="Q666" s="311"/>
      <c r="R666" s="312"/>
      <c r="S666" s="310"/>
      <c r="T666" s="311"/>
      <c r="U666" s="312"/>
      <c r="V666" s="149"/>
      <c r="W666" s="311"/>
      <c r="X666" s="306"/>
      <c r="Y666" s="188"/>
      <c r="Z666" s="188"/>
      <c r="AA666" s="188"/>
      <c r="AB666" s="20"/>
      <c r="AC666" s="20"/>
      <c r="AD666" s="20"/>
      <c r="AE666" s="20"/>
    </row>
    <row r="667">
      <c r="A667" s="149"/>
      <c r="B667" s="164"/>
      <c r="C667" s="306"/>
      <c r="D667" s="149"/>
      <c r="E667" s="164"/>
      <c r="F667" s="306"/>
      <c r="G667" s="149"/>
      <c r="H667" s="164"/>
      <c r="I667" s="306"/>
      <c r="J667" s="149"/>
      <c r="K667" s="164"/>
      <c r="L667" s="306"/>
      <c r="M667" s="310"/>
      <c r="N667" s="311"/>
      <c r="O667" s="312"/>
      <c r="P667" s="310"/>
      <c r="Q667" s="311"/>
      <c r="R667" s="312"/>
      <c r="S667" s="310"/>
      <c r="T667" s="311"/>
      <c r="U667" s="312"/>
      <c r="V667" s="149"/>
      <c r="W667" s="311"/>
      <c r="X667" s="306"/>
      <c r="Y667" s="188"/>
      <c r="Z667" s="188"/>
      <c r="AA667" s="188"/>
      <c r="AB667" s="20"/>
      <c r="AC667" s="20"/>
      <c r="AD667" s="20"/>
      <c r="AE667" s="20"/>
    </row>
    <row r="668">
      <c r="A668" s="149"/>
      <c r="B668" s="164"/>
      <c r="C668" s="306"/>
      <c r="D668" s="149"/>
      <c r="E668" s="164"/>
      <c r="F668" s="306"/>
      <c r="G668" s="149"/>
      <c r="H668" s="164"/>
      <c r="I668" s="306"/>
      <c r="J668" s="149"/>
      <c r="K668" s="164"/>
      <c r="L668" s="306"/>
      <c r="M668" s="310"/>
      <c r="N668" s="311"/>
      <c r="O668" s="312"/>
      <c r="P668" s="310"/>
      <c r="Q668" s="311"/>
      <c r="R668" s="312"/>
      <c r="S668" s="310"/>
      <c r="T668" s="311"/>
      <c r="U668" s="312"/>
      <c r="V668" s="149"/>
      <c r="W668" s="311"/>
      <c r="X668" s="306"/>
      <c r="Y668" s="188"/>
      <c r="Z668" s="188"/>
      <c r="AA668" s="188"/>
      <c r="AB668" s="20"/>
      <c r="AC668" s="20"/>
      <c r="AD668" s="20"/>
      <c r="AE668" s="20"/>
    </row>
    <row r="669">
      <c r="A669" s="149"/>
      <c r="B669" s="164"/>
      <c r="C669" s="306"/>
      <c r="D669" s="149"/>
      <c r="E669" s="164"/>
      <c r="F669" s="306"/>
      <c r="G669" s="149"/>
      <c r="H669" s="164"/>
      <c r="I669" s="306"/>
      <c r="J669" s="149"/>
      <c r="K669" s="164"/>
      <c r="L669" s="306"/>
      <c r="M669" s="310"/>
      <c r="N669" s="311"/>
      <c r="O669" s="312"/>
      <c r="P669" s="310"/>
      <c r="Q669" s="311"/>
      <c r="R669" s="312"/>
      <c r="S669" s="310"/>
      <c r="T669" s="311"/>
      <c r="U669" s="312"/>
      <c r="V669" s="149"/>
      <c r="W669" s="311"/>
      <c r="X669" s="306"/>
      <c r="Y669" s="188"/>
      <c r="Z669" s="188"/>
      <c r="AA669" s="188"/>
      <c r="AB669" s="20"/>
      <c r="AC669" s="20"/>
      <c r="AD669" s="20"/>
      <c r="AE669" s="20"/>
    </row>
    <row r="670">
      <c r="A670" s="149"/>
      <c r="B670" s="164"/>
      <c r="C670" s="306"/>
      <c r="D670" s="149"/>
      <c r="E670" s="164"/>
      <c r="F670" s="306"/>
      <c r="G670" s="149"/>
      <c r="H670" s="164"/>
      <c r="I670" s="306"/>
      <c r="J670" s="149"/>
      <c r="K670" s="164"/>
      <c r="L670" s="306"/>
      <c r="M670" s="310"/>
      <c r="N670" s="311"/>
      <c r="O670" s="312"/>
      <c r="P670" s="310"/>
      <c r="Q670" s="311"/>
      <c r="R670" s="312"/>
      <c r="S670" s="310"/>
      <c r="T670" s="311"/>
      <c r="U670" s="312"/>
      <c r="V670" s="149"/>
      <c r="W670" s="311"/>
      <c r="X670" s="306"/>
      <c r="Y670" s="188"/>
      <c r="Z670" s="188"/>
      <c r="AA670" s="188"/>
      <c r="AB670" s="20"/>
      <c r="AC670" s="20"/>
      <c r="AD670" s="20"/>
      <c r="AE670" s="20"/>
    </row>
    <row r="671">
      <c r="A671" s="149"/>
      <c r="B671" s="164"/>
      <c r="C671" s="306"/>
      <c r="D671" s="149"/>
      <c r="E671" s="164"/>
      <c r="F671" s="306"/>
      <c r="G671" s="149"/>
      <c r="H671" s="164"/>
      <c r="I671" s="306"/>
      <c r="J671" s="149"/>
      <c r="K671" s="164"/>
      <c r="L671" s="306"/>
      <c r="M671" s="310"/>
      <c r="N671" s="311"/>
      <c r="O671" s="312"/>
      <c r="P671" s="310"/>
      <c r="Q671" s="311"/>
      <c r="R671" s="312"/>
      <c r="S671" s="310"/>
      <c r="T671" s="311"/>
      <c r="U671" s="312"/>
      <c r="V671" s="149"/>
      <c r="W671" s="311"/>
      <c r="X671" s="306"/>
      <c r="Y671" s="188"/>
      <c r="Z671" s="188"/>
      <c r="AA671" s="188"/>
      <c r="AB671" s="20"/>
      <c r="AC671" s="20"/>
      <c r="AD671" s="20"/>
      <c r="AE671" s="20"/>
    </row>
    <row r="672">
      <c r="A672" s="149"/>
      <c r="B672" s="164"/>
      <c r="C672" s="306"/>
      <c r="D672" s="149"/>
      <c r="E672" s="164"/>
      <c r="F672" s="306"/>
      <c r="G672" s="149"/>
      <c r="H672" s="164"/>
      <c r="I672" s="306"/>
      <c r="J672" s="149"/>
      <c r="K672" s="164"/>
      <c r="L672" s="306"/>
      <c r="M672" s="310"/>
      <c r="N672" s="311"/>
      <c r="O672" s="312"/>
      <c r="P672" s="310"/>
      <c r="Q672" s="311"/>
      <c r="R672" s="312"/>
      <c r="S672" s="310"/>
      <c r="T672" s="311"/>
      <c r="U672" s="312"/>
      <c r="V672" s="149"/>
      <c r="W672" s="311"/>
      <c r="X672" s="306"/>
      <c r="Y672" s="188"/>
      <c r="Z672" s="188"/>
      <c r="AA672" s="188"/>
      <c r="AB672" s="20"/>
      <c r="AC672" s="20"/>
      <c r="AD672" s="20"/>
      <c r="AE672" s="20"/>
    </row>
    <row r="673">
      <c r="A673" s="149"/>
      <c r="B673" s="164"/>
      <c r="C673" s="306"/>
      <c r="D673" s="149"/>
      <c r="E673" s="164"/>
      <c r="F673" s="306"/>
      <c r="G673" s="149"/>
      <c r="H673" s="164"/>
      <c r="I673" s="306"/>
      <c r="J673" s="149"/>
      <c r="K673" s="164"/>
      <c r="L673" s="306"/>
      <c r="M673" s="310"/>
      <c r="N673" s="311"/>
      <c r="O673" s="312"/>
      <c r="P673" s="310"/>
      <c r="Q673" s="311"/>
      <c r="R673" s="312"/>
      <c r="S673" s="310"/>
      <c r="T673" s="311"/>
      <c r="U673" s="312"/>
      <c r="V673" s="149"/>
      <c r="W673" s="311"/>
      <c r="X673" s="306"/>
      <c r="Y673" s="188"/>
      <c r="Z673" s="188"/>
      <c r="AA673" s="188"/>
      <c r="AB673" s="20"/>
      <c r="AC673" s="20"/>
      <c r="AD673" s="20"/>
      <c r="AE673" s="20"/>
    </row>
    <row r="674">
      <c r="A674" s="149"/>
      <c r="B674" s="164"/>
      <c r="C674" s="306"/>
      <c r="D674" s="149"/>
      <c r="E674" s="164"/>
      <c r="F674" s="306"/>
      <c r="G674" s="149"/>
      <c r="H674" s="164"/>
      <c r="I674" s="306"/>
      <c r="J674" s="149"/>
      <c r="K674" s="164"/>
      <c r="L674" s="306"/>
      <c r="M674" s="310"/>
      <c r="N674" s="311"/>
      <c r="O674" s="312"/>
      <c r="P674" s="310"/>
      <c r="Q674" s="311"/>
      <c r="R674" s="312"/>
      <c r="S674" s="310"/>
      <c r="T674" s="311"/>
      <c r="U674" s="312"/>
      <c r="V674" s="149"/>
      <c r="W674" s="311"/>
      <c r="X674" s="306"/>
      <c r="Y674" s="188"/>
      <c r="Z674" s="188"/>
      <c r="AA674" s="188"/>
      <c r="AB674" s="20"/>
      <c r="AC674" s="20"/>
      <c r="AD674" s="20"/>
      <c r="AE674" s="20"/>
    </row>
    <row r="675">
      <c r="A675" s="149"/>
      <c r="B675" s="164"/>
      <c r="C675" s="306"/>
      <c r="D675" s="149"/>
      <c r="E675" s="164"/>
      <c r="F675" s="306"/>
      <c r="G675" s="149"/>
      <c r="H675" s="164"/>
      <c r="I675" s="306"/>
      <c r="J675" s="149"/>
      <c r="K675" s="164"/>
      <c r="L675" s="306"/>
      <c r="M675" s="310"/>
      <c r="N675" s="311"/>
      <c r="O675" s="312"/>
      <c r="P675" s="310"/>
      <c r="Q675" s="311"/>
      <c r="R675" s="312"/>
      <c r="S675" s="310"/>
      <c r="T675" s="311"/>
      <c r="U675" s="312"/>
      <c r="V675" s="149"/>
      <c r="W675" s="311"/>
      <c r="X675" s="306"/>
      <c r="Y675" s="188"/>
      <c r="Z675" s="188"/>
      <c r="AA675" s="188"/>
      <c r="AB675" s="20"/>
      <c r="AC675" s="20"/>
      <c r="AD675" s="20"/>
      <c r="AE675" s="20"/>
    </row>
    <row r="676">
      <c r="A676" s="149"/>
      <c r="B676" s="164"/>
      <c r="C676" s="306"/>
      <c r="D676" s="149"/>
      <c r="E676" s="164"/>
      <c r="F676" s="306"/>
      <c r="G676" s="149"/>
      <c r="H676" s="164"/>
      <c r="I676" s="306"/>
      <c r="J676" s="149"/>
      <c r="K676" s="164"/>
      <c r="L676" s="306"/>
      <c r="M676" s="310"/>
      <c r="N676" s="311"/>
      <c r="O676" s="312"/>
      <c r="P676" s="310"/>
      <c r="Q676" s="311"/>
      <c r="R676" s="312"/>
      <c r="S676" s="310"/>
      <c r="T676" s="311"/>
      <c r="U676" s="312"/>
      <c r="V676" s="149"/>
      <c r="W676" s="311"/>
      <c r="X676" s="306"/>
      <c r="Y676" s="188"/>
      <c r="Z676" s="188"/>
      <c r="AA676" s="188"/>
      <c r="AB676" s="20"/>
      <c r="AC676" s="20"/>
      <c r="AD676" s="20"/>
      <c r="AE676" s="20"/>
    </row>
    <row r="677">
      <c r="A677" s="149"/>
      <c r="B677" s="164"/>
      <c r="C677" s="306"/>
      <c r="D677" s="149"/>
      <c r="E677" s="164"/>
      <c r="F677" s="306"/>
      <c r="G677" s="149"/>
      <c r="H677" s="164"/>
      <c r="I677" s="306"/>
      <c r="J677" s="149"/>
      <c r="K677" s="164"/>
      <c r="L677" s="306"/>
      <c r="M677" s="310"/>
      <c r="N677" s="311"/>
      <c r="O677" s="312"/>
      <c r="P677" s="310"/>
      <c r="Q677" s="311"/>
      <c r="R677" s="312"/>
      <c r="S677" s="310"/>
      <c r="T677" s="311"/>
      <c r="U677" s="312"/>
      <c r="V677" s="149"/>
      <c r="W677" s="311"/>
      <c r="X677" s="306"/>
      <c r="Y677" s="188"/>
      <c r="Z677" s="188"/>
      <c r="AA677" s="188"/>
      <c r="AB677" s="20"/>
      <c r="AC677" s="20"/>
      <c r="AD677" s="20"/>
      <c r="AE677" s="20"/>
    </row>
    <row r="678">
      <c r="A678" s="149"/>
      <c r="B678" s="164"/>
      <c r="C678" s="306"/>
      <c r="D678" s="149"/>
      <c r="E678" s="164"/>
      <c r="F678" s="306"/>
      <c r="G678" s="149"/>
      <c r="H678" s="164"/>
      <c r="I678" s="306"/>
      <c r="J678" s="149"/>
      <c r="K678" s="164"/>
      <c r="L678" s="306"/>
      <c r="M678" s="310"/>
      <c r="N678" s="311"/>
      <c r="O678" s="312"/>
      <c r="P678" s="310"/>
      <c r="Q678" s="311"/>
      <c r="R678" s="312"/>
      <c r="S678" s="310"/>
      <c r="T678" s="311"/>
      <c r="U678" s="312"/>
      <c r="V678" s="149"/>
      <c r="W678" s="311"/>
      <c r="X678" s="306"/>
      <c r="Y678" s="188"/>
      <c r="Z678" s="188"/>
      <c r="AA678" s="188"/>
      <c r="AB678" s="20"/>
      <c r="AC678" s="20"/>
      <c r="AD678" s="20"/>
      <c r="AE678" s="20"/>
    </row>
    <row r="679">
      <c r="A679" s="149"/>
      <c r="B679" s="164"/>
      <c r="C679" s="306"/>
      <c r="D679" s="149"/>
      <c r="E679" s="164"/>
      <c r="F679" s="306"/>
      <c r="G679" s="149"/>
      <c r="H679" s="164"/>
      <c r="I679" s="306"/>
      <c r="J679" s="149"/>
      <c r="K679" s="164"/>
      <c r="L679" s="306"/>
      <c r="M679" s="310"/>
      <c r="N679" s="311"/>
      <c r="O679" s="312"/>
      <c r="P679" s="310"/>
      <c r="Q679" s="311"/>
      <c r="R679" s="312"/>
      <c r="S679" s="310"/>
      <c r="T679" s="311"/>
      <c r="U679" s="312"/>
      <c r="V679" s="149"/>
      <c r="W679" s="311"/>
      <c r="X679" s="306"/>
      <c r="Y679" s="188"/>
      <c r="Z679" s="188"/>
      <c r="AA679" s="188"/>
      <c r="AB679" s="20"/>
      <c r="AC679" s="20"/>
      <c r="AD679" s="20"/>
      <c r="AE679" s="20"/>
    </row>
    <row r="680">
      <c r="A680" s="149"/>
      <c r="B680" s="164"/>
      <c r="C680" s="306"/>
      <c r="D680" s="149"/>
      <c r="E680" s="164"/>
      <c r="F680" s="306"/>
      <c r="G680" s="149"/>
      <c r="H680" s="164"/>
      <c r="I680" s="306"/>
      <c r="J680" s="149"/>
      <c r="K680" s="164"/>
      <c r="L680" s="306"/>
      <c r="M680" s="310"/>
      <c r="N680" s="311"/>
      <c r="O680" s="312"/>
      <c r="P680" s="310"/>
      <c r="Q680" s="311"/>
      <c r="R680" s="312"/>
      <c r="S680" s="310"/>
      <c r="T680" s="311"/>
      <c r="U680" s="312"/>
      <c r="V680" s="149"/>
      <c r="W680" s="311"/>
      <c r="X680" s="306"/>
      <c r="Y680" s="188"/>
      <c r="Z680" s="188"/>
      <c r="AA680" s="188"/>
      <c r="AB680" s="20"/>
      <c r="AC680" s="20"/>
      <c r="AD680" s="20"/>
      <c r="AE680" s="20"/>
    </row>
    <row r="681">
      <c r="A681" s="149"/>
      <c r="B681" s="164"/>
      <c r="C681" s="306"/>
      <c r="D681" s="149"/>
      <c r="E681" s="164"/>
      <c r="F681" s="306"/>
      <c r="G681" s="149"/>
      <c r="H681" s="164"/>
      <c r="I681" s="306"/>
      <c r="J681" s="149"/>
      <c r="K681" s="164"/>
      <c r="L681" s="306"/>
      <c r="M681" s="310"/>
      <c r="N681" s="311"/>
      <c r="O681" s="312"/>
      <c r="P681" s="310"/>
      <c r="Q681" s="311"/>
      <c r="R681" s="312"/>
      <c r="S681" s="310"/>
      <c r="T681" s="311"/>
      <c r="U681" s="312"/>
      <c r="V681" s="149"/>
      <c r="W681" s="311"/>
      <c r="X681" s="306"/>
      <c r="Y681" s="188"/>
      <c r="Z681" s="188"/>
      <c r="AA681" s="188"/>
      <c r="AB681" s="20"/>
      <c r="AC681" s="20"/>
      <c r="AD681" s="20"/>
      <c r="AE681" s="20"/>
    </row>
    <row r="682">
      <c r="A682" s="149"/>
      <c r="B682" s="164"/>
      <c r="C682" s="306"/>
      <c r="D682" s="149"/>
      <c r="E682" s="164"/>
      <c r="F682" s="306"/>
      <c r="G682" s="149"/>
      <c r="H682" s="164"/>
      <c r="I682" s="306"/>
      <c r="J682" s="149"/>
      <c r="K682" s="164"/>
      <c r="L682" s="306"/>
      <c r="M682" s="310"/>
      <c r="N682" s="311"/>
      <c r="O682" s="312"/>
      <c r="P682" s="310"/>
      <c r="Q682" s="311"/>
      <c r="R682" s="312"/>
      <c r="S682" s="310"/>
      <c r="T682" s="311"/>
      <c r="U682" s="312"/>
      <c r="V682" s="149"/>
      <c r="W682" s="311"/>
      <c r="X682" s="306"/>
      <c r="Y682" s="188"/>
      <c r="Z682" s="188"/>
      <c r="AA682" s="188"/>
      <c r="AB682" s="20"/>
      <c r="AC682" s="20"/>
      <c r="AD682" s="20"/>
      <c r="AE682" s="20"/>
    </row>
    <row r="683">
      <c r="A683" s="149"/>
      <c r="B683" s="164"/>
      <c r="C683" s="306"/>
      <c r="D683" s="149"/>
      <c r="E683" s="164"/>
      <c r="F683" s="306"/>
      <c r="G683" s="149"/>
      <c r="H683" s="164"/>
      <c r="I683" s="306"/>
      <c r="J683" s="149"/>
      <c r="K683" s="164"/>
      <c r="L683" s="306"/>
      <c r="M683" s="310"/>
      <c r="N683" s="311"/>
      <c r="O683" s="312"/>
      <c r="P683" s="310"/>
      <c r="Q683" s="311"/>
      <c r="R683" s="312"/>
      <c r="S683" s="310"/>
      <c r="T683" s="311"/>
      <c r="U683" s="312"/>
      <c r="V683" s="149"/>
      <c r="W683" s="311"/>
      <c r="X683" s="306"/>
      <c r="Y683" s="188"/>
      <c r="Z683" s="188"/>
      <c r="AA683" s="188"/>
      <c r="AB683" s="20"/>
      <c r="AC683" s="20"/>
      <c r="AD683" s="20"/>
      <c r="AE683" s="20"/>
    </row>
    <row r="684">
      <c r="A684" s="149"/>
      <c r="B684" s="164"/>
      <c r="C684" s="306"/>
      <c r="D684" s="149"/>
      <c r="E684" s="164"/>
      <c r="F684" s="306"/>
      <c r="G684" s="149"/>
      <c r="H684" s="164"/>
      <c r="I684" s="306"/>
      <c r="J684" s="149"/>
      <c r="K684" s="164"/>
      <c r="L684" s="306"/>
      <c r="M684" s="310"/>
      <c r="N684" s="311"/>
      <c r="O684" s="312"/>
      <c r="P684" s="310"/>
      <c r="Q684" s="311"/>
      <c r="R684" s="312"/>
      <c r="S684" s="310"/>
      <c r="T684" s="311"/>
      <c r="U684" s="312"/>
      <c r="V684" s="149"/>
      <c r="W684" s="311"/>
      <c r="X684" s="306"/>
      <c r="Y684" s="188"/>
      <c r="Z684" s="188"/>
      <c r="AA684" s="188"/>
      <c r="AB684" s="20"/>
      <c r="AC684" s="20"/>
      <c r="AD684" s="20"/>
      <c r="AE684" s="20"/>
    </row>
    <row r="685">
      <c r="A685" s="149"/>
      <c r="B685" s="164"/>
      <c r="C685" s="306"/>
      <c r="D685" s="149"/>
      <c r="E685" s="164"/>
      <c r="F685" s="306"/>
      <c r="G685" s="149"/>
      <c r="H685" s="164"/>
      <c r="I685" s="306"/>
      <c r="J685" s="149"/>
      <c r="K685" s="164"/>
      <c r="L685" s="306"/>
      <c r="M685" s="310"/>
      <c r="N685" s="311"/>
      <c r="O685" s="312"/>
      <c r="P685" s="310"/>
      <c r="Q685" s="311"/>
      <c r="R685" s="312"/>
      <c r="S685" s="310"/>
      <c r="T685" s="311"/>
      <c r="U685" s="312"/>
      <c r="V685" s="149"/>
      <c r="W685" s="311"/>
      <c r="X685" s="306"/>
      <c r="Y685" s="188"/>
      <c r="Z685" s="188"/>
      <c r="AA685" s="188"/>
      <c r="AB685" s="20"/>
      <c r="AC685" s="20"/>
      <c r="AD685" s="20"/>
      <c r="AE685" s="20"/>
    </row>
    <row r="686">
      <c r="A686" s="149"/>
      <c r="B686" s="164"/>
      <c r="C686" s="306"/>
      <c r="D686" s="149"/>
      <c r="E686" s="164"/>
      <c r="F686" s="306"/>
      <c r="G686" s="149"/>
      <c r="H686" s="164"/>
      <c r="I686" s="306"/>
      <c r="J686" s="149"/>
      <c r="K686" s="164"/>
      <c r="L686" s="306"/>
      <c r="M686" s="310"/>
      <c r="N686" s="311"/>
      <c r="O686" s="312"/>
      <c r="P686" s="310"/>
      <c r="Q686" s="311"/>
      <c r="R686" s="312"/>
      <c r="S686" s="310"/>
      <c r="T686" s="311"/>
      <c r="U686" s="312"/>
      <c r="V686" s="149"/>
      <c r="W686" s="311"/>
      <c r="X686" s="306"/>
      <c r="Y686" s="188"/>
      <c r="Z686" s="188"/>
      <c r="AA686" s="188"/>
      <c r="AB686" s="20"/>
      <c r="AC686" s="20"/>
      <c r="AD686" s="20"/>
      <c r="AE686" s="20"/>
    </row>
    <row r="687">
      <c r="A687" s="149"/>
      <c r="B687" s="164"/>
      <c r="C687" s="306"/>
      <c r="D687" s="149"/>
      <c r="E687" s="164"/>
      <c r="F687" s="306"/>
      <c r="G687" s="149"/>
      <c r="H687" s="164"/>
      <c r="I687" s="306"/>
      <c r="J687" s="149"/>
      <c r="K687" s="164"/>
      <c r="L687" s="306"/>
      <c r="M687" s="310"/>
      <c r="N687" s="311"/>
      <c r="O687" s="312"/>
      <c r="P687" s="310"/>
      <c r="Q687" s="311"/>
      <c r="R687" s="312"/>
      <c r="S687" s="310"/>
      <c r="T687" s="311"/>
      <c r="U687" s="312"/>
      <c r="V687" s="149"/>
      <c r="W687" s="311"/>
      <c r="X687" s="306"/>
      <c r="Y687" s="188"/>
      <c r="Z687" s="188"/>
      <c r="AA687" s="188"/>
      <c r="AB687" s="20"/>
      <c r="AC687" s="20"/>
      <c r="AD687" s="20"/>
      <c r="AE687" s="20"/>
    </row>
    <row r="688">
      <c r="A688" s="149"/>
      <c r="B688" s="164"/>
      <c r="C688" s="306"/>
      <c r="D688" s="149"/>
      <c r="E688" s="164"/>
      <c r="F688" s="306"/>
      <c r="G688" s="149"/>
      <c r="H688" s="164"/>
      <c r="I688" s="306"/>
      <c r="J688" s="149"/>
      <c r="K688" s="164"/>
      <c r="L688" s="306"/>
      <c r="M688" s="310"/>
      <c r="N688" s="311"/>
      <c r="O688" s="312"/>
      <c r="P688" s="310"/>
      <c r="Q688" s="311"/>
      <c r="R688" s="312"/>
      <c r="S688" s="310"/>
      <c r="T688" s="311"/>
      <c r="U688" s="312"/>
      <c r="V688" s="149"/>
      <c r="W688" s="311"/>
      <c r="X688" s="306"/>
      <c r="Y688" s="188"/>
      <c r="Z688" s="188"/>
      <c r="AA688" s="188"/>
      <c r="AB688" s="20"/>
      <c r="AC688" s="20"/>
      <c r="AD688" s="20"/>
      <c r="AE688" s="20"/>
    </row>
    <row r="689">
      <c r="A689" s="149"/>
      <c r="B689" s="164"/>
      <c r="C689" s="306"/>
      <c r="D689" s="149"/>
      <c r="E689" s="164"/>
      <c r="F689" s="306"/>
      <c r="G689" s="149"/>
      <c r="H689" s="164"/>
      <c r="I689" s="306"/>
      <c r="J689" s="149"/>
      <c r="K689" s="164"/>
      <c r="L689" s="306"/>
      <c r="M689" s="310"/>
      <c r="N689" s="311"/>
      <c r="O689" s="312"/>
      <c r="P689" s="310"/>
      <c r="Q689" s="311"/>
      <c r="R689" s="312"/>
      <c r="S689" s="310"/>
      <c r="T689" s="311"/>
      <c r="U689" s="312"/>
      <c r="V689" s="149"/>
      <c r="W689" s="311"/>
      <c r="X689" s="306"/>
      <c r="Y689" s="188"/>
      <c r="Z689" s="188"/>
      <c r="AA689" s="188"/>
      <c r="AB689" s="20"/>
      <c r="AC689" s="20"/>
      <c r="AD689" s="20"/>
      <c r="AE689" s="20"/>
    </row>
    <row r="690">
      <c r="A690" s="149"/>
      <c r="B690" s="164"/>
      <c r="C690" s="306"/>
      <c r="D690" s="149"/>
      <c r="E690" s="164"/>
      <c r="F690" s="306"/>
      <c r="G690" s="149"/>
      <c r="H690" s="164"/>
      <c r="I690" s="306"/>
      <c r="J690" s="149"/>
      <c r="K690" s="164"/>
      <c r="L690" s="306"/>
      <c r="M690" s="310"/>
      <c r="N690" s="311"/>
      <c r="O690" s="312"/>
      <c r="P690" s="310"/>
      <c r="Q690" s="311"/>
      <c r="R690" s="312"/>
      <c r="S690" s="310"/>
      <c r="T690" s="311"/>
      <c r="U690" s="312"/>
      <c r="V690" s="149"/>
      <c r="W690" s="311"/>
      <c r="X690" s="306"/>
      <c r="Y690" s="188"/>
      <c r="Z690" s="188"/>
      <c r="AA690" s="188"/>
      <c r="AB690" s="20"/>
      <c r="AC690" s="20"/>
      <c r="AD690" s="20"/>
      <c r="AE690" s="20"/>
    </row>
    <row r="691">
      <c r="A691" s="149"/>
      <c r="B691" s="164"/>
      <c r="C691" s="306"/>
      <c r="D691" s="149"/>
      <c r="E691" s="164"/>
      <c r="F691" s="306"/>
      <c r="G691" s="149"/>
      <c r="H691" s="164"/>
      <c r="I691" s="306"/>
      <c r="J691" s="149"/>
      <c r="K691" s="164"/>
      <c r="L691" s="306"/>
      <c r="M691" s="310"/>
      <c r="N691" s="311"/>
      <c r="O691" s="312"/>
      <c r="P691" s="310"/>
      <c r="Q691" s="311"/>
      <c r="R691" s="312"/>
      <c r="S691" s="310"/>
      <c r="T691" s="311"/>
      <c r="U691" s="312"/>
      <c r="V691" s="149"/>
      <c r="W691" s="311"/>
      <c r="X691" s="306"/>
      <c r="Y691" s="188"/>
      <c r="Z691" s="188"/>
      <c r="AA691" s="188"/>
      <c r="AB691" s="20"/>
      <c r="AC691" s="20"/>
      <c r="AD691" s="20"/>
      <c r="AE691" s="20"/>
    </row>
    <row r="692">
      <c r="A692" s="149"/>
      <c r="B692" s="164"/>
      <c r="C692" s="306"/>
      <c r="D692" s="149"/>
      <c r="E692" s="164"/>
      <c r="F692" s="306"/>
      <c r="G692" s="149"/>
      <c r="H692" s="164"/>
      <c r="I692" s="306"/>
      <c r="J692" s="149"/>
      <c r="K692" s="164"/>
      <c r="L692" s="306"/>
      <c r="M692" s="310"/>
      <c r="N692" s="311"/>
      <c r="O692" s="312"/>
      <c r="P692" s="310"/>
      <c r="Q692" s="311"/>
      <c r="R692" s="312"/>
      <c r="S692" s="310"/>
      <c r="T692" s="311"/>
      <c r="U692" s="312"/>
      <c r="V692" s="149"/>
      <c r="W692" s="311"/>
      <c r="X692" s="306"/>
      <c r="Y692" s="188"/>
      <c r="Z692" s="188"/>
      <c r="AA692" s="188"/>
      <c r="AB692" s="20"/>
      <c r="AC692" s="20"/>
      <c r="AD692" s="20"/>
      <c r="AE692" s="20"/>
    </row>
    <row r="693">
      <c r="A693" s="149"/>
      <c r="B693" s="164"/>
      <c r="C693" s="306"/>
      <c r="D693" s="149"/>
      <c r="E693" s="164"/>
      <c r="F693" s="306"/>
      <c r="G693" s="149"/>
      <c r="H693" s="164"/>
      <c r="I693" s="306"/>
      <c r="J693" s="149"/>
      <c r="K693" s="164"/>
      <c r="L693" s="306"/>
      <c r="M693" s="310"/>
      <c r="N693" s="311"/>
      <c r="O693" s="312"/>
      <c r="P693" s="310"/>
      <c r="Q693" s="311"/>
      <c r="R693" s="312"/>
      <c r="S693" s="310"/>
      <c r="T693" s="311"/>
      <c r="U693" s="312"/>
      <c r="V693" s="149"/>
      <c r="W693" s="311"/>
      <c r="X693" s="306"/>
      <c r="Y693" s="188"/>
      <c r="Z693" s="188"/>
      <c r="AA693" s="188"/>
      <c r="AB693" s="20"/>
      <c r="AC693" s="20"/>
      <c r="AD693" s="20"/>
      <c r="AE693" s="20"/>
    </row>
    <row r="694">
      <c r="A694" s="149"/>
      <c r="B694" s="164"/>
      <c r="C694" s="306"/>
      <c r="D694" s="149"/>
      <c r="E694" s="164"/>
      <c r="F694" s="306"/>
      <c r="G694" s="149"/>
      <c r="H694" s="164"/>
      <c r="I694" s="306"/>
      <c r="J694" s="149"/>
      <c r="K694" s="164"/>
      <c r="L694" s="306"/>
      <c r="M694" s="310"/>
      <c r="N694" s="311"/>
      <c r="O694" s="312"/>
      <c r="P694" s="310"/>
      <c r="Q694" s="311"/>
      <c r="R694" s="312"/>
      <c r="S694" s="310"/>
      <c r="T694" s="311"/>
      <c r="U694" s="312"/>
      <c r="V694" s="149"/>
      <c r="W694" s="311"/>
      <c r="X694" s="306"/>
      <c r="Y694" s="188"/>
      <c r="Z694" s="188"/>
      <c r="AA694" s="188"/>
      <c r="AB694" s="20"/>
      <c r="AC694" s="20"/>
      <c r="AD694" s="20"/>
      <c r="AE694" s="20"/>
    </row>
    <row r="695">
      <c r="A695" s="149"/>
      <c r="B695" s="164"/>
      <c r="C695" s="306"/>
      <c r="D695" s="149"/>
      <c r="E695" s="164"/>
      <c r="F695" s="306"/>
      <c r="G695" s="149"/>
      <c r="H695" s="164"/>
      <c r="I695" s="306"/>
      <c r="J695" s="149"/>
      <c r="K695" s="164"/>
      <c r="L695" s="306"/>
      <c r="M695" s="310"/>
      <c r="N695" s="311"/>
      <c r="O695" s="312"/>
      <c r="P695" s="310"/>
      <c r="Q695" s="311"/>
      <c r="R695" s="312"/>
      <c r="S695" s="310"/>
      <c r="T695" s="311"/>
      <c r="U695" s="312"/>
      <c r="V695" s="149"/>
      <c r="W695" s="311"/>
      <c r="X695" s="306"/>
      <c r="Y695" s="188"/>
      <c r="Z695" s="188"/>
      <c r="AA695" s="188"/>
      <c r="AB695" s="20"/>
      <c r="AC695" s="20"/>
      <c r="AD695" s="20"/>
      <c r="AE695" s="20"/>
    </row>
    <row r="696">
      <c r="A696" s="149"/>
      <c r="B696" s="164"/>
      <c r="C696" s="306"/>
      <c r="D696" s="149"/>
      <c r="E696" s="164"/>
      <c r="F696" s="306"/>
      <c r="G696" s="149"/>
      <c r="H696" s="164"/>
      <c r="I696" s="306"/>
      <c r="J696" s="149"/>
      <c r="K696" s="164"/>
      <c r="L696" s="306"/>
      <c r="M696" s="310"/>
      <c r="N696" s="311"/>
      <c r="O696" s="312"/>
      <c r="P696" s="310"/>
      <c r="Q696" s="311"/>
      <c r="R696" s="312"/>
      <c r="S696" s="310"/>
      <c r="T696" s="311"/>
      <c r="U696" s="312"/>
      <c r="V696" s="149"/>
      <c r="W696" s="311"/>
      <c r="X696" s="306"/>
      <c r="Y696" s="188"/>
      <c r="Z696" s="188"/>
      <c r="AA696" s="188"/>
      <c r="AB696" s="20"/>
      <c r="AC696" s="20"/>
      <c r="AD696" s="20"/>
      <c r="AE696" s="20"/>
    </row>
    <row r="697">
      <c r="A697" s="149"/>
      <c r="B697" s="164"/>
      <c r="C697" s="306"/>
      <c r="D697" s="149"/>
      <c r="E697" s="164"/>
      <c r="F697" s="306"/>
      <c r="G697" s="149"/>
      <c r="H697" s="164"/>
      <c r="I697" s="306"/>
      <c r="J697" s="149"/>
      <c r="K697" s="164"/>
      <c r="L697" s="306"/>
      <c r="M697" s="310"/>
      <c r="N697" s="311"/>
      <c r="O697" s="312"/>
      <c r="P697" s="310"/>
      <c r="Q697" s="311"/>
      <c r="R697" s="312"/>
      <c r="S697" s="310"/>
      <c r="T697" s="311"/>
      <c r="U697" s="312"/>
      <c r="V697" s="149"/>
      <c r="W697" s="311"/>
      <c r="X697" s="306"/>
      <c r="Y697" s="188"/>
      <c r="Z697" s="188"/>
      <c r="AA697" s="188"/>
      <c r="AB697" s="20"/>
      <c r="AC697" s="20"/>
      <c r="AD697" s="20"/>
      <c r="AE697" s="20"/>
    </row>
    <row r="698">
      <c r="A698" s="149"/>
      <c r="B698" s="164"/>
      <c r="C698" s="306"/>
      <c r="D698" s="149"/>
      <c r="E698" s="164"/>
      <c r="F698" s="306"/>
      <c r="G698" s="149"/>
      <c r="H698" s="164"/>
      <c r="I698" s="306"/>
      <c r="J698" s="149"/>
      <c r="K698" s="164"/>
      <c r="L698" s="306"/>
      <c r="M698" s="310"/>
      <c r="N698" s="311"/>
      <c r="O698" s="312"/>
      <c r="P698" s="310"/>
      <c r="Q698" s="311"/>
      <c r="R698" s="312"/>
      <c r="S698" s="310"/>
      <c r="T698" s="311"/>
      <c r="U698" s="312"/>
      <c r="V698" s="149"/>
      <c r="W698" s="311"/>
      <c r="X698" s="306"/>
      <c r="Y698" s="188"/>
      <c r="Z698" s="188"/>
      <c r="AA698" s="188"/>
      <c r="AB698" s="20"/>
      <c r="AC698" s="20"/>
      <c r="AD698" s="20"/>
      <c r="AE698" s="20"/>
    </row>
    <row r="699">
      <c r="A699" s="149"/>
      <c r="B699" s="164"/>
      <c r="C699" s="306"/>
      <c r="D699" s="149"/>
      <c r="E699" s="164"/>
      <c r="F699" s="306"/>
      <c r="G699" s="149"/>
      <c r="H699" s="164"/>
      <c r="I699" s="306"/>
      <c r="J699" s="149"/>
      <c r="K699" s="164"/>
      <c r="L699" s="306"/>
      <c r="M699" s="310"/>
      <c r="N699" s="311"/>
      <c r="O699" s="312"/>
      <c r="P699" s="310"/>
      <c r="Q699" s="311"/>
      <c r="R699" s="312"/>
      <c r="S699" s="310"/>
      <c r="T699" s="311"/>
      <c r="U699" s="312"/>
      <c r="V699" s="149"/>
      <c r="W699" s="311"/>
      <c r="X699" s="306"/>
      <c r="Y699" s="188"/>
      <c r="Z699" s="188"/>
      <c r="AA699" s="188"/>
      <c r="AB699" s="20"/>
      <c r="AC699" s="20"/>
      <c r="AD699" s="20"/>
      <c r="AE699" s="20"/>
    </row>
    <row r="700">
      <c r="A700" s="149"/>
      <c r="B700" s="164"/>
      <c r="C700" s="306"/>
      <c r="D700" s="149"/>
      <c r="E700" s="164"/>
      <c r="F700" s="306"/>
      <c r="G700" s="149"/>
      <c r="H700" s="164"/>
      <c r="I700" s="306"/>
      <c r="J700" s="149"/>
      <c r="K700" s="164"/>
      <c r="L700" s="306"/>
      <c r="M700" s="310"/>
      <c r="N700" s="311"/>
      <c r="O700" s="312"/>
      <c r="P700" s="310"/>
      <c r="Q700" s="311"/>
      <c r="R700" s="312"/>
      <c r="S700" s="310"/>
      <c r="T700" s="311"/>
      <c r="U700" s="312"/>
      <c r="V700" s="149"/>
      <c r="W700" s="311"/>
      <c r="X700" s="306"/>
      <c r="Y700" s="188"/>
      <c r="Z700" s="188"/>
      <c r="AA700" s="188"/>
      <c r="AB700" s="20"/>
      <c r="AC700" s="20"/>
      <c r="AD700" s="20"/>
      <c r="AE700" s="20"/>
    </row>
    <row r="701">
      <c r="A701" s="149"/>
      <c r="B701" s="164"/>
      <c r="C701" s="306"/>
      <c r="D701" s="149"/>
      <c r="E701" s="164"/>
      <c r="F701" s="306"/>
      <c r="G701" s="149"/>
      <c r="H701" s="164"/>
      <c r="I701" s="306"/>
      <c r="J701" s="149"/>
      <c r="K701" s="164"/>
      <c r="L701" s="306"/>
      <c r="M701" s="310"/>
      <c r="N701" s="311"/>
      <c r="O701" s="312"/>
      <c r="P701" s="310"/>
      <c r="Q701" s="311"/>
      <c r="R701" s="312"/>
      <c r="S701" s="310"/>
      <c r="T701" s="311"/>
      <c r="U701" s="312"/>
      <c r="V701" s="149"/>
      <c r="W701" s="311"/>
      <c r="X701" s="306"/>
      <c r="Y701" s="188"/>
      <c r="Z701" s="188"/>
      <c r="AA701" s="188"/>
      <c r="AB701" s="20"/>
      <c r="AC701" s="20"/>
      <c r="AD701" s="20"/>
      <c r="AE701" s="20"/>
    </row>
    <row r="702">
      <c r="A702" s="149"/>
      <c r="B702" s="164"/>
      <c r="C702" s="306"/>
      <c r="D702" s="149"/>
      <c r="E702" s="164"/>
      <c r="F702" s="306"/>
      <c r="G702" s="149"/>
      <c r="H702" s="164"/>
      <c r="I702" s="306"/>
      <c r="J702" s="149"/>
      <c r="K702" s="164"/>
      <c r="L702" s="306"/>
      <c r="M702" s="310"/>
      <c r="N702" s="311"/>
      <c r="O702" s="312"/>
      <c r="P702" s="310"/>
      <c r="Q702" s="311"/>
      <c r="R702" s="312"/>
      <c r="S702" s="310"/>
      <c r="T702" s="311"/>
      <c r="U702" s="312"/>
      <c r="V702" s="149"/>
      <c r="W702" s="311"/>
      <c r="X702" s="306"/>
      <c r="Y702" s="188"/>
      <c r="Z702" s="188"/>
      <c r="AA702" s="188"/>
      <c r="AB702" s="20"/>
      <c r="AC702" s="20"/>
      <c r="AD702" s="20"/>
      <c r="AE702" s="20"/>
    </row>
    <row r="703">
      <c r="A703" s="149"/>
      <c r="B703" s="164"/>
      <c r="C703" s="306"/>
      <c r="D703" s="149"/>
      <c r="E703" s="164"/>
      <c r="F703" s="306"/>
      <c r="G703" s="149"/>
      <c r="H703" s="164"/>
      <c r="I703" s="306"/>
      <c r="J703" s="149"/>
      <c r="K703" s="164"/>
      <c r="L703" s="306"/>
      <c r="M703" s="310"/>
      <c r="N703" s="311"/>
      <c r="O703" s="312"/>
      <c r="P703" s="310"/>
      <c r="Q703" s="311"/>
      <c r="R703" s="312"/>
      <c r="S703" s="310"/>
      <c r="T703" s="311"/>
      <c r="U703" s="312"/>
      <c r="V703" s="149"/>
      <c r="W703" s="311"/>
      <c r="X703" s="306"/>
      <c r="Y703" s="188"/>
      <c r="Z703" s="188"/>
      <c r="AA703" s="188"/>
      <c r="AB703" s="20"/>
      <c r="AC703" s="20"/>
      <c r="AD703" s="20"/>
      <c r="AE703" s="20"/>
    </row>
    <row r="704">
      <c r="A704" s="149"/>
      <c r="B704" s="164"/>
      <c r="C704" s="306"/>
      <c r="D704" s="149"/>
      <c r="E704" s="164"/>
      <c r="F704" s="306"/>
      <c r="G704" s="149"/>
      <c r="H704" s="164"/>
      <c r="I704" s="306"/>
      <c r="J704" s="149"/>
      <c r="K704" s="164"/>
      <c r="L704" s="306"/>
      <c r="M704" s="310"/>
      <c r="N704" s="311"/>
      <c r="O704" s="312"/>
      <c r="P704" s="310"/>
      <c r="Q704" s="311"/>
      <c r="R704" s="312"/>
      <c r="S704" s="310"/>
      <c r="T704" s="311"/>
      <c r="U704" s="312"/>
      <c r="V704" s="149"/>
      <c r="W704" s="311"/>
      <c r="X704" s="306"/>
      <c r="Y704" s="188"/>
      <c r="Z704" s="188"/>
      <c r="AA704" s="188"/>
      <c r="AB704" s="20"/>
      <c r="AC704" s="20"/>
      <c r="AD704" s="20"/>
      <c r="AE704" s="20"/>
    </row>
    <row r="705">
      <c r="A705" s="149"/>
      <c r="B705" s="164"/>
      <c r="C705" s="306"/>
      <c r="D705" s="149"/>
      <c r="E705" s="164"/>
      <c r="F705" s="306"/>
      <c r="G705" s="149"/>
      <c r="H705" s="164"/>
      <c r="I705" s="306"/>
      <c r="J705" s="149"/>
      <c r="K705" s="164"/>
      <c r="L705" s="306"/>
      <c r="M705" s="310"/>
      <c r="N705" s="311"/>
      <c r="O705" s="312"/>
      <c r="P705" s="310"/>
      <c r="Q705" s="311"/>
      <c r="R705" s="312"/>
      <c r="S705" s="310"/>
      <c r="T705" s="311"/>
      <c r="U705" s="312"/>
      <c r="V705" s="149"/>
      <c r="W705" s="311"/>
      <c r="X705" s="306"/>
      <c r="Y705" s="188"/>
      <c r="Z705" s="188"/>
      <c r="AA705" s="188"/>
      <c r="AB705" s="20"/>
      <c r="AC705" s="20"/>
      <c r="AD705" s="20"/>
      <c r="AE705" s="20"/>
    </row>
    <row r="706">
      <c r="A706" s="149"/>
      <c r="B706" s="164"/>
      <c r="C706" s="306"/>
      <c r="D706" s="149"/>
      <c r="E706" s="164"/>
      <c r="F706" s="306"/>
      <c r="G706" s="149"/>
      <c r="H706" s="164"/>
      <c r="I706" s="306"/>
      <c r="J706" s="149"/>
      <c r="K706" s="164"/>
      <c r="L706" s="306"/>
      <c r="M706" s="310"/>
      <c r="N706" s="311"/>
      <c r="O706" s="312"/>
      <c r="P706" s="310"/>
      <c r="Q706" s="311"/>
      <c r="R706" s="312"/>
      <c r="S706" s="310"/>
      <c r="T706" s="311"/>
      <c r="U706" s="312"/>
      <c r="V706" s="149"/>
      <c r="W706" s="311"/>
      <c r="X706" s="306"/>
      <c r="Y706" s="188"/>
      <c r="Z706" s="188"/>
      <c r="AA706" s="188"/>
      <c r="AB706" s="20"/>
      <c r="AC706" s="20"/>
      <c r="AD706" s="20"/>
      <c r="AE706" s="20"/>
    </row>
    <row r="707">
      <c r="A707" s="149"/>
      <c r="B707" s="164"/>
      <c r="C707" s="306"/>
      <c r="D707" s="149"/>
      <c r="E707" s="164"/>
      <c r="F707" s="306"/>
      <c r="G707" s="149"/>
      <c r="H707" s="164"/>
      <c r="I707" s="306"/>
      <c r="J707" s="149"/>
      <c r="K707" s="164"/>
      <c r="L707" s="306"/>
      <c r="M707" s="310"/>
      <c r="N707" s="311"/>
      <c r="O707" s="312"/>
      <c r="P707" s="310"/>
      <c r="Q707" s="311"/>
      <c r="R707" s="312"/>
      <c r="S707" s="310"/>
      <c r="T707" s="311"/>
      <c r="U707" s="312"/>
      <c r="V707" s="149"/>
      <c r="W707" s="311"/>
      <c r="X707" s="306"/>
      <c r="Y707" s="188"/>
      <c r="Z707" s="188"/>
      <c r="AA707" s="188"/>
      <c r="AB707" s="20"/>
      <c r="AC707" s="20"/>
      <c r="AD707" s="20"/>
      <c r="AE707" s="20"/>
    </row>
    <row r="708">
      <c r="A708" s="149"/>
      <c r="B708" s="164"/>
      <c r="C708" s="306"/>
      <c r="D708" s="149"/>
      <c r="E708" s="164"/>
      <c r="F708" s="306"/>
      <c r="G708" s="149"/>
      <c r="H708" s="164"/>
      <c r="I708" s="306"/>
      <c r="J708" s="149"/>
      <c r="K708" s="164"/>
      <c r="L708" s="306"/>
      <c r="M708" s="310"/>
      <c r="N708" s="311"/>
      <c r="O708" s="312"/>
      <c r="P708" s="310"/>
      <c r="Q708" s="311"/>
      <c r="R708" s="312"/>
      <c r="S708" s="310"/>
      <c r="T708" s="311"/>
      <c r="U708" s="312"/>
      <c r="V708" s="149"/>
      <c r="W708" s="311"/>
      <c r="X708" s="306"/>
      <c r="Y708" s="188"/>
      <c r="Z708" s="188"/>
      <c r="AA708" s="188"/>
      <c r="AB708" s="20"/>
      <c r="AC708" s="20"/>
      <c r="AD708" s="20"/>
      <c r="AE708" s="20"/>
    </row>
    <row r="709">
      <c r="A709" s="149"/>
      <c r="B709" s="164"/>
      <c r="C709" s="306"/>
      <c r="D709" s="149"/>
      <c r="E709" s="164"/>
      <c r="F709" s="306"/>
      <c r="G709" s="149"/>
      <c r="H709" s="164"/>
      <c r="I709" s="306"/>
      <c r="J709" s="149"/>
      <c r="K709" s="164"/>
      <c r="L709" s="306"/>
      <c r="M709" s="310"/>
      <c r="N709" s="311"/>
      <c r="O709" s="312"/>
      <c r="P709" s="310"/>
      <c r="Q709" s="311"/>
      <c r="R709" s="312"/>
      <c r="S709" s="310"/>
      <c r="T709" s="311"/>
      <c r="U709" s="312"/>
      <c r="V709" s="149"/>
      <c r="W709" s="311"/>
      <c r="X709" s="306"/>
      <c r="Y709" s="188"/>
      <c r="Z709" s="188"/>
      <c r="AA709" s="188"/>
      <c r="AB709" s="20"/>
      <c r="AC709" s="20"/>
      <c r="AD709" s="20"/>
      <c r="AE709" s="20"/>
    </row>
    <row r="710">
      <c r="A710" s="149"/>
      <c r="B710" s="164"/>
      <c r="C710" s="306"/>
      <c r="D710" s="149"/>
      <c r="E710" s="164"/>
      <c r="F710" s="306"/>
      <c r="G710" s="149"/>
      <c r="H710" s="164"/>
      <c r="I710" s="306"/>
      <c r="J710" s="149"/>
      <c r="K710" s="164"/>
      <c r="L710" s="306"/>
      <c r="M710" s="310"/>
      <c r="N710" s="311"/>
      <c r="O710" s="312"/>
      <c r="P710" s="310"/>
      <c r="Q710" s="311"/>
      <c r="R710" s="312"/>
      <c r="S710" s="310"/>
      <c r="T710" s="311"/>
      <c r="U710" s="312"/>
      <c r="V710" s="149"/>
      <c r="W710" s="311"/>
      <c r="X710" s="306"/>
      <c r="Y710" s="188"/>
      <c r="Z710" s="188"/>
      <c r="AA710" s="188"/>
      <c r="AB710" s="20"/>
      <c r="AC710" s="20"/>
      <c r="AD710" s="20"/>
      <c r="AE710" s="20"/>
    </row>
    <row r="711">
      <c r="A711" s="149"/>
      <c r="B711" s="164"/>
      <c r="C711" s="306"/>
      <c r="D711" s="149"/>
      <c r="E711" s="164"/>
      <c r="F711" s="306"/>
      <c r="G711" s="149"/>
      <c r="H711" s="164"/>
      <c r="I711" s="306"/>
      <c r="J711" s="149"/>
      <c r="K711" s="164"/>
      <c r="L711" s="306"/>
      <c r="M711" s="310"/>
      <c r="N711" s="311"/>
      <c r="O711" s="312"/>
      <c r="P711" s="310"/>
      <c r="Q711" s="311"/>
      <c r="R711" s="312"/>
      <c r="S711" s="310"/>
      <c r="T711" s="311"/>
      <c r="U711" s="312"/>
      <c r="V711" s="149"/>
      <c r="W711" s="311"/>
      <c r="X711" s="306"/>
      <c r="Y711" s="188"/>
      <c r="Z711" s="188"/>
      <c r="AA711" s="188"/>
      <c r="AB711" s="20"/>
      <c r="AC711" s="20"/>
      <c r="AD711" s="20"/>
      <c r="AE711" s="20"/>
    </row>
    <row r="712">
      <c r="A712" s="149"/>
      <c r="B712" s="164"/>
      <c r="C712" s="306"/>
      <c r="D712" s="149"/>
      <c r="E712" s="164"/>
      <c r="F712" s="306"/>
      <c r="G712" s="149"/>
      <c r="H712" s="164"/>
      <c r="I712" s="306"/>
      <c r="J712" s="149"/>
      <c r="K712" s="164"/>
      <c r="L712" s="306"/>
      <c r="M712" s="310"/>
      <c r="N712" s="311"/>
      <c r="O712" s="312"/>
      <c r="P712" s="310"/>
      <c r="Q712" s="311"/>
      <c r="R712" s="312"/>
      <c r="S712" s="310"/>
      <c r="T712" s="311"/>
      <c r="U712" s="312"/>
      <c r="V712" s="149"/>
      <c r="W712" s="311"/>
      <c r="X712" s="306"/>
      <c r="Y712" s="188"/>
      <c r="Z712" s="188"/>
      <c r="AA712" s="188"/>
      <c r="AB712" s="20"/>
      <c r="AC712" s="20"/>
      <c r="AD712" s="20"/>
      <c r="AE712" s="20"/>
    </row>
    <row r="713">
      <c r="A713" s="149"/>
      <c r="B713" s="164"/>
      <c r="C713" s="306"/>
      <c r="D713" s="149"/>
      <c r="E713" s="164"/>
      <c r="F713" s="306"/>
      <c r="G713" s="149"/>
      <c r="H713" s="164"/>
      <c r="I713" s="306"/>
      <c r="J713" s="149"/>
      <c r="K713" s="164"/>
      <c r="L713" s="306"/>
      <c r="M713" s="310"/>
      <c r="N713" s="311"/>
      <c r="O713" s="312"/>
      <c r="P713" s="310"/>
      <c r="Q713" s="311"/>
      <c r="R713" s="312"/>
      <c r="S713" s="310"/>
      <c r="T713" s="311"/>
      <c r="U713" s="312"/>
      <c r="V713" s="149"/>
      <c r="W713" s="311"/>
      <c r="X713" s="306"/>
      <c r="Y713" s="188"/>
      <c r="Z713" s="188"/>
      <c r="AA713" s="188"/>
      <c r="AB713" s="20"/>
      <c r="AC713" s="20"/>
      <c r="AD713" s="20"/>
      <c r="AE713" s="20"/>
    </row>
    <row r="714">
      <c r="A714" s="149"/>
      <c r="B714" s="164"/>
      <c r="C714" s="306"/>
      <c r="D714" s="149"/>
      <c r="E714" s="164"/>
      <c r="F714" s="306"/>
      <c r="G714" s="149"/>
      <c r="H714" s="164"/>
      <c r="I714" s="306"/>
      <c r="J714" s="149"/>
      <c r="K714" s="164"/>
      <c r="L714" s="306"/>
      <c r="M714" s="310"/>
      <c r="N714" s="311"/>
      <c r="O714" s="312"/>
      <c r="P714" s="310"/>
      <c r="Q714" s="311"/>
      <c r="R714" s="312"/>
      <c r="S714" s="310"/>
      <c r="T714" s="311"/>
      <c r="U714" s="312"/>
      <c r="V714" s="149"/>
      <c r="W714" s="311"/>
      <c r="X714" s="306"/>
      <c r="Y714" s="188"/>
      <c r="Z714" s="188"/>
      <c r="AA714" s="188"/>
      <c r="AB714" s="20"/>
      <c r="AC714" s="20"/>
      <c r="AD714" s="20"/>
      <c r="AE714" s="20"/>
    </row>
    <row r="715">
      <c r="A715" s="149"/>
      <c r="B715" s="164"/>
      <c r="C715" s="306"/>
      <c r="D715" s="149"/>
      <c r="E715" s="164"/>
      <c r="F715" s="306"/>
      <c r="G715" s="149"/>
      <c r="H715" s="164"/>
      <c r="I715" s="306"/>
      <c r="J715" s="149"/>
      <c r="K715" s="164"/>
      <c r="L715" s="306"/>
      <c r="M715" s="310"/>
      <c r="N715" s="311"/>
      <c r="O715" s="312"/>
      <c r="P715" s="310"/>
      <c r="Q715" s="311"/>
      <c r="R715" s="312"/>
      <c r="S715" s="310"/>
      <c r="T715" s="311"/>
      <c r="U715" s="312"/>
      <c r="V715" s="149"/>
      <c r="W715" s="311"/>
      <c r="X715" s="306"/>
      <c r="Y715" s="188"/>
      <c r="Z715" s="188"/>
      <c r="AA715" s="188"/>
      <c r="AB715" s="20"/>
      <c r="AC715" s="20"/>
      <c r="AD715" s="20"/>
      <c r="AE715" s="20"/>
    </row>
    <row r="716">
      <c r="A716" s="149"/>
      <c r="B716" s="164"/>
      <c r="C716" s="306"/>
      <c r="D716" s="149"/>
      <c r="E716" s="164"/>
      <c r="F716" s="306"/>
      <c r="G716" s="149"/>
      <c r="H716" s="164"/>
      <c r="I716" s="306"/>
      <c r="J716" s="149"/>
      <c r="K716" s="164"/>
      <c r="L716" s="306"/>
      <c r="M716" s="310"/>
      <c r="N716" s="311"/>
      <c r="O716" s="312"/>
      <c r="P716" s="310"/>
      <c r="Q716" s="311"/>
      <c r="R716" s="312"/>
      <c r="S716" s="310"/>
      <c r="T716" s="311"/>
      <c r="U716" s="312"/>
      <c r="V716" s="149"/>
      <c r="W716" s="311"/>
      <c r="X716" s="306"/>
      <c r="Y716" s="188"/>
      <c r="Z716" s="188"/>
      <c r="AA716" s="188"/>
      <c r="AB716" s="20"/>
      <c r="AC716" s="20"/>
      <c r="AD716" s="20"/>
      <c r="AE716" s="20"/>
    </row>
    <row r="717">
      <c r="A717" s="149"/>
      <c r="B717" s="164"/>
      <c r="C717" s="306"/>
      <c r="D717" s="149"/>
      <c r="E717" s="164"/>
      <c r="F717" s="306"/>
      <c r="G717" s="149"/>
      <c r="H717" s="164"/>
      <c r="I717" s="306"/>
      <c r="J717" s="149"/>
      <c r="K717" s="164"/>
      <c r="L717" s="306"/>
      <c r="M717" s="310"/>
      <c r="N717" s="311"/>
      <c r="O717" s="312"/>
      <c r="P717" s="310"/>
      <c r="Q717" s="311"/>
      <c r="R717" s="312"/>
      <c r="S717" s="310"/>
      <c r="T717" s="311"/>
      <c r="U717" s="312"/>
      <c r="V717" s="149"/>
      <c r="W717" s="311"/>
      <c r="X717" s="306"/>
      <c r="Y717" s="188"/>
      <c r="Z717" s="188"/>
      <c r="AA717" s="188"/>
      <c r="AB717" s="20"/>
      <c r="AC717" s="20"/>
      <c r="AD717" s="20"/>
      <c r="AE717" s="20"/>
    </row>
    <row r="718">
      <c r="A718" s="149"/>
      <c r="B718" s="164"/>
      <c r="C718" s="306"/>
      <c r="D718" s="149"/>
      <c r="E718" s="164"/>
      <c r="F718" s="306"/>
      <c r="G718" s="149"/>
      <c r="H718" s="164"/>
      <c r="I718" s="306"/>
      <c r="J718" s="149"/>
      <c r="K718" s="164"/>
      <c r="L718" s="306"/>
      <c r="M718" s="310"/>
      <c r="N718" s="311"/>
      <c r="O718" s="312"/>
      <c r="P718" s="310"/>
      <c r="Q718" s="311"/>
      <c r="R718" s="312"/>
      <c r="S718" s="310"/>
      <c r="T718" s="311"/>
      <c r="U718" s="312"/>
      <c r="V718" s="149"/>
      <c r="W718" s="311"/>
      <c r="X718" s="306"/>
      <c r="Y718" s="188"/>
      <c r="Z718" s="188"/>
      <c r="AA718" s="188"/>
      <c r="AB718" s="20"/>
      <c r="AC718" s="20"/>
      <c r="AD718" s="20"/>
      <c r="AE718" s="20"/>
    </row>
    <row r="719">
      <c r="A719" s="149"/>
      <c r="B719" s="164"/>
      <c r="C719" s="306"/>
      <c r="D719" s="149"/>
      <c r="E719" s="164"/>
      <c r="F719" s="306"/>
      <c r="G719" s="149"/>
      <c r="H719" s="164"/>
      <c r="I719" s="306"/>
      <c r="J719" s="149"/>
      <c r="K719" s="164"/>
      <c r="L719" s="306"/>
      <c r="M719" s="310"/>
      <c r="N719" s="311"/>
      <c r="O719" s="312"/>
      <c r="P719" s="310"/>
      <c r="Q719" s="311"/>
      <c r="R719" s="312"/>
      <c r="S719" s="310"/>
      <c r="T719" s="311"/>
      <c r="U719" s="312"/>
      <c r="V719" s="149"/>
      <c r="W719" s="311"/>
      <c r="X719" s="306"/>
      <c r="Y719" s="188"/>
      <c r="Z719" s="188"/>
      <c r="AA719" s="188"/>
      <c r="AB719" s="20"/>
      <c r="AC719" s="20"/>
      <c r="AD719" s="20"/>
      <c r="AE719" s="20"/>
    </row>
    <row r="720">
      <c r="A720" s="149"/>
      <c r="B720" s="164"/>
      <c r="C720" s="306"/>
      <c r="D720" s="149"/>
      <c r="E720" s="164"/>
      <c r="F720" s="306"/>
      <c r="G720" s="149"/>
      <c r="H720" s="164"/>
      <c r="I720" s="306"/>
      <c r="J720" s="149"/>
      <c r="K720" s="164"/>
      <c r="L720" s="306"/>
      <c r="M720" s="310"/>
      <c r="N720" s="311"/>
      <c r="O720" s="312"/>
      <c r="P720" s="310"/>
      <c r="Q720" s="311"/>
      <c r="R720" s="312"/>
      <c r="S720" s="310"/>
      <c r="T720" s="311"/>
      <c r="U720" s="312"/>
      <c r="V720" s="149"/>
      <c r="W720" s="311"/>
      <c r="X720" s="306"/>
      <c r="Y720" s="188"/>
      <c r="Z720" s="188"/>
      <c r="AA720" s="188"/>
      <c r="AB720" s="20"/>
      <c r="AC720" s="20"/>
      <c r="AD720" s="20"/>
      <c r="AE720" s="20"/>
    </row>
    <row r="721">
      <c r="A721" s="149"/>
      <c r="B721" s="164"/>
      <c r="C721" s="306"/>
      <c r="D721" s="149"/>
      <c r="E721" s="164"/>
      <c r="F721" s="306"/>
      <c r="G721" s="149"/>
      <c r="H721" s="164"/>
      <c r="I721" s="306"/>
      <c r="J721" s="149"/>
      <c r="K721" s="164"/>
      <c r="L721" s="306"/>
      <c r="M721" s="310"/>
      <c r="N721" s="311"/>
      <c r="O721" s="312"/>
      <c r="P721" s="310"/>
      <c r="Q721" s="311"/>
      <c r="R721" s="312"/>
      <c r="S721" s="310"/>
      <c r="T721" s="311"/>
      <c r="U721" s="312"/>
      <c r="V721" s="149"/>
      <c r="W721" s="311"/>
      <c r="X721" s="306"/>
      <c r="Y721" s="188"/>
      <c r="Z721" s="188"/>
      <c r="AA721" s="188"/>
      <c r="AB721" s="20"/>
      <c r="AC721" s="20"/>
      <c r="AD721" s="20"/>
      <c r="AE721" s="20"/>
    </row>
    <row r="722">
      <c r="A722" s="149"/>
      <c r="B722" s="164"/>
      <c r="C722" s="306"/>
      <c r="D722" s="149"/>
      <c r="E722" s="164"/>
      <c r="F722" s="306"/>
      <c r="G722" s="149"/>
      <c r="H722" s="164"/>
      <c r="I722" s="306"/>
      <c r="J722" s="149"/>
      <c r="K722" s="164"/>
      <c r="L722" s="306"/>
      <c r="M722" s="310"/>
      <c r="N722" s="311"/>
      <c r="O722" s="312"/>
      <c r="P722" s="310"/>
      <c r="Q722" s="311"/>
      <c r="R722" s="312"/>
      <c r="S722" s="310"/>
      <c r="T722" s="311"/>
      <c r="U722" s="312"/>
      <c r="V722" s="149"/>
      <c r="W722" s="311"/>
      <c r="X722" s="306"/>
      <c r="Y722" s="188"/>
      <c r="Z722" s="188"/>
      <c r="AA722" s="188"/>
      <c r="AB722" s="20"/>
      <c r="AC722" s="20"/>
      <c r="AD722" s="20"/>
      <c r="AE722" s="20"/>
    </row>
    <row r="723">
      <c r="A723" s="149"/>
      <c r="B723" s="164"/>
      <c r="C723" s="306"/>
      <c r="D723" s="149"/>
      <c r="E723" s="164"/>
      <c r="F723" s="306"/>
      <c r="G723" s="149"/>
      <c r="H723" s="164"/>
      <c r="I723" s="306"/>
      <c r="J723" s="149"/>
      <c r="K723" s="164"/>
      <c r="L723" s="306"/>
      <c r="M723" s="310"/>
      <c r="N723" s="311"/>
      <c r="O723" s="312"/>
      <c r="P723" s="310"/>
      <c r="Q723" s="311"/>
      <c r="R723" s="312"/>
      <c r="S723" s="310"/>
      <c r="T723" s="311"/>
      <c r="U723" s="312"/>
      <c r="V723" s="149"/>
      <c r="W723" s="311"/>
      <c r="X723" s="306"/>
      <c r="Y723" s="188"/>
      <c r="Z723" s="188"/>
      <c r="AA723" s="188"/>
      <c r="AB723" s="20"/>
      <c r="AC723" s="20"/>
      <c r="AD723" s="20"/>
      <c r="AE723" s="20"/>
    </row>
    <row r="724">
      <c r="A724" s="149"/>
      <c r="B724" s="164"/>
      <c r="C724" s="306"/>
      <c r="D724" s="149"/>
      <c r="E724" s="164"/>
      <c r="F724" s="306"/>
      <c r="G724" s="149"/>
      <c r="H724" s="164"/>
      <c r="I724" s="306"/>
      <c r="J724" s="149"/>
      <c r="K724" s="164"/>
      <c r="L724" s="306"/>
      <c r="M724" s="310"/>
      <c r="N724" s="311"/>
      <c r="O724" s="312"/>
      <c r="P724" s="310"/>
      <c r="Q724" s="311"/>
      <c r="R724" s="312"/>
      <c r="S724" s="310"/>
      <c r="T724" s="311"/>
      <c r="U724" s="312"/>
      <c r="V724" s="149"/>
      <c r="W724" s="311"/>
      <c r="X724" s="306"/>
      <c r="Y724" s="188"/>
      <c r="Z724" s="188"/>
      <c r="AA724" s="188"/>
      <c r="AB724" s="20"/>
      <c r="AC724" s="20"/>
      <c r="AD724" s="20"/>
      <c r="AE724" s="20"/>
    </row>
    <row r="725">
      <c r="A725" s="149"/>
      <c r="B725" s="164"/>
      <c r="C725" s="306"/>
      <c r="D725" s="149"/>
      <c r="E725" s="164"/>
      <c r="F725" s="306"/>
      <c r="G725" s="149"/>
      <c r="H725" s="164"/>
      <c r="I725" s="306"/>
      <c r="J725" s="149"/>
      <c r="K725" s="164"/>
      <c r="L725" s="306"/>
      <c r="M725" s="310"/>
      <c r="N725" s="311"/>
      <c r="O725" s="312"/>
      <c r="P725" s="310"/>
      <c r="Q725" s="311"/>
      <c r="R725" s="312"/>
      <c r="S725" s="310"/>
      <c r="T725" s="311"/>
      <c r="U725" s="312"/>
      <c r="V725" s="149"/>
      <c r="W725" s="311"/>
      <c r="X725" s="306"/>
      <c r="Y725" s="188"/>
      <c r="Z725" s="188"/>
      <c r="AA725" s="188"/>
      <c r="AB725" s="20"/>
      <c r="AC725" s="20"/>
      <c r="AD725" s="20"/>
      <c r="AE725" s="20"/>
    </row>
    <row r="726">
      <c r="A726" s="149"/>
      <c r="B726" s="164"/>
      <c r="C726" s="306"/>
      <c r="D726" s="149"/>
      <c r="E726" s="164"/>
      <c r="F726" s="306"/>
      <c r="G726" s="149"/>
      <c r="H726" s="164"/>
      <c r="I726" s="306"/>
      <c r="J726" s="149"/>
      <c r="K726" s="164"/>
      <c r="L726" s="306"/>
      <c r="M726" s="310"/>
      <c r="N726" s="311"/>
      <c r="O726" s="312"/>
      <c r="P726" s="310"/>
      <c r="Q726" s="311"/>
      <c r="R726" s="312"/>
      <c r="S726" s="310"/>
      <c r="T726" s="311"/>
      <c r="U726" s="312"/>
      <c r="V726" s="149"/>
      <c r="W726" s="311"/>
      <c r="X726" s="306"/>
      <c r="Y726" s="188"/>
      <c r="Z726" s="188"/>
      <c r="AA726" s="188"/>
      <c r="AB726" s="20"/>
      <c r="AC726" s="20"/>
      <c r="AD726" s="20"/>
      <c r="AE726" s="20"/>
    </row>
    <row r="727">
      <c r="A727" s="149"/>
      <c r="B727" s="164"/>
      <c r="C727" s="306"/>
      <c r="D727" s="149"/>
      <c r="E727" s="164"/>
      <c r="F727" s="306"/>
      <c r="G727" s="149"/>
      <c r="H727" s="164"/>
      <c r="I727" s="306"/>
      <c r="J727" s="149"/>
      <c r="K727" s="164"/>
      <c r="L727" s="306"/>
      <c r="M727" s="310"/>
      <c r="N727" s="311"/>
      <c r="O727" s="312"/>
      <c r="P727" s="310"/>
      <c r="Q727" s="311"/>
      <c r="R727" s="312"/>
      <c r="S727" s="310"/>
      <c r="T727" s="311"/>
      <c r="U727" s="312"/>
      <c r="V727" s="149"/>
      <c r="W727" s="311"/>
      <c r="X727" s="306"/>
      <c r="Y727" s="188"/>
      <c r="Z727" s="188"/>
      <c r="AA727" s="188"/>
      <c r="AB727" s="20"/>
      <c r="AC727" s="20"/>
      <c r="AD727" s="20"/>
      <c r="AE727" s="20"/>
    </row>
    <row r="728">
      <c r="A728" s="149"/>
      <c r="B728" s="164"/>
      <c r="C728" s="306"/>
      <c r="D728" s="149"/>
      <c r="E728" s="164"/>
      <c r="F728" s="306"/>
      <c r="G728" s="149"/>
      <c r="H728" s="164"/>
      <c r="I728" s="306"/>
      <c r="J728" s="149"/>
      <c r="K728" s="164"/>
      <c r="L728" s="306"/>
      <c r="M728" s="310"/>
      <c r="N728" s="311"/>
      <c r="O728" s="312"/>
      <c r="P728" s="310"/>
      <c r="Q728" s="311"/>
      <c r="R728" s="312"/>
      <c r="S728" s="310"/>
      <c r="T728" s="311"/>
      <c r="U728" s="312"/>
      <c r="V728" s="149"/>
      <c r="W728" s="311"/>
      <c r="X728" s="306"/>
      <c r="Y728" s="188"/>
      <c r="Z728" s="188"/>
      <c r="AA728" s="188"/>
      <c r="AB728" s="20"/>
      <c r="AC728" s="20"/>
      <c r="AD728" s="20"/>
      <c r="AE728" s="20"/>
    </row>
    <row r="729">
      <c r="A729" s="149"/>
      <c r="B729" s="164"/>
      <c r="C729" s="306"/>
      <c r="D729" s="149"/>
      <c r="E729" s="164"/>
      <c r="F729" s="306"/>
      <c r="G729" s="149"/>
      <c r="H729" s="164"/>
      <c r="I729" s="306"/>
      <c r="J729" s="149"/>
      <c r="K729" s="164"/>
      <c r="L729" s="306"/>
      <c r="M729" s="310"/>
      <c r="N729" s="311"/>
      <c r="O729" s="312"/>
      <c r="P729" s="310"/>
      <c r="Q729" s="311"/>
      <c r="R729" s="312"/>
      <c r="S729" s="310"/>
      <c r="T729" s="311"/>
      <c r="U729" s="312"/>
      <c r="V729" s="149"/>
      <c r="W729" s="311"/>
      <c r="X729" s="306"/>
      <c r="Y729" s="188"/>
      <c r="Z729" s="188"/>
      <c r="AA729" s="188"/>
      <c r="AB729" s="20"/>
      <c r="AC729" s="20"/>
      <c r="AD729" s="20"/>
      <c r="AE729" s="20"/>
    </row>
    <row r="730">
      <c r="A730" s="149"/>
      <c r="B730" s="164"/>
      <c r="C730" s="306"/>
      <c r="D730" s="149"/>
      <c r="E730" s="164"/>
      <c r="F730" s="306"/>
      <c r="G730" s="149"/>
      <c r="H730" s="164"/>
      <c r="I730" s="306"/>
      <c r="J730" s="149"/>
      <c r="K730" s="164"/>
      <c r="L730" s="306"/>
      <c r="M730" s="310"/>
      <c r="N730" s="311"/>
      <c r="O730" s="312"/>
      <c r="P730" s="310"/>
      <c r="Q730" s="311"/>
      <c r="R730" s="312"/>
      <c r="S730" s="310"/>
      <c r="T730" s="311"/>
      <c r="U730" s="312"/>
      <c r="V730" s="149"/>
      <c r="W730" s="311"/>
      <c r="X730" s="306"/>
      <c r="Y730" s="188"/>
      <c r="Z730" s="188"/>
      <c r="AA730" s="188"/>
      <c r="AB730" s="20"/>
      <c r="AC730" s="20"/>
      <c r="AD730" s="20"/>
      <c r="AE730" s="20"/>
    </row>
    <row r="731">
      <c r="A731" s="149"/>
      <c r="B731" s="164"/>
      <c r="C731" s="306"/>
      <c r="D731" s="149"/>
      <c r="E731" s="164"/>
      <c r="F731" s="306"/>
      <c r="G731" s="149"/>
      <c r="H731" s="164"/>
      <c r="I731" s="306"/>
      <c r="J731" s="149"/>
      <c r="K731" s="164"/>
      <c r="L731" s="306"/>
      <c r="M731" s="310"/>
      <c r="N731" s="311"/>
      <c r="O731" s="312"/>
      <c r="P731" s="310"/>
      <c r="Q731" s="311"/>
      <c r="R731" s="312"/>
      <c r="S731" s="310"/>
      <c r="T731" s="311"/>
      <c r="U731" s="312"/>
      <c r="V731" s="149"/>
      <c r="W731" s="311"/>
      <c r="X731" s="306"/>
      <c r="Y731" s="188"/>
      <c r="Z731" s="188"/>
      <c r="AA731" s="188"/>
      <c r="AB731" s="20"/>
      <c r="AC731" s="20"/>
      <c r="AD731" s="20"/>
      <c r="AE731" s="20"/>
    </row>
    <row r="732">
      <c r="A732" s="149"/>
      <c r="B732" s="164"/>
      <c r="C732" s="306"/>
      <c r="D732" s="149"/>
      <c r="E732" s="164"/>
      <c r="F732" s="306"/>
      <c r="G732" s="149"/>
      <c r="H732" s="164"/>
      <c r="I732" s="306"/>
      <c r="J732" s="149"/>
      <c r="K732" s="164"/>
      <c r="L732" s="306"/>
      <c r="M732" s="310"/>
      <c r="N732" s="311"/>
      <c r="O732" s="312"/>
      <c r="P732" s="310"/>
      <c r="Q732" s="311"/>
      <c r="R732" s="312"/>
      <c r="S732" s="310"/>
      <c r="T732" s="311"/>
      <c r="U732" s="312"/>
      <c r="V732" s="149"/>
      <c r="W732" s="311"/>
      <c r="X732" s="306"/>
      <c r="Y732" s="188"/>
      <c r="Z732" s="188"/>
      <c r="AA732" s="188"/>
      <c r="AB732" s="20"/>
      <c r="AC732" s="20"/>
      <c r="AD732" s="20"/>
      <c r="AE732" s="20"/>
    </row>
    <row r="733">
      <c r="A733" s="149"/>
      <c r="B733" s="164"/>
      <c r="C733" s="306"/>
      <c r="D733" s="149"/>
      <c r="E733" s="164"/>
      <c r="F733" s="306"/>
      <c r="G733" s="149"/>
      <c r="H733" s="164"/>
      <c r="I733" s="306"/>
      <c r="J733" s="149"/>
      <c r="K733" s="164"/>
      <c r="L733" s="306"/>
      <c r="M733" s="310"/>
      <c r="N733" s="311"/>
      <c r="O733" s="312"/>
      <c r="P733" s="310"/>
      <c r="Q733" s="311"/>
      <c r="R733" s="312"/>
      <c r="S733" s="310"/>
      <c r="T733" s="311"/>
      <c r="U733" s="312"/>
      <c r="V733" s="149"/>
      <c r="W733" s="311"/>
      <c r="X733" s="306"/>
      <c r="Y733" s="188"/>
      <c r="Z733" s="188"/>
      <c r="AA733" s="188"/>
      <c r="AB733" s="20"/>
      <c r="AC733" s="20"/>
      <c r="AD733" s="20"/>
      <c r="AE733" s="20"/>
    </row>
    <row r="734">
      <c r="A734" s="149"/>
      <c r="B734" s="164"/>
      <c r="C734" s="306"/>
      <c r="D734" s="149"/>
      <c r="E734" s="164"/>
      <c r="F734" s="306"/>
      <c r="G734" s="149"/>
      <c r="H734" s="164"/>
      <c r="I734" s="306"/>
      <c r="J734" s="149"/>
      <c r="K734" s="164"/>
      <c r="L734" s="306"/>
      <c r="M734" s="310"/>
      <c r="N734" s="311"/>
      <c r="O734" s="312"/>
      <c r="P734" s="310"/>
      <c r="Q734" s="311"/>
      <c r="R734" s="312"/>
      <c r="S734" s="310"/>
      <c r="T734" s="311"/>
      <c r="U734" s="312"/>
      <c r="V734" s="149"/>
      <c r="W734" s="311"/>
      <c r="X734" s="306"/>
      <c r="Y734" s="188"/>
      <c r="Z734" s="188"/>
      <c r="AA734" s="188"/>
      <c r="AB734" s="20"/>
      <c r="AC734" s="20"/>
      <c r="AD734" s="20"/>
      <c r="AE734" s="20"/>
    </row>
    <row r="735">
      <c r="A735" s="149"/>
      <c r="B735" s="164"/>
      <c r="C735" s="306"/>
      <c r="D735" s="149"/>
      <c r="E735" s="164"/>
      <c r="F735" s="306"/>
      <c r="G735" s="149"/>
      <c r="H735" s="164"/>
      <c r="I735" s="306"/>
      <c r="J735" s="149"/>
      <c r="K735" s="164"/>
      <c r="L735" s="306"/>
      <c r="M735" s="310"/>
      <c r="N735" s="311"/>
      <c r="O735" s="312"/>
      <c r="P735" s="310"/>
      <c r="Q735" s="311"/>
      <c r="R735" s="312"/>
      <c r="S735" s="310"/>
      <c r="T735" s="311"/>
      <c r="U735" s="312"/>
      <c r="V735" s="149"/>
      <c r="W735" s="311"/>
      <c r="X735" s="306"/>
      <c r="Y735" s="188"/>
      <c r="Z735" s="188"/>
      <c r="AA735" s="188"/>
      <c r="AB735" s="20"/>
      <c r="AC735" s="20"/>
      <c r="AD735" s="20"/>
      <c r="AE735" s="20"/>
    </row>
    <row r="736">
      <c r="A736" s="149"/>
      <c r="B736" s="164"/>
      <c r="C736" s="306"/>
      <c r="D736" s="149"/>
      <c r="E736" s="164"/>
      <c r="F736" s="306"/>
      <c r="G736" s="149"/>
      <c r="H736" s="164"/>
      <c r="I736" s="306"/>
      <c r="J736" s="149"/>
      <c r="K736" s="164"/>
      <c r="L736" s="306"/>
      <c r="M736" s="310"/>
      <c r="N736" s="311"/>
      <c r="O736" s="312"/>
      <c r="P736" s="310"/>
      <c r="Q736" s="311"/>
      <c r="R736" s="312"/>
      <c r="S736" s="310"/>
      <c r="T736" s="311"/>
      <c r="U736" s="312"/>
      <c r="V736" s="149"/>
      <c r="W736" s="311"/>
      <c r="X736" s="306"/>
      <c r="Y736" s="188"/>
      <c r="Z736" s="188"/>
      <c r="AA736" s="188"/>
      <c r="AB736" s="20"/>
      <c r="AC736" s="20"/>
      <c r="AD736" s="20"/>
      <c r="AE736" s="20"/>
    </row>
    <row r="737">
      <c r="A737" s="149"/>
      <c r="B737" s="164"/>
      <c r="C737" s="306"/>
      <c r="D737" s="149"/>
      <c r="E737" s="164"/>
      <c r="F737" s="306"/>
      <c r="G737" s="149"/>
      <c r="H737" s="164"/>
      <c r="I737" s="306"/>
      <c r="J737" s="149"/>
      <c r="K737" s="164"/>
      <c r="L737" s="306"/>
      <c r="M737" s="310"/>
      <c r="N737" s="311"/>
      <c r="O737" s="312"/>
      <c r="P737" s="310"/>
      <c r="Q737" s="311"/>
      <c r="R737" s="312"/>
      <c r="S737" s="310"/>
      <c r="T737" s="311"/>
      <c r="U737" s="312"/>
      <c r="V737" s="149"/>
      <c r="W737" s="311"/>
      <c r="X737" s="306"/>
      <c r="Y737" s="188"/>
      <c r="Z737" s="188"/>
      <c r="AA737" s="188"/>
      <c r="AB737" s="20"/>
      <c r="AC737" s="20"/>
      <c r="AD737" s="20"/>
      <c r="AE737" s="20"/>
    </row>
    <row r="738">
      <c r="A738" s="149"/>
      <c r="B738" s="164"/>
      <c r="C738" s="306"/>
      <c r="D738" s="149"/>
      <c r="E738" s="164"/>
      <c r="F738" s="306"/>
      <c r="G738" s="149"/>
      <c r="H738" s="164"/>
      <c r="I738" s="306"/>
      <c r="J738" s="149"/>
      <c r="K738" s="164"/>
      <c r="L738" s="306"/>
      <c r="M738" s="310"/>
      <c r="N738" s="311"/>
      <c r="O738" s="312"/>
      <c r="P738" s="310"/>
      <c r="Q738" s="311"/>
      <c r="R738" s="312"/>
      <c r="S738" s="310"/>
      <c r="T738" s="311"/>
      <c r="U738" s="312"/>
      <c r="V738" s="149"/>
      <c r="W738" s="311"/>
      <c r="X738" s="306"/>
      <c r="Y738" s="188"/>
      <c r="Z738" s="188"/>
      <c r="AA738" s="188"/>
      <c r="AB738" s="20"/>
      <c r="AC738" s="20"/>
      <c r="AD738" s="20"/>
      <c r="AE738" s="20"/>
    </row>
    <row r="739">
      <c r="A739" s="149"/>
      <c r="B739" s="164"/>
      <c r="C739" s="306"/>
      <c r="D739" s="149"/>
      <c r="E739" s="164"/>
      <c r="F739" s="306"/>
      <c r="G739" s="149"/>
      <c r="H739" s="164"/>
      <c r="I739" s="306"/>
      <c r="J739" s="149"/>
      <c r="K739" s="164"/>
      <c r="L739" s="306"/>
      <c r="M739" s="310"/>
      <c r="N739" s="311"/>
      <c r="O739" s="312"/>
      <c r="P739" s="310"/>
      <c r="Q739" s="311"/>
      <c r="R739" s="312"/>
      <c r="S739" s="310"/>
      <c r="T739" s="311"/>
      <c r="U739" s="312"/>
      <c r="V739" s="149"/>
      <c r="W739" s="311"/>
      <c r="X739" s="306"/>
      <c r="Y739" s="188"/>
      <c r="Z739" s="188"/>
      <c r="AA739" s="188"/>
      <c r="AB739" s="20"/>
      <c r="AC739" s="20"/>
      <c r="AD739" s="20"/>
      <c r="AE739" s="20"/>
    </row>
    <row r="740">
      <c r="A740" s="149"/>
      <c r="B740" s="164"/>
      <c r="C740" s="306"/>
      <c r="D740" s="149"/>
      <c r="E740" s="164"/>
      <c r="F740" s="306"/>
      <c r="G740" s="149"/>
      <c r="H740" s="164"/>
      <c r="I740" s="306"/>
      <c r="J740" s="149"/>
      <c r="K740" s="164"/>
      <c r="L740" s="306"/>
      <c r="M740" s="310"/>
      <c r="N740" s="311"/>
      <c r="O740" s="312"/>
      <c r="P740" s="310"/>
      <c r="Q740" s="311"/>
      <c r="R740" s="312"/>
      <c r="S740" s="310"/>
      <c r="T740" s="311"/>
      <c r="U740" s="312"/>
      <c r="V740" s="149"/>
      <c r="W740" s="311"/>
      <c r="X740" s="306"/>
      <c r="Y740" s="188"/>
      <c r="Z740" s="188"/>
      <c r="AA740" s="188"/>
      <c r="AB740" s="20"/>
      <c r="AC740" s="20"/>
      <c r="AD740" s="20"/>
      <c r="AE740" s="20"/>
    </row>
    <row r="741">
      <c r="A741" s="149"/>
      <c r="B741" s="164"/>
      <c r="C741" s="306"/>
      <c r="D741" s="149"/>
      <c r="E741" s="164"/>
      <c r="F741" s="306"/>
      <c r="G741" s="149"/>
      <c r="H741" s="164"/>
      <c r="I741" s="306"/>
      <c r="J741" s="149"/>
      <c r="K741" s="164"/>
      <c r="L741" s="306"/>
      <c r="M741" s="310"/>
      <c r="N741" s="311"/>
      <c r="O741" s="312"/>
      <c r="P741" s="310"/>
      <c r="Q741" s="311"/>
      <c r="R741" s="312"/>
      <c r="S741" s="310"/>
      <c r="T741" s="311"/>
      <c r="U741" s="312"/>
      <c r="V741" s="149"/>
      <c r="W741" s="311"/>
      <c r="X741" s="306"/>
      <c r="Y741" s="188"/>
      <c r="Z741" s="188"/>
      <c r="AA741" s="188"/>
      <c r="AB741" s="20"/>
      <c r="AC741" s="20"/>
      <c r="AD741" s="20"/>
      <c r="AE741" s="20"/>
    </row>
    <row r="742">
      <c r="A742" s="149"/>
      <c r="B742" s="164"/>
      <c r="C742" s="306"/>
      <c r="D742" s="149"/>
      <c r="E742" s="164"/>
      <c r="F742" s="306"/>
      <c r="G742" s="149"/>
      <c r="H742" s="164"/>
      <c r="I742" s="306"/>
      <c r="J742" s="149"/>
      <c r="K742" s="164"/>
      <c r="L742" s="306"/>
      <c r="M742" s="310"/>
      <c r="N742" s="311"/>
      <c r="O742" s="312"/>
      <c r="P742" s="310"/>
      <c r="Q742" s="311"/>
      <c r="R742" s="312"/>
      <c r="S742" s="310"/>
      <c r="T742" s="311"/>
      <c r="U742" s="312"/>
      <c r="V742" s="149"/>
      <c r="W742" s="311"/>
      <c r="X742" s="306"/>
      <c r="Y742" s="188"/>
      <c r="Z742" s="188"/>
      <c r="AA742" s="188"/>
      <c r="AB742" s="20"/>
      <c r="AC742" s="20"/>
      <c r="AD742" s="20"/>
      <c r="AE742" s="20"/>
    </row>
    <row r="743">
      <c r="A743" s="149"/>
      <c r="B743" s="164"/>
      <c r="C743" s="306"/>
      <c r="D743" s="149"/>
      <c r="E743" s="164"/>
      <c r="F743" s="306"/>
      <c r="G743" s="149"/>
      <c r="H743" s="164"/>
      <c r="I743" s="306"/>
      <c r="J743" s="149"/>
      <c r="K743" s="164"/>
      <c r="L743" s="306"/>
      <c r="M743" s="310"/>
      <c r="N743" s="311"/>
      <c r="O743" s="312"/>
      <c r="P743" s="310"/>
      <c r="Q743" s="311"/>
      <c r="R743" s="312"/>
      <c r="S743" s="310"/>
      <c r="T743" s="311"/>
      <c r="U743" s="312"/>
      <c r="V743" s="149"/>
      <c r="W743" s="311"/>
      <c r="X743" s="306"/>
      <c r="Y743" s="188"/>
      <c r="Z743" s="188"/>
      <c r="AA743" s="188"/>
      <c r="AB743" s="20"/>
      <c r="AC743" s="20"/>
      <c r="AD743" s="20"/>
      <c r="AE743" s="20"/>
    </row>
    <row r="744">
      <c r="A744" s="149"/>
      <c r="B744" s="164"/>
      <c r="C744" s="306"/>
      <c r="D744" s="149"/>
      <c r="E744" s="164"/>
      <c r="F744" s="306"/>
      <c r="G744" s="149"/>
      <c r="H744" s="164"/>
      <c r="I744" s="306"/>
      <c r="J744" s="149"/>
      <c r="K744" s="164"/>
      <c r="L744" s="306"/>
      <c r="M744" s="310"/>
      <c r="N744" s="311"/>
      <c r="O744" s="312"/>
      <c r="P744" s="310"/>
      <c r="Q744" s="311"/>
      <c r="R744" s="312"/>
      <c r="S744" s="310"/>
      <c r="T744" s="311"/>
      <c r="U744" s="312"/>
      <c r="V744" s="149"/>
      <c r="W744" s="311"/>
      <c r="X744" s="306"/>
      <c r="Y744" s="188"/>
      <c r="Z744" s="188"/>
      <c r="AA744" s="188"/>
      <c r="AB744" s="20"/>
      <c r="AC744" s="20"/>
      <c r="AD744" s="20"/>
      <c r="AE744" s="20"/>
    </row>
    <row r="745">
      <c r="A745" s="149"/>
      <c r="B745" s="164"/>
      <c r="C745" s="306"/>
      <c r="D745" s="149"/>
      <c r="E745" s="164"/>
      <c r="F745" s="306"/>
      <c r="G745" s="149"/>
      <c r="H745" s="164"/>
      <c r="I745" s="306"/>
      <c r="J745" s="149"/>
      <c r="K745" s="164"/>
      <c r="L745" s="306"/>
      <c r="M745" s="310"/>
      <c r="N745" s="311"/>
      <c r="O745" s="312"/>
      <c r="P745" s="310"/>
      <c r="Q745" s="311"/>
      <c r="R745" s="312"/>
      <c r="S745" s="310"/>
      <c r="T745" s="311"/>
      <c r="U745" s="312"/>
      <c r="V745" s="149"/>
      <c r="W745" s="311"/>
      <c r="X745" s="306"/>
      <c r="Y745" s="188"/>
      <c r="Z745" s="188"/>
      <c r="AA745" s="188"/>
      <c r="AB745" s="20"/>
      <c r="AC745" s="20"/>
      <c r="AD745" s="20"/>
      <c r="AE745" s="20"/>
    </row>
    <row r="746">
      <c r="A746" s="149"/>
      <c r="B746" s="164"/>
      <c r="C746" s="306"/>
      <c r="D746" s="149"/>
      <c r="E746" s="164"/>
      <c r="F746" s="306"/>
      <c r="G746" s="149"/>
      <c r="H746" s="164"/>
      <c r="I746" s="306"/>
      <c r="J746" s="149"/>
      <c r="K746" s="164"/>
      <c r="L746" s="306"/>
      <c r="M746" s="310"/>
      <c r="N746" s="311"/>
      <c r="O746" s="312"/>
      <c r="P746" s="310"/>
      <c r="Q746" s="311"/>
      <c r="R746" s="312"/>
      <c r="S746" s="310"/>
      <c r="T746" s="311"/>
      <c r="U746" s="312"/>
      <c r="V746" s="149"/>
      <c r="W746" s="311"/>
      <c r="X746" s="306"/>
      <c r="Y746" s="188"/>
      <c r="Z746" s="188"/>
      <c r="AA746" s="188"/>
      <c r="AB746" s="20"/>
      <c r="AC746" s="20"/>
      <c r="AD746" s="20"/>
      <c r="AE746" s="20"/>
    </row>
    <row r="747">
      <c r="A747" s="149"/>
      <c r="B747" s="164"/>
      <c r="C747" s="306"/>
      <c r="D747" s="149"/>
      <c r="E747" s="164"/>
      <c r="F747" s="306"/>
      <c r="G747" s="149"/>
      <c r="H747" s="164"/>
      <c r="I747" s="306"/>
      <c r="J747" s="149"/>
      <c r="K747" s="164"/>
      <c r="L747" s="306"/>
      <c r="M747" s="310"/>
      <c r="N747" s="311"/>
      <c r="O747" s="312"/>
      <c r="P747" s="310"/>
      <c r="Q747" s="311"/>
      <c r="R747" s="312"/>
      <c r="S747" s="310"/>
      <c r="T747" s="311"/>
      <c r="U747" s="312"/>
      <c r="V747" s="149"/>
      <c r="W747" s="311"/>
      <c r="X747" s="306"/>
      <c r="Y747" s="188"/>
      <c r="Z747" s="188"/>
      <c r="AA747" s="188"/>
      <c r="AB747" s="20"/>
      <c r="AC747" s="20"/>
      <c r="AD747" s="20"/>
      <c r="AE747" s="20"/>
    </row>
    <row r="748">
      <c r="A748" s="149"/>
      <c r="B748" s="164"/>
      <c r="C748" s="306"/>
      <c r="D748" s="149"/>
      <c r="E748" s="164"/>
      <c r="F748" s="306"/>
      <c r="G748" s="149"/>
      <c r="H748" s="164"/>
      <c r="I748" s="306"/>
      <c r="J748" s="149"/>
      <c r="K748" s="164"/>
      <c r="L748" s="306"/>
      <c r="M748" s="310"/>
      <c r="N748" s="311"/>
      <c r="O748" s="312"/>
      <c r="P748" s="310"/>
      <c r="Q748" s="311"/>
      <c r="R748" s="312"/>
      <c r="S748" s="310"/>
      <c r="T748" s="311"/>
      <c r="U748" s="312"/>
      <c r="V748" s="149"/>
      <c r="W748" s="311"/>
      <c r="X748" s="306"/>
      <c r="Y748" s="188"/>
      <c r="Z748" s="188"/>
      <c r="AA748" s="188"/>
      <c r="AB748" s="20"/>
      <c r="AC748" s="20"/>
      <c r="AD748" s="20"/>
      <c r="AE748" s="20"/>
    </row>
    <row r="749">
      <c r="A749" s="149"/>
      <c r="B749" s="164"/>
      <c r="C749" s="306"/>
      <c r="D749" s="149"/>
      <c r="E749" s="164"/>
      <c r="F749" s="306"/>
      <c r="G749" s="149"/>
      <c r="H749" s="164"/>
      <c r="I749" s="306"/>
      <c r="J749" s="149"/>
      <c r="K749" s="164"/>
      <c r="L749" s="306"/>
      <c r="M749" s="310"/>
      <c r="N749" s="311"/>
      <c r="O749" s="312"/>
      <c r="P749" s="310"/>
      <c r="Q749" s="311"/>
      <c r="R749" s="312"/>
      <c r="S749" s="310"/>
      <c r="T749" s="311"/>
      <c r="U749" s="312"/>
      <c r="V749" s="149"/>
      <c r="W749" s="311"/>
      <c r="X749" s="306"/>
      <c r="Y749" s="188"/>
      <c r="Z749" s="188"/>
      <c r="AA749" s="188"/>
      <c r="AB749" s="20"/>
      <c r="AC749" s="20"/>
      <c r="AD749" s="20"/>
      <c r="AE749" s="20"/>
    </row>
    <row r="750">
      <c r="A750" s="149"/>
      <c r="B750" s="164"/>
      <c r="C750" s="306"/>
      <c r="D750" s="149"/>
      <c r="E750" s="164"/>
      <c r="F750" s="306"/>
      <c r="G750" s="149"/>
      <c r="H750" s="164"/>
      <c r="I750" s="306"/>
      <c r="J750" s="149"/>
      <c r="K750" s="164"/>
      <c r="L750" s="306"/>
      <c r="M750" s="310"/>
      <c r="N750" s="311"/>
      <c r="O750" s="312"/>
      <c r="P750" s="310"/>
      <c r="Q750" s="311"/>
      <c r="R750" s="312"/>
      <c r="S750" s="310"/>
      <c r="T750" s="311"/>
      <c r="U750" s="312"/>
      <c r="V750" s="149"/>
      <c r="W750" s="311"/>
      <c r="X750" s="306"/>
      <c r="Y750" s="188"/>
      <c r="Z750" s="188"/>
      <c r="AA750" s="188"/>
      <c r="AB750" s="20"/>
      <c r="AC750" s="20"/>
      <c r="AD750" s="20"/>
      <c r="AE750" s="20"/>
    </row>
    <row r="751">
      <c r="A751" s="149"/>
      <c r="B751" s="164"/>
      <c r="C751" s="306"/>
      <c r="D751" s="149"/>
      <c r="E751" s="164"/>
      <c r="F751" s="306"/>
      <c r="G751" s="149"/>
      <c r="H751" s="164"/>
      <c r="I751" s="306"/>
      <c r="J751" s="149"/>
      <c r="K751" s="164"/>
      <c r="L751" s="306"/>
      <c r="M751" s="310"/>
      <c r="N751" s="311"/>
      <c r="O751" s="312"/>
      <c r="P751" s="310"/>
      <c r="Q751" s="311"/>
      <c r="R751" s="312"/>
      <c r="S751" s="310"/>
      <c r="T751" s="311"/>
      <c r="U751" s="312"/>
      <c r="V751" s="149"/>
      <c r="W751" s="311"/>
      <c r="X751" s="306"/>
      <c r="Y751" s="188"/>
      <c r="Z751" s="188"/>
      <c r="AA751" s="188"/>
      <c r="AB751" s="20"/>
      <c r="AC751" s="20"/>
      <c r="AD751" s="20"/>
      <c r="AE751" s="20"/>
    </row>
    <row r="752">
      <c r="A752" s="149"/>
      <c r="B752" s="164"/>
      <c r="C752" s="306"/>
      <c r="D752" s="149"/>
      <c r="E752" s="164"/>
      <c r="F752" s="306"/>
      <c r="G752" s="149"/>
      <c r="H752" s="164"/>
      <c r="I752" s="306"/>
      <c r="J752" s="149"/>
      <c r="K752" s="164"/>
      <c r="L752" s="306"/>
      <c r="M752" s="310"/>
      <c r="N752" s="311"/>
      <c r="O752" s="312"/>
      <c r="P752" s="310"/>
      <c r="Q752" s="311"/>
      <c r="R752" s="312"/>
      <c r="S752" s="310"/>
      <c r="T752" s="311"/>
      <c r="U752" s="312"/>
      <c r="V752" s="149"/>
      <c r="W752" s="311"/>
      <c r="X752" s="306"/>
      <c r="Y752" s="188"/>
      <c r="Z752" s="188"/>
      <c r="AA752" s="188"/>
      <c r="AB752" s="20"/>
      <c r="AC752" s="20"/>
      <c r="AD752" s="20"/>
      <c r="AE752" s="20"/>
    </row>
    <row r="753">
      <c r="A753" s="149"/>
      <c r="B753" s="164"/>
      <c r="C753" s="306"/>
      <c r="D753" s="149"/>
      <c r="E753" s="164"/>
      <c r="F753" s="306"/>
      <c r="G753" s="149"/>
      <c r="H753" s="164"/>
      <c r="I753" s="306"/>
      <c r="J753" s="149"/>
      <c r="K753" s="164"/>
      <c r="L753" s="306"/>
      <c r="M753" s="310"/>
      <c r="N753" s="311"/>
      <c r="O753" s="312"/>
      <c r="P753" s="310"/>
      <c r="Q753" s="311"/>
      <c r="R753" s="312"/>
      <c r="S753" s="310"/>
      <c r="T753" s="311"/>
      <c r="U753" s="312"/>
      <c r="V753" s="149"/>
      <c r="W753" s="311"/>
      <c r="X753" s="306"/>
      <c r="Y753" s="188"/>
      <c r="Z753" s="188"/>
      <c r="AA753" s="188"/>
      <c r="AB753" s="20"/>
      <c r="AC753" s="20"/>
      <c r="AD753" s="20"/>
      <c r="AE753" s="20"/>
    </row>
    <row r="754">
      <c r="A754" s="149"/>
      <c r="B754" s="164"/>
      <c r="C754" s="306"/>
      <c r="D754" s="149"/>
      <c r="E754" s="164"/>
      <c r="F754" s="306"/>
      <c r="G754" s="149"/>
      <c r="H754" s="164"/>
      <c r="I754" s="306"/>
      <c r="J754" s="149"/>
      <c r="K754" s="164"/>
      <c r="L754" s="306"/>
      <c r="M754" s="310"/>
      <c r="N754" s="311"/>
      <c r="O754" s="312"/>
      <c r="P754" s="310"/>
      <c r="Q754" s="311"/>
      <c r="R754" s="312"/>
      <c r="S754" s="310"/>
      <c r="T754" s="311"/>
      <c r="U754" s="312"/>
      <c r="V754" s="149"/>
      <c r="W754" s="311"/>
      <c r="X754" s="306"/>
      <c r="Y754" s="188"/>
      <c r="Z754" s="188"/>
      <c r="AA754" s="188"/>
      <c r="AB754" s="20"/>
      <c r="AC754" s="20"/>
      <c r="AD754" s="20"/>
      <c r="AE754" s="20"/>
    </row>
    <row r="755">
      <c r="A755" s="149"/>
      <c r="B755" s="164"/>
      <c r="C755" s="306"/>
      <c r="D755" s="149"/>
      <c r="E755" s="164"/>
      <c r="F755" s="306"/>
      <c r="G755" s="149"/>
      <c r="H755" s="164"/>
      <c r="I755" s="306"/>
      <c r="J755" s="149"/>
      <c r="K755" s="164"/>
      <c r="L755" s="306"/>
      <c r="M755" s="310"/>
      <c r="N755" s="311"/>
      <c r="O755" s="312"/>
      <c r="P755" s="310"/>
      <c r="Q755" s="311"/>
      <c r="R755" s="312"/>
      <c r="S755" s="310"/>
      <c r="T755" s="311"/>
      <c r="U755" s="312"/>
      <c r="V755" s="149"/>
      <c r="W755" s="311"/>
      <c r="X755" s="306"/>
      <c r="Y755" s="188"/>
      <c r="Z755" s="188"/>
      <c r="AA755" s="188"/>
      <c r="AB755" s="20"/>
      <c r="AC755" s="20"/>
      <c r="AD755" s="20"/>
      <c r="AE755" s="20"/>
    </row>
    <row r="756">
      <c r="A756" s="149"/>
      <c r="B756" s="164"/>
      <c r="C756" s="306"/>
      <c r="D756" s="149"/>
      <c r="E756" s="164"/>
      <c r="F756" s="306"/>
      <c r="G756" s="149"/>
      <c r="H756" s="164"/>
      <c r="I756" s="306"/>
      <c r="J756" s="149"/>
      <c r="K756" s="164"/>
      <c r="L756" s="306"/>
      <c r="M756" s="310"/>
      <c r="N756" s="311"/>
      <c r="O756" s="312"/>
      <c r="P756" s="310"/>
      <c r="Q756" s="311"/>
      <c r="R756" s="312"/>
      <c r="S756" s="310"/>
      <c r="T756" s="311"/>
      <c r="U756" s="312"/>
      <c r="V756" s="149"/>
      <c r="W756" s="311"/>
      <c r="X756" s="306"/>
      <c r="Y756" s="188"/>
      <c r="Z756" s="188"/>
      <c r="AA756" s="188"/>
      <c r="AB756" s="20"/>
      <c r="AC756" s="20"/>
      <c r="AD756" s="20"/>
      <c r="AE756" s="20"/>
    </row>
    <row r="757">
      <c r="A757" s="149"/>
      <c r="B757" s="164"/>
      <c r="C757" s="306"/>
      <c r="D757" s="149"/>
      <c r="E757" s="164"/>
      <c r="F757" s="306"/>
      <c r="G757" s="149"/>
      <c r="H757" s="164"/>
      <c r="I757" s="306"/>
      <c r="J757" s="149"/>
      <c r="K757" s="164"/>
      <c r="L757" s="306"/>
      <c r="M757" s="310"/>
      <c r="N757" s="311"/>
      <c r="O757" s="312"/>
      <c r="P757" s="310"/>
      <c r="Q757" s="311"/>
      <c r="R757" s="312"/>
      <c r="S757" s="310"/>
      <c r="T757" s="311"/>
      <c r="U757" s="312"/>
      <c r="V757" s="149"/>
      <c r="W757" s="311"/>
      <c r="X757" s="306"/>
      <c r="Y757" s="188"/>
      <c r="Z757" s="188"/>
      <c r="AA757" s="188"/>
      <c r="AB757" s="20"/>
      <c r="AC757" s="20"/>
      <c r="AD757" s="20"/>
      <c r="AE757" s="20"/>
    </row>
    <row r="758">
      <c r="A758" s="149"/>
      <c r="B758" s="164"/>
      <c r="C758" s="306"/>
      <c r="D758" s="149"/>
      <c r="E758" s="164"/>
      <c r="F758" s="306"/>
      <c r="G758" s="149"/>
      <c r="H758" s="164"/>
      <c r="I758" s="306"/>
      <c r="J758" s="149"/>
      <c r="K758" s="164"/>
      <c r="L758" s="306"/>
      <c r="M758" s="310"/>
      <c r="N758" s="311"/>
      <c r="O758" s="312"/>
      <c r="P758" s="310"/>
      <c r="Q758" s="311"/>
      <c r="R758" s="312"/>
      <c r="S758" s="310"/>
      <c r="T758" s="311"/>
      <c r="U758" s="312"/>
      <c r="V758" s="149"/>
      <c r="W758" s="311"/>
      <c r="X758" s="306"/>
      <c r="Y758" s="188"/>
      <c r="Z758" s="188"/>
      <c r="AA758" s="188"/>
      <c r="AB758" s="20"/>
      <c r="AC758" s="20"/>
      <c r="AD758" s="20"/>
      <c r="AE758" s="20"/>
    </row>
    <row r="759">
      <c r="A759" s="149"/>
      <c r="B759" s="164"/>
      <c r="C759" s="306"/>
      <c r="D759" s="149"/>
      <c r="E759" s="164"/>
      <c r="F759" s="306"/>
      <c r="G759" s="149"/>
      <c r="H759" s="164"/>
      <c r="I759" s="306"/>
      <c r="J759" s="149"/>
      <c r="K759" s="164"/>
      <c r="L759" s="306"/>
      <c r="M759" s="310"/>
      <c r="N759" s="311"/>
      <c r="O759" s="312"/>
      <c r="P759" s="310"/>
      <c r="Q759" s="311"/>
      <c r="R759" s="312"/>
      <c r="S759" s="310"/>
      <c r="T759" s="311"/>
      <c r="U759" s="312"/>
      <c r="V759" s="149"/>
      <c r="W759" s="311"/>
      <c r="X759" s="306"/>
      <c r="Y759" s="188"/>
      <c r="Z759" s="188"/>
      <c r="AA759" s="188"/>
      <c r="AB759" s="20"/>
      <c r="AC759" s="20"/>
      <c r="AD759" s="20"/>
      <c r="AE759" s="20"/>
    </row>
    <row r="760">
      <c r="A760" s="149"/>
      <c r="B760" s="164"/>
      <c r="C760" s="306"/>
      <c r="D760" s="149"/>
      <c r="E760" s="164"/>
      <c r="F760" s="306"/>
      <c r="G760" s="149"/>
      <c r="H760" s="164"/>
      <c r="I760" s="306"/>
      <c r="J760" s="149"/>
      <c r="K760" s="164"/>
      <c r="L760" s="306"/>
      <c r="M760" s="310"/>
      <c r="N760" s="311"/>
      <c r="O760" s="312"/>
      <c r="P760" s="310"/>
      <c r="Q760" s="311"/>
      <c r="R760" s="312"/>
      <c r="S760" s="310"/>
      <c r="T760" s="311"/>
      <c r="U760" s="312"/>
      <c r="V760" s="149"/>
      <c r="W760" s="311"/>
      <c r="X760" s="306"/>
      <c r="Y760" s="188"/>
      <c r="Z760" s="188"/>
      <c r="AA760" s="188"/>
      <c r="AB760" s="20"/>
      <c r="AC760" s="20"/>
      <c r="AD760" s="20"/>
      <c r="AE760" s="20"/>
    </row>
    <row r="761">
      <c r="A761" s="149"/>
      <c r="B761" s="164"/>
      <c r="C761" s="306"/>
      <c r="D761" s="149"/>
      <c r="E761" s="164"/>
      <c r="F761" s="306"/>
      <c r="G761" s="149"/>
      <c r="H761" s="164"/>
      <c r="I761" s="306"/>
      <c r="J761" s="149"/>
      <c r="K761" s="164"/>
      <c r="L761" s="306"/>
      <c r="M761" s="310"/>
      <c r="N761" s="311"/>
      <c r="O761" s="312"/>
      <c r="P761" s="310"/>
      <c r="Q761" s="311"/>
      <c r="R761" s="312"/>
      <c r="S761" s="310"/>
      <c r="T761" s="311"/>
      <c r="U761" s="312"/>
      <c r="V761" s="149"/>
      <c r="W761" s="311"/>
      <c r="X761" s="306"/>
      <c r="Y761" s="188"/>
      <c r="Z761" s="188"/>
      <c r="AA761" s="188"/>
      <c r="AB761" s="20"/>
      <c r="AC761" s="20"/>
      <c r="AD761" s="20"/>
      <c r="AE761" s="20"/>
    </row>
    <row r="762">
      <c r="A762" s="149"/>
      <c r="B762" s="164"/>
      <c r="C762" s="306"/>
      <c r="D762" s="149"/>
      <c r="E762" s="164"/>
      <c r="F762" s="306"/>
      <c r="G762" s="149"/>
      <c r="H762" s="164"/>
      <c r="I762" s="306"/>
      <c r="J762" s="149"/>
      <c r="K762" s="164"/>
      <c r="L762" s="306"/>
      <c r="M762" s="310"/>
      <c r="N762" s="311"/>
      <c r="O762" s="312"/>
      <c r="P762" s="310"/>
      <c r="Q762" s="311"/>
      <c r="R762" s="312"/>
      <c r="S762" s="310"/>
      <c r="T762" s="311"/>
      <c r="U762" s="312"/>
      <c r="V762" s="149"/>
      <c r="W762" s="311"/>
      <c r="X762" s="306"/>
      <c r="Y762" s="188"/>
      <c r="Z762" s="188"/>
      <c r="AA762" s="188"/>
      <c r="AB762" s="20"/>
      <c r="AC762" s="20"/>
      <c r="AD762" s="20"/>
      <c r="AE762" s="20"/>
    </row>
    <row r="763">
      <c r="A763" s="149"/>
      <c r="B763" s="164"/>
      <c r="C763" s="306"/>
      <c r="D763" s="149"/>
      <c r="E763" s="164"/>
      <c r="F763" s="306"/>
      <c r="G763" s="149"/>
      <c r="H763" s="164"/>
      <c r="I763" s="306"/>
      <c r="J763" s="149"/>
      <c r="K763" s="164"/>
      <c r="L763" s="306"/>
      <c r="M763" s="310"/>
      <c r="N763" s="311"/>
      <c r="O763" s="312"/>
      <c r="P763" s="310"/>
      <c r="Q763" s="311"/>
      <c r="R763" s="312"/>
      <c r="S763" s="310"/>
      <c r="T763" s="311"/>
      <c r="U763" s="312"/>
      <c r="V763" s="149"/>
      <c r="W763" s="311"/>
      <c r="X763" s="306"/>
      <c r="Y763" s="188"/>
      <c r="Z763" s="188"/>
      <c r="AA763" s="188"/>
      <c r="AB763" s="20"/>
      <c r="AC763" s="20"/>
      <c r="AD763" s="20"/>
      <c r="AE763" s="20"/>
    </row>
    <row r="764">
      <c r="A764" s="149"/>
      <c r="B764" s="164"/>
      <c r="C764" s="306"/>
      <c r="D764" s="149"/>
      <c r="E764" s="164"/>
      <c r="F764" s="306"/>
      <c r="G764" s="149"/>
      <c r="H764" s="164"/>
      <c r="I764" s="306"/>
      <c r="J764" s="149"/>
      <c r="K764" s="164"/>
      <c r="L764" s="306"/>
      <c r="M764" s="310"/>
      <c r="N764" s="311"/>
      <c r="O764" s="312"/>
      <c r="P764" s="310"/>
      <c r="Q764" s="311"/>
      <c r="R764" s="312"/>
      <c r="S764" s="310"/>
      <c r="T764" s="311"/>
      <c r="U764" s="312"/>
      <c r="V764" s="149"/>
      <c r="W764" s="311"/>
      <c r="X764" s="306"/>
      <c r="Y764" s="188"/>
      <c r="Z764" s="188"/>
      <c r="AA764" s="188"/>
      <c r="AB764" s="20"/>
      <c r="AC764" s="20"/>
      <c r="AD764" s="20"/>
      <c r="AE764" s="20"/>
    </row>
    <row r="765">
      <c r="A765" s="149"/>
      <c r="B765" s="164"/>
      <c r="C765" s="306"/>
      <c r="D765" s="149"/>
      <c r="E765" s="164"/>
      <c r="F765" s="306"/>
      <c r="G765" s="149"/>
      <c r="H765" s="164"/>
      <c r="I765" s="306"/>
      <c r="J765" s="149"/>
      <c r="K765" s="164"/>
      <c r="L765" s="306"/>
      <c r="M765" s="310"/>
      <c r="N765" s="311"/>
      <c r="O765" s="312"/>
      <c r="P765" s="310"/>
      <c r="Q765" s="311"/>
      <c r="R765" s="312"/>
      <c r="S765" s="310"/>
      <c r="T765" s="311"/>
      <c r="U765" s="312"/>
      <c r="V765" s="149"/>
      <c r="W765" s="311"/>
      <c r="X765" s="306"/>
      <c r="Y765" s="188"/>
      <c r="Z765" s="188"/>
      <c r="AA765" s="188"/>
      <c r="AB765" s="20"/>
      <c r="AC765" s="20"/>
      <c r="AD765" s="20"/>
      <c r="AE765" s="20"/>
    </row>
    <row r="766">
      <c r="A766" s="149"/>
      <c r="B766" s="164"/>
      <c r="C766" s="306"/>
      <c r="D766" s="149"/>
      <c r="E766" s="164"/>
      <c r="F766" s="306"/>
      <c r="G766" s="149"/>
      <c r="H766" s="164"/>
      <c r="I766" s="306"/>
      <c r="J766" s="149"/>
      <c r="K766" s="164"/>
      <c r="L766" s="306"/>
      <c r="M766" s="310"/>
      <c r="N766" s="311"/>
      <c r="O766" s="312"/>
      <c r="P766" s="310"/>
      <c r="Q766" s="311"/>
      <c r="R766" s="312"/>
      <c r="S766" s="310"/>
      <c r="T766" s="311"/>
      <c r="U766" s="312"/>
      <c r="V766" s="149"/>
      <c r="W766" s="311"/>
      <c r="X766" s="306"/>
      <c r="Y766" s="188"/>
      <c r="Z766" s="188"/>
      <c r="AA766" s="188"/>
      <c r="AB766" s="20"/>
      <c r="AC766" s="20"/>
      <c r="AD766" s="20"/>
      <c r="AE766" s="20"/>
    </row>
    <row r="767">
      <c r="A767" s="149"/>
      <c r="B767" s="164"/>
      <c r="C767" s="306"/>
      <c r="D767" s="149"/>
      <c r="E767" s="164"/>
      <c r="F767" s="306"/>
      <c r="G767" s="149"/>
      <c r="H767" s="164"/>
      <c r="I767" s="306"/>
      <c r="J767" s="149"/>
      <c r="K767" s="164"/>
      <c r="L767" s="306"/>
      <c r="M767" s="310"/>
      <c r="N767" s="311"/>
      <c r="O767" s="312"/>
      <c r="P767" s="310"/>
      <c r="Q767" s="311"/>
      <c r="R767" s="312"/>
      <c r="S767" s="310"/>
      <c r="T767" s="311"/>
      <c r="U767" s="312"/>
      <c r="V767" s="149"/>
      <c r="W767" s="311"/>
      <c r="X767" s="306"/>
      <c r="Y767" s="188"/>
      <c r="Z767" s="188"/>
      <c r="AA767" s="188"/>
      <c r="AB767" s="20"/>
      <c r="AC767" s="20"/>
      <c r="AD767" s="20"/>
      <c r="AE767" s="20"/>
    </row>
    <row r="768">
      <c r="A768" s="149"/>
      <c r="B768" s="164"/>
      <c r="C768" s="306"/>
      <c r="D768" s="149"/>
      <c r="E768" s="164"/>
      <c r="F768" s="306"/>
      <c r="G768" s="149"/>
      <c r="H768" s="164"/>
      <c r="I768" s="306"/>
      <c r="J768" s="149"/>
      <c r="K768" s="164"/>
      <c r="L768" s="306"/>
      <c r="M768" s="310"/>
      <c r="N768" s="311"/>
      <c r="O768" s="312"/>
      <c r="P768" s="310"/>
      <c r="Q768" s="311"/>
      <c r="R768" s="312"/>
      <c r="S768" s="310"/>
      <c r="T768" s="311"/>
      <c r="U768" s="312"/>
      <c r="V768" s="149"/>
      <c r="W768" s="311"/>
      <c r="X768" s="306"/>
      <c r="Y768" s="188"/>
      <c r="Z768" s="188"/>
      <c r="AA768" s="188"/>
      <c r="AB768" s="20"/>
      <c r="AC768" s="20"/>
      <c r="AD768" s="20"/>
      <c r="AE768" s="20"/>
    </row>
    <row r="769">
      <c r="A769" s="149"/>
      <c r="B769" s="164"/>
      <c r="C769" s="306"/>
      <c r="D769" s="149"/>
      <c r="E769" s="164"/>
      <c r="F769" s="306"/>
      <c r="G769" s="149"/>
      <c r="H769" s="164"/>
      <c r="I769" s="306"/>
      <c r="J769" s="149"/>
      <c r="K769" s="164"/>
      <c r="L769" s="306"/>
      <c r="M769" s="310"/>
      <c r="N769" s="311"/>
      <c r="O769" s="312"/>
      <c r="P769" s="310"/>
      <c r="Q769" s="311"/>
      <c r="R769" s="312"/>
      <c r="S769" s="310"/>
      <c r="T769" s="311"/>
      <c r="U769" s="312"/>
      <c r="V769" s="149"/>
      <c r="W769" s="311"/>
      <c r="X769" s="306"/>
      <c r="Y769" s="188"/>
      <c r="Z769" s="188"/>
      <c r="AA769" s="188"/>
      <c r="AB769" s="20"/>
      <c r="AC769" s="20"/>
      <c r="AD769" s="20"/>
      <c r="AE769" s="20"/>
    </row>
    <row r="770">
      <c r="A770" s="149"/>
      <c r="B770" s="164"/>
      <c r="C770" s="306"/>
      <c r="D770" s="149"/>
      <c r="E770" s="164"/>
      <c r="F770" s="306"/>
      <c r="G770" s="149"/>
      <c r="H770" s="164"/>
      <c r="I770" s="306"/>
      <c r="J770" s="149"/>
      <c r="K770" s="164"/>
      <c r="L770" s="306"/>
      <c r="M770" s="310"/>
      <c r="N770" s="311"/>
      <c r="O770" s="312"/>
      <c r="P770" s="310"/>
      <c r="Q770" s="311"/>
      <c r="R770" s="312"/>
      <c r="S770" s="310"/>
      <c r="T770" s="311"/>
      <c r="U770" s="312"/>
      <c r="V770" s="149"/>
      <c r="W770" s="311"/>
      <c r="X770" s="306"/>
      <c r="Y770" s="188"/>
      <c r="Z770" s="188"/>
      <c r="AA770" s="188"/>
      <c r="AB770" s="20"/>
      <c r="AC770" s="20"/>
      <c r="AD770" s="20"/>
      <c r="AE770" s="20"/>
    </row>
    <row r="771">
      <c r="A771" s="149"/>
      <c r="B771" s="164"/>
      <c r="C771" s="306"/>
      <c r="D771" s="149"/>
      <c r="E771" s="164"/>
      <c r="F771" s="306"/>
      <c r="G771" s="149"/>
      <c r="H771" s="164"/>
      <c r="I771" s="306"/>
      <c r="J771" s="149"/>
      <c r="K771" s="164"/>
      <c r="L771" s="306"/>
      <c r="M771" s="310"/>
      <c r="N771" s="311"/>
      <c r="O771" s="312"/>
      <c r="P771" s="310"/>
      <c r="Q771" s="311"/>
      <c r="R771" s="312"/>
      <c r="S771" s="310"/>
      <c r="T771" s="311"/>
      <c r="U771" s="312"/>
      <c r="V771" s="149"/>
      <c r="W771" s="311"/>
      <c r="X771" s="306"/>
      <c r="Y771" s="188"/>
      <c r="Z771" s="188"/>
      <c r="AA771" s="188"/>
      <c r="AB771" s="20"/>
      <c r="AC771" s="20"/>
      <c r="AD771" s="20"/>
      <c r="AE771" s="20"/>
    </row>
    <row r="772">
      <c r="A772" s="149"/>
      <c r="B772" s="164"/>
      <c r="C772" s="306"/>
      <c r="D772" s="149"/>
      <c r="E772" s="164"/>
      <c r="F772" s="306"/>
      <c r="G772" s="149"/>
      <c r="H772" s="164"/>
      <c r="I772" s="306"/>
      <c r="J772" s="149"/>
      <c r="K772" s="164"/>
      <c r="L772" s="306"/>
      <c r="M772" s="310"/>
      <c r="N772" s="311"/>
      <c r="O772" s="312"/>
      <c r="P772" s="310"/>
      <c r="Q772" s="311"/>
      <c r="R772" s="312"/>
      <c r="S772" s="310"/>
      <c r="T772" s="311"/>
      <c r="U772" s="312"/>
      <c r="V772" s="149"/>
      <c r="W772" s="311"/>
      <c r="X772" s="306"/>
      <c r="Y772" s="188"/>
      <c r="Z772" s="188"/>
      <c r="AA772" s="188"/>
      <c r="AB772" s="20"/>
      <c r="AC772" s="20"/>
      <c r="AD772" s="20"/>
      <c r="AE772" s="20"/>
    </row>
    <row r="773">
      <c r="A773" s="149"/>
      <c r="B773" s="164"/>
      <c r="C773" s="306"/>
      <c r="D773" s="149"/>
      <c r="E773" s="164"/>
      <c r="F773" s="306"/>
      <c r="G773" s="149"/>
      <c r="H773" s="164"/>
      <c r="I773" s="306"/>
      <c r="J773" s="149"/>
      <c r="K773" s="164"/>
      <c r="L773" s="306"/>
      <c r="M773" s="310"/>
      <c r="N773" s="311"/>
      <c r="O773" s="312"/>
      <c r="P773" s="310"/>
      <c r="Q773" s="311"/>
      <c r="R773" s="312"/>
      <c r="S773" s="310"/>
      <c r="T773" s="311"/>
      <c r="U773" s="312"/>
      <c r="V773" s="149"/>
      <c r="W773" s="311"/>
      <c r="X773" s="306"/>
      <c r="Y773" s="188"/>
      <c r="Z773" s="188"/>
      <c r="AA773" s="188"/>
      <c r="AB773" s="20"/>
      <c r="AC773" s="20"/>
      <c r="AD773" s="20"/>
      <c r="AE773" s="20"/>
    </row>
    <row r="774">
      <c r="A774" s="149"/>
      <c r="B774" s="164"/>
      <c r="C774" s="306"/>
      <c r="D774" s="149"/>
      <c r="E774" s="164"/>
      <c r="F774" s="306"/>
      <c r="G774" s="149"/>
      <c r="H774" s="164"/>
      <c r="I774" s="306"/>
      <c r="J774" s="149"/>
      <c r="K774" s="164"/>
      <c r="L774" s="306"/>
      <c r="M774" s="310"/>
      <c r="N774" s="311"/>
      <c r="O774" s="312"/>
      <c r="P774" s="310"/>
      <c r="Q774" s="311"/>
      <c r="R774" s="312"/>
      <c r="S774" s="310"/>
      <c r="T774" s="311"/>
      <c r="U774" s="312"/>
      <c r="V774" s="149"/>
      <c r="W774" s="311"/>
      <c r="X774" s="306"/>
      <c r="Y774" s="188"/>
      <c r="Z774" s="188"/>
      <c r="AA774" s="188"/>
      <c r="AB774" s="20"/>
      <c r="AC774" s="20"/>
      <c r="AD774" s="20"/>
      <c r="AE774" s="20"/>
    </row>
    <row r="775">
      <c r="A775" s="149"/>
      <c r="B775" s="164"/>
      <c r="C775" s="306"/>
      <c r="D775" s="149"/>
      <c r="E775" s="164"/>
      <c r="F775" s="306"/>
      <c r="G775" s="149"/>
      <c r="H775" s="164"/>
      <c r="I775" s="306"/>
      <c r="J775" s="149"/>
      <c r="K775" s="164"/>
      <c r="L775" s="306"/>
      <c r="M775" s="310"/>
      <c r="N775" s="311"/>
      <c r="O775" s="312"/>
      <c r="P775" s="310"/>
      <c r="Q775" s="311"/>
      <c r="R775" s="312"/>
      <c r="S775" s="310"/>
      <c r="T775" s="311"/>
      <c r="U775" s="312"/>
      <c r="V775" s="149"/>
      <c r="W775" s="311"/>
      <c r="X775" s="306"/>
      <c r="Y775" s="188"/>
      <c r="Z775" s="188"/>
      <c r="AA775" s="188"/>
      <c r="AB775" s="20"/>
      <c r="AC775" s="20"/>
      <c r="AD775" s="20"/>
      <c r="AE775" s="20"/>
    </row>
    <row r="776">
      <c r="A776" s="149"/>
      <c r="B776" s="164"/>
      <c r="C776" s="306"/>
      <c r="D776" s="149"/>
      <c r="E776" s="164"/>
      <c r="F776" s="306"/>
      <c r="G776" s="149"/>
      <c r="H776" s="164"/>
      <c r="I776" s="306"/>
      <c r="J776" s="149"/>
      <c r="K776" s="164"/>
      <c r="L776" s="306"/>
      <c r="M776" s="310"/>
      <c r="N776" s="311"/>
      <c r="O776" s="312"/>
      <c r="P776" s="310"/>
      <c r="Q776" s="311"/>
      <c r="R776" s="312"/>
      <c r="S776" s="310"/>
      <c r="T776" s="311"/>
      <c r="U776" s="312"/>
      <c r="V776" s="149"/>
      <c r="W776" s="311"/>
      <c r="X776" s="306"/>
      <c r="Y776" s="188"/>
      <c r="Z776" s="188"/>
      <c r="AA776" s="188"/>
      <c r="AB776" s="20"/>
      <c r="AC776" s="20"/>
      <c r="AD776" s="20"/>
      <c r="AE776" s="20"/>
    </row>
    <row r="777">
      <c r="A777" s="149"/>
      <c r="B777" s="164"/>
      <c r="C777" s="306"/>
      <c r="D777" s="149"/>
      <c r="E777" s="164"/>
      <c r="F777" s="306"/>
      <c r="G777" s="149"/>
      <c r="H777" s="164"/>
      <c r="I777" s="306"/>
      <c r="J777" s="149"/>
      <c r="K777" s="164"/>
      <c r="L777" s="306"/>
      <c r="M777" s="310"/>
      <c r="N777" s="311"/>
      <c r="O777" s="312"/>
      <c r="P777" s="310"/>
      <c r="Q777" s="311"/>
      <c r="R777" s="312"/>
      <c r="S777" s="310"/>
      <c r="T777" s="311"/>
      <c r="U777" s="312"/>
      <c r="V777" s="149"/>
      <c r="W777" s="311"/>
      <c r="X777" s="306"/>
      <c r="Y777" s="188"/>
      <c r="Z777" s="188"/>
      <c r="AA777" s="188"/>
      <c r="AB777" s="20"/>
      <c r="AC777" s="20"/>
      <c r="AD777" s="20"/>
      <c r="AE777" s="20"/>
    </row>
    <row r="778">
      <c r="A778" s="149"/>
      <c r="B778" s="164"/>
      <c r="C778" s="306"/>
      <c r="D778" s="149"/>
      <c r="E778" s="164"/>
      <c r="F778" s="306"/>
      <c r="G778" s="149"/>
      <c r="H778" s="164"/>
      <c r="I778" s="306"/>
      <c r="J778" s="149"/>
      <c r="K778" s="164"/>
      <c r="L778" s="306"/>
      <c r="M778" s="310"/>
      <c r="N778" s="311"/>
      <c r="O778" s="312"/>
      <c r="P778" s="310"/>
      <c r="Q778" s="311"/>
      <c r="R778" s="312"/>
      <c r="S778" s="310"/>
      <c r="T778" s="311"/>
      <c r="U778" s="312"/>
      <c r="V778" s="149"/>
      <c r="W778" s="311"/>
      <c r="X778" s="306"/>
      <c r="Y778" s="188"/>
      <c r="Z778" s="188"/>
      <c r="AA778" s="188"/>
      <c r="AB778" s="20"/>
      <c r="AC778" s="20"/>
      <c r="AD778" s="20"/>
      <c r="AE778" s="20"/>
    </row>
    <row r="779">
      <c r="A779" s="149"/>
      <c r="B779" s="164"/>
      <c r="C779" s="306"/>
      <c r="D779" s="149"/>
      <c r="E779" s="164"/>
      <c r="F779" s="306"/>
      <c r="G779" s="149"/>
      <c r="H779" s="164"/>
      <c r="I779" s="306"/>
      <c r="J779" s="149"/>
      <c r="K779" s="164"/>
      <c r="L779" s="306"/>
      <c r="M779" s="310"/>
      <c r="N779" s="311"/>
      <c r="O779" s="312"/>
      <c r="P779" s="310"/>
      <c r="Q779" s="311"/>
      <c r="R779" s="312"/>
      <c r="S779" s="310"/>
      <c r="T779" s="311"/>
      <c r="U779" s="312"/>
      <c r="V779" s="149"/>
      <c r="W779" s="311"/>
      <c r="X779" s="306"/>
      <c r="Y779" s="188"/>
      <c r="Z779" s="188"/>
      <c r="AA779" s="188"/>
      <c r="AB779" s="20"/>
      <c r="AC779" s="20"/>
      <c r="AD779" s="20"/>
      <c r="AE779" s="20"/>
    </row>
    <row r="780">
      <c r="A780" s="149"/>
      <c r="B780" s="164"/>
      <c r="C780" s="306"/>
      <c r="D780" s="149"/>
      <c r="E780" s="164"/>
      <c r="F780" s="306"/>
      <c r="G780" s="149"/>
      <c r="H780" s="164"/>
      <c r="I780" s="306"/>
      <c r="J780" s="149"/>
      <c r="K780" s="164"/>
      <c r="L780" s="306"/>
      <c r="M780" s="310"/>
      <c r="N780" s="311"/>
      <c r="O780" s="312"/>
      <c r="P780" s="310"/>
      <c r="Q780" s="311"/>
      <c r="R780" s="312"/>
      <c r="S780" s="310"/>
      <c r="T780" s="311"/>
      <c r="U780" s="312"/>
      <c r="V780" s="149"/>
      <c r="W780" s="311"/>
      <c r="X780" s="306"/>
      <c r="Y780" s="188"/>
      <c r="Z780" s="188"/>
      <c r="AA780" s="188"/>
      <c r="AB780" s="20"/>
      <c r="AC780" s="20"/>
      <c r="AD780" s="20"/>
      <c r="AE780" s="20"/>
    </row>
    <row r="781">
      <c r="A781" s="149"/>
      <c r="B781" s="164"/>
      <c r="C781" s="306"/>
      <c r="D781" s="149"/>
      <c r="E781" s="164"/>
      <c r="F781" s="306"/>
      <c r="G781" s="149"/>
      <c r="H781" s="164"/>
      <c r="I781" s="306"/>
      <c r="J781" s="149"/>
      <c r="K781" s="164"/>
      <c r="L781" s="306"/>
      <c r="M781" s="310"/>
      <c r="N781" s="311"/>
      <c r="O781" s="312"/>
      <c r="P781" s="310"/>
      <c r="Q781" s="311"/>
      <c r="R781" s="312"/>
      <c r="S781" s="310"/>
      <c r="T781" s="311"/>
      <c r="U781" s="312"/>
      <c r="V781" s="149"/>
      <c r="W781" s="311"/>
      <c r="X781" s="306"/>
      <c r="Y781" s="188"/>
      <c r="Z781" s="188"/>
      <c r="AA781" s="188"/>
      <c r="AB781" s="20"/>
      <c r="AC781" s="20"/>
      <c r="AD781" s="20"/>
      <c r="AE781" s="20"/>
    </row>
    <row r="782">
      <c r="A782" s="149"/>
      <c r="B782" s="164"/>
      <c r="C782" s="306"/>
      <c r="D782" s="149"/>
      <c r="E782" s="164"/>
      <c r="F782" s="306"/>
      <c r="G782" s="149"/>
      <c r="H782" s="164"/>
      <c r="I782" s="306"/>
      <c r="J782" s="149"/>
      <c r="K782" s="164"/>
      <c r="L782" s="306"/>
      <c r="M782" s="310"/>
      <c r="N782" s="311"/>
      <c r="O782" s="312"/>
      <c r="P782" s="310"/>
      <c r="Q782" s="311"/>
      <c r="R782" s="312"/>
      <c r="S782" s="310"/>
      <c r="T782" s="311"/>
      <c r="U782" s="312"/>
      <c r="V782" s="149"/>
      <c r="W782" s="311"/>
      <c r="X782" s="306"/>
      <c r="Y782" s="188"/>
      <c r="Z782" s="188"/>
      <c r="AA782" s="188"/>
      <c r="AB782" s="20"/>
      <c r="AC782" s="20"/>
      <c r="AD782" s="20"/>
      <c r="AE782" s="20"/>
    </row>
    <row r="783">
      <c r="A783" s="149"/>
      <c r="B783" s="164"/>
      <c r="C783" s="306"/>
      <c r="D783" s="149"/>
      <c r="E783" s="164"/>
      <c r="F783" s="306"/>
      <c r="G783" s="149"/>
      <c r="H783" s="164"/>
      <c r="I783" s="306"/>
      <c r="J783" s="149"/>
      <c r="K783" s="164"/>
      <c r="L783" s="306"/>
      <c r="M783" s="310"/>
      <c r="N783" s="311"/>
      <c r="O783" s="312"/>
      <c r="P783" s="310"/>
      <c r="Q783" s="311"/>
      <c r="R783" s="312"/>
      <c r="S783" s="310"/>
      <c r="T783" s="311"/>
      <c r="U783" s="312"/>
      <c r="V783" s="149"/>
      <c r="W783" s="311"/>
      <c r="X783" s="306"/>
      <c r="Y783" s="188"/>
      <c r="Z783" s="188"/>
      <c r="AA783" s="188"/>
      <c r="AB783" s="20"/>
      <c r="AC783" s="20"/>
      <c r="AD783" s="20"/>
      <c r="AE783" s="20"/>
    </row>
    <row r="784">
      <c r="A784" s="149"/>
      <c r="B784" s="164"/>
      <c r="C784" s="306"/>
      <c r="D784" s="149"/>
      <c r="E784" s="164"/>
      <c r="F784" s="306"/>
      <c r="G784" s="149"/>
      <c r="H784" s="164"/>
      <c r="I784" s="306"/>
      <c r="J784" s="149"/>
      <c r="K784" s="164"/>
      <c r="L784" s="306"/>
      <c r="M784" s="310"/>
      <c r="N784" s="311"/>
      <c r="O784" s="312"/>
      <c r="P784" s="310"/>
      <c r="Q784" s="311"/>
      <c r="R784" s="312"/>
      <c r="S784" s="310"/>
      <c r="T784" s="311"/>
      <c r="U784" s="312"/>
      <c r="V784" s="149"/>
      <c r="W784" s="311"/>
      <c r="X784" s="306"/>
      <c r="Y784" s="188"/>
      <c r="Z784" s="188"/>
      <c r="AA784" s="188"/>
      <c r="AB784" s="20"/>
      <c r="AC784" s="20"/>
      <c r="AD784" s="20"/>
      <c r="AE784" s="20"/>
    </row>
    <row r="785">
      <c r="A785" s="149"/>
      <c r="B785" s="164"/>
      <c r="C785" s="306"/>
      <c r="D785" s="149"/>
      <c r="E785" s="164"/>
      <c r="F785" s="306"/>
      <c r="G785" s="149"/>
      <c r="H785" s="164"/>
      <c r="I785" s="306"/>
      <c r="J785" s="149"/>
      <c r="K785" s="164"/>
      <c r="L785" s="306"/>
      <c r="M785" s="310"/>
      <c r="N785" s="311"/>
      <c r="O785" s="312"/>
      <c r="P785" s="310"/>
      <c r="Q785" s="311"/>
      <c r="R785" s="312"/>
      <c r="S785" s="310"/>
      <c r="T785" s="311"/>
      <c r="U785" s="312"/>
      <c r="V785" s="149"/>
      <c r="W785" s="311"/>
      <c r="X785" s="306"/>
      <c r="Y785" s="188"/>
      <c r="Z785" s="188"/>
      <c r="AA785" s="188"/>
      <c r="AB785" s="20"/>
      <c r="AC785" s="20"/>
      <c r="AD785" s="20"/>
      <c r="AE785" s="20"/>
    </row>
    <row r="786">
      <c r="A786" s="149"/>
      <c r="B786" s="164"/>
      <c r="C786" s="306"/>
      <c r="D786" s="149"/>
      <c r="E786" s="164"/>
      <c r="F786" s="306"/>
      <c r="G786" s="149"/>
      <c r="H786" s="164"/>
      <c r="I786" s="306"/>
      <c r="J786" s="149"/>
      <c r="K786" s="164"/>
      <c r="L786" s="306"/>
      <c r="M786" s="310"/>
      <c r="N786" s="311"/>
      <c r="O786" s="312"/>
      <c r="P786" s="310"/>
      <c r="Q786" s="311"/>
      <c r="R786" s="312"/>
      <c r="S786" s="310"/>
      <c r="T786" s="311"/>
      <c r="U786" s="312"/>
      <c r="V786" s="149"/>
      <c r="W786" s="311"/>
      <c r="X786" s="306"/>
      <c r="Y786" s="188"/>
      <c r="Z786" s="188"/>
      <c r="AA786" s="188"/>
      <c r="AB786" s="20"/>
      <c r="AC786" s="20"/>
      <c r="AD786" s="20"/>
      <c r="AE786" s="20"/>
    </row>
    <row r="787">
      <c r="A787" s="149"/>
      <c r="B787" s="164"/>
      <c r="C787" s="306"/>
      <c r="D787" s="149"/>
      <c r="E787" s="164"/>
      <c r="F787" s="306"/>
      <c r="G787" s="149"/>
      <c r="H787" s="164"/>
      <c r="I787" s="306"/>
      <c r="J787" s="149"/>
      <c r="K787" s="164"/>
      <c r="L787" s="306"/>
      <c r="M787" s="310"/>
      <c r="N787" s="311"/>
      <c r="O787" s="312"/>
      <c r="P787" s="310"/>
      <c r="Q787" s="311"/>
      <c r="R787" s="312"/>
      <c r="S787" s="310"/>
      <c r="T787" s="311"/>
      <c r="U787" s="312"/>
      <c r="V787" s="149"/>
      <c r="W787" s="311"/>
      <c r="X787" s="306"/>
      <c r="Y787" s="188"/>
      <c r="Z787" s="188"/>
      <c r="AA787" s="188"/>
      <c r="AB787" s="20"/>
      <c r="AC787" s="20"/>
      <c r="AD787" s="20"/>
      <c r="AE787" s="20"/>
    </row>
    <row r="788">
      <c r="A788" s="149"/>
      <c r="B788" s="164"/>
      <c r="C788" s="306"/>
      <c r="D788" s="149"/>
      <c r="E788" s="164"/>
      <c r="F788" s="306"/>
      <c r="G788" s="149"/>
      <c r="H788" s="164"/>
      <c r="I788" s="306"/>
      <c r="J788" s="149"/>
      <c r="K788" s="164"/>
      <c r="L788" s="306"/>
      <c r="M788" s="310"/>
      <c r="N788" s="311"/>
      <c r="O788" s="312"/>
      <c r="P788" s="310"/>
      <c r="Q788" s="311"/>
      <c r="R788" s="312"/>
      <c r="S788" s="310"/>
      <c r="T788" s="311"/>
      <c r="U788" s="312"/>
      <c r="V788" s="149"/>
      <c r="W788" s="311"/>
      <c r="X788" s="306"/>
      <c r="Y788" s="188"/>
      <c r="Z788" s="188"/>
      <c r="AA788" s="188"/>
      <c r="AB788" s="20"/>
      <c r="AC788" s="20"/>
      <c r="AD788" s="20"/>
      <c r="AE788" s="20"/>
    </row>
    <row r="789">
      <c r="A789" s="149"/>
      <c r="B789" s="164"/>
      <c r="C789" s="306"/>
      <c r="D789" s="149"/>
      <c r="E789" s="164"/>
      <c r="F789" s="306"/>
      <c r="G789" s="149"/>
      <c r="H789" s="164"/>
      <c r="I789" s="306"/>
      <c r="J789" s="149"/>
      <c r="K789" s="164"/>
      <c r="L789" s="306"/>
      <c r="M789" s="310"/>
      <c r="N789" s="311"/>
      <c r="O789" s="312"/>
      <c r="P789" s="310"/>
      <c r="Q789" s="311"/>
      <c r="R789" s="312"/>
      <c r="S789" s="310"/>
      <c r="T789" s="311"/>
      <c r="U789" s="312"/>
      <c r="V789" s="149"/>
      <c r="W789" s="311"/>
      <c r="X789" s="306"/>
      <c r="Y789" s="188"/>
      <c r="Z789" s="188"/>
      <c r="AA789" s="188"/>
      <c r="AB789" s="20"/>
      <c r="AC789" s="20"/>
      <c r="AD789" s="20"/>
      <c r="AE789" s="20"/>
    </row>
    <row r="790">
      <c r="A790" s="149"/>
      <c r="B790" s="164"/>
      <c r="C790" s="306"/>
      <c r="D790" s="149"/>
      <c r="E790" s="164"/>
      <c r="F790" s="306"/>
      <c r="G790" s="149"/>
      <c r="H790" s="164"/>
      <c r="I790" s="306"/>
      <c r="J790" s="149"/>
      <c r="K790" s="164"/>
      <c r="L790" s="306"/>
      <c r="M790" s="310"/>
      <c r="N790" s="311"/>
      <c r="O790" s="312"/>
      <c r="P790" s="310"/>
      <c r="Q790" s="311"/>
      <c r="R790" s="312"/>
      <c r="S790" s="310"/>
      <c r="T790" s="311"/>
      <c r="U790" s="312"/>
      <c r="V790" s="149"/>
      <c r="W790" s="311"/>
      <c r="X790" s="306"/>
      <c r="Y790" s="188"/>
      <c r="Z790" s="188"/>
      <c r="AA790" s="188"/>
      <c r="AB790" s="20"/>
      <c r="AC790" s="20"/>
      <c r="AD790" s="20"/>
      <c r="AE790" s="20"/>
    </row>
    <row r="791">
      <c r="A791" s="149"/>
      <c r="B791" s="164"/>
      <c r="C791" s="306"/>
      <c r="D791" s="149"/>
      <c r="E791" s="164"/>
      <c r="F791" s="306"/>
      <c r="G791" s="149"/>
      <c r="H791" s="164"/>
      <c r="I791" s="306"/>
      <c r="J791" s="149"/>
      <c r="K791" s="164"/>
      <c r="L791" s="306"/>
      <c r="M791" s="310"/>
      <c r="N791" s="311"/>
      <c r="O791" s="312"/>
      <c r="P791" s="310"/>
      <c r="Q791" s="311"/>
      <c r="R791" s="312"/>
      <c r="S791" s="310"/>
      <c r="T791" s="311"/>
      <c r="U791" s="312"/>
      <c r="V791" s="149"/>
      <c r="W791" s="311"/>
      <c r="X791" s="306"/>
      <c r="Y791" s="188"/>
      <c r="Z791" s="188"/>
      <c r="AA791" s="188"/>
      <c r="AB791" s="20"/>
      <c r="AC791" s="20"/>
      <c r="AD791" s="20"/>
      <c r="AE791" s="20"/>
    </row>
    <row r="792">
      <c r="A792" s="149"/>
      <c r="B792" s="164"/>
      <c r="C792" s="306"/>
      <c r="D792" s="149"/>
      <c r="E792" s="164"/>
      <c r="F792" s="306"/>
      <c r="G792" s="149"/>
      <c r="H792" s="164"/>
      <c r="I792" s="306"/>
      <c r="J792" s="149"/>
      <c r="K792" s="164"/>
      <c r="L792" s="306"/>
      <c r="M792" s="310"/>
      <c r="N792" s="311"/>
      <c r="O792" s="312"/>
      <c r="P792" s="310"/>
      <c r="Q792" s="311"/>
      <c r="R792" s="312"/>
      <c r="S792" s="310"/>
      <c r="T792" s="311"/>
      <c r="U792" s="312"/>
      <c r="V792" s="149"/>
      <c r="W792" s="311"/>
      <c r="X792" s="306"/>
      <c r="Y792" s="188"/>
      <c r="Z792" s="188"/>
      <c r="AA792" s="188"/>
      <c r="AB792" s="20"/>
      <c r="AC792" s="20"/>
      <c r="AD792" s="20"/>
      <c r="AE792" s="20"/>
    </row>
    <row r="793">
      <c r="A793" s="149"/>
      <c r="B793" s="164"/>
      <c r="C793" s="306"/>
      <c r="D793" s="149"/>
      <c r="E793" s="164"/>
      <c r="F793" s="306"/>
      <c r="G793" s="149"/>
      <c r="H793" s="164"/>
      <c r="I793" s="306"/>
      <c r="J793" s="149"/>
      <c r="K793" s="164"/>
      <c r="L793" s="306"/>
      <c r="M793" s="310"/>
      <c r="N793" s="311"/>
      <c r="O793" s="312"/>
      <c r="P793" s="310"/>
      <c r="Q793" s="311"/>
      <c r="R793" s="312"/>
      <c r="S793" s="310"/>
      <c r="T793" s="311"/>
      <c r="U793" s="312"/>
      <c r="V793" s="149"/>
      <c r="W793" s="311"/>
      <c r="X793" s="306"/>
      <c r="Y793" s="188"/>
      <c r="Z793" s="188"/>
      <c r="AA793" s="188"/>
      <c r="AB793" s="20"/>
      <c r="AC793" s="20"/>
      <c r="AD793" s="20"/>
      <c r="AE793" s="20"/>
    </row>
    <row r="794">
      <c r="A794" s="149"/>
      <c r="B794" s="164"/>
      <c r="C794" s="306"/>
      <c r="D794" s="149"/>
      <c r="E794" s="164"/>
      <c r="F794" s="306"/>
      <c r="G794" s="149"/>
      <c r="H794" s="164"/>
      <c r="I794" s="306"/>
      <c r="J794" s="149"/>
      <c r="K794" s="164"/>
      <c r="L794" s="306"/>
      <c r="M794" s="310"/>
      <c r="N794" s="311"/>
      <c r="O794" s="312"/>
      <c r="P794" s="310"/>
      <c r="Q794" s="311"/>
      <c r="R794" s="312"/>
      <c r="S794" s="310"/>
      <c r="T794" s="311"/>
      <c r="U794" s="312"/>
      <c r="V794" s="149"/>
      <c r="W794" s="311"/>
      <c r="X794" s="306"/>
      <c r="Y794" s="188"/>
      <c r="Z794" s="188"/>
      <c r="AA794" s="188"/>
      <c r="AB794" s="20"/>
      <c r="AC794" s="20"/>
      <c r="AD794" s="20"/>
      <c r="AE794" s="20"/>
    </row>
    <row r="795">
      <c r="A795" s="149"/>
      <c r="B795" s="164"/>
      <c r="C795" s="306"/>
      <c r="D795" s="149"/>
      <c r="E795" s="164"/>
      <c r="F795" s="306"/>
      <c r="G795" s="149"/>
      <c r="H795" s="164"/>
      <c r="I795" s="306"/>
      <c r="J795" s="149"/>
      <c r="K795" s="164"/>
      <c r="L795" s="306"/>
      <c r="M795" s="310"/>
      <c r="N795" s="311"/>
      <c r="O795" s="312"/>
      <c r="P795" s="310"/>
      <c r="Q795" s="311"/>
      <c r="R795" s="312"/>
      <c r="S795" s="310"/>
      <c r="T795" s="311"/>
      <c r="U795" s="312"/>
      <c r="V795" s="149"/>
      <c r="W795" s="311"/>
      <c r="X795" s="306"/>
      <c r="Y795" s="188"/>
      <c r="Z795" s="188"/>
      <c r="AA795" s="188"/>
      <c r="AB795" s="20"/>
      <c r="AC795" s="20"/>
      <c r="AD795" s="20"/>
      <c r="AE795" s="20"/>
    </row>
    <row r="796">
      <c r="A796" s="149"/>
      <c r="B796" s="164"/>
      <c r="C796" s="306"/>
      <c r="D796" s="149"/>
      <c r="E796" s="164"/>
      <c r="F796" s="306"/>
      <c r="G796" s="149"/>
      <c r="H796" s="164"/>
      <c r="I796" s="306"/>
      <c r="J796" s="149"/>
      <c r="K796" s="164"/>
      <c r="L796" s="306"/>
      <c r="M796" s="310"/>
      <c r="N796" s="311"/>
      <c r="O796" s="312"/>
      <c r="P796" s="310"/>
      <c r="Q796" s="311"/>
      <c r="R796" s="312"/>
      <c r="S796" s="310"/>
      <c r="T796" s="311"/>
      <c r="U796" s="312"/>
      <c r="V796" s="149"/>
      <c r="W796" s="311"/>
      <c r="X796" s="306"/>
      <c r="Y796" s="188"/>
      <c r="Z796" s="188"/>
      <c r="AA796" s="188"/>
      <c r="AB796" s="20"/>
      <c r="AC796" s="20"/>
      <c r="AD796" s="20"/>
      <c r="AE796" s="20"/>
    </row>
    <row r="797">
      <c r="A797" s="149"/>
      <c r="B797" s="164"/>
      <c r="C797" s="306"/>
      <c r="D797" s="149"/>
      <c r="E797" s="164"/>
      <c r="F797" s="306"/>
      <c r="G797" s="149"/>
      <c r="H797" s="164"/>
      <c r="I797" s="306"/>
      <c r="J797" s="149"/>
      <c r="K797" s="164"/>
      <c r="L797" s="306"/>
      <c r="M797" s="310"/>
      <c r="N797" s="311"/>
      <c r="O797" s="312"/>
      <c r="P797" s="310"/>
      <c r="Q797" s="311"/>
      <c r="R797" s="312"/>
      <c r="S797" s="310"/>
      <c r="T797" s="311"/>
      <c r="U797" s="312"/>
      <c r="V797" s="149"/>
      <c r="W797" s="311"/>
      <c r="X797" s="306"/>
      <c r="Y797" s="188"/>
      <c r="Z797" s="188"/>
      <c r="AA797" s="188"/>
      <c r="AB797" s="20"/>
      <c r="AC797" s="20"/>
      <c r="AD797" s="20"/>
      <c r="AE797" s="20"/>
    </row>
    <row r="798">
      <c r="A798" s="149"/>
      <c r="B798" s="164"/>
      <c r="C798" s="306"/>
      <c r="D798" s="149"/>
      <c r="E798" s="164"/>
      <c r="F798" s="306"/>
      <c r="G798" s="149"/>
      <c r="H798" s="164"/>
      <c r="I798" s="306"/>
      <c r="J798" s="149"/>
      <c r="K798" s="164"/>
      <c r="L798" s="306"/>
      <c r="M798" s="310"/>
      <c r="N798" s="311"/>
      <c r="O798" s="312"/>
      <c r="P798" s="310"/>
      <c r="Q798" s="311"/>
      <c r="R798" s="312"/>
      <c r="S798" s="310"/>
      <c r="T798" s="311"/>
      <c r="U798" s="312"/>
      <c r="V798" s="149"/>
      <c r="W798" s="311"/>
      <c r="X798" s="306"/>
      <c r="Y798" s="188"/>
      <c r="Z798" s="188"/>
      <c r="AA798" s="188"/>
      <c r="AB798" s="20"/>
      <c r="AC798" s="20"/>
      <c r="AD798" s="20"/>
      <c r="AE798" s="20"/>
    </row>
    <row r="799">
      <c r="A799" s="149"/>
      <c r="B799" s="164"/>
      <c r="C799" s="306"/>
      <c r="D799" s="149"/>
      <c r="E799" s="164"/>
      <c r="F799" s="306"/>
      <c r="G799" s="149"/>
      <c r="H799" s="164"/>
      <c r="I799" s="306"/>
      <c r="J799" s="149"/>
      <c r="K799" s="164"/>
      <c r="L799" s="306"/>
      <c r="M799" s="310"/>
      <c r="N799" s="311"/>
      <c r="O799" s="312"/>
      <c r="P799" s="310"/>
      <c r="Q799" s="311"/>
      <c r="R799" s="312"/>
      <c r="S799" s="310"/>
      <c r="T799" s="311"/>
      <c r="U799" s="312"/>
      <c r="V799" s="149"/>
      <c r="W799" s="311"/>
      <c r="X799" s="306"/>
      <c r="Y799" s="188"/>
      <c r="Z799" s="188"/>
      <c r="AA799" s="188"/>
      <c r="AB799" s="20"/>
      <c r="AC799" s="20"/>
      <c r="AD799" s="20"/>
      <c r="AE799" s="20"/>
    </row>
    <row r="800">
      <c r="A800" s="149"/>
      <c r="B800" s="164"/>
      <c r="C800" s="306"/>
      <c r="D800" s="149"/>
      <c r="E800" s="164"/>
      <c r="F800" s="306"/>
      <c r="G800" s="149"/>
      <c r="H800" s="164"/>
      <c r="I800" s="306"/>
      <c r="J800" s="149"/>
      <c r="K800" s="164"/>
      <c r="L800" s="306"/>
      <c r="M800" s="310"/>
      <c r="N800" s="311"/>
      <c r="O800" s="312"/>
      <c r="P800" s="310"/>
      <c r="Q800" s="311"/>
      <c r="R800" s="312"/>
      <c r="S800" s="310"/>
      <c r="T800" s="311"/>
      <c r="U800" s="312"/>
      <c r="V800" s="149"/>
      <c r="W800" s="311"/>
      <c r="X800" s="306"/>
      <c r="Y800" s="188"/>
      <c r="Z800" s="188"/>
      <c r="AA800" s="188"/>
      <c r="AB800" s="20"/>
      <c r="AC800" s="20"/>
      <c r="AD800" s="20"/>
      <c r="AE800" s="20"/>
    </row>
    <row r="801">
      <c r="A801" s="149"/>
      <c r="B801" s="164"/>
      <c r="C801" s="306"/>
      <c r="D801" s="149"/>
      <c r="E801" s="164"/>
      <c r="F801" s="306"/>
      <c r="G801" s="149"/>
      <c r="H801" s="164"/>
      <c r="I801" s="306"/>
      <c r="J801" s="149"/>
      <c r="K801" s="164"/>
      <c r="L801" s="306"/>
      <c r="M801" s="310"/>
      <c r="N801" s="311"/>
      <c r="O801" s="312"/>
      <c r="P801" s="310"/>
      <c r="Q801" s="311"/>
      <c r="R801" s="312"/>
      <c r="S801" s="310"/>
      <c r="T801" s="311"/>
      <c r="U801" s="312"/>
      <c r="V801" s="149"/>
      <c r="W801" s="311"/>
      <c r="X801" s="306"/>
      <c r="Y801" s="188"/>
      <c r="Z801" s="188"/>
      <c r="AA801" s="188"/>
      <c r="AB801" s="20"/>
      <c r="AC801" s="20"/>
      <c r="AD801" s="20"/>
      <c r="AE801" s="20"/>
    </row>
    <row r="802">
      <c r="A802" s="149"/>
      <c r="B802" s="164"/>
      <c r="C802" s="306"/>
      <c r="D802" s="149"/>
      <c r="E802" s="164"/>
      <c r="F802" s="306"/>
      <c r="G802" s="149"/>
      <c r="H802" s="164"/>
      <c r="I802" s="306"/>
      <c r="J802" s="149"/>
      <c r="K802" s="164"/>
      <c r="L802" s="306"/>
      <c r="M802" s="310"/>
      <c r="N802" s="311"/>
      <c r="O802" s="312"/>
      <c r="P802" s="310"/>
      <c r="Q802" s="311"/>
      <c r="R802" s="312"/>
      <c r="S802" s="310"/>
      <c r="T802" s="311"/>
      <c r="U802" s="312"/>
      <c r="V802" s="149"/>
      <c r="W802" s="311"/>
      <c r="X802" s="306"/>
      <c r="Y802" s="188"/>
      <c r="Z802" s="188"/>
      <c r="AA802" s="188"/>
      <c r="AB802" s="20"/>
      <c r="AC802" s="20"/>
      <c r="AD802" s="20"/>
      <c r="AE802" s="20"/>
    </row>
    <row r="803">
      <c r="A803" s="149"/>
      <c r="B803" s="164"/>
      <c r="C803" s="306"/>
      <c r="D803" s="149"/>
      <c r="E803" s="164"/>
      <c r="F803" s="306"/>
      <c r="G803" s="149"/>
      <c r="H803" s="164"/>
      <c r="I803" s="306"/>
      <c r="J803" s="149"/>
      <c r="K803" s="164"/>
      <c r="L803" s="306"/>
      <c r="M803" s="310"/>
      <c r="N803" s="311"/>
      <c r="O803" s="312"/>
      <c r="P803" s="310"/>
      <c r="Q803" s="311"/>
      <c r="R803" s="312"/>
      <c r="S803" s="310"/>
      <c r="T803" s="311"/>
      <c r="U803" s="312"/>
      <c r="V803" s="149"/>
      <c r="W803" s="311"/>
      <c r="X803" s="306"/>
      <c r="Y803" s="188"/>
      <c r="Z803" s="188"/>
      <c r="AA803" s="188"/>
      <c r="AB803" s="20"/>
      <c r="AC803" s="20"/>
      <c r="AD803" s="20"/>
      <c r="AE803" s="20"/>
    </row>
    <row r="804">
      <c r="A804" s="149"/>
      <c r="B804" s="164"/>
      <c r="C804" s="306"/>
      <c r="D804" s="149"/>
      <c r="E804" s="164"/>
      <c r="F804" s="306"/>
      <c r="G804" s="149"/>
      <c r="H804" s="164"/>
      <c r="I804" s="306"/>
      <c r="J804" s="149"/>
      <c r="K804" s="164"/>
      <c r="L804" s="306"/>
      <c r="M804" s="310"/>
      <c r="N804" s="311"/>
      <c r="O804" s="312"/>
      <c r="P804" s="310"/>
      <c r="Q804" s="311"/>
      <c r="R804" s="312"/>
      <c r="S804" s="310"/>
      <c r="T804" s="311"/>
      <c r="U804" s="312"/>
      <c r="V804" s="149"/>
      <c r="W804" s="311"/>
      <c r="X804" s="306"/>
      <c r="Y804" s="188"/>
      <c r="Z804" s="188"/>
      <c r="AA804" s="188"/>
      <c r="AB804" s="20"/>
      <c r="AC804" s="20"/>
      <c r="AD804" s="20"/>
      <c r="AE804" s="20"/>
    </row>
    <row r="805">
      <c r="A805" s="149"/>
      <c r="B805" s="164"/>
      <c r="C805" s="306"/>
      <c r="D805" s="149"/>
      <c r="E805" s="164"/>
      <c r="F805" s="306"/>
      <c r="G805" s="149"/>
      <c r="H805" s="164"/>
      <c r="I805" s="306"/>
      <c r="J805" s="149"/>
      <c r="K805" s="164"/>
      <c r="L805" s="306"/>
      <c r="M805" s="310"/>
      <c r="N805" s="311"/>
      <c r="O805" s="312"/>
      <c r="P805" s="310"/>
      <c r="Q805" s="311"/>
      <c r="R805" s="312"/>
      <c r="S805" s="310"/>
      <c r="T805" s="311"/>
      <c r="U805" s="312"/>
      <c r="V805" s="149"/>
      <c r="W805" s="311"/>
      <c r="X805" s="306"/>
      <c r="Y805" s="188"/>
      <c r="Z805" s="188"/>
      <c r="AA805" s="188"/>
      <c r="AB805" s="20"/>
      <c r="AC805" s="20"/>
      <c r="AD805" s="20"/>
      <c r="AE805" s="20"/>
    </row>
    <row r="806">
      <c r="A806" s="149"/>
      <c r="B806" s="164"/>
      <c r="C806" s="306"/>
      <c r="D806" s="149"/>
      <c r="E806" s="164"/>
      <c r="F806" s="306"/>
      <c r="G806" s="149"/>
      <c r="H806" s="164"/>
      <c r="I806" s="306"/>
      <c r="J806" s="149"/>
      <c r="K806" s="164"/>
      <c r="L806" s="306"/>
      <c r="M806" s="310"/>
      <c r="N806" s="311"/>
      <c r="O806" s="312"/>
      <c r="P806" s="310"/>
      <c r="Q806" s="311"/>
      <c r="R806" s="312"/>
      <c r="S806" s="310"/>
      <c r="T806" s="311"/>
      <c r="U806" s="312"/>
      <c r="V806" s="149"/>
      <c r="W806" s="311"/>
      <c r="X806" s="306"/>
      <c r="Y806" s="188"/>
      <c r="Z806" s="188"/>
      <c r="AA806" s="188"/>
      <c r="AB806" s="20"/>
      <c r="AC806" s="20"/>
      <c r="AD806" s="20"/>
      <c r="AE806" s="20"/>
    </row>
    <row r="807">
      <c r="A807" s="149"/>
      <c r="B807" s="164"/>
      <c r="C807" s="306"/>
      <c r="D807" s="149"/>
      <c r="E807" s="164"/>
      <c r="F807" s="306"/>
      <c r="G807" s="149"/>
      <c r="H807" s="164"/>
      <c r="I807" s="306"/>
      <c r="J807" s="149"/>
      <c r="K807" s="164"/>
      <c r="L807" s="306"/>
      <c r="M807" s="310"/>
      <c r="N807" s="311"/>
      <c r="O807" s="312"/>
      <c r="P807" s="310"/>
      <c r="Q807" s="311"/>
      <c r="R807" s="312"/>
      <c r="S807" s="310"/>
      <c r="T807" s="311"/>
      <c r="U807" s="312"/>
      <c r="V807" s="149"/>
      <c r="W807" s="311"/>
      <c r="X807" s="306"/>
      <c r="Y807" s="188"/>
      <c r="Z807" s="188"/>
      <c r="AA807" s="188"/>
      <c r="AB807" s="20"/>
      <c r="AC807" s="20"/>
      <c r="AD807" s="20"/>
      <c r="AE807" s="20"/>
    </row>
    <row r="808">
      <c r="A808" s="149"/>
      <c r="B808" s="164"/>
      <c r="C808" s="306"/>
      <c r="D808" s="149"/>
      <c r="E808" s="164"/>
      <c r="F808" s="306"/>
      <c r="G808" s="149"/>
      <c r="H808" s="164"/>
      <c r="I808" s="306"/>
      <c r="J808" s="149"/>
      <c r="K808" s="164"/>
      <c r="L808" s="306"/>
      <c r="M808" s="310"/>
      <c r="N808" s="311"/>
      <c r="O808" s="312"/>
      <c r="P808" s="310"/>
      <c r="Q808" s="311"/>
      <c r="R808" s="312"/>
      <c r="S808" s="310"/>
      <c r="T808" s="311"/>
      <c r="U808" s="312"/>
      <c r="V808" s="149"/>
      <c r="W808" s="311"/>
      <c r="X808" s="306"/>
      <c r="Y808" s="188"/>
      <c r="Z808" s="188"/>
      <c r="AA808" s="188"/>
      <c r="AB808" s="20"/>
      <c r="AC808" s="20"/>
      <c r="AD808" s="20"/>
      <c r="AE808" s="20"/>
    </row>
    <row r="809">
      <c r="A809" s="149"/>
      <c r="B809" s="164"/>
      <c r="C809" s="306"/>
      <c r="D809" s="149"/>
      <c r="E809" s="164"/>
      <c r="F809" s="306"/>
      <c r="G809" s="149"/>
      <c r="H809" s="164"/>
      <c r="I809" s="306"/>
      <c r="J809" s="149"/>
      <c r="K809" s="164"/>
      <c r="L809" s="306"/>
      <c r="M809" s="310"/>
      <c r="N809" s="311"/>
      <c r="O809" s="312"/>
      <c r="P809" s="310"/>
      <c r="Q809" s="311"/>
      <c r="R809" s="312"/>
      <c r="S809" s="310"/>
      <c r="T809" s="311"/>
      <c r="U809" s="312"/>
      <c r="V809" s="149"/>
      <c r="W809" s="311"/>
      <c r="X809" s="306"/>
      <c r="Y809" s="188"/>
      <c r="Z809" s="188"/>
      <c r="AA809" s="188"/>
      <c r="AB809" s="20"/>
      <c r="AC809" s="20"/>
      <c r="AD809" s="20"/>
      <c r="AE809" s="20"/>
    </row>
    <row r="810">
      <c r="A810" s="149"/>
      <c r="B810" s="164"/>
      <c r="C810" s="306"/>
      <c r="D810" s="149"/>
      <c r="E810" s="164"/>
      <c r="F810" s="306"/>
      <c r="G810" s="149"/>
      <c r="H810" s="164"/>
      <c r="I810" s="306"/>
      <c r="J810" s="149"/>
      <c r="K810" s="164"/>
      <c r="L810" s="306"/>
      <c r="M810" s="310"/>
      <c r="N810" s="311"/>
      <c r="O810" s="312"/>
      <c r="P810" s="310"/>
      <c r="Q810" s="311"/>
      <c r="R810" s="312"/>
      <c r="S810" s="310"/>
      <c r="T810" s="311"/>
      <c r="U810" s="312"/>
      <c r="V810" s="149"/>
      <c r="W810" s="311"/>
      <c r="X810" s="306"/>
      <c r="Y810" s="188"/>
      <c r="Z810" s="188"/>
      <c r="AA810" s="188"/>
      <c r="AB810" s="20"/>
      <c r="AC810" s="20"/>
      <c r="AD810" s="20"/>
      <c r="AE810" s="20"/>
    </row>
    <row r="811">
      <c r="A811" s="149"/>
      <c r="B811" s="164"/>
      <c r="C811" s="306"/>
      <c r="D811" s="149"/>
      <c r="E811" s="164"/>
      <c r="F811" s="306"/>
      <c r="G811" s="149"/>
      <c r="H811" s="164"/>
      <c r="I811" s="306"/>
      <c r="J811" s="149"/>
      <c r="K811" s="164"/>
      <c r="L811" s="306"/>
      <c r="M811" s="310"/>
      <c r="N811" s="311"/>
      <c r="O811" s="312"/>
      <c r="P811" s="310"/>
      <c r="Q811" s="311"/>
      <c r="R811" s="312"/>
      <c r="S811" s="310"/>
      <c r="T811" s="311"/>
      <c r="U811" s="312"/>
      <c r="V811" s="149"/>
      <c r="W811" s="311"/>
      <c r="X811" s="306"/>
      <c r="Y811" s="188"/>
      <c r="Z811" s="188"/>
      <c r="AA811" s="188"/>
      <c r="AB811" s="20"/>
      <c r="AC811" s="20"/>
      <c r="AD811" s="20"/>
      <c r="AE811" s="20"/>
    </row>
    <row r="812">
      <c r="A812" s="149"/>
      <c r="B812" s="164"/>
      <c r="C812" s="306"/>
      <c r="D812" s="149"/>
      <c r="E812" s="164"/>
      <c r="F812" s="306"/>
      <c r="G812" s="149"/>
      <c r="H812" s="164"/>
      <c r="I812" s="306"/>
      <c r="J812" s="149"/>
      <c r="K812" s="164"/>
      <c r="L812" s="306"/>
      <c r="M812" s="310"/>
      <c r="N812" s="311"/>
      <c r="O812" s="312"/>
      <c r="P812" s="310"/>
      <c r="Q812" s="311"/>
      <c r="R812" s="312"/>
      <c r="S812" s="310"/>
      <c r="T812" s="311"/>
      <c r="U812" s="312"/>
      <c r="V812" s="149"/>
      <c r="W812" s="311"/>
      <c r="X812" s="306"/>
      <c r="Y812" s="188"/>
      <c r="Z812" s="188"/>
      <c r="AA812" s="188"/>
      <c r="AB812" s="20"/>
      <c r="AC812" s="20"/>
      <c r="AD812" s="20"/>
      <c r="AE812" s="20"/>
    </row>
    <row r="813">
      <c r="A813" s="149"/>
      <c r="B813" s="164"/>
      <c r="C813" s="306"/>
      <c r="D813" s="149"/>
      <c r="E813" s="164"/>
      <c r="F813" s="306"/>
      <c r="G813" s="149"/>
      <c r="H813" s="164"/>
      <c r="I813" s="306"/>
      <c r="J813" s="149"/>
      <c r="K813" s="164"/>
      <c r="L813" s="306"/>
      <c r="M813" s="310"/>
      <c r="N813" s="311"/>
      <c r="O813" s="312"/>
      <c r="P813" s="310"/>
      <c r="Q813" s="311"/>
      <c r="R813" s="312"/>
      <c r="S813" s="310"/>
      <c r="T813" s="311"/>
      <c r="U813" s="312"/>
      <c r="V813" s="149"/>
      <c r="W813" s="311"/>
      <c r="X813" s="306"/>
      <c r="Y813" s="188"/>
      <c r="Z813" s="188"/>
      <c r="AA813" s="188"/>
      <c r="AB813" s="20"/>
      <c r="AC813" s="20"/>
      <c r="AD813" s="20"/>
      <c r="AE813" s="20"/>
    </row>
    <row r="814">
      <c r="A814" s="149"/>
      <c r="B814" s="164"/>
      <c r="C814" s="306"/>
      <c r="D814" s="149"/>
      <c r="E814" s="164"/>
      <c r="F814" s="306"/>
      <c r="G814" s="149"/>
      <c r="H814" s="164"/>
      <c r="I814" s="306"/>
      <c r="J814" s="149"/>
      <c r="K814" s="164"/>
      <c r="L814" s="306"/>
      <c r="M814" s="310"/>
      <c r="N814" s="311"/>
      <c r="O814" s="312"/>
      <c r="P814" s="310"/>
      <c r="Q814" s="311"/>
      <c r="R814" s="312"/>
      <c r="S814" s="310"/>
      <c r="T814" s="311"/>
      <c r="U814" s="312"/>
      <c r="V814" s="149"/>
      <c r="W814" s="311"/>
      <c r="X814" s="306"/>
      <c r="Y814" s="188"/>
      <c r="Z814" s="188"/>
      <c r="AA814" s="188"/>
      <c r="AB814" s="20"/>
      <c r="AC814" s="20"/>
      <c r="AD814" s="20"/>
      <c r="AE814" s="20"/>
    </row>
    <row r="815">
      <c r="A815" s="149"/>
      <c r="B815" s="164"/>
      <c r="C815" s="306"/>
      <c r="D815" s="149"/>
      <c r="E815" s="164"/>
      <c r="F815" s="306"/>
      <c r="G815" s="149"/>
      <c r="H815" s="164"/>
      <c r="I815" s="306"/>
      <c r="J815" s="149"/>
      <c r="K815" s="164"/>
      <c r="L815" s="306"/>
      <c r="M815" s="310"/>
      <c r="N815" s="311"/>
      <c r="O815" s="312"/>
      <c r="P815" s="310"/>
      <c r="Q815" s="311"/>
      <c r="R815" s="312"/>
      <c r="S815" s="310"/>
      <c r="T815" s="311"/>
      <c r="U815" s="312"/>
      <c r="V815" s="149"/>
      <c r="W815" s="311"/>
      <c r="X815" s="306"/>
      <c r="Y815" s="188"/>
      <c r="Z815" s="188"/>
      <c r="AA815" s="188"/>
      <c r="AB815" s="20"/>
      <c r="AC815" s="20"/>
      <c r="AD815" s="20"/>
      <c r="AE815" s="20"/>
    </row>
    <row r="816">
      <c r="A816" s="149"/>
      <c r="B816" s="164"/>
      <c r="C816" s="306"/>
      <c r="D816" s="149"/>
      <c r="E816" s="164"/>
      <c r="F816" s="306"/>
      <c r="G816" s="149"/>
      <c r="H816" s="164"/>
      <c r="I816" s="306"/>
      <c r="J816" s="149"/>
      <c r="K816" s="164"/>
      <c r="L816" s="306"/>
      <c r="M816" s="310"/>
      <c r="N816" s="311"/>
      <c r="O816" s="312"/>
      <c r="P816" s="310"/>
      <c r="Q816" s="311"/>
      <c r="R816" s="312"/>
      <c r="S816" s="310"/>
      <c r="T816" s="311"/>
      <c r="U816" s="312"/>
      <c r="V816" s="149"/>
      <c r="W816" s="311"/>
      <c r="X816" s="306"/>
      <c r="Y816" s="188"/>
      <c r="Z816" s="188"/>
      <c r="AA816" s="188"/>
      <c r="AB816" s="20"/>
      <c r="AC816" s="20"/>
      <c r="AD816" s="20"/>
      <c r="AE816" s="20"/>
    </row>
    <row r="817">
      <c r="A817" s="149"/>
      <c r="B817" s="164"/>
      <c r="C817" s="306"/>
      <c r="D817" s="149"/>
      <c r="E817" s="164"/>
      <c r="F817" s="306"/>
      <c r="G817" s="149"/>
      <c r="H817" s="164"/>
      <c r="I817" s="306"/>
      <c r="J817" s="149"/>
      <c r="K817" s="164"/>
      <c r="L817" s="306"/>
      <c r="M817" s="310"/>
      <c r="N817" s="311"/>
      <c r="O817" s="312"/>
      <c r="P817" s="310"/>
      <c r="Q817" s="311"/>
      <c r="R817" s="312"/>
      <c r="S817" s="310"/>
      <c r="T817" s="311"/>
      <c r="U817" s="312"/>
      <c r="V817" s="149"/>
      <c r="W817" s="311"/>
      <c r="X817" s="306"/>
      <c r="Y817" s="188"/>
      <c r="Z817" s="188"/>
      <c r="AA817" s="188"/>
      <c r="AB817" s="20"/>
      <c r="AC817" s="20"/>
      <c r="AD817" s="20"/>
      <c r="AE817" s="20"/>
    </row>
    <row r="818">
      <c r="A818" s="149"/>
      <c r="B818" s="164"/>
      <c r="C818" s="306"/>
      <c r="D818" s="149"/>
      <c r="E818" s="164"/>
      <c r="F818" s="306"/>
      <c r="G818" s="149"/>
      <c r="H818" s="164"/>
      <c r="I818" s="306"/>
      <c r="J818" s="149"/>
      <c r="K818" s="164"/>
      <c r="L818" s="306"/>
      <c r="M818" s="310"/>
      <c r="N818" s="311"/>
      <c r="O818" s="312"/>
      <c r="P818" s="310"/>
      <c r="Q818" s="311"/>
      <c r="R818" s="312"/>
      <c r="S818" s="310"/>
      <c r="T818" s="311"/>
      <c r="U818" s="312"/>
      <c r="V818" s="149"/>
      <c r="W818" s="311"/>
      <c r="X818" s="306"/>
      <c r="Y818" s="188"/>
      <c r="Z818" s="188"/>
      <c r="AA818" s="188"/>
      <c r="AB818" s="20"/>
      <c r="AC818" s="20"/>
      <c r="AD818" s="20"/>
      <c r="AE818" s="20"/>
    </row>
    <row r="819">
      <c r="A819" s="149"/>
      <c r="B819" s="164"/>
      <c r="C819" s="306"/>
      <c r="D819" s="149"/>
      <c r="E819" s="164"/>
      <c r="F819" s="306"/>
      <c r="G819" s="149"/>
      <c r="H819" s="164"/>
      <c r="I819" s="306"/>
      <c r="J819" s="149"/>
      <c r="K819" s="164"/>
      <c r="L819" s="306"/>
      <c r="M819" s="310"/>
      <c r="N819" s="311"/>
      <c r="O819" s="312"/>
      <c r="P819" s="310"/>
      <c r="Q819" s="311"/>
      <c r="R819" s="312"/>
      <c r="S819" s="310"/>
      <c r="T819" s="311"/>
      <c r="U819" s="312"/>
      <c r="V819" s="149"/>
      <c r="W819" s="311"/>
      <c r="X819" s="306"/>
      <c r="Y819" s="188"/>
      <c r="Z819" s="188"/>
      <c r="AA819" s="188"/>
      <c r="AB819" s="20"/>
      <c r="AC819" s="20"/>
      <c r="AD819" s="20"/>
      <c r="AE819" s="20"/>
    </row>
    <row r="820">
      <c r="A820" s="149"/>
      <c r="B820" s="164"/>
      <c r="C820" s="306"/>
      <c r="D820" s="149"/>
      <c r="E820" s="164"/>
      <c r="F820" s="306"/>
      <c r="G820" s="149"/>
      <c r="H820" s="164"/>
      <c r="I820" s="306"/>
      <c r="J820" s="149"/>
      <c r="K820" s="164"/>
      <c r="L820" s="306"/>
      <c r="M820" s="310"/>
      <c r="N820" s="311"/>
      <c r="O820" s="312"/>
      <c r="P820" s="310"/>
      <c r="Q820" s="311"/>
      <c r="R820" s="312"/>
      <c r="S820" s="310"/>
      <c r="T820" s="311"/>
      <c r="U820" s="312"/>
      <c r="V820" s="149"/>
      <c r="W820" s="311"/>
      <c r="X820" s="306"/>
      <c r="Y820" s="188"/>
      <c r="Z820" s="188"/>
      <c r="AA820" s="188"/>
      <c r="AB820" s="20"/>
      <c r="AC820" s="20"/>
      <c r="AD820" s="20"/>
      <c r="AE820" s="20"/>
    </row>
    <row r="821">
      <c r="A821" s="149"/>
      <c r="B821" s="164"/>
      <c r="C821" s="306"/>
      <c r="D821" s="149"/>
      <c r="E821" s="164"/>
      <c r="F821" s="306"/>
      <c r="G821" s="149"/>
      <c r="H821" s="164"/>
      <c r="I821" s="306"/>
      <c r="J821" s="149"/>
      <c r="K821" s="164"/>
      <c r="L821" s="306"/>
      <c r="M821" s="310"/>
      <c r="N821" s="311"/>
      <c r="O821" s="312"/>
      <c r="P821" s="310"/>
      <c r="Q821" s="311"/>
      <c r="R821" s="312"/>
      <c r="S821" s="310"/>
      <c r="T821" s="311"/>
      <c r="U821" s="312"/>
      <c r="V821" s="149"/>
      <c r="W821" s="311"/>
      <c r="X821" s="306"/>
      <c r="Y821" s="188"/>
      <c r="Z821" s="188"/>
      <c r="AA821" s="188"/>
      <c r="AB821" s="20"/>
      <c r="AC821" s="20"/>
      <c r="AD821" s="20"/>
      <c r="AE821" s="20"/>
    </row>
    <row r="822">
      <c r="A822" s="149"/>
      <c r="B822" s="164"/>
      <c r="C822" s="306"/>
      <c r="D822" s="149"/>
      <c r="E822" s="164"/>
      <c r="F822" s="306"/>
      <c r="G822" s="149"/>
      <c r="H822" s="164"/>
      <c r="I822" s="306"/>
      <c r="J822" s="149"/>
      <c r="K822" s="164"/>
      <c r="L822" s="306"/>
      <c r="M822" s="310"/>
      <c r="N822" s="311"/>
      <c r="O822" s="312"/>
      <c r="P822" s="310"/>
      <c r="Q822" s="311"/>
      <c r="R822" s="312"/>
      <c r="S822" s="310"/>
      <c r="T822" s="311"/>
      <c r="U822" s="312"/>
      <c r="V822" s="149"/>
      <c r="W822" s="311"/>
      <c r="X822" s="306"/>
      <c r="Y822" s="188"/>
      <c r="Z822" s="188"/>
      <c r="AA822" s="188"/>
      <c r="AB822" s="20"/>
      <c r="AC822" s="20"/>
      <c r="AD822" s="20"/>
      <c r="AE822" s="20"/>
    </row>
    <row r="823">
      <c r="A823" s="149"/>
      <c r="B823" s="164"/>
      <c r="C823" s="306"/>
      <c r="D823" s="149"/>
      <c r="E823" s="164"/>
      <c r="F823" s="306"/>
      <c r="G823" s="149"/>
      <c r="H823" s="164"/>
      <c r="I823" s="306"/>
      <c r="J823" s="149"/>
      <c r="K823" s="164"/>
      <c r="L823" s="306"/>
      <c r="M823" s="310"/>
      <c r="N823" s="311"/>
      <c r="O823" s="312"/>
      <c r="P823" s="310"/>
      <c r="Q823" s="311"/>
      <c r="R823" s="312"/>
      <c r="S823" s="310"/>
      <c r="T823" s="311"/>
      <c r="U823" s="312"/>
      <c r="V823" s="149"/>
      <c r="W823" s="311"/>
      <c r="X823" s="306"/>
      <c r="Y823" s="188"/>
      <c r="Z823" s="188"/>
      <c r="AA823" s="188"/>
      <c r="AB823" s="20"/>
      <c r="AC823" s="20"/>
      <c r="AD823" s="20"/>
      <c r="AE823" s="20"/>
    </row>
    <row r="824">
      <c r="A824" s="149"/>
      <c r="B824" s="164"/>
      <c r="C824" s="306"/>
      <c r="D824" s="149"/>
      <c r="E824" s="164"/>
      <c r="F824" s="306"/>
      <c r="G824" s="149"/>
      <c r="H824" s="164"/>
      <c r="I824" s="306"/>
      <c r="J824" s="149"/>
      <c r="K824" s="164"/>
      <c r="L824" s="306"/>
      <c r="M824" s="310"/>
      <c r="N824" s="311"/>
      <c r="O824" s="312"/>
      <c r="P824" s="310"/>
      <c r="Q824" s="311"/>
      <c r="R824" s="312"/>
      <c r="S824" s="310"/>
      <c r="T824" s="311"/>
      <c r="U824" s="312"/>
      <c r="V824" s="149"/>
      <c r="W824" s="311"/>
      <c r="X824" s="306"/>
      <c r="Y824" s="188"/>
      <c r="Z824" s="188"/>
      <c r="AA824" s="188"/>
      <c r="AB824" s="20"/>
      <c r="AC824" s="20"/>
      <c r="AD824" s="20"/>
      <c r="AE824" s="20"/>
    </row>
    <row r="825">
      <c r="A825" s="149"/>
      <c r="B825" s="164"/>
      <c r="C825" s="306"/>
      <c r="D825" s="149"/>
      <c r="E825" s="164"/>
      <c r="F825" s="306"/>
      <c r="G825" s="149"/>
      <c r="H825" s="164"/>
      <c r="I825" s="306"/>
      <c r="J825" s="149"/>
      <c r="K825" s="164"/>
      <c r="L825" s="306"/>
      <c r="M825" s="310"/>
      <c r="N825" s="311"/>
      <c r="O825" s="312"/>
      <c r="P825" s="310"/>
      <c r="Q825" s="311"/>
      <c r="R825" s="312"/>
      <c r="S825" s="310"/>
      <c r="T825" s="311"/>
      <c r="U825" s="312"/>
      <c r="V825" s="149"/>
      <c r="W825" s="311"/>
      <c r="X825" s="306"/>
      <c r="Y825" s="188"/>
      <c r="Z825" s="188"/>
      <c r="AA825" s="188"/>
      <c r="AB825" s="20"/>
      <c r="AC825" s="20"/>
      <c r="AD825" s="20"/>
      <c r="AE825" s="20"/>
    </row>
    <row r="826">
      <c r="A826" s="149"/>
      <c r="B826" s="164"/>
      <c r="C826" s="306"/>
      <c r="D826" s="149"/>
      <c r="E826" s="164"/>
      <c r="F826" s="306"/>
      <c r="G826" s="149"/>
      <c r="H826" s="164"/>
      <c r="I826" s="306"/>
      <c r="J826" s="149"/>
      <c r="K826" s="164"/>
      <c r="L826" s="306"/>
      <c r="M826" s="310"/>
      <c r="N826" s="311"/>
      <c r="O826" s="312"/>
      <c r="P826" s="310"/>
      <c r="Q826" s="311"/>
      <c r="R826" s="312"/>
      <c r="S826" s="310"/>
      <c r="T826" s="311"/>
      <c r="U826" s="312"/>
      <c r="V826" s="149"/>
      <c r="W826" s="311"/>
      <c r="X826" s="306"/>
      <c r="Y826" s="188"/>
      <c r="Z826" s="188"/>
      <c r="AA826" s="188"/>
      <c r="AB826" s="20"/>
      <c r="AC826" s="20"/>
      <c r="AD826" s="20"/>
      <c r="AE826" s="20"/>
    </row>
    <row r="827">
      <c r="A827" s="149"/>
      <c r="B827" s="164"/>
      <c r="C827" s="306"/>
      <c r="D827" s="149"/>
      <c r="E827" s="164"/>
      <c r="F827" s="306"/>
      <c r="G827" s="149"/>
      <c r="H827" s="164"/>
      <c r="I827" s="306"/>
      <c r="J827" s="149"/>
      <c r="K827" s="164"/>
      <c r="L827" s="306"/>
      <c r="M827" s="310"/>
      <c r="N827" s="311"/>
      <c r="O827" s="312"/>
      <c r="P827" s="310"/>
      <c r="Q827" s="311"/>
      <c r="R827" s="312"/>
      <c r="S827" s="310"/>
      <c r="T827" s="311"/>
      <c r="U827" s="312"/>
      <c r="V827" s="149"/>
      <c r="W827" s="311"/>
      <c r="X827" s="306"/>
      <c r="Y827" s="188"/>
      <c r="Z827" s="188"/>
      <c r="AA827" s="188"/>
      <c r="AB827" s="20"/>
      <c r="AC827" s="20"/>
      <c r="AD827" s="20"/>
      <c r="AE827" s="20"/>
    </row>
    <row r="828">
      <c r="A828" s="149"/>
      <c r="B828" s="164"/>
      <c r="C828" s="306"/>
      <c r="D828" s="149"/>
      <c r="E828" s="164"/>
      <c r="F828" s="306"/>
      <c r="G828" s="149"/>
      <c r="H828" s="164"/>
      <c r="I828" s="306"/>
      <c r="J828" s="149"/>
      <c r="K828" s="164"/>
      <c r="L828" s="306"/>
      <c r="M828" s="310"/>
      <c r="N828" s="311"/>
      <c r="O828" s="312"/>
      <c r="P828" s="310"/>
      <c r="Q828" s="311"/>
      <c r="R828" s="312"/>
      <c r="S828" s="310"/>
      <c r="T828" s="311"/>
      <c r="U828" s="312"/>
      <c r="V828" s="149"/>
      <c r="W828" s="311"/>
      <c r="X828" s="306"/>
      <c r="Y828" s="188"/>
      <c r="Z828" s="188"/>
      <c r="AA828" s="188"/>
      <c r="AB828" s="20"/>
      <c r="AC828" s="20"/>
      <c r="AD828" s="20"/>
      <c r="AE828" s="20"/>
    </row>
    <row r="829">
      <c r="A829" s="149"/>
      <c r="B829" s="164"/>
      <c r="C829" s="306"/>
      <c r="D829" s="149"/>
      <c r="E829" s="164"/>
      <c r="F829" s="306"/>
      <c r="G829" s="149"/>
      <c r="H829" s="164"/>
      <c r="I829" s="306"/>
      <c r="J829" s="149"/>
      <c r="K829" s="164"/>
      <c r="L829" s="306"/>
      <c r="M829" s="310"/>
      <c r="N829" s="311"/>
      <c r="O829" s="312"/>
      <c r="P829" s="310"/>
      <c r="Q829" s="311"/>
      <c r="R829" s="312"/>
      <c r="S829" s="310"/>
      <c r="T829" s="311"/>
      <c r="U829" s="312"/>
      <c r="V829" s="149"/>
      <c r="W829" s="311"/>
      <c r="X829" s="306"/>
      <c r="Y829" s="188"/>
      <c r="Z829" s="188"/>
      <c r="AA829" s="188"/>
      <c r="AB829" s="20"/>
      <c r="AC829" s="20"/>
      <c r="AD829" s="20"/>
      <c r="AE829" s="20"/>
    </row>
    <row r="830">
      <c r="A830" s="149"/>
      <c r="B830" s="164"/>
      <c r="C830" s="306"/>
      <c r="D830" s="149"/>
      <c r="E830" s="164"/>
      <c r="F830" s="306"/>
      <c r="G830" s="149"/>
      <c r="H830" s="164"/>
      <c r="I830" s="306"/>
      <c r="J830" s="149"/>
      <c r="K830" s="164"/>
      <c r="L830" s="306"/>
      <c r="M830" s="310"/>
      <c r="N830" s="311"/>
      <c r="O830" s="312"/>
      <c r="P830" s="310"/>
      <c r="Q830" s="311"/>
      <c r="R830" s="312"/>
      <c r="S830" s="310"/>
      <c r="T830" s="311"/>
      <c r="U830" s="312"/>
      <c r="V830" s="149"/>
      <c r="W830" s="311"/>
      <c r="X830" s="306"/>
      <c r="Y830" s="188"/>
      <c r="Z830" s="188"/>
      <c r="AA830" s="188"/>
      <c r="AB830" s="20"/>
      <c r="AC830" s="20"/>
      <c r="AD830" s="20"/>
      <c r="AE830" s="20"/>
    </row>
    <row r="831">
      <c r="A831" s="149"/>
      <c r="B831" s="164"/>
      <c r="C831" s="306"/>
      <c r="D831" s="149"/>
      <c r="E831" s="164"/>
      <c r="F831" s="306"/>
      <c r="G831" s="149"/>
      <c r="H831" s="164"/>
      <c r="I831" s="306"/>
      <c r="J831" s="149"/>
      <c r="K831" s="164"/>
      <c r="L831" s="306"/>
      <c r="M831" s="310"/>
      <c r="N831" s="311"/>
      <c r="O831" s="312"/>
      <c r="P831" s="310"/>
      <c r="Q831" s="311"/>
      <c r="R831" s="312"/>
      <c r="S831" s="310"/>
      <c r="T831" s="311"/>
      <c r="U831" s="312"/>
      <c r="V831" s="149"/>
      <c r="W831" s="311"/>
      <c r="X831" s="306"/>
      <c r="Y831" s="188"/>
      <c r="Z831" s="188"/>
      <c r="AA831" s="188"/>
      <c r="AB831" s="20"/>
      <c r="AC831" s="20"/>
      <c r="AD831" s="20"/>
      <c r="AE831" s="20"/>
    </row>
    <row r="832">
      <c r="A832" s="149"/>
      <c r="B832" s="164"/>
      <c r="C832" s="306"/>
      <c r="D832" s="149"/>
      <c r="E832" s="164"/>
      <c r="F832" s="306"/>
      <c r="G832" s="149"/>
      <c r="H832" s="164"/>
      <c r="I832" s="306"/>
      <c r="J832" s="149"/>
      <c r="K832" s="164"/>
      <c r="L832" s="306"/>
      <c r="M832" s="310"/>
      <c r="N832" s="311"/>
      <c r="O832" s="312"/>
      <c r="P832" s="310"/>
      <c r="Q832" s="311"/>
      <c r="R832" s="312"/>
      <c r="S832" s="310"/>
      <c r="T832" s="311"/>
      <c r="U832" s="312"/>
      <c r="V832" s="149"/>
      <c r="W832" s="311"/>
      <c r="X832" s="306"/>
      <c r="Y832" s="188"/>
      <c r="Z832" s="188"/>
      <c r="AA832" s="188"/>
      <c r="AB832" s="20"/>
      <c r="AC832" s="20"/>
      <c r="AD832" s="20"/>
      <c r="AE832" s="20"/>
    </row>
    <row r="833">
      <c r="A833" s="149"/>
      <c r="B833" s="164"/>
      <c r="C833" s="306"/>
      <c r="D833" s="149"/>
      <c r="E833" s="164"/>
      <c r="F833" s="306"/>
      <c r="G833" s="149"/>
      <c r="H833" s="164"/>
      <c r="I833" s="306"/>
      <c r="J833" s="149"/>
      <c r="K833" s="164"/>
      <c r="L833" s="306"/>
      <c r="M833" s="310"/>
      <c r="N833" s="311"/>
      <c r="O833" s="312"/>
      <c r="P833" s="310"/>
      <c r="Q833" s="311"/>
      <c r="R833" s="312"/>
      <c r="S833" s="310"/>
      <c r="T833" s="311"/>
      <c r="U833" s="312"/>
      <c r="V833" s="149"/>
      <c r="W833" s="311"/>
      <c r="X833" s="306"/>
      <c r="Y833" s="188"/>
      <c r="Z833" s="188"/>
      <c r="AA833" s="188"/>
      <c r="AB833" s="20"/>
      <c r="AC833" s="20"/>
      <c r="AD833" s="20"/>
      <c r="AE833" s="20"/>
    </row>
    <row r="834">
      <c r="A834" s="149"/>
      <c r="B834" s="164"/>
      <c r="C834" s="306"/>
      <c r="D834" s="149"/>
      <c r="E834" s="164"/>
      <c r="F834" s="306"/>
      <c r="G834" s="149"/>
      <c r="H834" s="164"/>
      <c r="I834" s="306"/>
      <c r="J834" s="149"/>
      <c r="K834" s="164"/>
      <c r="L834" s="306"/>
      <c r="M834" s="310"/>
      <c r="N834" s="311"/>
      <c r="O834" s="312"/>
      <c r="P834" s="310"/>
      <c r="Q834" s="311"/>
      <c r="R834" s="312"/>
      <c r="S834" s="310"/>
      <c r="T834" s="311"/>
      <c r="U834" s="312"/>
      <c r="V834" s="149"/>
      <c r="W834" s="311"/>
      <c r="X834" s="306"/>
      <c r="Y834" s="188"/>
      <c r="Z834" s="188"/>
      <c r="AA834" s="188"/>
      <c r="AB834" s="20"/>
      <c r="AC834" s="20"/>
      <c r="AD834" s="20"/>
      <c r="AE834" s="20"/>
    </row>
    <row r="835">
      <c r="A835" s="149"/>
      <c r="B835" s="164"/>
      <c r="C835" s="306"/>
      <c r="D835" s="149"/>
      <c r="E835" s="164"/>
      <c r="F835" s="306"/>
      <c r="G835" s="149"/>
      <c r="H835" s="164"/>
      <c r="I835" s="306"/>
      <c r="J835" s="149"/>
      <c r="K835" s="164"/>
      <c r="L835" s="306"/>
      <c r="M835" s="310"/>
      <c r="N835" s="311"/>
      <c r="O835" s="312"/>
      <c r="P835" s="310"/>
      <c r="Q835" s="311"/>
      <c r="R835" s="312"/>
      <c r="S835" s="310"/>
      <c r="T835" s="311"/>
      <c r="U835" s="312"/>
      <c r="V835" s="149"/>
      <c r="W835" s="311"/>
      <c r="X835" s="306"/>
      <c r="Y835" s="188"/>
      <c r="Z835" s="188"/>
      <c r="AA835" s="188"/>
      <c r="AB835" s="20"/>
      <c r="AC835" s="20"/>
      <c r="AD835" s="20"/>
      <c r="AE835" s="20"/>
    </row>
    <row r="836">
      <c r="A836" s="149"/>
      <c r="B836" s="164"/>
      <c r="C836" s="306"/>
      <c r="D836" s="149"/>
      <c r="E836" s="164"/>
      <c r="F836" s="306"/>
      <c r="G836" s="149"/>
      <c r="H836" s="164"/>
      <c r="I836" s="306"/>
      <c r="J836" s="149"/>
      <c r="K836" s="164"/>
      <c r="L836" s="306"/>
      <c r="M836" s="310"/>
      <c r="N836" s="311"/>
      <c r="O836" s="312"/>
      <c r="P836" s="310"/>
      <c r="Q836" s="311"/>
      <c r="R836" s="312"/>
      <c r="S836" s="310"/>
      <c r="T836" s="311"/>
      <c r="U836" s="312"/>
      <c r="V836" s="149"/>
      <c r="W836" s="311"/>
      <c r="X836" s="306"/>
      <c r="Y836" s="188"/>
      <c r="Z836" s="188"/>
      <c r="AA836" s="188"/>
      <c r="AB836" s="20"/>
      <c r="AC836" s="20"/>
      <c r="AD836" s="20"/>
      <c r="AE836" s="20"/>
    </row>
    <row r="837">
      <c r="A837" s="149"/>
      <c r="B837" s="164"/>
      <c r="C837" s="306"/>
      <c r="D837" s="149"/>
      <c r="E837" s="164"/>
      <c r="F837" s="306"/>
      <c r="G837" s="149"/>
      <c r="H837" s="164"/>
      <c r="I837" s="306"/>
      <c r="J837" s="149"/>
      <c r="K837" s="164"/>
      <c r="L837" s="306"/>
      <c r="M837" s="310"/>
      <c r="N837" s="311"/>
      <c r="O837" s="312"/>
      <c r="P837" s="310"/>
      <c r="Q837" s="311"/>
      <c r="R837" s="312"/>
      <c r="S837" s="310"/>
      <c r="T837" s="311"/>
      <c r="U837" s="312"/>
      <c r="V837" s="149"/>
      <c r="W837" s="311"/>
      <c r="X837" s="306"/>
      <c r="Y837" s="188"/>
      <c r="Z837" s="188"/>
      <c r="AA837" s="188"/>
      <c r="AB837" s="20"/>
      <c r="AC837" s="20"/>
      <c r="AD837" s="20"/>
      <c r="AE837" s="20"/>
    </row>
    <row r="838">
      <c r="A838" s="149"/>
      <c r="B838" s="164"/>
      <c r="C838" s="306"/>
      <c r="D838" s="149"/>
      <c r="E838" s="164"/>
      <c r="F838" s="306"/>
      <c r="G838" s="149"/>
      <c r="H838" s="164"/>
      <c r="I838" s="306"/>
      <c r="J838" s="149"/>
      <c r="K838" s="164"/>
      <c r="L838" s="306"/>
      <c r="M838" s="310"/>
      <c r="N838" s="311"/>
      <c r="O838" s="312"/>
      <c r="P838" s="310"/>
      <c r="Q838" s="311"/>
      <c r="R838" s="312"/>
      <c r="S838" s="310"/>
      <c r="T838" s="311"/>
      <c r="U838" s="312"/>
      <c r="V838" s="149"/>
      <c r="W838" s="311"/>
      <c r="X838" s="306"/>
      <c r="Y838" s="188"/>
      <c r="Z838" s="188"/>
      <c r="AA838" s="188"/>
      <c r="AB838" s="20"/>
      <c r="AC838" s="20"/>
      <c r="AD838" s="20"/>
      <c r="AE838" s="20"/>
    </row>
    <row r="839">
      <c r="A839" s="149"/>
      <c r="B839" s="164"/>
      <c r="C839" s="306"/>
      <c r="D839" s="149"/>
      <c r="E839" s="164"/>
      <c r="F839" s="306"/>
      <c r="G839" s="149"/>
      <c r="H839" s="164"/>
      <c r="I839" s="306"/>
      <c r="J839" s="149"/>
      <c r="K839" s="164"/>
      <c r="L839" s="306"/>
      <c r="M839" s="310"/>
      <c r="N839" s="311"/>
      <c r="O839" s="312"/>
      <c r="P839" s="310"/>
      <c r="Q839" s="311"/>
      <c r="R839" s="312"/>
      <c r="S839" s="310"/>
      <c r="T839" s="311"/>
      <c r="U839" s="312"/>
      <c r="V839" s="149"/>
      <c r="W839" s="311"/>
      <c r="X839" s="306"/>
      <c r="Y839" s="188"/>
      <c r="Z839" s="188"/>
      <c r="AA839" s="188"/>
      <c r="AB839" s="20"/>
      <c r="AC839" s="20"/>
      <c r="AD839" s="20"/>
      <c r="AE839" s="20"/>
    </row>
    <row r="840">
      <c r="A840" s="149"/>
      <c r="B840" s="164"/>
      <c r="C840" s="306"/>
      <c r="D840" s="149"/>
      <c r="E840" s="164"/>
      <c r="F840" s="306"/>
      <c r="G840" s="149"/>
      <c r="H840" s="164"/>
      <c r="I840" s="306"/>
      <c r="J840" s="149"/>
      <c r="K840" s="164"/>
      <c r="L840" s="306"/>
      <c r="M840" s="310"/>
      <c r="N840" s="311"/>
      <c r="O840" s="312"/>
      <c r="P840" s="310"/>
      <c r="Q840" s="311"/>
      <c r="R840" s="312"/>
      <c r="S840" s="310"/>
      <c r="T840" s="311"/>
      <c r="U840" s="312"/>
      <c r="V840" s="149"/>
      <c r="W840" s="311"/>
      <c r="X840" s="306"/>
      <c r="Y840" s="188"/>
      <c r="Z840" s="188"/>
      <c r="AA840" s="188"/>
      <c r="AB840" s="20"/>
      <c r="AC840" s="20"/>
      <c r="AD840" s="20"/>
      <c r="AE840" s="20"/>
    </row>
    <row r="841">
      <c r="A841" s="149"/>
      <c r="B841" s="164"/>
      <c r="C841" s="306"/>
      <c r="D841" s="149"/>
      <c r="E841" s="164"/>
      <c r="F841" s="306"/>
      <c r="G841" s="149"/>
      <c r="H841" s="164"/>
      <c r="I841" s="306"/>
      <c r="J841" s="149"/>
      <c r="K841" s="164"/>
      <c r="L841" s="306"/>
      <c r="M841" s="310"/>
      <c r="N841" s="311"/>
      <c r="O841" s="312"/>
      <c r="P841" s="310"/>
      <c r="Q841" s="311"/>
      <c r="R841" s="312"/>
      <c r="S841" s="310"/>
      <c r="T841" s="311"/>
      <c r="U841" s="312"/>
      <c r="V841" s="149"/>
      <c r="W841" s="311"/>
      <c r="X841" s="306"/>
      <c r="Y841" s="188"/>
      <c r="Z841" s="188"/>
      <c r="AA841" s="188"/>
      <c r="AB841" s="20"/>
      <c r="AC841" s="20"/>
      <c r="AD841" s="20"/>
      <c r="AE841" s="20"/>
    </row>
    <row r="842">
      <c r="A842" s="149"/>
      <c r="B842" s="164"/>
      <c r="C842" s="306"/>
      <c r="D842" s="149"/>
      <c r="E842" s="164"/>
      <c r="F842" s="306"/>
      <c r="G842" s="149"/>
      <c r="H842" s="164"/>
      <c r="I842" s="306"/>
      <c r="J842" s="149"/>
      <c r="K842" s="164"/>
      <c r="L842" s="306"/>
      <c r="M842" s="310"/>
      <c r="N842" s="311"/>
      <c r="O842" s="312"/>
      <c r="P842" s="310"/>
      <c r="Q842" s="311"/>
      <c r="R842" s="312"/>
      <c r="S842" s="310"/>
      <c r="T842" s="311"/>
      <c r="U842" s="312"/>
      <c r="V842" s="149"/>
      <c r="W842" s="311"/>
      <c r="X842" s="306"/>
      <c r="Y842" s="188"/>
      <c r="Z842" s="188"/>
      <c r="AA842" s="188"/>
      <c r="AB842" s="20"/>
      <c r="AC842" s="20"/>
      <c r="AD842" s="20"/>
      <c r="AE842" s="20"/>
    </row>
    <row r="843">
      <c r="A843" s="149"/>
      <c r="B843" s="164"/>
      <c r="C843" s="306"/>
      <c r="D843" s="149"/>
      <c r="E843" s="164"/>
      <c r="F843" s="306"/>
      <c r="G843" s="149"/>
      <c r="H843" s="164"/>
      <c r="I843" s="306"/>
      <c r="J843" s="149"/>
      <c r="K843" s="164"/>
      <c r="L843" s="306"/>
      <c r="M843" s="310"/>
      <c r="N843" s="311"/>
      <c r="O843" s="312"/>
      <c r="P843" s="310"/>
      <c r="Q843" s="311"/>
      <c r="R843" s="312"/>
      <c r="S843" s="310"/>
      <c r="T843" s="311"/>
      <c r="U843" s="312"/>
      <c r="V843" s="149"/>
      <c r="W843" s="311"/>
      <c r="X843" s="306"/>
      <c r="Y843" s="188"/>
      <c r="Z843" s="188"/>
      <c r="AA843" s="188"/>
      <c r="AB843" s="20"/>
      <c r="AC843" s="20"/>
      <c r="AD843" s="20"/>
      <c r="AE843" s="20"/>
    </row>
    <row r="844">
      <c r="A844" s="149"/>
      <c r="B844" s="164"/>
      <c r="C844" s="306"/>
      <c r="D844" s="149"/>
      <c r="E844" s="164"/>
      <c r="F844" s="306"/>
      <c r="G844" s="149"/>
      <c r="H844" s="164"/>
      <c r="I844" s="306"/>
      <c r="J844" s="149"/>
      <c r="K844" s="164"/>
      <c r="L844" s="306"/>
      <c r="M844" s="310"/>
      <c r="N844" s="311"/>
      <c r="O844" s="312"/>
      <c r="P844" s="310"/>
      <c r="Q844" s="311"/>
      <c r="R844" s="312"/>
      <c r="S844" s="310"/>
      <c r="T844" s="311"/>
      <c r="U844" s="312"/>
      <c r="V844" s="149"/>
      <c r="W844" s="311"/>
      <c r="X844" s="306"/>
      <c r="Y844" s="188"/>
      <c r="Z844" s="188"/>
      <c r="AA844" s="188"/>
      <c r="AB844" s="20"/>
      <c r="AC844" s="20"/>
      <c r="AD844" s="20"/>
      <c r="AE844" s="20"/>
    </row>
    <row r="845">
      <c r="A845" s="149"/>
      <c r="B845" s="164"/>
      <c r="C845" s="306"/>
      <c r="D845" s="149"/>
      <c r="E845" s="164"/>
      <c r="F845" s="306"/>
      <c r="G845" s="149"/>
      <c r="H845" s="164"/>
      <c r="I845" s="306"/>
      <c r="J845" s="149"/>
      <c r="K845" s="164"/>
      <c r="L845" s="306"/>
      <c r="M845" s="310"/>
      <c r="N845" s="311"/>
      <c r="O845" s="312"/>
      <c r="P845" s="310"/>
      <c r="Q845" s="311"/>
      <c r="R845" s="312"/>
      <c r="S845" s="310"/>
      <c r="T845" s="311"/>
      <c r="U845" s="312"/>
      <c r="V845" s="149"/>
      <c r="W845" s="311"/>
      <c r="X845" s="306"/>
      <c r="Y845" s="188"/>
      <c r="Z845" s="188"/>
      <c r="AA845" s="188"/>
      <c r="AB845" s="20"/>
      <c r="AC845" s="20"/>
      <c r="AD845" s="20"/>
      <c r="AE845" s="20"/>
    </row>
    <row r="846">
      <c r="A846" s="149"/>
      <c r="B846" s="164"/>
      <c r="C846" s="306"/>
      <c r="D846" s="149"/>
      <c r="E846" s="164"/>
      <c r="F846" s="306"/>
      <c r="G846" s="149"/>
      <c r="H846" s="164"/>
      <c r="I846" s="306"/>
      <c r="J846" s="149"/>
      <c r="K846" s="164"/>
      <c r="L846" s="306"/>
      <c r="M846" s="310"/>
      <c r="N846" s="311"/>
      <c r="O846" s="312"/>
      <c r="P846" s="310"/>
      <c r="Q846" s="311"/>
      <c r="R846" s="312"/>
      <c r="S846" s="310"/>
      <c r="T846" s="311"/>
      <c r="U846" s="312"/>
      <c r="V846" s="149"/>
      <c r="W846" s="311"/>
      <c r="X846" s="306"/>
      <c r="Y846" s="188"/>
      <c r="Z846" s="188"/>
      <c r="AA846" s="188"/>
      <c r="AB846" s="20"/>
      <c r="AC846" s="20"/>
      <c r="AD846" s="20"/>
      <c r="AE846" s="20"/>
    </row>
    <row r="847">
      <c r="A847" s="149"/>
      <c r="B847" s="164"/>
      <c r="C847" s="306"/>
      <c r="D847" s="149"/>
      <c r="E847" s="164"/>
      <c r="F847" s="306"/>
      <c r="G847" s="149"/>
      <c r="H847" s="164"/>
      <c r="I847" s="306"/>
      <c r="J847" s="149"/>
      <c r="K847" s="164"/>
      <c r="L847" s="306"/>
      <c r="M847" s="310"/>
      <c r="N847" s="311"/>
      <c r="O847" s="312"/>
      <c r="P847" s="310"/>
      <c r="Q847" s="311"/>
      <c r="R847" s="312"/>
      <c r="S847" s="310"/>
      <c r="T847" s="311"/>
      <c r="U847" s="312"/>
      <c r="V847" s="149"/>
      <c r="W847" s="311"/>
      <c r="X847" s="306"/>
      <c r="Y847" s="188"/>
      <c r="Z847" s="188"/>
      <c r="AA847" s="188"/>
      <c r="AB847" s="20"/>
      <c r="AC847" s="20"/>
      <c r="AD847" s="20"/>
      <c r="AE847" s="20"/>
    </row>
    <row r="848">
      <c r="A848" s="149"/>
      <c r="B848" s="164"/>
      <c r="C848" s="306"/>
      <c r="D848" s="149"/>
      <c r="E848" s="164"/>
      <c r="F848" s="306"/>
      <c r="G848" s="149"/>
      <c r="H848" s="164"/>
      <c r="I848" s="306"/>
      <c r="J848" s="149"/>
      <c r="K848" s="164"/>
      <c r="L848" s="306"/>
      <c r="M848" s="310"/>
      <c r="N848" s="311"/>
      <c r="O848" s="312"/>
      <c r="P848" s="310"/>
      <c r="Q848" s="311"/>
      <c r="R848" s="312"/>
      <c r="S848" s="310"/>
      <c r="T848" s="311"/>
      <c r="U848" s="312"/>
      <c r="V848" s="149"/>
      <c r="W848" s="311"/>
      <c r="X848" s="306"/>
      <c r="Y848" s="188"/>
      <c r="Z848" s="188"/>
      <c r="AA848" s="188"/>
      <c r="AB848" s="20"/>
      <c r="AC848" s="20"/>
      <c r="AD848" s="20"/>
      <c r="AE848" s="20"/>
    </row>
    <row r="849">
      <c r="A849" s="149"/>
      <c r="B849" s="164"/>
      <c r="C849" s="306"/>
      <c r="D849" s="149"/>
      <c r="E849" s="164"/>
      <c r="F849" s="306"/>
      <c r="G849" s="149"/>
      <c r="H849" s="164"/>
      <c r="I849" s="306"/>
      <c r="J849" s="149"/>
      <c r="K849" s="164"/>
      <c r="L849" s="306"/>
      <c r="M849" s="310"/>
      <c r="N849" s="311"/>
      <c r="O849" s="312"/>
      <c r="P849" s="310"/>
      <c r="Q849" s="311"/>
      <c r="R849" s="312"/>
      <c r="S849" s="310"/>
      <c r="T849" s="311"/>
      <c r="U849" s="312"/>
      <c r="V849" s="149"/>
      <c r="W849" s="311"/>
      <c r="X849" s="306"/>
      <c r="Y849" s="188"/>
      <c r="Z849" s="188"/>
      <c r="AA849" s="188"/>
      <c r="AB849" s="20"/>
      <c r="AC849" s="20"/>
      <c r="AD849" s="20"/>
      <c r="AE849" s="20"/>
    </row>
    <row r="850">
      <c r="A850" s="149"/>
      <c r="B850" s="164"/>
      <c r="C850" s="306"/>
      <c r="D850" s="149"/>
      <c r="E850" s="164"/>
      <c r="F850" s="306"/>
      <c r="G850" s="149"/>
      <c r="H850" s="164"/>
      <c r="I850" s="306"/>
      <c r="J850" s="149"/>
      <c r="K850" s="164"/>
      <c r="L850" s="306"/>
      <c r="M850" s="310"/>
      <c r="N850" s="311"/>
      <c r="O850" s="312"/>
      <c r="P850" s="310"/>
      <c r="Q850" s="311"/>
      <c r="R850" s="312"/>
      <c r="S850" s="310"/>
      <c r="T850" s="311"/>
      <c r="U850" s="312"/>
      <c r="V850" s="149"/>
      <c r="W850" s="311"/>
      <c r="X850" s="306"/>
      <c r="Y850" s="188"/>
      <c r="Z850" s="188"/>
      <c r="AA850" s="188"/>
      <c r="AB850" s="20"/>
      <c r="AC850" s="20"/>
      <c r="AD850" s="20"/>
      <c r="AE850" s="20"/>
    </row>
    <row r="851">
      <c r="A851" s="149"/>
      <c r="B851" s="164"/>
      <c r="C851" s="306"/>
      <c r="D851" s="149"/>
      <c r="E851" s="164"/>
      <c r="F851" s="306"/>
      <c r="G851" s="149"/>
      <c r="H851" s="164"/>
      <c r="I851" s="306"/>
      <c r="J851" s="149"/>
      <c r="K851" s="164"/>
      <c r="L851" s="306"/>
      <c r="M851" s="310"/>
      <c r="N851" s="311"/>
      <c r="O851" s="312"/>
      <c r="P851" s="310"/>
      <c r="Q851" s="311"/>
      <c r="R851" s="312"/>
      <c r="S851" s="310"/>
      <c r="T851" s="311"/>
      <c r="U851" s="312"/>
      <c r="V851" s="149"/>
      <c r="W851" s="311"/>
      <c r="X851" s="306"/>
      <c r="Y851" s="188"/>
      <c r="Z851" s="188"/>
      <c r="AA851" s="188"/>
      <c r="AB851" s="20"/>
      <c r="AC851" s="20"/>
      <c r="AD851" s="20"/>
      <c r="AE851" s="20"/>
    </row>
    <row r="852">
      <c r="A852" s="149"/>
      <c r="B852" s="164"/>
      <c r="C852" s="306"/>
      <c r="D852" s="149"/>
      <c r="E852" s="164"/>
      <c r="F852" s="306"/>
      <c r="G852" s="149"/>
      <c r="H852" s="164"/>
      <c r="I852" s="306"/>
      <c r="J852" s="149"/>
      <c r="K852" s="164"/>
      <c r="L852" s="306"/>
      <c r="M852" s="310"/>
      <c r="N852" s="311"/>
      <c r="O852" s="312"/>
      <c r="P852" s="310"/>
      <c r="Q852" s="311"/>
      <c r="R852" s="312"/>
      <c r="S852" s="310"/>
      <c r="T852" s="311"/>
      <c r="U852" s="312"/>
      <c r="V852" s="149"/>
      <c r="W852" s="311"/>
      <c r="X852" s="306"/>
      <c r="Y852" s="188"/>
      <c r="Z852" s="188"/>
      <c r="AA852" s="188"/>
      <c r="AB852" s="20"/>
      <c r="AC852" s="20"/>
      <c r="AD852" s="20"/>
      <c r="AE852" s="20"/>
    </row>
    <row r="853">
      <c r="A853" s="149"/>
      <c r="B853" s="164"/>
      <c r="C853" s="306"/>
      <c r="D853" s="149"/>
      <c r="E853" s="164"/>
      <c r="F853" s="306"/>
      <c r="G853" s="149"/>
      <c r="H853" s="164"/>
      <c r="I853" s="306"/>
      <c r="J853" s="149"/>
      <c r="K853" s="164"/>
      <c r="L853" s="306"/>
      <c r="M853" s="310"/>
      <c r="N853" s="311"/>
      <c r="O853" s="312"/>
      <c r="P853" s="310"/>
      <c r="Q853" s="311"/>
      <c r="R853" s="312"/>
      <c r="S853" s="310"/>
      <c r="T853" s="311"/>
      <c r="U853" s="312"/>
      <c r="V853" s="149"/>
      <c r="W853" s="311"/>
      <c r="X853" s="306"/>
      <c r="Y853" s="188"/>
      <c r="Z853" s="188"/>
      <c r="AA853" s="188"/>
      <c r="AB853" s="20"/>
      <c r="AC853" s="20"/>
      <c r="AD853" s="20"/>
      <c r="AE853" s="20"/>
    </row>
    <row r="854">
      <c r="A854" s="149"/>
      <c r="B854" s="164"/>
      <c r="C854" s="306"/>
      <c r="D854" s="149"/>
      <c r="E854" s="164"/>
      <c r="F854" s="306"/>
      <c r="G854" s="149"/>
      <c r="H854" s="164"/>
      <c r="I854" s="306"/>
      <c r="J854" s="149"/>
      <c r="K854" s="164"/>
      <c r="L854" s="306"/>
      <c r="M854" s="310"/>
      <c r="N854" s="311"/>
      <c r="O854" s="312"/>
      <c r="P854" s="310"/>
      <c r="Q854" s="311"/>
      <c r="R854" s="312"/>
      <c r="S854" s="310"/>
      <c r="T854" s="311"/>
      <c r="U854" s="312"/>
      <c r="V854" s="149"/>
      <c r="W854" s="311"/>
      <c r="X854" s="306"/>
      <c r="Y854" s="188"/>
      <c r="Z854" s="188"/>
      <c r="AA854" s="188"/>
      <c r="AB854" s="20"/>
      <c r="AC854" s="20"/>
      <c r="AD854" s="20"/>
      <c r="AE854" s="20"/>
    </row>
    <row r="855">
      <c r="A855" s="149"/>
      <c r="B855" s="164"/>
      <c r="C855" s="306"/>
      <c r="D855" s="149"/>
      <c r="E855" s="164"/>
      <c r="F855" s="306"/>
      <c r="G855" s="149"/>
      <c r="H855" s="164"/>
      <c r="I855" s="306"/>
      <c r="J855" s="149"/>
      <c r="K855" s="164"/>
      <c r="L855" s="306"/>
      <c r="M855" s="310"/>
      <c r="N855" s="311"/>
      <c r="O855" s="312"/>
      <c r="P855" s="310"/>
      <c r="Q855" s="311"/>
      <c r="R855" s="312"/>
      <c r="S855" s="310"/>
      <c r="T855" s="311"/>
      <c r="U855" s="312"/>
      <c r="V855" s="149"/>
      <c r="W855" s="311"/>
      <c r="X855" s="306"/>
      <c r="Y855" s="188"/>
      <c r="Z855" s="188"/>
      <c r="AA855" s="188"/>
      <c r="AB855" s="20"/>
      <c r="AC855" s="20"/>
      <c r="AD855" s="20"/>
      <c r="AE855" s="20"/>
    </row>
    <row r="856">
      <c r="A856" s="149"/>
      <c r="B856" s="164"/>
      <c r="C856" s="306"/>
      <c r="D856" s="149"/>
      <c r="E856" s="164"/>
      <c r="F856" s="306"/>
      <c r="G856" s="149"/>
      <c r="H856" s="164"/>
      <c r="I856" s="306"/>
      <c r="J856" s="149"/>
      <c r="K856" s="164"/>
      <c r="L856" s="306"/>
      <c r="M856" s="310"/>
      <c r="N856" s="311"/>
      <c r="O856" s="312"/>
      <c r="P856" s="310"/>
      <c r="Q856" s="311"/>
      <c r="R856" s="312"/>
      <c r="S856" s="310"/>
      <c r="T856" s="311"/>
      <c r="U856" s="312"/>
      <c r="V856" s="149"/>
      <c r="W856" s="311"/>
      <c r="X856" s="306"/>
      <c r="Y856" s="188"/>
      <c r="Z856" s="188"/>
      <c r="AA856" s="188"/>
      <c r="AB856" s="20"/>
      <c r="AC856" s="20"/>
      <c r="AD856" s="20"/>
      <c r="AE856" s="20"/>
    </row>
    <row r="857">
      <c r="A857" s="149"/>
      <c r="B857" s="164"/>
      <c r="C857" s="306"/>
      <c r="D857" s="149"/>
      <c r="E857" s="164"/>
      <c r="F857" s="306"/>
      <c r="G857" s="149"/>
      <c r="H857" s="164"/>
      <c r="I857" s="306"/>
      <c r="J857" s="149"/>
      <c r="K857" s="164"/>
      <c r="L857" s="306"/>
      <c r="M857" s="310"/>
      <c r="N857" s="311"/>
      <c r="O857" s="312"/>
      <c r="P857" s="310"/>
      <c r="Q857" s="311"/>
      <c r="R857" s="312"/>
      <c r="S857" s="310"/>
      <c r="T857" s="311"/>
      <c r="U857" s="312"/>
      <c r="V857" s="149"/>
      <c r="W857" s="311"/>
      <c r="X857" s="306"/>
      <c r="Y857" s="188"/>
      <c r="Z857" s="188"/>
      <c r="AA857" s="188"/>
      <c r="AB857" s="20"/>
      <c r="AC857" s="20"/>
      <c r="AD857" s="20"/>
      <c r="AE857" s="20"/>
    </row>
    <row r="858">
      <c r="A858" s="149"/>
      <c r="B858" s="164"/>
      <c r="C858" s="306"/>
      <c r="D858" s="149"/>
      <c r="E858" s="164"/>
      <c r="F858" s="306"/>
      <c r="G858" s="149"/>
      <c r="H858" s="164"/>
      <c r="I858" s="306"/>
      <c r="J858" s="149"/>
      <c r="K858" s="164"/>
      <c r="L858" s="306"/>
      <c r="M858" s="310"/>
      <c r="N858" s="311"/>
      <c r="O858" s="312"/>
      <c r="P858" s="310"/>
      <c r="Q858" s="311"/>
      <c r="R858" s="312"/>
      <c r="S858" s="310"/>
      <c r="T858" s="311"/>
      <c r="U858" s="312"/>
      <c r="V858" s="149"/>
      <c r="W858" s="311"/>
      <c r="X858" s="306"/>
      <c r="Y858" s="188"/>
      <c r="Z858" s="188"/>
      <c r="AA858" s="188"/>
      <c r="AB858" s="20"/>
      <c r="AC858" s="20"/>
      <c r="AD858" s="20"/>
      <c r="AE858" s="20"/>
    </row>
    <row r="859">
      <c r="A859" s="149"/>
      <c r="B859" s="164"/>
      <c r="C859" s="306"/>
      <c r="D859" s="149"/>
      <c r="E859" s="164"/>
      <c r="F859" s="306"/>
      <c r="G859" s="149"/>
      <c r="H859" s="164"/>
      <c r="I859" s="306"/>
      <c r="J859" s="149"/>
      <c r="K859" s="164"/>
      <c r="L859" s="306"/>
      <c r="M859" s="310"/>
      <c r="N859" s="311"/>
      <c r="O859" s="312"/>
      <c r="P859" s="310"/>
      <c r="Q859" s="311"/>
      <c r="R859" s="312"/>
      <c r="S859" s="310"/>
      <c r="T859" s="311"/>
      <c r="U859" s="312"/>
      <c r="V859" s="149"/>
      <c r="W859" s="311"/>
      <c r="X859" s="306"/>
      <c r="Y859" s="188"/>
      <c r="Z859" s="188"/>
      <c r="AA859" s="188"/>
      <c r="AB859" s="20"/>
      <c r="AC859" s="20"/>
      <c r="AD859" s="20"/>
      <c r="AE859" s="20"/>
    </row>
    <row r="860">
      <c r="A860" s="149"/>
      <c r="B860" s="164"/>
      <c r="C860" s="306"/>
      <c r="D860" s="149"/>
      <c r="E860" s="164"/>
      <c r="F860" s="306"/>
      <c r="G860" s="149"/>
      <c r="H860" s="164"/>
      <c r="I860" s="306"/>
      <c r="J860" s="149"/>
      <c r="K860" s="164"/>
      <c r="L860" s="306"/>
      <c r="M860" s="310"/>
      <c r="N860" s="311"/>
      <c r="O860" s="312"/>
      <c r="P860" s="310"/>
      <c r="Q860" s="311"/>
      <c r="R860" s="312"/>
      <c r="S860" s="310"/>
      <c r="T860" s="311"/>
      <c r="U860" s="312"/>
      <c r="V860" s="149"/>
      <c r="W860" s="311"/>
      <c r="X860" s="306"/>
      <c r="Y860" s="188"/>
      <c r="Z860" s="188"/>
      <c r="AA860" s="188"/>
      <c r="AB860" s="20"/>
      <c r="AC860" s="20"/>
      <c r="AD860" s="20"/>
      <c r="AE860" s="20"/>
    </row>
    <row r="861">
      <c r="A861" s="149"/>
      <c r="B861" s="164"/>
      <c r="C861" s="306"/>
      <c r="D861" s="149"/>
      <c r="E861" s="164"/>
      <c r="F861" s="306"/>
      <c r="G861" s="149"/>
      <c r="H861" s="164"/>
      <c r="I861" s="306"/>
      <c r="J861" s="149"/>
      <c r="K861" s="164"/>
      <c r="L861" s="306"/>
      <c r="M861" s="310"/>
      <c r="N861" s="311"/>
      <c r="O861" s="312"/>
      <c r="P861" s="310"/>
      <c r="Q861" s="311"/>
      <c r="R861" s="312"/>
      <c r="S861" s="310"/>
      <c r="T861" s="311"/>
      <c r="U861" s="312"/>
      <c r="V861" s="149"/>
      <c r="W861" s="311"/>
      <c r="X861" s="306"/>
      <c r="Y861" s="188"/>
      <c r="Z861" s="188"/>
      <c r="AA861" s="188"/>
      <c r="AB861" s="20"/>
      <c r="AC861" s="20"/>
      <c r="AD861" s="20"/>
      <c r="AE861" s="20"/>
    </row>
    <row r="862">
      <c r="A862" s="149"/>
      <c r="B862" s="164"/>
      <c r="C862" s="306"/>
      <c r="D862" s="149"/>
      <c r="E862" s="164"/>
      <c r="F862" s="306"/>
      <c r="G862" s="149"/>
      <c r="H862" s="164"/>
      <c r="I862" s="306"/>
      <c r="J862" s="149"/>
      <c r="K862" s="164"/>
      <c r="L862" s="306"/>
      <c r="M862" s="310"/>
      <c r="N862" s="311"/>
      <c r="O862" s="312"/>
      <c r="P862" s="310"/>
      <c r="Q862" s="311"/>
      <c r="R862" s="312"/>
      <c r="S862" s="310"/>
      <c r="T862" s="311"/>
      <c r="U862" s="312"/>
      <c r="V862" s="149"/>
      <c r="W862" s="311"/>
      <c r="X862" s="306"/>
      <c r="Y862" s="188"/>
      <c r="Z862" s="188"/>
      <c r="AA862" s="188"/>
      <c r="AB862" s="20"/>
      <c r="AC862" s="20"/>
      <c r="AD862" s="20"/>
      <c r="AE862" s="20"/>
    </row>
    <row r="863">
      <c r="A863" s="149"/>
      <c r="B863" s="164"/>
      <c r="C863" s="306"/>
      <c r="D863" s="149"/>
      <c r="E863" s="164"/>
      <c r="F863" s="306"/>
      <c r="G863" s="149"/>
      <c r="H863" s="164"/>
      <c r="I863" s="306"/>
      <c r="J863" s="149"/>
      <c r="K863" s="164"/>
      <c r="L863" s="306"/>
      <c r="M863" s="310"/>
      <c r="N863" s="311"/>
      <c r="O863" s="312"/>
      <c r="P863" s="310"/>
      <c r="Q863" s="311"/>
      <c r="R863" s="312"/>
      <c r="S863" s="310"/>
      <c r="T863" s="311"/>
      <c r="U863" s="312"/>
      <c r="V863" s="149"/>
      <c r="W863" s="311"/>
      <c r="X863" s="306"/>
      <c r="Y863" s="188"/>
      <c r="Z863" s="188"/>
      <c r="AA863" s="188"/>
      <c r="AB863" s="20"/>
      <c r="AC863" s="20"/>
      <c r="AD863" s="20"/>
      <c r="AE863" s="20"/>
    </row>
    <row r="864">
      <c r="A864" s="149"/>
      <c r="B864" s="164"/>
      <c r="C864" s="306"/>
      <c r="D864" s="149"/>
      <c r="E864" s="164"/>
      <c r="F864" s="306"/>
      <c r="G864" s="149"/>
      <c r="H864" s="164"/>
      <c r="I864" s="306"/>
      <c r="J864" s="149"/>
      <c r="K864" s="164"/>
      <c r="L864" s="306"/>
      <c r="M864" s="310"/>
      <c r="N864" s="311"/>
      <c r="O864" s="312"/>
      <c r="P864" s="310"/>
      <c r="Q864" s="311"/>
      <c r="R864" s="312"/>
      <c r="S864" s="310"/>
      <c r="T864" s="311"/>
      <c r="U864" s="312"/>
      <c r="V864" s="149"/>
      <c r="W864" s="311"/>
      <c r="X864" s="306"/>
      <c r="Y864" s="188"/>
      <c r="Z864" s="188"/>
      <c r="AA864" s="188"/>
      <c r="AB864" s="20"/>
      <c r="AC864" s="20"/>
      <c r="AD864" s="20"/>
      <c r="AE864" s="20"/>
    </row>
    <row r="865">
      <c r="A865" s="149"/>
      <c r="B865" s="164"/>
      <c r="C865" s="306"/>
      <c r="D865" s="149"/>
      <c r="E865" s="164"/>
      <c r="F865" s="306"/>
      <c r="G865" s="149"/>
      <c r="H865" s="164"/>
      <c r="I865" s="306"/>
      <c r="J865" s="149"/>
      <c r="K865" s="164"/>
      <c r="L865" s="306"/>
      <c r="M865" s="310"/>
      <c r="N865" s="311"/>
      <c r="O865" s="312"/>
      <c r="P865" s="310"/>
      <c r="Q865" s="311"/>
      <c r="R865" s="312"/>
      <c r="S865" s="310"/>
      <c r="T865" s="311"/>
      <c r="U865" s="312"/>
      <c r="V865" s="149"/>
      <c r="W865" s="311"/>
      <c r="X865" s="306"/>
      <c r="Y865" s="188"/>
      <c r="Z865" s="188"/>
      <c r="AA865" s="188"/>
      <c r="AB865" s="20"/>
      <c r="AC865" s="20"/>
      <c r="AD865" s="20"/>
      <c r="AE865" s="20"/>
    </row>
    <row r="866">
      <c r="A866" s="149"/>
      <c r="B866" s="164"/>
      <c r="C866" s="306"/>
      <c r="D866" s="149"/>
      <c r="E866" s="164"/>
      <c r="F866" s="306"/>
      <c r="G866" s="149"/>
      <c r="H866" s="164"/>
      <c r="I866" s="306"/>
      <c r="J866" s="149"/>
      <c r="K866" s="164"/>
      <c r="L866" s="306"/>
      <c r="M866" s="310"/>
      <c r="N866" s="311"/>
      <c r="O866" s="312"/>
      <c r="P866" s="310"/>
      <c r="Q866" s="311"/>
      <c r="R866" s="312"/>
      <c r="S866" s="310"/>
      <c r="T866" s="311"/>
      <c r="U866" s="312"/>
      <c r="V866" s="149"/>
      <c r="W866" s="311"/>
      <c r="X866" s="306"/>
      <c r="Y866" s="188"/>
      <c r="Z866" s="188"/>
      <c r="AA866" s="188"/>
      <c r="AB866" s="20"/>
      <c r="AC866" s="20"/>
      <c r="AD866" s="20"/>
      <c r="AE866" s="20"/>
    </row>
    <row r="867">
      <c r="A867" s="149"/>
      <c r="B867" s="164"/>
      <c r="C867" s="306"/>
      <c r="D867" s="149"/>
      <c r="E867" s="164"/>
      <c r="F867" s="306"/>
      <c r="G867" s="149"/>
      <c r="H867" s="164"/>
      <c r="I867" s="306"/>
      <c r="J867" s="149"/>
      <c r="K867" s="164"/>
      <c r="L867" s="306"/>
      <c r="M867" s="310"/>
      <c r="N867" s="311"/>
      <c r="O867" s="312"/>
      <c r="P867" s="310"/>
      <c r="Q867" s="311"/>
      <c r="R867" s="312"/>
      <c r="S867" s="310"/>
      <c r="T867" s="311"/>
      <c r="U867" s="312"/>
      <c r="V867" s="149"/>
      <c r="W867" s="311"/>
      <c r="X867" s="306"/>
      <c r="Y867" s="188"/>
      <c r="Z867" s="188"/>
      <c r="AA867" s="188"/>
      <c r="AB867" s="20"/>
      <c r="AC867" s="20"/>
      <c r="AD867" s="20"/>
      <c r="AE867" s="20"/>
    </row>
    <row r="868">
      <c r="A868" s="149"/>
      <c r="B868" s="164"/>
      <c r="C868" s="306"/>
      <c r="D868" s="149"/>
      <c r="E868" s="164"/>
      <c r="F868" s="306"/>
      <c r="G868" s="149"/>
      <c r="H868" s="164"/>
      <c r="I868" s="306"/>
      <c r="J868" s="149"/>
      <c r="K868" s="164"/>
      <c r="L868" s="306"/>
      <c r="M868" s="310"/>
      <c r="N868" s="311"/>
      <c r="O868" s="312"/>
      <c r="P868" s="310"/>
      <c r="Q868" s="311"/>
      <c r="R868" s="312"/>
      <c r="S868" s="310"/>
      <c r="T868" s="311"/>
      <c r="U868" s="312"/>
      <c r="V868" s="149"/>
      <c r="W868" s="311"/>
      <c r="X868" s="306"/>
      <c r="Y868" s="188"/>
      <c r="Z868" s="188"/>
      <c r="AA868" s="188"/>
      <c r="AB868" s="20"/>
      <c r="AC868" s="20"/>
      <c r="AD868" s="20"/>
      <c r="AE868" s="20"/>
    </row>
    <row r="869">
      <c r="A869" s="149"/>
      <c r="B869" s="164"/>
      <c r="C869" s="306"/>
      <c r="D869" s="149"/>
      <c r="E869" s="164"/>
      <c r="F869" s="306"/>
      <c r="G869" s="149"/>
      <c r="H869" s="164"/>
      <c r="I869" s="306"/>
      <c r="J869" s="149"/>
      <c r="K869" s="164"/>
      <c r="L869" s="306"/>
      <c r="M869" s="310"/>
      <c r="N869" s="311"/>
      <c r="O869" s="312"/>
      <c r="P869" s="310"/>
      <c r="Q869" s="311"/>
      <c r="R869" s="312"/>
      <c r="S869" s="310"/>
      <c r="T869" s="311"/>
      <c r="U869" s="312"/>
      <c r="V869" s="149"/>
      <c r="W869" s="311"/>
      <c r="X869" s="306"/>
      <c r="Y869" s="188"/>
      <c r="Z869" s="188"/>
      <c r="AA869" s="188"/>
      <c r="AB869" s="20"/>
      <c r="AC869" s="20"/>
      <c r="AD869" s="20"/>
      <c r="AE869" s="20"/>
    </row>
    <row r="870">
      <c r="A870" s="149"/>
      <c r="B870" s="164"/>
      <c r="C870" s="306"/>
      <c r="D870" s="149"/>
      <c r="E870" s="164"/>
      <c r="F870" s="306"/>
      <c r="G870" s="149"/>
      <c r="H870" s="164"/>
      <c r="I870" s="306"/>
      <c r="J870" s="149"/>
      <c r="K870" s="164"/>
      <c r="L870" s="306"/>
      <c r="M870" s="310"/>
      <c r="N870" s="311"/>
      <c r="O870" s="312"/>
      <c r="P870" s="310"/>
      <c r="Q870" s="311"/>
      <c r="R870" s="312"/>
      <c r="S870" s="310"/>
      <c r="T870" s="311"/>
      <c r="U870" s="312"/>
      <c r="V870" s="149"/>
      <c r="W870" s="311"/>
      <c r="X870" s="306"/>
      <c r="Y870" s="188"/>
      <c r="Z870" s="188"/>
      <c r="AA870" s="188"/>
      <c r="AB870" s="20"/>
      <c r="AC870" s="20"/>
      <c r="AD870" s="20"/>
      <c r="AE870" s="20"/>
    </row>
    <row r="871">
      <c r="A871" s="149"/>
      <c r="B871" s="164"/>
      <c r="C871" s="306"/>
      <c r="D871" s="149"/>
      <c r="E871" s="164"/>
      <c r="F871" s="306"/>
      <c r="G871" s="149"/>
      <c r="H871" s="164"/>
      <c r="I871" s="306"/>
      <c r="J871" s="149"/>
      <c r="K871" s="164"/>
      <c r="L871" s="306"/>
      <c r="M871" s="310"/>
      <c r="N871" s="311"/>
      <c r="O871" s="312"/>
      <c r="P871" s="310"/>
      <c r="Q871" s="311"/>
      <c r="R871" s="312"/>
      <c r="S871" s="310"/>
      <c r="T871" s="311"/>
      <c r="U871" s="312"/>
      <c r="V871" s="149"/>
      <c r="W871" s="311"/>
      <c r="X871" s="306"/>
      <c r="Y871" s="188"/>
      <c r="Z871" s="188"/>
      <c r="AA871" s="188"/>
      <c r="AB871" s="20"/>
      <c r="AC871" s="20"/>
      <c r="AD871" s="20"/>
      <c r="AE871" s="20"/>
    </row>
    <row r="872">
      <c r="A872" s="149"/>
      <c r="B872" s="164"/>
      <c r="C872" s="306"/>
      <c r="D872" s="149"/>
      <c r="E872" s="164"/>
      <c r="F872" s="306"/>
      <c r="G872" s="149"/>
      <c r="H872" s="164"/>
      <c r="I872" s="306"/>
      <c r="J872" s="149"/>
      <c r="K872" s="164"/>
      <c r="L872" s="306"/>
      <c r="M872" s="310"/>
      <c r="N872" s="311"/>
      <c r="O872" s="312"/>
      <c r="P872" s="310"/>
      <c r="Q872" s="311"/>
      <c r="R872" s="312"/>
      <c r="S872" s="310"/>
      <c r="T872" s="311"/>
      <c r="U872" s="312"/>
      <c r="V872" s="149"/>
      <c r="W872" s="311"/>
      <c r="X872" s="306"/>
      <c r="Y872" s="188"/>
      <c r="Z872" s="188"/>
      <c r="AA872" s="188"/>
      <c r="AB872" s="20"/>
      <c r="AC872" s="20"/>
      <c r="AD872" s="20"/>
      <c r="AE872" s="20"/>
    </row>
    <row r="873">
      <c r="A873" s="149"/>
      <c r="B873" s="164"/>
      <c r="C873" s="306"/>
      <c r="D873" s="149"/>
      <c r="E873" s="164"/>
      <c r="F873" s="306"/>
      <c r="G873" s="149"/>
      <c r="H873" s="164"/>
      <c r="I873" s="306"/>
      <c r="J873" s="149"/>
      <c r="K873" s="164"/>
      <c r="L873" s="306"/>
      <c r="M873" s="310"/>
      <c r="N873" s="311"/>
      <c r="O873" s="312"/>
      <c r="P873" s="310"/>
      <c r="Q873" s="311"/>
      <c r="R873" s="312"/>
      <c r="S873" s="310"/>
      <c r="T873" s="311"/>
      <c r="U873" s="312"/>
      <c r="V873" s="149"/>
      <c r="W873" s="311"/>
      <c r="X873" s="306"/>
      <c r="Y873" s="188"/>
      <c r="Z873" s="188"/>
      <c r="AA873" s="188"/>
      <c r="AB873" s="20"/>
      <c r="AC873" s="20"/>
      <c r="AD873" s="20"/>
      <c r="AE873" s="20"/>
    </row>
    <row r="874">
      <c r="A874" s="149"/>
      <c r="B874" s="164"/>
      <c r="C874" s="306"/>
      <c r="D874" s="149"/>
      <c r="E874" s="164"/>
      <c r="F874" s="306"/>
      <c r="G874" s="149"/>
      <c r="H874" s="164"/>
      <c r="I874" s="306"/>
      <c r="J874" s="149"/>
      <c r="K874" s="164"/>
      <c r="L874" s="306"/>
      <c r="M874" s="310"/>
      <c r="N874" s="311"/>
      <c r="O874" s="312"/>
      <c r="P874" s="310"/>
      <c r="Q874" s="311"/>
      <c r="R874" s="312"/>
      <c r="S874" s="310"/>
      <c r="T874" s="311"/>
      <c r="U874" s="312"/>
      <c r="V874" s="149"/>
      <c r="W874" s="311"/>
      <c r="X874" s="306"/>
      <c r="Y874" s="188"/>
      <c r="Z874" s="188"/>
      <c r="AA874" s="188"/>
      <c r="AB874" s="20"/>
      <c r="AC874" s="20"/>
      <c r="AD874" s="20"/>
      <c r="AE874" s="20"/>
    </row>
    <row r="875">
      <c r="A875" s="149"/>
      <c r="B875" s="164"/>
      <c r="C875" s="306"/>
      <c r="D875" s="149"/>
      <c r="E875" s="164"/>
      <c r="F875" s="306"/>
      <c r="G875" s="149"/>
      <c r="H875" s="164"/>
      <c r="I875" s="306"/>
      <c r="J875" s="149"/>
      <c r="K875" s="164"/>
      <c r="L875" s="306"/>
      <c r="M875" s="310"/>
      <c r="N875" s="311"/>
      <c r="O875" s="312"/>
      <c r="P875" s="310"/>
      <c r="Q875" s="311"/>
      <c r="R875" s="312"/>
      <c r="S875" s="310"/>
      <c r="T875" s="311"/>
      <c r="U875" s="312"/>
      <c r="V875" s="149"/>
      <c r="W875" s="311"/>
      <c r="X875" s="306"/>
      <c r="Y875" s="188"/>
      <c r="Z875" s="188"/>
      <c r="AA875" s="188"/>
      <c r="AB875" s="20"/>
      <c r="AC875" s="20"/>
      <c r="AD875" s="20"/>
      <c r="AE875" s="20"/>
    </row>
    <row r="876">
      <c r="A876" s="149"/>
      <c r="B876" s="164"/>
      <c r="C876" s="306"/>
      <c r="D876" s="149"/>
      <c r="E876" s="164"/>
      <c r="F876" s="306"/>
      <c r="G876" s="149"/>
      <c r="H876" s="164"/>
      <c r="I876" s="306"/>
      <c r="J876" s="149"/>
      <c r="K876" s="164"/>
      <c r="L876" s="306"/>
      <c r="M876" s="310"/>
      <c r="N876" s="311"/>
      <c r="O876" s="312"/>
      <c r="P876" s="310"/>
      <c r="Q876" s="311"/>
      <c r="R876" s="312"/>
      <c r="S876" s="310"/>
      <c r="T876" s="311"/>
      <c r="U876" s="312"/>
      <c r="V876" s="149"/>
      <c r="W876" s="311"/>
      <c r="X876" s="306"/>
      <c r="Y876" s="188"/>
      <c r="Z876" s="188"/>
      <c r="AA876" s="188"/>
      <c r="AB876" s="20"/>
      <c r="AC876" s="20"/>
      <c r="AD876" s="20"/>
      <c r="AE876" s="20"/>
    </row>
    <row r="877">
      <c r="A877" s="149"/>
      <c r="B877" s="164"/>
      <c r="C877" s="306"/>
      <c r="D877" s="149"/>
      <c r="E877" s="164"/>
      <c r="F877" s="306"/>
      <c r="G877" s="149"/>
      <c r="H877" s="164"/>
      <c r="I877" s="306"/>
      <c r="J877" s="149"/>
      <c r="K877" s="164"/>
      <c r="L877" s="306"/>
      <c r="M877" s="310"/>
      <c r="N877" s="311"/>
      <c r="O877" s="312"/>
      <c r="P877" s="310"/>
      <c r="Q877" s="311"/>
      <c r="R877" s="312"/>
      <c r="S877" s="310"/>
      <c r="T877" s="311"/>
      <c r="U877" s="312"/>
      <c r="V877" s="149"/>
      <c r="W877" s="311"/>
      <c r="X877" s="306"/>
      <c r="Y877" s="188"/>
      <c r="Z877" s="188"/>
      <c r="AA877" s="188"/>
      <c r="AB877" s="20"/>
      <c r="AC877" s="20"/>
      <c r="AD877" s="20"/>
      <c r="AE877" s="20"/>
    </row>
    <row r="878">
      <c r="A878" s="149"/>
      <c r="B878" s="164"/>
      <c r="C878" s="306"/>
      <c r="D878" s="149"/>
      <c r="E878" s="164"/>
      <c r="F878" s="306"/>
      <c r="G878" s="149"/>
      <c r="H878" s="164"/>
      <c r="I878" s="306"/>
      <c r="J878" s="149"/>
      <c r="K878" s="164"/>
      <c r="L878" s="306"/>
      <c r="M878" s="310"/>
      <c r="N878" s="311"/>
      <c r="O878" s="312"/>
      <c r="P878" s="310"/>
      <c r="Q878" s="311"/>
      <c r="R878" s="312"/>
      <c r="S878" s="310"/>
      <c r="T878" s="311"/>
      <c r="U878" s="312"/>
      <c r="V878" s="149"/>
      <c r="W878" s="311"/>
      <c r="X878" s="306"/>
      <c r="Y878" s="188"/>
      <c r="Z878" s="188"/>
      <c r="AA878" s="188"/>
      <c r="AB878" s="20"/>
      <c r="AC878" s="20"/>
      <c r="AD878" s="20"/>
      <c r="AE878" s="20"/>
    </row>
    <row r="879">
      <c r="A879" s="149"/>
      <c r="B879" s="164"/>
      <c r="C879" s="306"/>
      <c r="D879" s="149"/>
      <c r="E879" s="164"/>
      <c r="F879" s="306"/>
      <c r="G879" s="149"/>
      <c r="H879" s="164"/>
      <c r="I879" s="306"/>
      <c r="J879" s="149"/>
      <c r="K879" s="164"/>
      <c r="L879" s="306"/>
      <c r="M879" s="310"/>
      <c r="N879" s="311"/>
      <c r="O879" s="312"/>
      <c r="P879" s="310"/>
      <c r="Q879" s="311"/>
      <c r="R879" s="312"/>
      <c r="S879" s="310"/>
      <c r="T879" s="311"/>
      <c r="U879" s="312"/>
      <c r="V879" s="149"/>
      <c r="W879" s="311"/>
      <c r="X879" s="306"/>
      <c r="Y879" s="188"/>
      <c r="Z879" s="188"/>
      <c r="AA879" s="188"/>
      <c r="AB879" s="20"/>
      <c r="AC879" s="20"/>
      <c r="AD879" s="20"/>
      <c r="AE879" s="20"/>
    </row>
    <row r="880">
      <c r="A880" s="149"/>
      <c r="B880" s="164"/>
      <c r="C880" s="306"/>
      <c r="D880" s="149"/>
      <c r="E880" s="164"/>
      <c r="F880" s="306"/>
      <c r="G880" s="149"/>
      <c r="H880" s="164"/>
      <c r="I880" s="306"/>
      <c r="J880" s="149"/>
      <c r="K880" s="164"/>
      <c r="L880" s="306"/>
      <c r="M880" s="310"/>
      <c r="N880" s="311"/>
      <c r="O880" s="312"/>
      <c r="P880" s="310"/>
      <c r="Q880" s="311"/>
      <c r="R880" s="312"/>
      <c r="S880" s="310"/>
      <c r="T880" s="311"/>
      <c r="U880" s="312"/>
      <c r="V880" s="149"/>
      <c r="W880" s="311"/>
      <c r="X880" s="306"/>
      <c r="Y880" s="188"/>
      <c r="Z880" s="188"/>
      <c r="AA880" s="188"/>
      <c r="AB880" s="20"/>
      <c r="AC880" s="20"/>
      <c r="AD880" s="20"/>
      <c r="AE880" s="20"/>
    </row>
    <row r="881">
      <c r="A881" s="149"/>
      <c r="B881" s="164"/>
      <c r="C881" s="306"/>
      <c r="D881" s="149"/>
      <c r="E881" s="164"/>
      <c r="F881" s="306"/>
      <c r="G881" s="149"/>
      <c r="H881" s="164"/>
      <c r="I881" s="306"/>
      <c r="J881" s="149"/>
      <c r="K881" s="164"/>
      <c r="L881" s="306"/>
      <c r="M881" s="310"/>
      <c r="N881" s="311"/>
      <c r="O881" s="312"/>
      <c r="P881" s="310"/>
      <c r="Q881" s="311"/>
      <c r="R881" s="312"/>
      <c r="S881" s="310"/>
      <c r="T881" s="311"/>
      <c r="U881" s="312"/>
      <c r="V881" s="149"/>
      <c r="W881" s="311"/>
      <c r="X881" s="306"/>
      <c r="Y881" s="188"/>
      <c r="Z881" s="188"/>
      <c r="AA881" s="188"/>
      <c r="AB881" s="20"/>
      <c r="AC881" s="20"/>
      <c r="AD881" s="20"/>
      <c r="AE881" s="20"/>
    </row>
    <row r="882">
      <c r="A882" s="149"/>
      <c r="B882" s="164"/>
      <c r="C882" s="306"/>
      <c r="D882" s="149"/>
      <c r="E882" s="164"/>
      <c r="F882" s="306"/>
      <c r="G882" s="149"/>
      <c r="H882" s="164"/>
      <c r="I882" s="306"/>
      <c r="J882" s="149"/>
      <c r="K882" s="164"/>
      <c r="L882" s="306"/>
      <c r="M882" s="310"/>
      <c r="N882" s="311"/>
      <c r="O882" s="312"/>
      <c r="P882" s="310"/>
      <c r="Q882" s="311"/>
      <c r="R882" s="312"/>
      <c r="S882" s="310"/>
      <c r="T882" s="311"/>
      <c r="U882" s="312"/>
      <c r="V882" s="149"/>
      <c r="W882" s="311"/>
      <c r="X882" s="306"/>
      <c r="Y882" s="188"/>
      <c r="Z882" s="188"/>
      <c r="AA882" s="188"/>
      <c r="AB882" s="20"/>
      <c r="AC882" s="20"/>
      <c r="AD882" s="20"/>
      <c r="AE882" s="20"/>
    </row>
    <row r="883">
      <c r="A883" s="149"/>
      <c r="B883" s="164"/>
      <c r="C883" s="306"/>
      <c r="D883" s="149"/>
      <c r="E883" s="164"/>
      <c r="F883" s="306"/>
      <c r="G883" s="149"/>
      <c r="H883" s="164"/>
      <c r="I883" s="306"/>
      <c r="J883" s="149"/>
      <c r="K883" s="164"/>
      <c r="L883" s="306"/>
      <c r="M883" s="310"/>
      <c r="N883" s="311"/>
      <c r="O883" s="312"/>
      <c r="P883" s="310"/>
      <c r="Q883" s="311"/>
      <c r="R883" s="312"/>
      <c r="S883" s="310"/>
      <c r="T883" s="311"/>
      <c r="U883" s="312"/>
      <c r="V883" s="149"/>
      <c r="W883" s="311"/>
      <c r="X883" s="306"/>
      <c r="Y883" s="188"/>
      <c r="Z883" s="188"/>
      <c r="AA883" s="188"/>
      <c r="AB883" s="20"/>
      <c r="AC883" s="20"/>
      <c r="AD883" s="20"/>
      <c r="AE883" s="20"/>
    </row>
    <row r="884">
      <c r="A884" s="149"/>
      <c r="B884" s="164"/>
      <c r="C884" s="306"/>
      <c r="D884" s="149"/>
      <c r="E884" s="164"/>
      <c r="F884" s="306"/>
      <c r="G884" s="149"/>
      <c r="H884" s="164"/>
      <c r="I884" s="306"/>
      <c r="J884" s="149"/>
      <c r="K884" s="164"/>
      <c r="L884" s="306"/>
      <c r="M884" s="310"/>
      <c r="N884" s="311"/>
      <c r="O884" s="312"/>
      <c r="P884" s="310"/>
      <c r="Q884" s="311"/>
      <c r="R884" s="312"/>
      <c r="S884" s="310"/>
      <c r="T884" s="311"/>
      <c r="U884" s="312"/>
      <c r="V884" s="149"/>
      <c r="W884" s="311"/>
      <c r="X884" s="306"/>
      <c r="Y884" s="188"/>
      <c r="Z884" s="188"/>
      <c r="AA884" s="188"/>
      <c r="AB884" s="20"/>
      <c r="AC884" s="20"/>
      <c r="AD884" s="20"/>
      <c r="AE884" s="20"/>
    </row>
    <row r="885">
      <c r="A885" s="149"/>
      <c r="B885" s="164"/>
      <c r="C885" s="306"/>
      <c r="D885" s="149"/>
      <c r="E885" s="164"/>
      <c r="F885" s="306"/>
      <c r="G885" s="149"/>
      <c r="H885" s="164"/>
      <c r="I885" s="306"/>
      <c r="J885" s="149"/>
      <c r="K885" s="164"/>
      <c r="L885" s="306"/>
      <c r="M885" s="310"/>
      <c r="N885" s="311"/>
      <c r="O885" s="312"/>
      <c r="P885" s="310"/>
      <c r="Q885" s="311"/>
      <c r="R885" s="312"/>
      <c r="S885" s="310"/>
      <c r="T885" s="311"/>
      <c r="U885" s="312"/>
      <c r="V885" s="149"/>
      <c r="W885" s="311"/>
      <c r="X885" s="306"/>
      <c r="Y885" s="188"/>
      <c r="Z885" s="188"/>
      <c r="AA885" s="188"/>
      <c r="AB885" s="20"/>
      <c r="AC885" s="20"/>
      <c r="AD885" s="20"/>
      <c r="AE885" s="20"/>
    </row>
    <row r="886">
      <c r="A886" s="149"/>
      <c r="B886" s="164"/>
      <c r="C886" s="306"/>
      <c r="D886" s="149"/>
      <c r="E886" s="164"/>
      <c r="F886" s="306"/>
      <c r="G886" s="149"/>
      <c r="H886" s="164"/>
      <c r="I886" s="306"/>
      <c r="J886" s="149"/>
      <c r="K886" s="164"/>
      <c r="L886" s="306"/>
      <c r="M886" s="310"/>
      <c r="N886" s="311"/>
      <c r="O886" s="312"/>
      <c r="P886" s="310"/>
      <c r="Q886" s="311"/>
      <c r="R886" s="312"/>
      <c r="S886" s="310"/>
      <c r="T886" s="311"/>
      <c r="U886" s="312"/>
      <c r="V886" s="149"/>
      <c r="W886" s="311"/>
      <c r="X886" s="306"/>
      <c r="Y886" s="188"/>
      <c r="Z886" s="188"/>
      <c r="AA886" s="188"/>
      <c r="AB886" s="20"/>
      <c r="AC886" s="20"/>
      <c r="AD886" s="20"/>
      <c r="AE886" s="20"/>
    </row>
    <row r="887">
      <c r="A887" s="149"/>
      <c r="B887" s="164"/>
      <c r="C887" s="306"/>
      <c r="D887" s="149"/>
      <c r="E887" s="164"/>
      <c r="F887" s="306"/>
      <c r="G887" s="149"/>
      <c r="H887" s="164"/>
      <c r="I887" s="306"/>
      <c r="J887" s="149"/>
      <c r="K887" s="164"/>
      <c r="L887" s="306"/>
      <c r="M887" s="310"/>
      <c r="N887" s="311"/>
      <c r="O887" s="312"/>
      <c r="P887" s="310"/>
      <c r="Q887" s="311"/>
      <c r="R887" s="312"/>
      <c r="S887" s="310"/>
      <c r="T887" s="311"/>
      <c r="U887" s="312"/>
      <c r="V887" s="149"/>
      <c r="W887" s="311"/>
      <c r="X887" s="306"/>
      <c r="Y887" s="188"/>
      <c r="Z887" s="188"/>
      <c r="AA887" s="188"/>
      <c r="AB887" s="20"/>
      <c r="AC887" s="20"/>
      <c r="AD887" s="20"/>
      <c r="AE887" s="20"/>
    </row>
    <row r="888">
      <c r="A888" s="149"/>
      <c r="B888" s="164"/>
      <c r="C888" s="306"/>
      <c r="D888" s="149"/>
      <c r="E888" s="164"/>
      <c r="F888" s="306"/>
      <c r="G888" s="149"/>
      <c r="H888" s="164"/>
      <c r="I888" s="306"/>
      <c r="J888" s="149"/>
      <c r="K888" s="164"/>
      <c r="L888" s="306"/>
      <c r="M888" s="310"/>
      <c r="N888" s="311"/>
      <c r="O888" s="312"/>
      <c r="P888" s="310"/>
      <c r="Q888" s="311"/>
      <c r="R888" s="312"/>
      <c r="S888" s="310"/>
      <c r="T888" s="311"/>
      <c r="U888" s="312"/>
      <c r="V888" s="149"/>
      <c r="W888" s="311"/>
      <c r="X888" s="306"/>
      <c r="Y888" s="188"/>
      <c r="Z888" s="188"/>
      <c r="AA888" s="188"/>
      <c r="AB888" s="20"/>
      <c r="AC888" s="20"/>
      <c r="AD888" s="20"/>
      <c r="AE888" s="20"/>
    </row>
    <row r="889">
      <c r="A889" s="149"/>
      <c r="B889" s="164"/>
      <c r="C889" s="306"/>
      <c r="D889" s="149"/>
      <c r="E889" s="164"/>
      <c r="F889" s="306"/>
      <c r="G889" s="149"/>
      <c r="H889" s="164"/>
      <c r="I889" s="306"/>
      <c r="J889" s="149"/>
      <c r="K889" s="164"/>
      <c r="L889" s="306"/>
      <c r="M889" s="310"/>
      <c r="N889" s="311"/>
      <c r="O889" s="312"/>
      <c r="P889" s="310"/>
      <c r="Q889" s="311"/>
      <c r="R889" s="312"/>
      <c r="S889" s="310"/>
      <c r="T889" s="311"/>
      <c r="U889" s="312"/>
      <c r="V889" s="149"/>
      <c r="W889" s="311"/>
      <c r="X889" s="306"/>
      <c r="Y889" s="188"/>
      <c r="Z889" s="188"/>
      <c r="AA889" s="188"/>
      <c r="AB889" s="20"/>
      <c r="AC889" s="20"/>
      <c r="AD889" s="20"/>
      <c r="AE889" s="20"/>
    </row>
    <row r="890">
      <c r="A890" s="149"/>
      <c r="B890" s="164"/>
      <c r="C890" s="306"/>
      <c r="D890" s="149"/>
      <c r="E890" s="164"/>
      <c r="F890" s="306"/>
      <c r="G890" s="149"/>
      <c r="H890" s="164"/>
      <c r="I890" s="306"/>
      <c r="J890" s="149"/>
      <c r="K890" s="164"/>
      <c r="L890" s="306"/>
      <c r="M890" s="310"/>
      <c r="N890" s="311"/>
      <c r="O890" s="312"/>
      <c r="P890" s="310"/>
      <c r="Q890" s="311"/>
      <c r="R890" s="312"/>
      <c r="S890" s="310"/>
      <c r="T890" s="311"/>
      <c r="U890" s="312"/>
      <c r="V890" s="149"/>
      <c r="W890" s="311"/>
      <c r="X890" s="306"/>
      <c r="Y890" s="188"/>
      <c r="Z890" s="188"/>
      <c r="AA890" s="188"/>
      <c r="AB890" s="20"/>
      <c r="AC890" s="20"/>
      <c r="AD890" s="20"/>
      <c r="AE890" s="20"/>
    </row>
    <row r="891">
      <c r="A891" s="149"/>
      <c r="B891" s="164"/>
      <c r="C891" s="306"/>
      <c r="D891" s="149"/>
      <c r="E891" s="164"/>
      <c r="F891" s="306"/>
      <c r="G891" s="149"/>
      <c r="H891" s="164"/>
      <c r="I891" s="306"/>
      <c r="J891" s="149"/>
      <c r="K891" s="164"/>
      <c r="L891" s="306"/>
      <c r="M891" s="310"/>
      <c r="N891" s="311"/>
      <c r="O891" s="312"/>
      <c r="P891" s="310"/>
      <c r="Q891" s="311"/>
      <c r="R891" s="312"/>
      <c r="S891" s="310"/>
      <c r="T891" s="311"/>
      <c r="U891" s="312"/>
      <c r="V891" s="149"/>
      <c r="W891" s="311"/>
      <c r="X891" s="306"/>
      <c r="Y891" s="188"/>
      <c r="Z891" s="188"/>
      <c r="AA891" s="188"/>
      <c r="AB891" s="20"/>
      <c r="AC891" s="20"/>
      <c r="AD891" s="20"/>
      <c r="AE891" s="20"/>
    </row>
    <row r="892">
      <c r="A892" s="149"/>
      <c r="B892" s="164"/>
      <c r="C892" s="306"/>
      <c r="D892" s="149"/>
      <c r="E892" s="164"/>
      <c r="F892" s="306"/>
      <c r="G892" s="149"/>
      <c r="H892" s="164"/>
      <c r="I892" s="306"/>
      <c r="J892" s="149"/>
      <c r="K892" s="164"/>
      <c r="L892" s="306"/>
      <c r="M892" s="310"/>
      <c r="N892" s="311"/>
      <c r="O892" s="312"/>
      <c r="P892" s="310"/>
      <c r="Q892" s="311"/>
      <c r="R892" s="312"/>
      <c r="S892" s="310"/>
      <c r="T892" s="311"/>
      <c r="U892" s="312"/>
      <c r="V892" s="149"/>
      <c r="W892" s="311"/>
      <c r="X892" s="306"/>
      <c r="Y892" s="188"/>
      <c r="Z892" s="188"/>
      <c r="AA892" s="188"/>
      <c r="AB892" s="20"/>
      <c r="AC892" s="20"/>
      <c r="AD892" s="20"/>
      <c r="AE892" s="20"/>
    </row>
    <row r="893">
      <c r="A893" s="149"/>
      <c r="B893" s="164"/>
      <c r="C893" s="306"/>
      <c r="D893" s="149"/>
      <c r="E893" s="164"/>
      <c r="F893" s="306"/>
      <c r="G893" s="149"/>
      <c r="H893" s="164"/>
      <c r="I893" s="306"/>
      <c r="J893" s="149"/>
      <c r="K893" s="164"/>
      <c r="L893" s="306"/>
      <c r="M893" s="310"/>
      <c r="N893" s="311"/>
      <c r="O893" s="312"/>
      <c r="P893" s="310"/>
      <c r="Q893" s="311"/>
      <c r="R893" s="312"/>
      <c r="S893" s="310"/>
      <c r="T893" s="311"/>
      <c r="U893" s="312"/>
      <c r="V893" s="149"/>
      <c r="W893" s="311"/>
      <c r="X893" s="306"/>
      <c r="Y893" s="188"/>
      <c r="Z893" s="188"/>
      <c r="AA893" s="188"/>
      <c r="AB893" s="20"/>
      <c r="AC893" s="20"/>
      <c r="AD893" s="20"/>
      <c r="AE893" s="20"/>
    </row>
    <row r="894">
      <c r="A894" s="149"/>
      <c r="B894" s="164"/>
      <c r="C894" s="306"/>
      <c r="D894" s="149"/>
      <c r="E894" s="164"/>
      <c r="F894" s="306"/>
      <c r="G894" s="149"/>
      <c r="H894" s="164"/>
      <c r="I894" s="306"/>
      <c r="J894" s="149"/>
      <c r="K894" s="164"/>
      <c r="L894" s="306"/>
      <c r="M894" s="310"/>
      <c r="N894" s="311"/>
      <c r="O894" s="312"/>
      <c r="P894" s="310"/>
      <c r="Q894" s="311"/>
      <c r="R894" s="312"/>
      <c r="S894" s="310"/>
      <c r="T894" s="311"/>
      <c r="U894" s="312"/>
      <c r="V894" s="149"/>
      <c r="W894" s="311"/>
      <c r="X894" s="306"/>
      <c r="Y894" s="188"/>
      <c r="Z894" s="188"/>
      <c r="AA894" s="188"/>
      <c r="AB894" s="20"/>
      <c r="AC894" s="20"/>
      <c r="AD894" s="20"/>
      <c r="AE894" s="20"/>
    </row>
    <row r="895">
      <c r="A895" s="149"/>
      <c r="B895" s="164"/>
      <c r="C895" s="306"/>
      <c r="D895" s="149"/>
      <c r="E895" s="164"/>
      <c r="F895" s="306"/>
      <c r="G895" s="149"/>
      <c r="H895" s="164"/>
      <c r="I895" s="306"/>
      <c r="J895" s="149"/>
      <c r="K895" s="164"/>
      <c r="L895" s="306"/>
      <c r="M895" s="310"/>
      <c r="N895" s="311"/>
      <c r="O895" s="312"/>
      <c r="P895" s="310"/>
      <c r="Q895" s="311"/>
      <c r="R895" s="312"/>
      <c r="S895" s="310"/>
      <c r="T895" s="311"/>
      <c r="U895" s="312"/>
      <c r="V895" s="149"/>
      <c r="W895" s="311"/>
      <c r="X895" s="306"/>
      <c r="Y895" s="188"/>
      <c r="Z895" s="188"/>
      <c r="AA895" s="188"/>
      <c r="AB895" s="20"/>
      <c r="AC895" s="20"/>
      <c r="AD895" s="20"/>
      <c r="AE895" s="20"/>
    </row>
    <row r="896">
      <c r="A896" s="149"/>
      <c r="B896" s="164"/>
      <c r="C896" s="306"/>
      <c r="D896" s="149"/>
      <c r="E896" s="164"/>
      <c r="F896" s="306"/>
      <c r="G896" s="149"/>
      <c r="H896" s="164"/>
      <c r="I896" s="306"/>
      <c r="J896" s="149"/>
      <c r="K896" s="164"/>
      <c r="L896" s="306"/>
      <c r="M896" s="310"/>
      <c r="N896" s="311"/>
      <c r="O896" s="312"/>
      <c r="P896" s="310"/>
      <c r="Q896" s="311"/>
      <c r="R896" s="312"/>
      <c r="S896" s="310"/>
      <c r="T896" s="311"/>
      <c r="U896" s="312"/>
      <c r="V896" s="149"/>
      <c r="W896" s="311"/>
      <c r="X896" s="306"/>
      <c r="Y896" s="188"/>
      <c r="Z896" s="188"/>
      <c r="AA896" s="188"/>
      <c r="AB896" s="20"/>
      <c r="AC896" s="20"/>
      <c r="AD896" s="20"/>
      <c r="AE896" s="20"/>
    </row>
    <row r="897">
      <c r="A897" s="149"/>
      <c r="B897" s="164"/>
      <c r="C897" s="306"/>
      <c r="D897" s="149"/>
      <c r="E897" s="164"/>
      <c r="F897" s="306"/>
      <c r="G897" s="149"/>
      <c r="H897" s="164"/>
      <c r="I897" s="306"/>
      <c r="J897" s="149"/>
      <c r="K897" s="164"/>
      <c r="L897" s="306"/>
      <c r="M897" s="310"/>
      <c r="N897" s="311"/>
      <c r="O897" s="312"/>
      <c r="P897" s="310"/>
      <c r="Q897" s="311"/>
      <c r="R897" s="312"/>
      <c r="S897" s="310"/>
      <c r="T897" s="311"/>
      <c r="U897" s="312"/>
      <c r="V897" s="149"/>
      <c r="W897" s="311"/>
      <c r="X897" s="306"/>
      <c r="Y897" s="188"/>
      <c r="Z897" s="188"/>
      <c r="AA897" s="188"/>
      <c r="AB897" s="20"/>
      <c r="AC897" s="20"/>
      <c r="AD897" s="20"/>
      <c r="AE897" s="20"/>
    </row>
    <row r="898">
      <c r="A898" s="149"/>
      <c r="B898" s="164"/>
      <c r="C898" s="306"/>
      <c r="D898" s="149"/>
      <c r="E898" s="164"/>
      <c r="F898" s="306"/>
      <c r="G898" s="149"/>
      <c r="H898" s="164"/>
      <c r="I898" s="306"/>
      <c r="J898" s="149"/>
      <c r="K898" s="164"/>
      <c r="L898" s="306"/>
      <c r="M898" s="310"/>
      <c r="N898" s="311"/>
      <c r="O898" s="312"/>
      <c r="P898" s="310"/>
      <c r="Q898" s="311"/>
      <c r="R898" s="312"/>
      <c r="S898" s="310"/>
      <c r="T898" s="311"/>
      <c r="U898" s="312"/>
      <c r="V898" s="149"/>
      <c r="W898" s="311"/>
      <c r="X898" s="306"/>
      <c r="Y898" s="188"/>
      <c r="Z898" s="188"/>
      <c r="AA898" s="188"/>
      <c r="AB898" s="20"/>
      <c r="AC898" s="20"/>
      <c r="AD898" s="20"/>
      <c r="AE898" s="20"/>
    </row>
    <row r="899">
      <c r="A899" s="149"/>
      <c r="B899" s="164"/>
      <c r="C899" s="306"/>
      <c r="D899" s="149"/>
      <c r="E899" s="164"/>
      <c r="F899" s="306"/>
      <c r="G899" s="149"/>
      <c r="H899" s="164"/>
      <c r="I899" s="306"/>
      <c r="J899" s="149"/>
      <c r="K899" s="164"/>
      <c r="L899" s="306"/>
      <c r="M899" s="310"/>
      <c r="N899" s="311"/>
      <c r="O899" s="312"/>
      <c r="P899" s="310"/>
      <c r="Q899" s="311"/>
      <c r="R899" s="312"/>
      <c r="S899" s="310"/>
      <c r="T899" s="311"/>
      <c r="U899" s="312"/>
      <c r="V899" s="149"/>
      <c r="W899" s="311"/>
      <c r="X899" s="306"/>
      <c r="Y899" s="188"/>
      <c r="Z899" s="188"/>
      <c r="AA899" s="188"/>
      <c r="AB899" s="20"/>
      <c r="AC899" s="20"/>
      <c r="AD899" s="20"/>
      <c r="AE899" s="20"/>
    </row>
    <row r="900">
      <c r="A900" s="149"/>
      <c r="B900" s="164"/>
      <c r="C900" s="306"/>
      <c r="D900" s="149"/>
      <c r="E900" s="164"/>
      <c r="F900" s="306"/>
      <c r="G900" s="149"/>
      <c r="H900" s="164"/>
      <c r="I900" s="306"/>
      <c r="J900" s="149"/>
      <c r="K900" s="164"/>
      <c r="L900" s="306"/>
      <c r="M900" s="310"/>
      <c r="N900" s="311"/>
      <c r="O900" s="312"/>
      <c r="P900" s="310"/>
      <c r="Q900" s="311"/>
      <c r="R900" s="312"/>
      <c r="S900" s="310"/>
      <c r="T900" s="311"/>
      <c r="U900" s="312"/>
      <c r="V900" s="149"/>
      <c r="W900" s="311"/>
      <c r="X900" s="306"/>
      <c r="Y900" s="188"/>
      <c r="Z900" s="188"/>
      <c r="AA900" s="188"/>
      <c r="AB900" s="20"/>
      <c r="AC900" s="20"/>
      <c r="AD900" s="20"/>
      <c r="AE900" s="20"/>
    </row>
    <row r="901">
      <c r="A901" s="149"/>
      <c r="B901" s="164"/>
      <c r="C901" s="306"/>
      <c r="D901" s="149"/>
      <c r="E901" s="164"/>
      <c r="F901" s="306"/>
      <c r="G901" s="149"/>
      <c r="H901" s="164"/>
      <c r="I901" s="306"/>
      <c r="J901" s="149"/>
      <c r="K901" s="164"/>
      <c r="L901" s="306"/>
      <c r="M901" s="310"/>
      <c r="N901" s="311"/>
      <c r="O901" s="312"/>
      <c r="P901" s="310"/>
      <c r="Q901" s="311"/>
      <c r="R901" s="312"/>
      <c r="S901" s="310"/>
      <c r="T901" s="311"/>
      <c r="U901" s="312"/>
      <c r="V901" s="149"/>
      <c r="W901" s="311"/>
      <c r="X901" s="306"/>
      <c r="Y901" s="188"/>
      <c r="Z901" s="188"/>
      <c r="AA901" s="188"/>
      <c r="AB901" s="20"/>
      <c r="AC901" s="20"/>
      <c r="AD901" s="20"/>
      <c r="AE901" s="20"/>
    </row>
    <row r="902">
      <c r="A902" s="149"/>
      <c r="B902" s="164"/>
      <c r="C902" s="306"/>
      <c r="D902" s="149"/>
      <c r="E902" s="164"/>
      <c r="F902" s="306"/>
      <c r="G902" s="149"/>
      <c r="H902" s="164"/>
      <c r="I902" s="306"/>
      <c r="J902" s="149"/>
      <c r="K902" s="164"/>
      <c r="L902" s="306"/>
      <c r="M902" s="310"/>
      <c r="N902" s="311"/>
      <c r="O902" s="312"/>
      <c r="P902" s="310"/>
      <c r="Q902" s="311"/>
      <c r="R902" s="312"/>
      <c r="S902" s="310"/>
      <c r="T902" s="311"/>
      <c r="U902" s="312"/>
      <c r="V902" s="149"/>
      <c r="W902" s="311"/>
      <c r="X902" s="306"/>
      <c r="Y902" s="188"/>
      <c r="Z902" s="188"/>
      <c r="AA902" s="188"/>
      <c r="AB902" s="20"/>
      <c r="AC902" s="20"/>
      <c r="AD902" s="20"/>
      <c r="AE902" s="20"/>
    </row>
    <row r="903">
      <c r="A903" s="149"/>
      <c r="B903" s="164"/>
      <c r="C903" s="306"/>
      <c r="D903" s="149"/>
      <c r="E903" s="164"/>
      <c r="F903" s="306"/>
      <c r="G903" s="149"/>
      <c r="H903" s="164"/>
      <c r="I903" s="306"/>
      <c r="J903" s="149"/>
      <c r="K903" s="164"/>
      <c r="L903" s="306"/>
      <c r="M903" s="310"/>
      <c r="N903" s="311"/>
      <c r="O903" s="312"/>
      <c r="P903" s="310"/>
      <c r="Q903" s="311"/>
      <c r="R903" s="312"/>
      <c r="S903" s="310"/>
      <c r="T903" s="311"/>
      <c r="U903" s="312"/>
      <c r="V903" s="149"/>
      <c r="W903" s="311"/>
      <c r="X903" s="306"/>
      <c r="Y903" s="188"/>
      <c r="Z903" s="188"/>
      <c r="AA903" s="188"/>
      <c r="AB903" s="20"/>
      <c r="AC903" s="20"/>
      <c r="AD903" s="20"/>
      <c r="AE903" s="20"/>
    </row>
    <row r="904">
      <c r="A904" s="149"/>
      <c r="B904" s="164"/>
      <c r="C904" s="306"/>
      <c r="D904" s="149"/>
      <c r="E904" s="164"/>
      <c r="F904" s="306"/>
      <c r="G904" s="149"/>
      <c r="H904" s="164"/>
      <c r="I904" s="306"/>
      <c r="J904" s="149"/>
      <c r="K904" s="164"/>
      <c r="L904" s="306"/>
      <c r="M904" s="310"/>
      <c r="N904" s="311"/>
      <c r="O904" s="312"/>
      <c r="P904" s="310"/>
      <c r="Q904" s="311"/>
      <c r="R904" s="312"/>
      <c r="S904" s="310"/>
      <c r="T904" s="311"/>
      <c r="U904" s="312"/>
      <c r="V904" s="149"/>
      <c r="W904" s="311"/>
      <c r="X904" s="306"/>
      <c r="Y904" s="188"/>
      <c r="Z904" s="188"/>
      <c r="AA904" s="188"/>
      <c r="AB904" s="20"/>
      <c r="AC904" s="20"/>
      <c r="AD904" s="20"/>
      <c r="AE904" s="20"/>
    </row>
    <row r="905">
      <c r="A905" s="149"/>
      <c r="B905" s="164"/>
      <c r="C905" s="306"/>
      <c r="D905" s="149"/>
      <c r="E905" s="164"/>
      <c r="F905" s="306"/>
      <c r="G905" s="149"/>
      <c r="H905" s="164"/>
      <c r="I905" s="306"/>
      <c r="J905" s="149"/>
      <c r="K905" s="164"/>
      <c r="L905" s="306"/>
      <c r="M905" s="310"/>
      <c r="N905" s="311"/>
      <c r="O905" s="312"/>
      <c r="P905" s="310"/>
      <c r="Q905" s="311"/>
      <c r="R905" s="312"/>
      <c r="S905" s="310"/>
      <c r="T905" s="311"/>
      <c r="U905" s="312"/>
      <c r="V905" s="149"/>
      <c r="W905" s="311"/>
      <c r="X905" s="306"/>
      <c r="Y905" s="188"/>
      <c r="Z905" s="188"/>
      <c r="AA905" s="188"/>
      <c r="AB905" s="20"/>
      <c r="AC905" s="20"/>
      <c r="AD905" s="20"/>
      <c r="AE905" s="20"/>
    </row>
    <row r="906">
      <c r="A906" s="149"/>
      <c r="B906" s="164"/>
      <c r="C906" s="306"/>
      <c r="D906" s="149"/>
      <c r="E906" s="164"/>
      <c r="F906" s="306"/>
      <c r="G906" s="149"/>
      <c r="H906" s="164"/>
      <c r="I906" s="306"/>
      <c r="J906" s="149"/>
      <c r="K906" s="164"/>
      <c r="L906" s="306"/>
      <c r="M906" s="310"/>
      <c r="N906" s="311"/>
      <c r="O906" s="312"/>
      <c r="P906" s="310"/>
      <c r="Q906" s="311"/>
      <c r="R906" s="312"/>
      <c r="S906" s="310"/>
      <c r="T906" s="311"/>
      <c r="U906" s="312"/>
      <c r="V906" s="149"/>
      <c r="W906" s="311"/>
      <c r="X906" s="306"/>
      <c r="Y906" s="188"/>
      <c r="Z906" s="188"/>
      <c r="AA906" s="188"/>
      <c r="AB906" s="20"/>
      <c r="AC906" s="20"/>
      <c r="AD906" s="20"/>
      <c r="AE906" s="20"/>
    </row>
    <row r="907">
      <c r="A907" s="149"/>
      <c r="B907" s="164"/>
      <c r="C907" s="306"/>
      <c r="D907" s="149"/>
      <c r="E907" s="164"/>
      <c r="F907" s="306"/>
      <c r="G907" s="149"/>
      <c r="H907" s="164"/>
      <c r="I907" s="306"/>
      <c r="J907" s="149"/>
      <c r="K907" s="164"/>
      <c r="L907" s="306"/>
      <c r="M907" s="310"/>
      <c r="N907" s="311"/>
      <c r="O907" s="312"/>
      <c r="P907" s="310"/>
      <c r="Q907" s="311"/>
      <c r="R907" s="312"/>
      <c r="S907" s="310"/>
      <c r="T907" s="311"/>
      <c r="U907" s="312"/>
      <c r="V907" s="149"/>
      <c r="W907" s="311"/>
      <c r="X907" s="306"/>
      <c r="Y907" s="188"/>
      <c r="Z907" s="188"/>
      <c r="AA907" s="188"/>
      <c r="AB907" s="20"/>
      <c r="AC907" s="20"/>
      <c r="AD907" s="20"/>
      <c r="AE907" s="20"/>
    </row>
    <row r="908">
      <c r="A908" s="149"/>
      <c r="B908" s="164"/>
      <c r="C908" s="306"/>
      <c r="D908" s="149"/>
      <c r="E908" s="164"/>
      <c r="F908" s="306"/>
      <c r="G908" s="149"/>
      <c r="H908" s="164"/>
      <c r="I908" s="306"/>
      <c r="J908" s="149"/>
      <c r="K908" s="164"/>
      <c r="L908" s="306"/>
      <c r="M908" s="310"/>
      <c r="N908" s="311"/>
      <c r="O908" s="312"/>
      <c r="P908" s="310"/>
      <c r="Q908" s="311"/>
      <c r="R908" s="312"/>
      <c r="S908" s="310"/>
      <c r="T908" s="311"/>
      <c r="U908" s="312"/>
      <c r="V908" s="149"/>
      <c r="W908" s="311"/>
      <c r="X908" s="306"/>
      <c r="Y908" s="188"/>
      <c r="Z908" s="188"/>
      <c r="AA908" s="188"/>
      <c r="AB908" s="20"/>
      <c r="AC908" s="20"/>
      <c r="AD908" s="20"/>
      <c r="AE908" s="20"/>
    </row>
    <row r="909">
      <c r="A909" s="149"/>
      <c r="B909" s="164"/>
      <c r="C909" s="306"/>
      <c r="D909" s="149"/>
      <c r="E909" s="164"/>
      <c r="F909" s="306"/>
      <c r="G909" s="149"/>
      <c r="H909" s="164"/>
      <c r="I909" s="306"/>
      <c r="J909" s="149"/>
      <c r="K909" s="164"/>
      <c r="L909" s="306"/>
      <c r="M909" s="310"/>
      <c r="N909" s="311"/>
      <c r="O909" s="312"/>
      <c r="P909" s="310"/>
      <c r="Q909" s="311"/>
      <c r="R909" s="312"/>
      <c r="S909" s="310"/>
      <c r="T909" s="311"/>
      <c r="U909" s="312"/>
      <c r="V909" s="149"/>
      <c r="W909" s="311"/>
      <c r="X909" s="306"/>
      <c r="Y909" s="188"/>
      <c r="Z909" s="188"/>
      <c r="AA909" s="188"/>
      <c r="AB909" s="20"/>
      <c r="AC909" s="20"/>
      <c r="AD909" s="20"/>
      <c r="AE909" s="20"/>
    </row>
    <row r="910">
      <c r="A910" s="149"/>
      <c r="B910" s="164"/>
      <c r="C910" s="306"/>
      <c r="D910" s="149"/>
      <c r="E910" s="164"/>
      <c r="F910" s="306"/>
      <c r="G910" s="149"/>
      <c r="H910" s="164"/>
      <c r="I910" s="306"/>
      <c r="J910" s="149"/>
      <c r="K910" s="164"/>
      <c r="L910" s="306"/>
      <c r="M910" s="310"/>
      <c r="N910" s="311"/>
      <c r="O910" s="312"/>
      <c r="P910" s="310"/>
      <c r="Q910" s="311"/>
      <c r="R910" s="312"/>
      <c r="S910" s="310"/>
      <c r="T910" s="311"/>
      <c r="U910" s="312"/>
      <c r="V910" s="149"/>
      <c r="W910" s="311"/>
      <c r="X910" s="306"/>
      <c r="Y910" s="188"/>
      <c r="Z910" s="188"/>
      <c r="AA910" s="188"/>
      <c r="AB910" s="20"/>
      <c r="AC910" s="20"/>
      <c r="AD910" s="20"/>
      <c r="AE910" s="20"/>
    </row>
    <row r="911">
      <c r="A911" s="149"/>
      <c r="B911" s="164"/>
      <c r="C911" s="306"/>
      <c r="D911" s="149"/>
      <c r="E911" s="164"/>
      <c r="F911" s="306"/>
      <c r="G911" s="149"/>
      <c r="H911" s="164"/>
      <c r="I911" s="306"/>
      <c r="J911" s="149"/>
      <c r="K911" s="164"/>
      <c r="L911" s="306"/>
      <c r="M911" s="310"/>
      <c r="N911" s="311"/>
      <c r="O911" s="312"/>
      <c r="P911" s="310"/>
      <c r="Q911" s="311"/>
      <c r="R911" s="312"/>
      <c r="S911" s="310"/>
      <c r="T911" s="311"/>
      <c r="U911" s="312"/>
      <c r="V911" s="149"/>
      <c r="W911" s="311"/>
      <c r="X911" s="306"/>
      <c r="Y911" s="188"/>
      <c r="Z911" s="188"/>
      <c r="AA911" s="188"/>
      <c r="AB911" s="20"/>
      <c r="AC911" s="20"/>
      <c r="AD911" s="20"/>
      <c r="AE911" s="20"/>
    </row>
    <row r="912">
      <c r="A912" s="149"/>
      <c r="B912" s="164"/>
      <c r="C912" s="306"/>
      <c r="D912" s="149"/>
      <c r="E912" s="164"/>
      <c r="F912" s="306"/>
      <c r="G912" s="149"/>
      <c r="H912" s="164"/>
      <c r="I912" s="306"/>
      <c r="J912" s="149"/>
      <c r="K912" s="164"/>
      <c r="L912" s="306"/>
      <c r="M912" s="310"/>
      <c r="N912" s="311"/>
      <c r="O912" s="312"/>
      <c r="P912" s="310"/>
      <c r="Q912" s="311"/>
      <c r="R912" s="312"/>
      <c r="S912" s="310"/>
      <c r="T912" s="311"/>
      <c r="U912" s="312"/>
      <c r="V912" s="149"/>
      <c r="W912" s="311"/>
      <c r="X912" s="306"/>
      <c r="Y912" s="188"/>
      <c r="Z912" s="188"/>
      <c r="AA912" s="188"/>
      <c r="AB912" s="20"/>
      <c r="AC912" s="20"/>
      <c r="AD912" s="20"/>
      <c r="AE912" s="20"/>
    </row>
    <row r="913">
      <c r="A913" s="149"/>
      <c r="B913" s="164"/>
      <c r="C913" s="306"/>
      <c r="D913" s="149"/>
      <c r="E913" s="164"/>
      <c r="F913" s="306"/>
      <c r="G913" s="149"/>
      <c r="H913" s="164"/>
      <c r="I913" s="306"/>
      <c r="J913" s="149"/>
      <c r="K913" s="164"/>
      <c r="L913" s="306"/>
      <c r="M913" s="310"/>
      <c r="N913" s="311"/>
      <c r="O913" s="312"/>
      <c r="P913" s="310"/>
      <c r="Q913" s="311"/>
      <c r="R913" s="312"/>
      <c r="S913" s="310"/>
      <c r="T913" s="311"/>
      <c r="U913" s="312"/>
      <c r="V913" s="149"/>
      <c r="W913" s="311"/>
      <c r="X913" s="306"/>
      <c r="Y913" s="188"/>
      <c r="Z913" s="188"/>
      <c r="AA913" s="188"/>
      <c r="AB913" s="20"/>
      <c r="AC913" s="20"/>
      <c r="AD913" s="20"/>
      <c r="AE913" s="20"/>
    </row>
    <row r="914">
      <c r="A914" s="149"/>
      <c r="B914" s="164"/>
      <c r="C914" s="306"/>
      <c r="D914" s="149"/>
      <c r="E914" s="164"/>
      <c r="F914" s="306"/>
      <c r="G914" s="149"/>
      <c r="H914" s="164"/>
      <c r="I914" s="306"/>
      <c r="J914" s="149"/>
      <c r="K914" s="164"/>
      <c r="L914" s="306"/>
      <c r="M914" s="310"/>
      <c r="N914" s="311"/>
      <c r="O914" s="312"/>
      <c r="P914" s="310"/>
      <c r="Q914" s="311"/>
      <c r="R914" s="312"/>
      <c r="S914" s="310"/>
      <c r="T914" s="311"/>
      <c r="U914" s="312"/>
      <c r="V914" s="149"/>
      <c r="W914" s="311"/>
      <c r="X914" s="306"/>
      <c r="Y914" s="188"/>
      <c r="Z914" s="188"/>
      <c r="AA914" s="188"/>
      <c r="AB914" s="20"/>
      <c r="AC914" s="20"/>
      <c r="AD914" s="20"/>
      <c r="AE914" s="20"/>
    </row>
    <row r="915">
      <c r="A915" s="149"/>
      <c r="B915" s="164"/>
      <c r="C915" s="306"/>
      <c r="D915" s="149"/>
      <c r="E915" s="164"/>
      <c r="F915" s="306"/>
      <c r="G915" s="149"/>
      <c r="H915" s="164"/>
      <c r="I915" s="306"/>
      <c r="J915" s="149"/>
      <c r="K915" s="164"/>
      <c r="L915" s="306"/>
      <c r="M915" s="310"/>
      <c r="N915" s="311"/>
      <c r="O915" s="312"/>
      <c r="P915" s="310"/>
      <c r="Q915" s="311"/>
      <c r="R915" s="312"/>
      <c r="S915" s="310"/>
      <c r="T915" s="311"/>
      <c r="U915" s="312"/>
      <c r="V915" s="149"/>
      <c r="W915" s="311"/>
      <c r="X915" s="306"/>
      <c r="Y915" s="188"/>
      <c r="Z915" s="188"/>
      <c r="AA915" s="188"/>
      <c r="AB915" s="20"/>
      <c r="AC915" s="20"/>
      <c r="AD915" s="20"/>
      <c r="AE915" s="20"/>
    </row>
    <row r="916">
      <c r="A916" s="149"/>
      <c r="B916" s="164"/>
      <c r="C916" s="306"/>
      <c r="D916" s="149"/>
      <c r="E916" s="164"/>
      <c r="F916" s="306"/>
      <c r="G916" s="149"/>
      <c r="H916" s="164"/>
      <c r="I916" s="306"/>
      <c r="J916" s="149"/>
      <c r="K916" s="164"/>
      <c r="L916" s="306"/>
      <c r="M916" s="310"/>
      <c r="N916" s="311"/>
      <c r="O916" s="312"/>
      <c r="P916" s="310"/>
      <c r="Q916" s="311"/>
      <c r="R916" s="312"/>
      <c r="S916" s="310"/>
      <c r="T916" s="311"/>
      <c r="U916" s="312"/>
      <c r="V916" s="149"/>
      <c r="W916" s="311"/>
      <c r="X916" s="306"/>
      <c r="Y916" s="188"/>
      <c r="Z916" s="188"/>
      <c r="AA916" s="188"/>
      <c r="AB916" s="20"/>
      <c r="AC916" s="20"/>
      <c r="AD916" s="20"/>
      <c r="AE916" s="20"/>
    </row>
    <row r="917">
      <c r="A917" s="149"/>
      <c r="B917" s="164"/>
      <c r="C917" s="306"/>
      <c r="D917" s="149"/>
      <c r="E917" s="164"/>
      <c r="F917" s="306"/>
      <c r="G917" s="149"/>
      <c r="H917" s="164"/>
      <c r="I917" s="306"/>
      <c r="J917" s="149"/>
      <c r="K917" s="164"/>
      <c r="L917" s="306"/>
      <c r="M917" s="310"/>
      <c r="N917" s="311"/>
      <c r="O917" s="312"/>
      <c r="P917" s="310"/>
      <c r="Q917" s="311"/>
      <c r="R917" s="312"/>
      <c r="S917" s="310"/>
      <c r="T917" s="311"/>
      <c r="U917" s="312"/>
      <c r="V917" s="149"/>
      <c r="W917" s="311"/>
      <c r="X917" s="306"/>
      <c r="Y917" s="188"/>
      <c r="Z917" s="188"/>
      <c r="AA917" s="188"/>
      <c r="AB917" s="20"/>
      <c r="AC917" s="20"/>
      <c r="AD917" s="20"/>
      <c r="AE917" s="20"/>
    </row>
    <row r="918">
      <c r="A918" s="149"/>
      <c r="B918" s="164"/>
      <c r="C918" s="306"/>
      <c r="D918" s="149"/>
      <c r="E918" s="164"/>
      <c r="F918" s="306"/>
      <c r="G918" s="149"/>
      <c r="H918" s="164"/>
      <c r="I918" s="306"/>
      <c r="J918" s="149"/>
      <c r="K918" s="164"/>
      <c r="L918" s="306"/>
      <c r="M918" s="310"/>
      <c r="N918" s="311"/>
      <c r="O918" s="312"/>
      <c r="P918" s="310"/>
      <c r="Q918" s="311"/>
      <c r="R918" s="312"/>
      <c r="S918" s="310"/>
      <c r="T918" s="311"/>
      <c r="U918" s="312"/>
      <c r="V918" s="149"/>
      <c r="W918" s="311"/>
      <c r="X918" s="306"/>
      <c r="Y918" s="188"/>
      <c r="Z918" s="188"/>
      <c r="AA918" s="188"/>
      <c r="AB918" s="20"/>
      <c r="AC918" s="20"/>
      <c r="AD918" s="20"/>
      <c r="AE918" s="20"/>
    </row>
    <row r="919">
      <c r="A919" s="149"/>
      <c r="B919" s="164"/>
      <c r="C919" s="306"/>
      <c r="D919" s="149"/>
      <c r="E919" s="164"/>
      <c r="F919" s="306"/>
      <c r="G919" s="149"/>
      <c r="H919" s="164"/>
      <c r="I919" s="306"/>
      <c r="J919" s="149"/>
      <c r="K919" s="164"/>
      <c r="L919" s="306"/>
      <c r="M919" s="310"/>
      <c r="N919" s="311"/>
      <c r="O919" s="312"/>
      <c r="P919" s="310"/>
      <c r="Q919" s="311"/>
      <c r="R919" s="312"/>
      <c r="S919" s="310"/>
      <c r="T919" s="311"/>
      <c r="U919" s="312"/>
      <c r="V919" s="149"/>
      <c r="W919" s="311"/>
      <c r="X919" s="306"/>
      <c r="Y919" s="188"/>
      <c r="Z919" s="188"/>
      <c r="AA919" s="188"/>
      <c r="AB919" s="20"/>
      <c r="AC919" s="20"/>
      <c r="AD919" s="20"/>
      <c r="AE919" s="20"/>
    </row>
    <row r="920">
      <c r="A920" s="149"/>
      <c r="B920" s="164"/>
      <c r="C920" s="306"/>
      <c r="D920" s="149"/>
      <c r="E920" s="164"/>
      <c r="F920" s="306"/>
      <c r="G920" s="149"/>
      <c r="H920" s="164"/>
      <c r="I920" s="306"/>
      <c r="J920" s="149"/>
      <c r="K920" s="164"/>
      <c r="L920" s="306"/>
      <c r="M920" s="310"/>
      <c r="N920" s="311"/>
      <c r="O920" s="312"/>
      <c r="P920" s="310"/>
      <c r="Q920" s="311"/>
      <c r="R920" s="312"/>
      <c r="S920" s="310"/>
      <c r="T920" s="311"/>
      <c r="U920" s="312"/>
      <c r="V920" s="149"/>
      <c r="W920" s="311"/>
      <c r="X920" s="306"/>
      <c r="Y920" s="188"/>
      <c r="Z920" s="188"/>
      <c r="AA920" s="188"/>
      <c r="AB920" s="20"/>
      <c r="AC920" s="20"/>
      <c r="AD920" s="20"/>
      <c r="AE920" s="20"/>
    </row>
    <row r="921">
      <c r="A921" s="149"/>
      <c r="B921" s="164"/>
      <c r="C921" s="306"/>
      <c r="D921" s="149"/>
      <c r="E921" s="164"/>
      <c r="F921" s="306"/>
      <c r="G921" s="149"/>
      <c r="H921" s="164"/>
      <c r="I921" s="306"/>
      <c r="J921" s="149"/>
      <c r="K921" s="164"/>
      <c r="L921" s="306"/>
      <c r="M921" s="310"/>
      <c r="N921" s="311"/>
      <c r="O921" s="312"/>
      <c r="P921" s="310"/>
      <c r="Q921" s="311"/>
      <c r="R921" s="312"/>
      <c r="S921" s="310"/>
      <c r="T921" s="311"/>
      <c r="U921" s="312"/>
      <c r="V921" s="149"/>
      <c r="W921" s="311"/>
      <c r="X921" s="306"/>
      <c r="Y921" s="188"/>
      <c r="Z921" s="188"/>
      <c r="AA921" s="188"/>
      <c r="AB921" s="20"/>
      <c r="AC921" s="20"/>
      <c r="AD921" s="20"/>
      <c r="AE921" s="20"/>
    </row>
    <row r="922">
      <c r="A922" s="149"/>
      <c r="B922" s="164"/>
      <c r="C922" s="306"/>
      <c r="D922" s="149"/>
      <c r="E922" s="164"/>
      <c r="F922" s="306"/>
      <c r="G922" s="149"/>
      <c r="H922" s="164"/>
      <c r="I922" s="306"/>
      <c r="J922" s="149"/>
      <c r="K922" s="164"/>
      <c r="L922" s="306"/>
      <c r="M922" s="310"/>
      <c r="N922" s="311"/>
      <c r="O922" s="312"/>
      <c r="P922" s="310"/>
      <c r="Q922" s="311"/>
      <c r="R922" s="312"/>
      <c r="S922" s="310"/>
      <c r="T922" s="311"/>
      <c r="U922" s="312"/>
      <c r="V922" s="149"/>
      <c r="W922" s="311"/>
      <c r="X922" s="306"/>
      <c r="Y922" s="188"/>
      <c r="Z922" s="188"/>
      <c r="AA922" s="188"/>
      <c r="AB922" s="20"/>
      <c r="AC922" s="20"/>
      <c r="AD922" s="20"/>
      <c r="AE922" s="20"/>
    </row>
    <row r="923">
      <c r="A923" s="149"/>
      <c r="B923" s="164"/>
      <c r="C923" s="306"/>
      <c r="D923" s="149"/>
      <c r="E923" s="164"/>
      <c r="F923" s="306"/>
      <c r="G923" s="149"/>
      <c r="H923" s="164"/>
      <c r="I923" s="306"/>
      <c r="J923" s="149"/>
      <c r="K923" s="164"/>
      <c r="L923" s="306"/>
      <c r="M923" s="310"/>
      <c r="N923" s="311"/>
      <c r="O923" s="312"/>
      <c r="P923" s="310"/>
      <c r="Q923" s="311"/>
      <c r="R923" s="312"/>
      <c r="S923" s="310"/>
      <c r="T923" s="311"/>
      <c r="U923" s="312"/>
      <c r="V923" s="149"/>
      <c r="W923" s="311"/>
      <c r="X923" s="306"/>
      <c r="Y923" s="188"/>
      <c r="Z923" s="188"/>
      <c r="AA923" s="188"/>
      <c r="AB923" s="20"/>
      <c r="AC923" s="20"/>
      <c r="AD923" s="20"/>
      <c r="AE923" s="20"/>
    </row>
    <row r="924">
      <c r="A924" s="149"/>
      <c r="B924" s="164"/>
      <c r="C924" s="306"/>
      <c r="D924" s="149"/>
      <c r="E924" s="164"/>
      <c r="F924" s="306"/>
      <c r="G924" s="149"/>
      <c r="H924" s="164"/>
      <c r="I924" s="306"/>
      <c r="J924" s="149"/>
      <c r="K924" s="164"/>
      <c r="L924" s="306"/>
      <c r="M924" s="310"/>
      <c r="N924" s="311"/>
      <c r="O924" s="312"/>
      <c r="P924" s="310"/>
      <c r="Q924" s="311"/>
      <c r="R924" s="312"/>
      <c r="S924" s="310"/>
      <c r="T924" s="311"/>
      <c r="U924" s="312"/>
      <c r="V924" s="149"/>
      <c r="W924" s="311"/>
      <c r="X924" s="306"/>
      <c r="Y924" s="188"/>
      <c r="Z924" s="188"/>
      <c r="AA924" s="188"/>
      <c r="AB924" s="20"/>
      <c r="AC924" s="20"/>
      <c r="AD924" s="20"/>
      <c r="AE924" s="20"/>
    </row>
    <row r="925">
      <c r="A925" s="149"/>
      <c r="B925" s="164"/>
      <c r="C925" s="306"/>
      <c r="D925" s="149"/>
      <c r="E925" s="164"/>
      <c r="F925" s="306"/>
      <c r="G925" s="149"/>
      <c r="H925" s="164"/>
      <c r="I925" s="306"/>
      <c r="J925" s="149"/>
      <c r="K925" s="164"/>
      <c r="L925" s="306"/>
      <c r="M925" s="310"/>
      <c r="N925" s="311"/>
      <c r="O925" s="312"/>
      <c r="P925" s="310"/>
      <c r="Q925" s="311"/>
      <c r="R925" s="312"/>
      <c r="S925" s="310"/>
      <c r="T925" s="311"/>
      <c r="U925" s="312"/>
      <c r="V925" s="149"/>
      <c r="W925" s="311"/>
      <c r="X925" s="306"/>
      <c r="Y925" s="188"/>
      <c r="Z925" s="188"/>
      <c r="AA925" s="188"/>
      <c r="AB925" s="20"/>
      <c r="AC925" s="20"/>
      <c r="AD925" s="20"/>
      <c r="AE925" s="20"/>
    </row>
    <row r="926">
      <c r="A926" s="149"/>
      <c r="B926" s="164"/>
      <c r="C926" s="306"/>
      <c r="D926" s="149"/>
      <c r="E926" s="164"/>
      <c r="F926" s="306"/>
      <c r="G926" s="149"/>
      <c r="H926" s="164"/>
      <c r="I926" s="306"/>
      <c r="J926" s="149"/>
      <c r="K926" s="164"/>
      <c r="L926" s="306"/>
      <c r="M926" s="310"/>
      <c r="N926" s="311"/>
      <c r="O926" s="312"/>
      <c r="P926" s="310"/>
      <c r="Q926" s="311"/>
      <c r="R926" s="312"/>
      <c r="S926" s="310"/>
      <c r="T926" s="311"/>
      <c r="U926" s="312"/>
      <c r="V926" s="149"/>
      <c r="W926" s="311"/>
      <c r="X926" s="306"/>
      <c r="Y926" s="188"/>
      <c r="Z926" s="188"/>
      <c r="AA926" s="188"/>
      <c r="AB926" s="20"/>
      <c r="AC926" s="20"/>
      <c r="AD926" s="20"/>
      <c r="AE926" s="20"/>
    </row>
    <row r="927">
      <c r="A927" s="149"/>
      <c r="B927" s="164"/>
      <c r="C927" s="306"/>
      <c r="D927" s="149"/>
      <c r="E927" s="164"/>
      <c r="F927" s="306"/>
      <c r="G927" s="149"/>
      <c r="H927" s="164"/>
      <c r="I927" s="306"/>
      <c r="J927" s="149"/>
      <c r="K927" s="164"/>
      <c r="L927" s="306"/>
      <c r="M927" s="310"/>
      <c r="N927" s="311"/>
      <c r="O927" s="312"/>
      <c r="P927" s="310"/>
      <c r="Q927" s="311"/>
      <c r="R927" s="312"/>
      <c r="S927" s="310"/>
      <c r="T927" s="311"/>
      <c r="U927" s="312"/>
      <c r="V927" s="149"/>
      <c r="W927" s="311"/>
      <c r="X927" s="306"/>
      <c r="Y927" s="188"/>
      <c r="Z927" s="188"/>
      <c r="AA927" s="188"/>
      <c r="AB927" s="20"/>
      <c r="AC927" s="20"/>
      <c r="AD927" s="20"/>
      <c r="AE927" s="20"/>
    </row>
    <row r="928">
      <c r="A928" s="149"/>
      <c r="B928" s="164"/>
      <c r="C928" s="306"/>
      <c r="D928" s="149"/>
      <c r="E928" s="164"/>
      <c r="F928" s="306"/>
      <c r="G928" s="149"/>
      <c r="H928" s="164"/>
      <c r="I928" s="306"/>
      <c r="J928" s="149"/>
      <c r="K928" s="164"/>
      <c r="L928" s="306"/>
      <c r="M928" s="310"/>
      <c r="N928" s="311"/>
      <c r="O928" s="312"/>
      <c r="P928" s="310"/>
      <c r="Q928" s="311"/>
      <c r="R928" s="312"/>
      <c r="S928" s="310"/>
      <c r="T928" s="311"/>
      <c r="U928" s="312"/>
      <c r="V928" s="149"/>
      <c r="W928" s="311"/>
      <c r="X928" s="306"/>
      <c r="Y928" s="188"/>
      <c r="Z928" s="188"/>
      <c r="AA928" s="188"/>
      <c r="AB928" s="20"/>
      <c r="AC928" s="20"/>
      <c r="AD928" s="20"/>
      <c r="AE928" s="20"/>
    </row>
    <row r="929">
      <c r="A929" s="149"/>
      <c r="B929" s="164"/>
      <c r="C929" s="306"/>
      <c r="D929" s="149"/>
      <c r="E929" s="164"/>
      <c r="F929" s="306"/>
      <c r="G929" s="149"/>
      <c r="H929" s="164"/>
      <c r="I929" s="306"/>
      <c r="J929" s="149"/>
      <c r="K929" s="164"/>
      <c r="L929" s="306"/>
      <c r="M929" s="310"/>
      <c r="N929" s="311"/>
      <c r="O929" s="312"/>
      <c r="P929" s="310"/>
      <c r="Q929" s="311"/>
      <c r="R929" s="312"/>
      <c r="S929" s="310"/>
      <c r="T929" s="311"/>
      <c r="U929" s="312"/>
      <c r="V929" s="149"/>
      <c r="W929" s="311"/>
      <c r="X929" s="306"/>
      <c r="Y929" s="188"/>
      <c r="Z929" s="188"/>
      <c r="AA929" s="188"/>
      <c r="AB929" s="20"/>
      <c r="AC929" s="20"/>
      <c r="AD929" s="20"/>
      <c r="AE929" s="20"/>
    </row>
    <row r="930">
      <c r="A930" s="149"/>
      <c r="B930" s="164"/>
      <c r="C930" s="306"/>
      <c r="D930" s="149"/>
      <c r="E930" s="164"/>
      <c r="F930" s="306"/>
      <c r="G930" s="149"/>
      <c r="H930" s="164"/>
      <c r="I930" s="306"/>
      <c r="J930" s="149"/>
      <c r="K930" s="164"/>
      <c r="L930" s="306"/>
      <c r="M930" s="310"/>
      <c r="N930" s="311"/>
      <c r="O930" s="312"/>
      <c r="P930" s="310"/>
      <c r="Q930" s="311"/>
      <c r="R930" s="312"/>
      <c r="S930" s="310"/>
      <c r="T930" s="311"/>
      <c r="U930" s="312"/>
      <c r="V930" s="149"/>
      <c r="W930" s="311"/>
      <c r="X930" s="306"/>
      <c r="Y930" s="188"/>
      <c r="Z930" s="188"/>
      <c r="AA930" s="188"/>
      <c r="AB930" s="20"/>
      <c r="AC930" s="20"/>
      <c r="AD930" s="20"/>
      <c r="AE930" s="20"/>
    </row>
    <row r="931">
      <c r="A931" s="149"/>
      <c r="B931" s="164"/>
      <c r="C931" s="306"/>
      <c r="D931" s="149"/>
      <c r="E931" s="164"/>
      <c r="F931" s="306"/>
      <c r="G931" s="149"/>
      <c r="H931" s="164"/>
      <c r="I931" s="306"/>
      <c r="J931" s="149"/>
      <c r="K931" s="164"/>
      <c r="L931" s="306"/>
      <c r="M931" s="310"/>
      <c r="N931" s="311"/>
      <c r="O931" s="312"/>
      <c r="P931" s="310"/>
      <c r="Q931" s="311"/>
      <c r="R931" s="312"/>
      <c r="S931" s="310"/>
      <c r="T931" s="311"/>
      <c r="U931" s="312"/>
      <c r="V931" s="149"/>
      <c r="W931" s="311"/>
      <c r="X931" s="306"/>
      <c r="Y931" s="188"/>
      <c r="Z931" s="188"/>
      <c r="AA931" s="188"/>
      <c r="AB931" s="20"/>
      <c r="AC931" s="20"/>
      <c r="AD931" s="20"/>
      <c r="AE931" s="20"/>
    </row>
    <row r="932">
      <c r="A932" s="149"/>
      <c r="B932" s="164"/>
      <c r="C932" s="306"/>
      <c r="D932" s="149"/>
      <c r="E932" s="164"/>
      <c r="F932" s="306"/>
      <c r="G932" s="149"/>
      <c r="H932" s="164"/>
      <c r="I932" s="306"/>
      <c r="J932" s="149"/>
      <c r="K932" s="164"/>
      <c r="L932" s="306"/>
      <c r="M932" s="310"/>
      <c r="N932" s="311"/>
      <c r="O932" s="312"/>
      <c r="P932" s="310"/>
      <c r="Q932" s="311"/>
      <c r="R932" s="312"/>
      <c r="S932" s="310"/>
      <c r="T932" s="311"/>
      <c r="U932" s="312"/>
      <c r="V932" s="149"/>
      <c r="W932" s="311"/>
      <c r="X932" s="306"/>
      <c r="Y932" s="188"/>
      <c r="Z932" s="188"/>
      <c r="AA932" s="188"/>
      <c r="AB932" s="20"/>
      <c r="AC932" s="20"/>
      <c r="AD932" s="20"/>
      <c r="AE932" s="20"/>
    </row>
    <row r="933">
      <c r="A933" s="149"/>
      <c r="B933" s="164"/>
      <c r="C933" s="306"/>
      <c r="D933" s="149"/>
      <c r="E933" s="164"/>
      <c r="F933" s="306"/>
      <c r="G933" s="149"/>
      <c r="H933" s="164"/>
      <c r="I933" s="306"/>
      <c r="J933" s="149"/>
      <c r="K933" s="164"/>
      <c r="L933" s="306"/>
      <c r="M933" s="310"/>
      <c r="N933" s="311"/>
      <c r="O933" s="312"/>
      <c r="P933" s="310"/>
      <c r="Q933" s="311"/>
      <c r="R933" s="312"/>
      <c r="S933" s="310"/>
      <c r="T933" s="311"/>
      <c r="U933" s="312"/>
      <c r="V933" s="149"/>
      <c r="W933" s="311"/>
      <c r="X933" s="306"/>
      <c r="Y933" s="188"/>
      <c r="Z933" s="188"/>
      <c r="AA933" s="188"/>
      <c r="AB933" s="20"/>
      <c r="AC933" s="20"/>
      <c r="AD933" s="20"/>
      <c r="AE933" s="20"/>
    </row>
    <row r="934">
      <c r="A934" s="149"/>
      <c r="B934" s="164"/>
      <c r="C934" s="306"/>
      <c r="D934" s="149"/>
      <c r="E934" s="164"/>
      <c r="F934" s="306"/>
      <c r="G934" s="149"/>
      <c r="H934" s="164"/>
      <c r="I934" s="306"/>
      <c r="J934" s="149"/>
      <c r="K934" s="164"/>
      <c r="L934" s="306"/>
      <c r="M934" s="310"/>
      <c r="N934" s="311"/>
      <c r="O934" s="312"/>
      <c r="P934" s="310"/>
      <c r="Q934" s="311"/>
      <c r="R934" s="312"/>
      <c r="S934" s="310"/>
      <c r="T934" s="311"/>
      <c r="U934" s="312"/>
      <c r="V934" s="149"/>
      <c r="W934" s="311"/>
      <c r="X934" s="306"/>
      <c r="Y934" s="188"/>
      <c r="Z934" s="188"/>
      <c r="AA934" s="188"/>
      <c r="AB934" s="20"/>
      <c r="AC934" s="20"/>
      <c r="AD934" s="20"/>
      <c r="AE934" s="20"/>
    </row>
    <row r="935">
      <c r="A935" s="149"/>
      <c r="B935" s="164"/>
      <c r="C935" s="306"/>
      <c r="D935" s="149"/>
      <c r="E935" s="164"/>
      <c r="F935" s="306"/>
      <c r="G935" s="149"/>
      <c r="H935" s="164"/>
      <c r="I935" s="306"/>
      <c r="J935" s="149"/>
      <c r="K935" s="164"/>
      <c r="L935" s="306"/>
      <c r="M935" s="310"/>
      <c r="N935" s="311"/>
      <c r="O935" s="312"/>
      <c r="P935" s="310"/>
      <c r="Q935" s="311"/>
      <c r="R935" s="312"/>
      <c r="S935" s="310"/>
      <c r="T935" s="311"/>
      <c r="U935" s="312"/>
      <c r="V935" s="149"/>
      <c r="W935" s="311"/>
      <c r="X935" s="306"/>
      <c r="Y935" s="188"/>
      <c r="Z935" s="188"/>
      <c r="AA935" s="188"/>
      <c r="AB935" s="20"/>
      <c r="AC935" s="20"/>
      <c r="AD935" s="20"/>
      <c r="AE935" s="20"/>
    </row>
    <row r="936">
      <c r="A936" s="149"/>
      <c r="B936" s="164"/>
      <c r="C936" s="306"/>
      <c r="D936" s="149"/>
      <c r="E936" s="164"/>
      <c r="F936" s="306"/>
      <c r="G936" s="149"/>
      <c r="H936" s="164"/>
      <c r="I936" s="306"/>
      <c r="J936" s="149"/>
      <c r="K936" s="164"/>
      <c r="L936" s="306"/>
      <c r="M936" s="310"/>
      <c r="N936" s="311"/>
      <c r="O936" s="312"/>
      <c r="P936" s="310"/>
      <c r="Q936" s="311"/>
      <c r="R936" s="312"/>
      <c r="S936" s="310"/>
      <c r="T936" s="311"/>
      <c r="U936" s="312"/>
      <c r="V936" s="149"/>
      <c r="W936" s="311"/>
      <c r="X936" s="306"/>
      <c r="Y936" s="188"/>
      <c r="Z936" s="188"/>
      <c r="AA936" s="188"/>
      <c r="AB936" s="20"/>
      <c r="AC936" s="20"/>
      <c r="AD936" s="20"/>
      <c r="AE936" s="20"/>
    </row>
    <row r="937">
      <c r="A937" s="149"/>
      <c r="B937" s="164"/>
      <c r="C937" s="306"/>
      <c r="D937" s="149"/>
      <c r="E937" s="164"/>
      <c r="F937" s="306"/>
      <c r="G937" s="149"/>
      <c r="H937" s="164"/>
      <c r="I937" s="306"/>
      <c r="J937" s="149"/>
      <c r="K937" s="164"/>
      <c r="L937" s="306"/>
      <c r="M937" s="310"/>
      <c r="N937" s="311"/>
      <c r="O937" s="312"/>
      <c r="P937" s="310"/>
      <c r="Q937" s="311"/>
      <c r="R937" s="312"/>
      <c r="S937" s="310"/>
      <c r="T937" s="311"/>
      <c r="U937" s="312"/>
      <c r="V937" s="149"/>
      <c r="W937" s="311"/>
      <c r="X937" s="306"/>
      <c r="Y937" s="188"/>
      <c r="Z937" s="188"/>
      <c r="AA937" s="188"/>
      <c r="AB937" s="20"/>
      <c r="AC937" s="20"/>
      <c r="AD937" s="20"/>
      <c r="AE937" s="20"/>
    </row>
    <row r="938">
      <c r="A938" s="149"/>
      <c r="B938" s="164"/>
      <c r="C938" s="306"/>
      <c r="D938" s="149"/>
      <c r="E938" s="164"/>
      <c r="F938" s="306"/>
      <c r="G938" s="149"/>
      <c r="H938" s="164"/>
      <c r="I938" s="306"/>
      <c r="J938" s="149"/>
      <c r="K938" s="164"/>
      <c r="L938" s="306"/>
      <c r="M938" s="310"/>
      <c r="N938" s="311"/>
      <c r="O938" s="312"/>
      <c r="P938" s="310"/>
      <c r="Q938" s="311"/>
      <c r="R938" s="312"/>
      <c r="S938" s="310"/>
      <c r="T938" s="311"/>
      <c r="U938" s="312"/>
      <c r="V938" s="149"/>
      <c r="W938" s="311"/>
      <c r="X938" s="306"/>
      <c r="Y938" s="188"/>
      <c r="Z938" s="188"/>
      <c r="AA938" s="188"/>
      <c r="AB938" s="20"/>
      <c r="AC938" s="20"/>
      <c r="AD938" s="20"/>
      <c r="AE938" s="20"/>
    </row>
    <row r="939">
      <c r="A939" s="149"/>
      <c r="B939" s="164"/>
      <c r="C939" s="306"/>
      <c r="D939" s="149"/>
      <c r="E939" s="164"/>
      <c r="F939" s="306"/>
      <c r="G939" s="149"/>
      <c r="H939" s="164"/>
      <c r="I939" s="306"/>
      <c r="J939" s="149"/>
      <c r="K939" s="164"/>
      <c r="L939" s="306"/>
      <c r="M939" s="310"/>
      <c r="N939" s="311"/>
      <c r="O939" s="312"/>
      <c r="P939" s="310"/>
      <c r="Q939" s="311"/>
      <c r="R939" s="312"/>
      <c r="S939" s="310"/>
      <c r="T939" s="311"/>
      <c r="U939" s="312"/>
      <c r="V939" s="149"/>
      <c r="W939" s="311"/>
      <c r="X939" s="306"/>
      <c r="Y939" s="188"/>
      <c r="Z939" s="188"/>
      <c r="AA939" s="188"/>
      <c r="AB939" s="20"/>
      <c r="AC939" s="20"/>
      <c r="AD939" s="20"/>
      <c r="AE939" s="20"/>
    </row>
    <row r="940">
      <c r="A940" s="149"/>
      <c r="B940" s="164"/>
      <c r="C940" s="306"/>
      <c r="D940" s="149"/>
      <c r="E940" s="164"/>
      <c r="F940" s="306"/>
      <c r="G940" s="149"/>
      <c r="H940" s="164"/>
      <c r="I940" s="306"/>
      <c r="J940" s="149"/>
      <c r="K940" s="164"/>
      <c r="L940" s="306"/>
      <c r="M940" s="310"/>
      <c r="N940" s="311"/>
      <c r="O940" s="312"/>
      <c r="P940" s="310"/>
      <c r="Q940" s="311"/>
      <c r="R940" s="312"/>
      <c r="S940" s="310"/>
      <c r="T940" s="311"/>
      <c r="U940" s="312"/>
      <c r="V940" s="149"/>
      <c r="W940" s="311"/>
      <c r="X940" s="306"/>
      <c r="Y940" s="188"/>
      <c r="Z940" s="188"/>
      <c r="AA940" s="188"/>
      <c r="AB940" s="20"/>
      <c r="AC940" s="20"/>
      <c r="AD940" s="20"/>
      <c r="AE940" s="20"/>
    </row>
    <row r="941">
      <c r="A941" s="149"/>
      <c r="B941" s="164"/>
      <c r="C941" s="306"/>
      <c r="D941" s="149"/>
      <c r="E941" s="164"/>
      <c r="F941" s="306"/>
      <c r="G941" s="149"/>
      <c r="H941" s="164"/>
      <c r="I941" s="306"/>
      <c r="J941" s="149"/>
      <c r="K941" s="164"/>
      <c r="L941" s="306"/>
      <c r="M941" s="310"/>
      <c r="N941" s="311"/>
      <c r="O941" s="312"/>
      <c r="P941" s="310"/>
      <c r="Q941" s="311"/>
      <c r="R941" s="312"/>
      <c r="S941" s="310"/>
      <c r="T941" s="311"/>
      <c r="U941" s="312"/>
      <c r="V941" s="149"/>
      <c r="W941" s="311"/>
      <c r="X941" s="306"/>
      <c r="Y941" s="188"/>
      <c r="Z941" s="188"/>
      <c r="AA941" s="188"/>
      <c r="AB941" s="20"/>
      <c r="AC941" s="20"/>
      <c r="AD941" s="20"/>
      <c r="AE941" s="20"/>
    </row>
    <row r="942">
      <c r="A942" s="149"/>
      <c r="B942" s="164"/>
      <c r="C942" s="306"/>
      <c r="D942" s="149"/>
      <c r="E942" s="164"/>
      <c r="F942" s="306"/>
      <c r="G942" s="149"/>
      <c r="H942" s="164"/>
      <c r="I942" s="306"/>
      <c r="J942" s="149"/>
      <c r="K942" s="164"/>
      <c r="L942" s="306"/>
      <c r="M942" s="310"/>
      <c r="N942" s="311"/>
      <c r="O942" s="312"/>
      <c r="P942" s="310"/>
      <c r="Q942" s="311"/>
      <c r="R942" s="312"/>
      <c r="S942" s="310"/>
      <c r="T942" s="311"/>
      <c r="U942" s="312"/>
      <c r="V942" s="149"/>
      <c r="W942" s="311"/>
      <c r="X942" s="306"/>
      <c r="Y942" s="188"/>
      <c r="Z942" s="188"/>
      <c r="AA942" s="188"/>
      <c r="AB942" s="20"/>
      <c r="AC942" s="20"/>
      <c r="AD942" s="20"/>
      <c r="AE942" s="20"/>
    </row>
    <row r="943">
      <c r="A943" s="149"/>
      <c r="B943" s="164"/>
      <c r="C943" s="306"/>
      <c r="D943" s="149"/>
      <c r="E943" s="164"/>
      <c r="F943" s="306"/>
      <c r="G943" s="149"/>
      <c r="H943" s="164"/>
      <c r="I943" s="306"/>
      <c r="J943" s="149"/>
      <c r="K943" s="164"/>
      <c r="L943" s="306"/>
      <c r="M943" s="310"/>
      <c r="N943" s="311"/>
      <c r="O943" s="312"/>
      <c r="P943" s="310"/>
      <c r="Q943" s="311"/>
      <c r="R943" s="312"/>
      <c r="S943" s="310"/>
      <c r="T943" s="311"/>
      <c r="U943" s="312"/>
      <c r="V943" s="149"/>
      <c r="W943" s="311"/>
      <c r="X943" s="306"/>
      <c r="Y943" s="188"/>
      <c r="Z943" s="188"/>
      <c r="AA943" s="188"/>
      <c r="AB943" s="20"/>
      <c r="AC943" s="20"/>
      <c r="AD943" s="20"/>
      <c r="AE943" s="20"/>
    </row>
    <row r="944">
      <c r="A944" s="149"/>
      <c r="B944" s="164"/>
      <c r="C944" s="306"/>
      <c r="D944" s="149"/>
      <c r="E944" s="164"/>
      <c r="F944" s="306"/>
      <c r="G944" s="149"/>
      <c r="H944" s="164"/>
      <c r="I944" s="306"/>
      <c r="J944" s="149"/>
      <c r="K944" s="164"/>
      <c r="L944" s="306"/>
      <c r="M944" s="310"/>
      <c r="N944" s="311"/>
      <c r="O944" s="312"/>
      <c r="P944" s="310"/>
      <c r="Q944" s="311"/>
      <c r="R944" s="312"/>
      <c r="S944" s="310"/>
      <c r="T944" s="311"/>
      <c r="U944" s="312"/>
      <c r="V944" s="149"/>
      <c r="W944" s="311"/>
      <c r="X944" s="306"/>
      <c r="Y944" s="188"/>
      <c r="Z944" s="188"/>
      <c r="AA944" s="188"/>
      <c r="AB944" s="20"/>
      <c r="AC944" s="20"/>
      <c r="AD944" s="20"/>
      <c r="AE944" s="20"/>
    </row>
    <row r="945">
      <c r="A945" s="149"/>
      <c r="B945" s="164"/>
      <c r="C945" s="306"/>
      <c r="D945" s="149"/>
      <c r="E945" s="164"/>
      <c r="F945" s="306"/>
      <c r="G945" s="149"/>
      <c r="H945" s="164"/>
      <c r="I945" s="306"/>
      <c r="J945" s="149"/>
      <c r="K945" s="164"/>
      <c r="L945" s="306"/>
      <c r="M945" s="310"/>
      <c r="N945" s="311"/>
      <c r="O945" s="312"/>
      <c r="P945" s="310"/>
      <c r="Q945" s="311"/>
      <c r="R945" s="312"/>
      <c r="S945" s="310"/>
      <c r="T945" s="311"/>
      <c r="U945" s="312"/>
      <c r="V945" s="149"/>
      <c r="W945" s="311"/>
      <c r="X945" s="306"/>
      <c r="Y945" s="188"/>
      <c r="Z945" s="188"/>
      <c r="AA945" s="188"/>
      <c r="AB945" s="20"/>
      <c r="AC945" s="20"/>
      <c r="AD945" s="20"/>
      <c r="AE945" s="20"/>
    </row>
    <row r="946">
      <c r="A946" s="149"/>
      <c r="B946" s="164"/>
      <c r="C946" s="306"/>
      <c r="D946" s="149"/>
      <c r="E946" s="164"/>
      <c r="F946" s="306"/>
      <c r="G946" s="149"/>
      <c r="H946" s="164"/>
      <c r="I946" s="306"/>
      <c r="J946" s="149"/>
      <c r="K946" s="164"/>
      <c r="L946" s="306"/>
      <c r="M946" s="310"/>
      <c r="N946" s="311"/>
      <c r="O946" s="312"/>
      <c r="P946" s="310"/>
      <c r="Q946" s="311"/>
      <c r="R946" s="312"/>
      <c r="S946" s="310"/>
      <c r="T946" s="311"/>
      <c r="U946" s="312"/>
      <c r="V946" s="149"/>
      <c r="W946" s="311"/>
      <c r="X946" s="306"/>
      <c r="Y946" s="188"/>
      <c r="Z946" s="188"/>
      <c r="AA946" s="188"/>
      <c r="AB946" s="20"/>
      <c r="AC946" s="20"/>
      <c r="AD946" s="20"/>
      <c r="AE946" s="20"/>
    </row>
    <row r="947">
      <c r="A947" s="149"/>
      <c r="B947" s="164"/>
      <c r="C947" s="306"/>
      <c r="D947" s="149"/>
      <c r="E947" s="164"/>
      <c r="F947" s="306"/>
      <c r="G947" s="149"/>
      <c r="H947" s="164"/>
      <c r="I947" s="306"/>
      <c r="J947" s="149"/>
      <c r="K947" s="164"/>
      <c r="L947" s="306"/>
      <c r="M947" s="310"/>
      <c r="N947" s="311"/>
      <c r="O947" s="312"/>
      <c r="P947" s="310"/>
      <c r="Q947" s="311"/>
      <c r="R947" s="312"/>
      <c r="S947" s="310"/>
      <c r="T947" s="311"/>
      <c r="U947" s="312"/>
      <c r="V947" s="149"/>
      <c r="W947" s="311"/>
      <c r="X947" s="306"/>
      <c r="Y947" s="188"/>
      <c r="Z947" s="188"/>
      <c r="AA947" s="188"/>
      <c r="AB947" s="20"/>
      <c r="AC947" s="20"/>
      <c r="AD947" s="20"/>
      <c r="AE947" s="20"/>
    </row>
    <row r="948">
      <c r="A948" s="149"/>
      <c r="B948" s="164"/>
      <c r="C948" s="306"/>
      <c r="D948" s="149"/>
      <c r="E948" s="164"/>
      <c r="F948" s="306"/>
      <c r="G948" s="149"/>
      <c r="H948" s="164"/>
      <c r="I948" s="306"/>
      <c r="J948" s="149"/>
      <c r="K948" s="164"/>
      <c r="L948" s="306"/>
      <c r="M948" s="310"/>
      <c r="N948" s="311"/>
      <c r="O948" s="312"/>
      <c r="P948" s="310"/>
      <c r="Q948" s="311"/>
      <c r="R948" s="312"/>
      <c r="S948" s="310"/>
      <c r="T948" s="311"/>
      <c r="U948" s="312"/>
      <c r="V948" s="149"/>
      <c r="W948" s="311"/>
      <c r="X948" s="306"/>
      <c r="Y948" s="188"/>
      <c r="Z948" s="188"/>
      <c r="AA948" s="188"/>
      <c r="AB948" s="20"/>
      <c r="AC948" s="20"/>
      <c r="AD948" s="20"/>
      <c r="AE948" s="20"/>
    </row>
    <row r="949">
      <c r="A949" s="149"/>
      <c r="B949" s="164"/>
      <c r="C949" s="306"/>
      <c r="D949" s="149"/>
      <c r="E949" s="164"/>
      <c r="F949" s="306"/>
      <c r="G949" s="149"/>
      <c r="H949" s="164"/>
      <c r="I949" s="306"/>
      <c r="J949" s="149"/>
      <c r="K949" s="164"/>
      <c r="L949" s="306"/>
      <c r="M949" s="310"/>
      <c r="N949" s="311"/>
      <c r="O949" s="312"/>
      <c r="P949" s="310"/>
      <c r="Q949" s="311"/>
      <c r="R949" s="312"/>
      <c r="S949" s="310"/>
      <c r="T949" s="311"/>
      <c r="U949" s="312"/>
      <c r="V949" s="149"/>
      <c r="W949" s="311"/>
      <c r="X949" s="306"/>
      <c r="Y949" s="188"/>
      <c r="Z949" s="188"/>
      <c r="AA949" s="188"/>
      <c r="AB949" s="20"/>
      <c r="AC949" s="20"/>
      <c r="AD949" s="20"/>
      <c r="AE949" s="20"/>
    </row>
    <row r="950">
      <c r="A950" s="149"/>
      <c r="B950" s="164"/>
      <c r="C950" s="306"/>
      <c r="D950" s="149"/>
      <c r="E950" s="164"/>
      <c r="F950" s="306"/>
      <c r="G950" s="149"/>
      <c r="H950" s="164"/>
      <c r="I950" s="306"/>
      <c r="J950" s="149"/>
      <c r="K950" s="164"/>
      <c r="L950" s="306"/>
      <c r="M950" s="310"/>
      <c r="N950" s="311"/>
      <c r="O950" s="312"/>
      <c r="P950" s="310"/>
      <c r="Q950" s="311"/>
      <c r="R950" s="312"/>
      <c r="S950" s="310"/>
      <c r="T950" s="311"/>
      <c r="U950" s="312"/>
      <c r="V950" s="149"/>
      <c r="W950" s="311"/>
      <c r="X950" s="306"/>
      <c r="Y950" s="188"/>
      <c r="Z950" s="188"/>
      <c r="AA950" s="188"/>
      <c r="AB950" s="20"/>
      <c r="AC950" s="20"/>
      <c r="AD950" s="20"/>
      <c r="AE950" s="20"/>
    </row>
    <row r="951">
      <c r="A951" s="149"/>
      <c r="B951" s="164"/>
      <c r="C951" s="306"/>
      <c r="D951" s="149"/>
      <c r="E951" s="164"/>
      <c r="F951" s="306"/>
      <c r="G951" s="149"/>
      <c r="H951" s="164"/>
      <c r="I951" s="306"/>
      <c r="J951" s="149"/>
      <c r="K951" s="164"/>
      <c r="L951" s="306"/>
      <c r="M951" s="310"/>
      <c r="N951" s="311"/>
      <c r="O951" s="312"/>
      <c r="P951" s="310"/>
      <c r="Q951" s="311"/>
      <c r="R951" s="312"/>
      <c r="S951" s="310"/>
      <c r="T951" s="311"/>
      <c r="U951" s="312"/>
      <c r="V951" s="149"/>
      <c r="W951" s="311"/>
      <c r="X951" s="306"/>
      <c r="Y951" s="188"/>
      <c r="Z951" s="188"/>
      <c r="AA951" s="188"/>
      <c r="AB951" s="20"/>
      <c r="AC951" s="20"/>
      <c r="AD951" s="20"/>
      <c r="AE951" s="20"/>
    </row>
    <row r="952">
      <c r="A952" s="149"/>
      <c r="B952" s="164"/>
      <c r="C952" s="306"/>
      <c r="D952" s="149"/>
      <c r="E952" s="164"/>
      <c r="F952" s="306"/>
      <c r="G952" s="149"/>
      <c r="H952" s="164"/>
      <c r="I952" s="306"/>
      <c r="J952" s="149"/>
      <c r="K952" s="164"/>
      <c r="L952" s="306"/>
      <c r="M952" s="310"/>
      <c r="N952" s="311"/>
      <c r="O952" s="312"/>
      <c r="P952" s="310"/>
      <c r="Q952" s="311"/>
      <c r="R952" s="312"/>
      <c r="S952" s="310"/>
      <c r="T952" s="311"/>
      <c r="U952" s="312"/>
      <c r="V952" s="149"/>
      <c r="W952" s="311"/>
      <c r="X952" s="306"/>
      <c r="Y952" s="188"/>
      <c r="Z952" s="188"/>
      <c r="AA952" s="188"/>
      <c r="AB952" s="20"/>
      <c r="AC952" s="20"/>
      <c r="AD952" s="20"/>
      <c r="AE952" s="20"/>
    </row>
    <row r="953">
      <c r="A953" s="149"/>
      <c r="B953" s="164"/>
      <c r="C953" s="306"/>
      <c r="D953" s="149"/>
      <c r="E953" s="164"/>
      <c r="F953" s="306"/>
      <c r="G953" s="149"/>
      <c r="H953" s="164"/>
      <c r="I953" s="306"/>
      <c r="J953" s="149"/>
      <c r="K953" s="164"/>
      <c r="L953" s="306"/>
      <c r="M953" s="310"/>
      <c r="N953" s="311"/>
      <c r="O953" s="312"/>
      <c r="P953" s="310"/>
      <c r="Q953" s="311"/>
      <c r="R953" s="312"/>
      <c r="S953" s="310"/>
      <c r="T953" s="311"/>
      <c r="U953" s="312"/>
      <c r="V953" s="149"/>
      <c r="W953" s="311"/>
      <c r="X953" s="306"/>
      <c r="Y953" s="188"/>
      <c r="Z953" s="188"/>
      <c r="AA953" s="188"/>
      <c r="AB953" s="20"/>
      <c r="AC953" s="20"/>
      <c r="AD953" s="20"/>
      <c r="AE953" s="20"/>
    </row>
    <row r="954">
      <c r="A954" s="149"/>
      <c r="B954" s="164"/>
      <c r="C954" s="306"/>
      <c r="D954" s="149"/>
      <c r="E954" s="164"/>
      <c r="F954" s="306"/>
      <c r="G954" s="149"/>
      <c r="H954" s="164"/>
      <c r="I954" s="306"/>
      <c r="J954" s="149"/>
      <c r="K954" s="164"/>
      <c r="L954" s="306"/>
      <c r="M954" s="310"/>
      <c r="N954" s="311"/>
      <c r="O954" s="312"/>
      <c r="P954" s="310"/>
      <c r="Q954" s="311"/>
      <c r="R954" s="312"/>
      <c r="S954" s="310"/>
      <c r="T954" s="311"/>
      <c r="U954" s="312"/>
      <c r="V954" s="149"/>
      <c r="W954" s="311"/>
      <c r="X954" s="306"/>
      <c r="Y954" s="188"/>
      <c r="Z954" s="188"/>
      <c r="AA954" s="188"/>
      <c r="AB954" s="20"/>
      <c r="AC954" s="20"/>
      <c r="AD954" s="20"/>
      <c r="AE954" s="20"/>
    </row>
    <row r="955">
      <c r="A955" s="149"/>
      <c r="B955" s="164"/>
      <c r="C955" s="306"/>
      <c r="D955" s="149"/>
      <c r="E955" s="164"/>
      <c r="F955" s="306"/>
      <c r="G955" s="149"/>
      <c r="H955" s="164"/>
      <c r="I955" s="306"/>
      <c r="J955" s="149"/>
      <c r="K955" s="164"/>
      <c r="L955" s="306"/>
      <c r="M955" s="310"/>
      <c r="N955" s="311"/>
      <c r="O955" s="312"/>
      <c r="P955" s="310"/>
      <c r="Q955" s="311"/>
      <c r="R955" s="312"/>
      <c r="S955" s="310"/>
      <c r="T955" s="311"/>
      <c r="U955" s="312"/>
      <c r="V955" s="149"/>
      <c r="W955" s="311"/>
      <c r="X955" s="306"/>
      <c r="Y955" s="188"/>
      <c r="Z955" s="188"/>
      <c r="AA955" s="188"/>
      <c r="AB955" s="20"/>
      <c r="AC955" s="20"/>
      <c r="AD955" s="20"/>
      <c r="AE955" s="20"/>
    </row>
    <row r="956">
      <c r="A956" s="149"/>
      <c r="B956" s="164"/>
      <c r="C956" s="306"/>
      <c r="D956" s="149"/>
      <c r="E956" s="164"/>
      <c r="F956" s="306"/>
      <c r="G956" s="149"/>
      <c r="H956" s="164"/>
      <c r="I956" s="306"/>
      <c r="J956" s="149"/>
      <c r="K956" s="164"/>
      <c r="L956" s="306"/>
      <c r="M956" s="310"/>
      <c r="N956" s="311"/>
      <c r="O956" s="312"/>
      <c r="P956" s="310"/>
      <c r="Q956" s="311"/>
      <c r="R956" s="312"/>
      <c r="S956" s="310"/>
      <c r="T956" s="311"/>
      <c r="U956" s="312"/>
      <c r="V956" s="149"/>
      <c r="W956" s="311"/>
      <c r="X956" s="306"/>
      <c r="Y956" s="188"/>
      <c r="Z956" s="188"/>
      <c r="AA956" s="188"/>
      <c r="AB956" s="20"/>
      <c r="AC956" s="20"/>
      <c r="AD956" s="20"/>
      <c r="AE956" s="20"/>
    </row>
    <row r="957">
      <c r="A957" s="149"/>
      <c r="B957" s="164"/>
      <c r="C957" s="306"/>
      <c r="D957" s="149"/>
      <c r="E957" s="164"/>
      <c r="F957" s="306"/>
      <c r="G957" s="149"/>
      <c r="H957" s="164"/>
      <c r="I957" s="306"/>
      <c r="J957" s="149"/>
      <c r="K957" s="164"/>
      <c r="L957" s="306"/>
      <c r="M957" s="310"/>
      <c r="N957" s="311"/>
      <c r="O957" s="312"/>
      <c r="P957" s="310"/>
      <c r="Q957" s="311"/>
      <c r="R957" s="312"/>
      <c r="S957" s="310"/>
      <c r="T957" s="311"/>
      <c r="U957" s="312"/>
      <c r="V957" s="149"/>
      <c r="W957" s="311"/>
      <c r="X957" s="306"/>
      <c r="Y957" s="188"/>
      <c r="Z957" s="188"/>
      <c r="AA957" s="188"/>
      <c r="AB957" s="20"/>
      <c r="AC957" s="20"/>
      <c r="AD957" s="20"/>
      <c r="AE957" s="20"/>
    </row>
    <row r="958">
      <c r="A958" s="149"/>
      <c r="B958" s="164"/>
      <c r="C958" s="306"/>
      <c r="D958" s="149"/>
      <c r="E958" s="164"/>
      <c r="F958" s="306"/>
      <c r="G958" s="149"/>
      <c r="H958" s="164"/>
      <c r="I958" s="306"/>
      <c r="J958" s="149"/>
      <c r="K958" s="164"/>
      <c r="L958" s="306"/>
      <c r="M958" s="310"/>
      <c r="N958" s="311"/>
      <c r="O958" s="312"/>
      <c r="P958" s="310"/>
      <c r="Q958" s="311"/>
      <c r="R958" s="312"/>
      <c r="S958" s="310"/>
      <c r="T958" s="311"/>
      <c r="U958" s="312"/>
      <c r="V958" s="149"/>
      <c r="W958" s="311"/>
      <c r="X958" s="306"/>
      <c r="Y958" s="188"/>
      <c r="Z958" s="188"/>
      <c r="AA958" s="188"/>
      <c r="AB958" s="20"/>
      <c r="AC958" s="20"/>
      <c r="AD958" s="20"/>
      <c r="AE958" s="20"/>
    </row>
    <row r="959">
      <c r="A959" s="149"/>
      <c r="B959" s="164"/>
      <c r="C959" s="306"/>
      <c r="D959" s="149"/>
      <c r="E959" s="164"/>
      <c r="F959" s="306"/>
      <c r="G959" s="149"/>
      <c r="H959" s="164"/>
      <c r="I959" s="306"/>
      <c r="J959" s="149"/>
      <c r="K959" s="164"/>
      <c r="L959" s="306"/>
      <c r="M959" s="310"/>
      <c r="N959" s="311"/>
      <c r="O959" s="312"/>
      <c r="P959" s="310"/>
      <c r="Q959" s="311"/>
      <c r="R959" s="312"/>
      <c r="S959" s="310"/>
      <c r="T959" s="311"/>
      <c r="U959" s="312"/>
      <c r="V959" s="149"/>
      <c r="W959" s="311"/>
      <c r="X959" s="306"/>
      <c r="Y959" s="188"/>
      <c r="Z959" s="188"/>
      <c r="AA959" s="188"/>
      <c r="AB959" s="20"/>
      <c r="AC959" s="20"/>
      <c r="AD959" s="20"/>
      <c r="AE959" s="20"/>
    </row>
    <row r="960">
      <c r="A960" s="149"/>
      <c r="B960" s="164"/>
      <c r="C960" s="306"/>
      <c r="D960" s="149"/>
      <c r="E960" s="164"/>
      <c r="F960" s="306"/>
      <c r="G960" s="149"/>
      <c r="H960" s="164"/>
      <c r="I960" s="306"/>
      <c r="J960" s="149"/>
      <c r="K960" s="164"/>
      <c r="L960" s="306"/>
      <c r="M960" s="310"/>
      <c r="N960" s="311"/>
      <c r="O960" s="312"/>
      <c r="P960" s="310"/>
      <c r="Q960" s="311"/>
      <c r="R960" s="312"/>
      <c r="S960" s="310"/>
      <c r="T960" s="311"/>
      <c r="U960" s="312"/>
      <c r="V960" s="149"/>
      <c r="W960" s="311"/>
      <c r="X960" s="306"/>
      <c r="Y960" s="188"/>
      <c r="Z960" s="188"/>
      <c r="AA960" s="188"/>
      <c r="AB960" s="20"/>
      <c r="AC960" s="20"/>
      <c r="AD960" s="20"/>
      <c r="AE960" s="20"/>
    </row>
    <row r="961">
      <c r="A961" s="149"/>
      <c r="B961" s="164"/>
      <c r="C961" s="306"/>
      <c r="D961" s="149"/>
      <c r="E961" s="164"/>
      <c r="F961" s="306"/>
      <c r="G961" s="149"/>
      <c r="H961" s="164"/>
      <c r="I961" s="306"/>
      <c r="J961" s="149"/>
      <c r="K961" s="164"/>
      <c r="L961" s="306"/>
      <c r="M961" s="310"/>
      <c r="N961" s="311"/>
      <c r="O961" s="312"/>
      <c r="P961" s="310"/>
      <c r="Q961" s="311"/>
      <c r="R961" s="312"/>
      <c r="S961" s="310"/>
      <c r="T961" s="311"/>
      <c r="U961" s="312"/>
      <c r="V961" s="149"/>
      <c r="W961" s="311"/>
      <c r="X961" s="306"/>
      <c r="Y961" s="188"/>
      <c r="Z961" s="188"/>
      <c r="AA961" s="188"/>
      <c r="AB961" s="20"/>
      <c r="AC961" s="20"/>
      <c r="AD961" s="20"/>
      <c r="AE961" s="20"/>
    </row>
    <row r="962">
      <c r="A962" s="149"/>
      <c r="B962" s="164"/>
      <c r="C962" s="306"/>
      <c r="D962" s="149"/>
      <c r="E962" s="164"/>
      <c r="F962" s="306"/>
      <c r="G962" s="149"/>
      <c r="H962" s="164"/>
      <c r="I962" s="306"/>
      <c r="J962" s="149"/>
      <c r="K962" s="164"/>
      <c r="L962" s="306"/>
      <c r="M962" s="310"/>
      <c r="N962" s="311"/>
      <c r="O962" s="312"/>
      <c r="P962" s="310"/>
      <c r="Q962" s="311"/>
      <c r="R962" s="312"/>
      <c r="S962" s="310"/>
      <c r="T962" s="311"/>
      <c r="U962" s="312"/>
      <c r="V962" s="149"/>
      <c r="W962" s="311"/>
      <c r="X962" s="306"/>
      <c r="Y962" s="188"/>
      <c r="Z962" s="188"/>
      <c r="AA962" s="188"/>
      <c r="AB962" s="20"/>
      <c r="AC962" s="20"/>
      <c r="AD962" s="20"/>
      <c r="AE962" s="20"/>
    </row>
    <row r="963">
      <c r="A963" s="149"/>
      <c r="B963" s="164"/>
      <c r="C963" s="306"/>
      <c r="D963" s="149"/>
      <c r="E963" s="164"/>
      <c r="F963" s="306"/>
      <c r="G963" s="149"/>
      <c r="H963" s="164"/>
      <c r="I963" s="306"/>
      <c r="J963" s="149"/>
      <c r="K963" s="164"/>
      <c r="L963" s="306"/>
      <c r="M963" s="310"/>
      <c r="N963" s="311"/>
      <c r="O963" s="312"/>
      <c r="P963" s="310"/>
      <c r="Q963" s="311"/>
      <c r="R963" s="312"/>
      <c r="S963" s="310"/>
      <c r="T963" s="311"/>
      <c r="U963" s="312"/>
      <c r="V963" s="149"/>
      <c r="W963" s="311"/>
      <c r="X963" s="306"/>
      <c r="Y963" s="188"/>
      <c r="Z963" s="188"/>
      <c r="AA963" s="188"/>
      <c r="AB963" s="20"/>
      <c r="AC963" s="20"/>
      <c r="AD963" s="20"/>
      <c r="AE963" s="20"/>
    </row>
    <row r="964">
      <c r="A964" s="149"/>
      <c r="B964" s="164"/>
      <c r="C964" s="306"/>
      <c r="D964" s="149"/>
      <c r="E964" s="164"/>
      <c r="F964" s="306"/>
      <c r="G964" s="149"/>
      <c r="H964" s="164"/>
      <c r="I964" s="306"/>
      <c r="J964" s="149"/>
      <c r="K964" s="164"/>
      <c r="L964" s="306"/>
      <c r="M964" s="310"/>
      <c r="N964" s="311"/>
      <c r="O964" s="312"/>
      <c r="P964" s="310"/>
      <c r="Q964" s="311"/>
      <c r="R964" s="312"/>
      <c r="S964" s="310"/>
      <c r="T964" s="311"/>
      <c r="U964" s="312"/>
      <c r="V964" s="149"/>
      <c r="W964" s="311"/>
      <c r="X964" s="306"/>
      <c r="Y964" s="188"/>
      <c r="Z964" s="188"/>
      <c r="AA964" s="188"/>
      <c r="AB964" s="20"/>
      <c r="AC964" s="20"/>
      <c r="AD964" s="20"/>
      <c r="AE964" s="20"/>
    </row>
    <row r="965">
      <c r="A965" s="149"/>
      <c r="B965" s="164"/>
      <c r="C965" s="306"/>
      <c r="D965" s="149"/>
      <c r="E965" s="164"/>
      <c r="F965" s="306"/>
      <c r="G965" s="149"/>
      <c r="H965" s="164"/>
      <c r="I965" s="306"/>
      <c r="J965" s="149"/>
      <c r="K965" s="164"/>
      <c r="L965" s="306"/>
      <c r="M965" s="310"/>
      <c r="N965" s="311"/>
      <c r="O965" s="312"/>
      <c r="P965" s="310"/>
      <c r="Q965" s="311"/>
      <c r="R965" s="312"/>
      <c r="S965" s="310"/>
      <c r="T965" s="311"/>
      <c r="U965" s="312"/>
      <c r="V965" s="149"/>
      <c r="W965" s="311"/>
      <c r="X965" s="306"/>
      <c r="Y965" s="188"/>
      <c r="Z965" s="188"/>
      <c r="AA965" s="188"/>
      <c r="AB965" s="20"/>
      <c r="AC965" s="20"/>
      <c r="AD965" s="20"/>
      <c r="AE965" s="20"/>
    </row>
    <row r="966">
      <c r="A966" s="149"/>
      <c r="B966" s="164"/>
      <c r="C966" s="306"/>
      <c r="D966" s="149"/>
      <c r="E966" s="164"/>
      <c r="F966" s="306"/>
      <c r="G966" s="149"/>
      <c r="H966" s="164"/>
      <c r="I966" s="306"/>
      <c r="J966" s="149"/>
      <c r="K966" s="164"/>
      <c r="L966" s="306"/>
      <c r="M966" s="310"/>
      <c r="N966" s="311"/>
      <c r="O966" s="312"/>
      <c r="P966" s="310"/>
      <c r="Q966" s="311"/>
      <c r="R966" s="312"/>
      <c r="S966" s="310"/>
      <c r="T966" s="311"/>
      <c r="U966" s="312"/>
      <c r="V966" s="149"/>
      <c r="W966" s="311"/>
      <c r="X966" s="306"/>
      <c r="Y966" s="188"/>
      <c r="Z966" s="188"/>
      <c r="AA966" s="188"/>
      <c r="AB966" s="20"/>
      <c r="AC966" s="20"/>
      <c r="AD966" s="20"/>
      <c r="AE966" s="20"/>
    </row>
    <row r="967">
      <c r="A967" s="149"/>
      <c r="B967" s="164"/>
      <c r="C967" s="306"/>
      <c r="D967" s="149"/>
      <c r="E967" s="164"/>
      <c r="F967" s="306"/>
      <c r="G967" s="149"/>
      <c r="H967" s="164"/>
      <c r="I967" s="306"/>
      <c r="J967" s="149"/>
      <c r="K967" s="164"/>
      <c r="L967" s="306"/>
      <c r="M967" s="310"/>
      <c r="N967" s="311"/>
      <c r="O967" s="312"/>
      <c r="P967" s="310"/>
      <c r="Q967" s="311"/>
      <c r="R967" s="312"/>
      <c r="S967" s="310"/>
      <c r="T967" s="311"/>
      <c r="U967" s="312"/>
      <c r="V967" s="149"/>
      <c r="W967" s="311"/>
      <c r="X967" s="306"/>
      <c r="Y967" s="188"/>
      <c r="Z967" s="188"/>
      <c r="AA967" s="188"/>
      <c r="AB967" s="20"/>
      <c r="AC967" s="20"/>
      <c r="AD967" s="20"/>
      <c r="AE967" s="20"/>
    </row>
    <row r="968">
      <c r="A968" s="149"/>
      <c r="B968" s="164"/>
      <c r="C968" s="306"/>
      <c r="D968" s="149"/>
      <c r="E968" s="164"/>
      <c r="F968" s="306"/>
      <c r="G968" s="149"/>
      <c r="H968" s="164"/>
      <c r="I968" s="306"/>
      <c r="J968" s="149"/>
      <c r="K968" s="164"/>
      <c r="L968" s="306"/>
      <c r="M968" s="310"/>
      <c r="N968" s="311"/>
      <c r="O968" s="312"/>
      <c r="P968" s="310"/>
      <c r="Q968" s="311"/>
      <c r="R968" s="312"/>
      <c r="S968" s="310"/>
      <c r="T968" s="311"/>
      <c r="U968" s="312"/>
      <c r="V968" s="149"/>
      <c r="W968" s="311"/>
      <c r="X968" s="306"/>
      <c r="Y968" s="188"/>
      <c r="Z968" s="188"/>
      <c r="AA968" s="188"/>
      <c r="AB968" s="20"/>
      <c r="AC968" s="20"/>
      <c r="AD968" s="20"/>
      <c r="AE968" s="20"/>
    </row>
    <row r="969">
      <c r="A969" s="149"/>
      <c r="B969" s="164"/>
      <c r="C969" s="306"/>
      <c r="D969" s="149"/>
      <c r="E969" s="164"/>
      <c r="F969" s="306"/>
      <c r="G969" s="149"/>
      <c r="H969" s="164"/>
      <c r="I969" s="306"/>
      <c r="J969" s="149"/>
      <c r="K969" s="164"/>
      <c r="L969" s="306"/>
      <c r="M969" s="310"/>
      <c r="N969" s="311"/>
      <c r="O969" s="312"/>
      <c r="P969" s="310"/>
      <c r="Q969" s="311"/>
      <c r="R969" s="312"/>
      <c r="S969" s="310"/>
      <c r="T969" s="311"/>
      <c r="U969" s="312"/>
      <c r="V969" s="149"/>
      <c r="W969" s="311"/>
      <c r="X969" s="306"/>
      <c r="Y969" s="188"/>
      <c r="Z969" s="188"/>
      <c r="AA969" s="188"/>
      <c r="AB969" s="20"/>
      <c r="AC969" s="20"/>
      <c r="AD969" s="20"/>
      <c r="AE969" s="20"/>
    </row>
    <row r="970">
      <c r="A970" s="149"/>
      <c r="B970" s="164"/>
      <c r="C970" s="306"/>
      <c r="D970" s="149"/>
      <c r="E970" s="164"/>
      <c r="F970" s="306"/>
      <c r="G970" s="149"/>
      <c r="H970" s="164"/>
      <c r="I970" s="306"/>
      <c r="J970" s="149"/>
      <c r="K970" s="164"/>
      <c r="L970" s="306"/>
      <c r="M970" s="310"/>
      <c r="N970" s="311"/>
      <c r="O970" s="312"/>
      <c r="P970" s="310"/>
      <c r="Q970" s="311"/>
      <c r="R970" s="312"/>
      <c r="S970" s="310"/>
      <c r="T970" s="311"/>
      <c r="U970" s="312"/>
      <c r="V970" s="149"/>
      <c r="W970" s="311"/>
      <c r="X970" s="306"/>
      <c r="Y970" s="188"/>
      <c r="Z970" s="188"/>
      <c r="AA970" s="188"/>
      <c r="AB970" s="20"/>
      <c r="AC970" s="20"/>
      <c r="AD970" s="20"/>
      <c r="AE970" s="20"/>
    </row>
    <row r="971">
      <c r="A971" s="149"/>
      <c r="B971" s="164"/>
      <c r="C971" s="306"/>
      <c r="D971" s="149"/>
      <c r="E971" s="164"/>
      <c r="F971" s="306"/>
      <c r="G971" s="149"/>
      <c r="H971" s="164"/>
      <c r="I971" s="306"/>
      <c r="J971" s="149"/>
      <c r="K971" s="164"/>
      <c r="L971" s="306"/>
      <c r="M971" s="310"/>
      <c r="N971" s="311"/>
      <c r="O971" s="312"/>
      <c r="P971" s="310"/>
      <c r="Q971" s="311"/>
      <c r="R971" s="312"/>
      <c r="S971" s="310"/>
      <c r="T971" s="311"/>
      <c r="U971" s="312"/>
      <c r="V971" s="149"/>
      <c r="W971" s="311"/>
      <c r="X971" s="306"/>
      <c r="Y971" s="188"/>
      <c r="Z971" s="188"/>
      <c r="AA971" s="188"/>
      <c r="AB971" s="20"/>
      <c r="AC971" s="20"/>
      <c r="AD971" s="20"/>
      <c r="AE971" s="20"/>
    </row>
    <row r="972">
      <c r="A972" s="149"/>
      <c r="B972" s="164"/>
      <c r="C972" s="306"/>
      <c r="D972" s="149"/>
      <c r="E972" s="164"/>
      <c r="F972" s="306"/>
      <c r="G972" s="149"/>
      <c r="H972" s="164"/>
      <c r="I972" s="306"/>
      <c r="J972" s="149"/>
      <c r="K972" s="164"/>
      <c r="L972" s="306"/>
      <c r="M972" s="310"/>
      <c r="N972" s="311"/>
      <c r="O972" s="312"/>
      <c r="P972" s="310"/>
      <c r="Q972" s="311"/>
      <c r="R972" s="312"/>
      <c r="S972" s="310"/>
      <c r="T972" s="311"/>
      <c r="U972" s="312"/>
      <c r="V972" s="149"/>
      <c r="W972" s="311"/>
      <c r="X972" s="306"/>
      <c r="Y972" s="188"/>
      <c r="Z972" s="188"/>
      <c r="AA972" s="188"/>
      <c r="AB972" s="20"/>
      <c r="AC972" s="20"/>
      <c r="AD972" s="20"/>
      <c r="AE972" s="20"/>
    </row>
    <row r="973">
      <c r="A973" s="149"/>
      <c r="B973" s="164"/>
      <c r="C973" s="306"/>
      <c r="D973" s="149"/>
      <c r="E973" s="164"/>
      <c r="F973" s="306"/>
      <c r="G973" s="149"/>
      <c r="H973" s="164"/>
      <c r="I973" s="306"/>
      <c r="J973" s="149"/>
      <c r="K973" s="164"/>
      <c r="L973" s="306"/>
      <c r="M973" s="310"/>
      <c r="N973" s="311"/>
      <c r="O973" s="312"/>
      <c r="P973" s="310"/>
      <c r="Q973" s="311"/>
      <c r="R973" s="312"/>
      <c r="S973" s="310"/>
      <c r="T973" s="311"/>
      <c r="U973" s="312"/>
      <c r="V973" s="149"/>
      <c r="W973" s="311"/>
      <c r="X973" s="306"/>
      <c r="Y973" s="188"/>
      <c r="Z973" s="188"/>
      <c r="AA973" s="188"/>
      <c r="AB973" s="20"/>
      <c r="AC973" s="20"/>
      <c r="AD973" s="20"/>
      <c r="AE973" s="20"/>
    </row>
    <row r="974">
      <c r="A974" s="149"/>
      <c r="B974" s="164"/>
      <c r="C974" s="306"/>
      <c r="D974" s="149"/>
      <c r="E974" s="164"/>
      <c r="F974" s="306"/>
      <c r="G974" s="149"/>
      <c r="H974" s="164"/>
      <c r="I974" s="306"/>
      <c r="J974" s="149"/>
      <c r="K974" s="164"/>
      <c r="L974" s="306"/>
      <c r="M974" s="310"/>
      <c r="N974" s="311"/>
      <c r="O974" s="312"/>
      <c r="P974" s="310"/>
      <c r="Q974" s="311"/>
      <c r="R974" s="312"/>
      <c r="S974" s="310"/>
      <c r="T974" s="311"/>
      <c r="U974" s="312"/>
      <c r="V974" s="149"/>
      <c r="W974" s="311"/>
      <c r="X974" s="306"/>
      <c r="Y974" s="188"/>
      <c r="Z974" s="188"/>
      <c r="AA974" s="188"/>
      <c r="AB974" s="20"/>
      <c r="AC974" s="20"/>
      <c r="AD974" s="20"/>
      <c r="AE974" s="20"/>
    </row>
    <row r="975">
      <c r="A975" s="149"/>
      <c r="B975" s="164"/>
      <c r="C975" s="306"/>
      <c r="D975" s="149"/>
      <c r="E975" s="164"/>
      <c r="F975" s="306"/>
      <c r="G975" s="149"/>
      <c r="H975" s="164"/>
      <c r="I975" s="306"/>
      <c r="J975" s="149"/>
      <c r="K975" s="164"/>
      <c r="L975" s="306"/>
      <c r="M975" s="310"/>
      <c r="N975" s="311"/>
      <c r="O975" s="312"/>
      <c r="P975" s="310"/>
      <c r="Q975" s="311"/>
      <c r="R975" s="312"/>
      <c r="S975" s="310"/>
      <c r="T975" s="311"/>
      <c r="U975" s="312"/>
      <c r="V975" s="149"/>
      <c r="W975" s="311"/>
      <c r="X975" s="306"/>
      <c r="Y975" s="188"/>
      <c r="Z975" s="188"/>
      <c r="AA975" s="188"/>
      <c r="AB975" s="20"/>
      <c r="AC975" s="20"/>
      <c r="AD975" s="20"/>
      <c r="AE975" s="20"/>
    </row>
    <row r="976">
      <c r="A976" s="149"/>
      <c r="B976" s="164"/>
      <c r="C976" s="306"/>
      <c r="D976" s="149"/>
      <c r="E976" s="164"/>
      <c r="F976" s="306"/>
      <c r="G976" s="149"/>
      <c r="H976" s="164"/>
      <c r="I976" s="306"/>
      <c r="J976" s="149"/>
      <c r="K976" s="164"/>
      <c r="L976" s="306"/>
      <c r="M976" s="310"/>
      <c r="N976" s="311"/>
      <c r="O976" s="312"/>
      <c r="P976" s="310"/>
      <c r="Q976" s="311"/>
      <c r="R976" s="312"/>
      <c r="S976" s="310"/>
      <c r="T976" s="311"/>
      <c r="U976" s="312"/>
      <c r="V976" s="149"/>
      <c r="W976" s="311"/>
      <c r="X976" s="306"/>
      <c r="Y976" s="188"/>
      <c r="Z976" s="188"/>
      <c r="AA976" s="188"/>
      <c r="AB976" s="20"/>
      <c r="AC976" s="20"/>
      <c r="AD976" s="20"/>
      <c r="AE976" s="20"/>
    </row>
    <row r="977">
      <c r="A977" s="149"/>
      <c r="B977" s="164"/>
      <c r="C977" s="306"/>
      <c r="D977" s="149"/>
      <c r="E977" s="164"/>
      <c r="F977" s="306"/>
      <c r="G977" s="149"/>
      <c r="H977" s="164"/>
      <c r="I977" s="306"/>
      <c r="J977" s="149"/>
      <c r="K977" s="164"/>
      <c r="L977" s="306"/>
      <c r="M977" s="310"/>
      <c r="N977" s="311"/>
      <c r="O977" s="312"/>
      <c r="P977" s="310"/>
      <c r="Q977" s="311"/>
      <c r="R977" s="312"/>
      <c r="S977" s="310"/>
      <c r="T977" s="311"/>
      <c r="U977" s="312"/>
      <c r="V977" s="149"/>
      <c r="W977" s="311"/>
      <c r="X977" s="306"/>
      <c r="Y977" s="188"/>
      <c r="Z977" s="188"/>
      <c r="AA977" s="188"/>
      <c r="AB977" s="20"/>
      <c r="AC977" s="20"/>
      <c r="AD977" s="20"/>
      <c r="AE977" s="20"/>
    </row>
    <row r="978">
      <c r="A978" s="149"/>
      <c r="B978" s="164"/>
      <c r="C978" s="306"/>
      <c r="D978" s="149"/>
      <c r="E978" s="164"/>
      <c r="F978" s="306"/>
      <c r="G978" s="149"/>
      <c r="H978" s="164"/>
      <c r="I978" s="306"/>
      <c r="J978" s="149"/>
      <c r="K978" s="164"/>
      <c r="L978" s="306"/>
      <c r="M978" s="310"/>
      <c r="N978" s="311"/>
      <c r="O978" s="312"/>
      <c r="P978" s="310"/>
      <c r="Q978" s="311"/>
      <c r="R978" s="312"/>
      <c r="S978" s="310"/>
      <c r="T978" s="311"/>
      <c r="U978" s="312"/>
      <c r="V978" s="149"/>
      <c r="W978" s="311"/>
      <c r="X978" s="306"/>
      <c r="Y978" s="188"/>
      <c r="Z978" s="188"/>
      <c r="AA978" s="188"/>
      <c r="AB978" s="20"/>
      <c r="AC978" s="20"/>
      <c r="AD978" s="20"/>
      <c r="AE978" s="20"/>
    </row>
    <row r="979">
      <c r="A979" s="149"/>
      <c r="B979" s="164"/>
      <c r="C979" s="306"/>
      <c r="D979" s="149"/>
      <c r="E979" s="164"/>
      <c r="F979" s="306"/>
      <c r="G979" s="149"/>
      <c r="H979" s="164"/>
      <c r="I979" s="306"/>
      <c r="J979" s="149"/>
      <c r="K979" s="164"/>
      <c r="L979" s="306"/>
      <c r="M979" s="310"/>
      <c r="N979" s="311"/>
      <c r="O979" s="312"/>
      <c r="P979" s="310"/>
      <c r="Q979" s="311"/>
      <c r="R979" s="312"/>
      <c r="S979" s="310"/>
      <c r="T979" s="311"/>
      <c r="U979" s="312"/>
      <c r="V979" s="149"/>
      <c r="W979" s="311"/>
      <c r="X979" s="306"/>
      <c r="Y979" s="188"/>
      <c r="Z979" s="188"/>
      <c r="AA979" s="188"/>
      <c r="AB979" s="20"/>
      <c r="AC979" s="20"/>
      <c r="AD979" s="20"/>
      <c r="AE979" s="20"/>
    </row>
    <row r="980">
      <c r="A980" s="149"/>
      <c r="B980" s="164"/>
      <c r="C980" s="306"/>
      <c r="D980" s="149"/>
      <c r="E980" s="164"/>
      <c r="F980" s="306"/>
      <c r="G980" s="149"/>
      <c r="H980" s="164"/>
      <c r="I980" s="306"/>
      <c r="J980" s="149"/>
      <c r="K980" s="164"/>
      <c r="L980" s="306"/>
      <c r="M980" s="310"/>
      <c r="N980" s="311"/>
      <c r="O980" s="312"/>
      <c r="P980" s="310"/>
      <c r="Q980" s="311"/>
      <c r="R980" s="312"/>
      <c r="S980" s="310"/>
      <c r="T980" s="311"/>
      <c r="U980" s="312"/>
      <c r="V980" s="149"/>
      <c r="W980" s="311"/>
      <c r="X980" s="306"/>
      <c r="Y980" s="188"/>
      <c r="Z980" s="188"/>
      <c r="AA980" s="188"/>
      <c r="AB980" s="20"/>
      <c r="AC980" s="20"/>
      <c r="AD980" s="20"/>
      <c r="AE980" s="20"/>
    </row>
    <row r="981">
      <c r="A981" s="149"/>
      <c r="B981" s="164"/>
      <c r="C981" s="306"/>
      <c r="D981" s="149"/>
      <c r="E981" s="164"/>
      <c r="F981" s="306"/>
      <c r="G981" s="149"/>
      <c r="H981" s="164"/>
      <c r="I981" s="306"/>
      <c r="J981" s="149"/>
      <c r="K981" s="164"/>
      <c r="L981" s="306"/>
      <c r="M981" s="310"/>
      <c r="N981" s="311"/>
      <c r="O981" s="312"/>
      <c r="P981" s="310"/>
      <c r="Q981" s="311"/>
      <c r="R981" s="312"/>
      <c r="S981" s="310"/>
      <c r="T981" s="311"/>
      <c r="U981" s="312"/>
      <c r="V981" s="149"/>
      <c r="W981" s="311"/>
      <c r="X981" s="306"/>
      <c r="Y981" s="188"/>
      <c r="Z981" s="188"/>
      <c r="AA981" s="188"/>
      <c r="AB981" s="20"/>
      <c r="AC981" s="20"/>
      <c r="AD981" s="20"/>
      <c r="AE981" s="20"/>
    </row>
    <row r="982">
      <c r="A982" s="149"/>
      <c r="B982" s="164"/>
      <c r="C982" s="306"/>
      <c r="D982" s="149"/>
      <c r="E982" s="164"/>
      <c r="F982" s="306"/>
      <c r="G982" s="149"/>
      <c r="H982" s="164"/>
      <c r="I982" s="306"/>
      <c r="J982" s="149"/>
      <c r="K982" s="164"/>
      <c r="L982" s="306"/>
      <c r="M982" s="310"/>
      <c r="N982" s="311"/>
      <c r="O982" s="312"/>
      <c r="P982" s="310"/>
      <c r="Q982" s="311"/>
      <c r="R982" s="312"/>
      <c r="S982" s="310"/>
      <c r="T982" s="311"/>
      <c r="U982" s="312"/>
      <c r="V982" s="149"/>
      <c r="W982" s="311"/>
      <c r="X982" s="306"/>
      <c r="Y982" s="188"/>
      <c r="Z982" s="188"/>
      <c r="AA982" s="188"/>
      <c r="AB982" s="20"/>
      <c r="AC982" s="20"/>
      <c r="AD982" s="20"/>
      <c r="AE982" s="20"/>
    </row>
    <row r="983">
      <c r="A983" s="149"/>
      <c r="B983" s="164"/>
      <c r="C983" s="306"/>
      <c r="D983" s="149"/>
      <c r="E983" s="164"/>
      <c r="F983" s="306"/>
      <c r="G983" s="149"/>
      <c r="H983" s="164"/>
      <c r="I983" s="306"/>
      <c r="J983" s="149"/>
      <c r="K983" s="164"/>
      <c r="L983" s="306"/>
      <c r="M983" s="310"/>
      <c r="N983" s="311"/>
      <c r="O983" s="312"/>
      <c r="P983" s="310"/>
      <c r="Q983" s="311"/>
      <c r="R983" s="312"/>
      <c r="S983" s="310"/>
      <c r="T983" s="311"/>
      <c r="U983" s="312"/>
      <c r="V983" s="149"/>
      <c r="W983" s="311"/>
      <c r="X983" s="306"/>
      <c r="Y983" s="188"/>
      <c r="Z983" s="188"/>
      <c r="AA983" s="188"/>
      <c r="AB983" s="20"/>
      <c r="AC983" s="20"/>
      <c r="AD983" s="20"/>
      <c r="AE983" s="20"/>
    </row>
    <row r="984">
      <c r="A984" s="149"/>
      <c r="B984" s="164"/>
      <c r="C984" s="306"/>
      <c r="D984" s="149"/>
      <c r="E984" s="164"/>
      <c r="F984" s="306"/>
      <c r="G984" s="149"/>
      <c r="H984" s="164"/>
      <c r="I984" s="306"/>
      <c r="J984" s="149"/>
      <c r="K984" s="164"/>
      <c r="L984" s="306"/>
      <c r="M984" s="310"/>
      <c r="N984" s="311"/>
      <c r="O984" s="312"/>
      <c r="P984" s="310"/>
      <c r="Q984" s="311"/>
      <c r="R984" s="312"/>
      <c r="S984" s="310"/>
      <c r="T984" s="311"/>
      <c r="U984" s="312"/>
      <c r="V984" s="149"/>
      <c r="W984" s="311"/>
      <c r="X984" s="306"/>
      <c r="Y984" s="188"/>
      <c r="Z984" s="188"/>
      <c r="AA984" s="188"/>
      <c r="AB984" s="20"/>
      <c r="AC984" s="20"/>
      <c r="AD984" s="20"/>
      <c r="AE984" s="20"/>
    </row>
    <row r="985">
      <c r="A985" s="149"/>
      <c r="B985" s="164"/>
      <c r="C985" s="306"/>
      <c r="D985" s="149"/>
      <c r="E985" s="164"/>
      <c r="F985" s="306"/>
      <c r="G985" s="149"/>
      <c r="H985" s="164"/>
      <c r="I985" s="306"/>
      <c r="J985" s="149"/>
      <c r="K985" s="164"/>
      <c r="L985" s="306"/>
      <c r="M985" s="310"/>
      <c r="N985" s="311"/>
      <c r="O985" s="312"/>
      <c r="P985" s="310"/>
      <c r="Q985" s="311"/>
      <c r="R985" s="312"/>
      <c r="S985" s="310"/>
      <c r="T985" s="311"/>
      <c r="U985" s="312"/>
      <c r="V985" s="149"/>
      <c r="W985" s="311"/>
      <c r="X985" s="306"/>
      <c r="Y985" s="188"/>
      <c r="Z985" s="188"/>
      <c r="AA985" s="188"/>
      <c r="AB985" s="20"/>
      <c r="AC985" s="20"/>
      <c r="AD985" s="20"/>
      <c r="AE985" s="20"/>
    </row>
    <row r="986">
      <c r="A986" s="149"/>
      <c r="B986" s="164"/>
      <c r="C986" s="306"/>
      <c r="D986" s="149"/>
      <c r="E986" s="164"/>
      <c r="F986" s="306"/>
      <c r="G986" s="149"/>
      <c r="H986" s="164"/>
      <c r="I986" s="306"/>
      <c r="J986" s="149"/>
      <c r="K986" s="164"/>
      <c r="L986" s="306"/>
      <c r="M986" s="310"/>
      <c r="N986" s="311"/>
      <c r="O986" s="312"/>
      <c r="P986" s="310"/>
      <c r="Q986" s="311"/>
      <c r="R986" s="312"/>
      <c r="S986" s="310"/>
      <c r="T986" s="311"/>
      <c r="U986" s="312"/>
      <c r="V986" s="149"/>
      <c r="W986" s="311"/>
      <c r="X986" s="306"/>
      <c r="Y986" s="188"/>
      <c r="Z986" s="188"/>
      <c r="AA986" s="188"/>
      <c r="AB986" s="20"/>
      <c r="AC986" s="20"/>
      <c r="AD986" s="20"/>
      <c r="AE986" s="20"/>
    </row>
    <row r="987">
      <c r="A987" s="149"/>
      <c r="B987" s="164"/>
      <c r="C987" s="306"/>
      <c r="D987" s="149"/>
      <c r="E987" s="164"/>
      <c r="F987" s="306"/>
      <c r="G987" s="149"/>
      <c r="H987" s="164"/>
      <c r="I987" s="306"/>
      <c r="J987" s="149"/>
      <c r="K987" s="164"/>
      <c r="L987" s="306"/>
      <c r="M987" s="310"/>
      <c r="N987" s="311"/>
      <c r="O987" s="312"/>
      <c r="P987" s="310"/>
      <c r="Q987" s="311"/>
      <c r="R987" s="312"/>
      <c r="S987" s="310"/>
      <c r="T987" s="311"/>
      <c r="U987" s="312"/>
      <c r="V987" s="149"/>
      <c r="W987" s="311"/>
      <c r="X987" s="306"/>
      <c r="Y987" s="188"/>
      <c r="Z987" s="188"/>
      <c r="AA987" s="188"/>
      <c r="AB987" s="20"/>
      <c r="AC987" s="20"/>
      <c r="AD987" s="20"/>
      <c r="AE987" s="20"/>
    </row>
    <row r="988">
      <c r="A988" s="149"/>
      <c r="B988" s="164"/>
      <c r="C988" s="306"/>
      <c r="D988" s="149"/>
      <c r="E988" s="164"/>
      <c r="F988" s="306"/>
      <c r="G988" s="149"/>
      <c r="H988" s="164"/>
      <c r="I988" s="306"/>
      <c r="J988" s="149"/>
      <c r="K988" s="164"/>
      <c r="L988" s="306"/>
      <c r="M988" s="310"/>
      <c r="N988" s="311"/>
      <c r="O988" s="312"/>
      <c r="P988" s="310"/>
      <c r="Q988" s="311"/>
      <c r="R988" s="312"/>
      <c r="S988" s="310"/>
      <c r="T988" s="311"/>
      <c r="U988" s="312"/>
      <c r="V988" s="149"/>
      <c r="W988" s="311"/>
      <c r="X988" s="306"/>
      <c r="Y988" s="188"/>
      <c r="Z988" s="188"/>
      <c r="AA988" s="188"/>
      <c r="AB988" s="20"/>
      <c r="AC988" s="20"/>
      <c r="AD988" s="20"/>
      <c r="AE988" s="20"/>
    </row>
    <row r="989">
      <c r="A989" s="149"/>
      <c r="B989" s="164"/>
      <c r="C989" s="306"/>
      <c r="D989" s="149"/>
      <c r="E989" s="164"/>
      <c r="F989" s="306"/>
      <c r="G989" s="149"/>
      <c r="H989" s="164"/>
      <c r="I989" s="306"/>
      <c r="J989" s="149"/>
      <c r="K989" s="164"/>
      <c r="L989" s="306"/>
      <c r="M989" s="310"/>
      <c r="N989" s="311"/>
      <c r="O989" s="312"/>
      <c r="P989" s="310"/>
      <c r="Q989" s="311"/>
      <c r="R989" s="312"/>
      <c r="S989" s="310"/>
      <c r="T989" s="311"/>
      <c r="U989" s="312"/>
      <c r="V989" s="149"/>
      <c r="W989" s="311"/>
      <c r="X989" s="306"/>
      <c r="Y989" s="188"/>
      <c r="Z989" s="188"/>
      <c r="AA989" s="188"/>
      <c r="AB989" s="20"/>
      <c r="AC989" s="20"/>
      <c r="AD989" s="20"/>
      <c r="AE989" s="20"/>
    </row>
    <row r="990">
      <c r="A990" s="149"/>
      <c r="B990" s="164"/>
      <c r="C990" s="306"/>
      <c r="D990" s="149"/>
      <c r="E990" s="164"/>
      <c r="F990" s="306"/>
      <c r="G990" s="149"/>
      <c r="H990" s="164"/>
      <c r="I990" s="306"/>
      <c r="J990" s="149"/>
      <c r="K990" s="164"/>
      <c r="L990" s="306"/>
      <c r="M990" s="310"/>
      <c r="N990" s="311"/>
      <c r="O990" s="312"/>
      <c r="P990" s="310"/>
      <c r="Q990" s="311"/>
      <c r="R990" s="312"/>
      <c r="S990" s="310"/>
      <c r="T990" s="311"/>
      <c r="U990" s="312"/>
      <c r="V990" s="149"/>
      <c r="W990" s="311"/>
      <c r="X990" s="306"/>
      <c r="Y990" s="188"/>
      <c r="Z990" s="188"/>
      <c r="AA990" s="188"/>
      <c r="AB990" s="20"/>
      <c r="AC990" s="20"/>
      <c r="AD990" s="20"/>
      <c r="AE990" s="20"/>
    </row>
    <row r="991">
      <c r="A991" s="149"/>
      <c r="B991" s="164"/>
      <c r="C991" s="306"/>
      <c r="D991" s="149"/>
      <c r="E991" s="164"/>
      <c r="F991" s="306"/>
      <c r="G991" s="149"/>
      <c r="H991" s="164"/>
      <c r="I991" s="306"/>
      <c r="J991" s="149"/>
      <c r="K991" s="164"/>
      <c r="L991" s="306"/>
      <c r="M991" s="310"/>
      <c r="N991" s="311"/>
      <c r="O991" s="312"/>
      <c r="P991" s="310"/>
      <c r="Q991" s="311"/>
      <c r="R991" s="312"/>
      <c r="S991" s="310"/>
      <c r="T991" s="311"/>
      <c r="U991" s="312"/>
      <c r="V991" s="149"/>
      <c r="W991" s="311"/>
      <c r="X991" s="306"/>
      <c r="Y991" s="188"/>
      <c r="Z991" s="188"/>
      <c r="AA991" s="188"/>
      <c r="AB991" s="20"/>
      <c r="AC991" s="20"/>
      <c r="AD991" s="20"/>
      <c r="AE991" s="20"/>
    </row>
    <row r="992">
      <c r="A992" s="149"/>
      <c r="B992" s="164"/>
      <c r="C992" s="306"/>
      <c r="D992" s="149"/>
      <c r="E992" s="164"/>
      <c r="F992" s="306"/>
      <c r="G992" s="149"/>
      <c r="H992" s="164"/>
      <c r="I992" s="306"/>
      <c r="J992" s="149"/>
      <c r="K992" s="164"/>
      <c r="L992" s="306"/>
      <c r="M992" s="310"/>
      <c r="N992" s="311"/>
      <c r="O992" s="312"/>
      <c r="P992" s="310"/>
      <c r="Q992" s="311"/>
      <c r="R992" s="312"/>
      <c r="S992" s="310"/>
      <c r="T992" s="311"/>
      <c r="U992" s="312"/>
      <c r="V992" s="149"/>
      <c r="W992" s="311"/>
      <c r="X992" s="306"/>
      <c r="Y992" s="188"/>
      <c r="Z992" s="188"/>
      <c r="AA992" s="188"/>
      <c r="AB992" s="20"/>
      <c r="AC992" s="20"/>
      <c r="AD992" s="20"/>
      <c r="AE992" s="20"/>
    </row>
    <row r="993">
      <c r="A993" s="149"/>
      <c r="B993" s="164"/>
      <c r="C993" s="306"/>
      <c r="D993" s="149"/>
      <c r="E993" s="164"/>
      <c r="F993" s="306"/>
      <c r="G993" s="149"/>
      <c r="H993" s="164"/>
      <c r="I993" s="306"/>
      <c r="J993" s="149"/>
      <c r="K993" s="164"/>
      <c r="L993" s="306"/>
      <c r="M993" s="310"/>
      <c r="N993" s="311"/>
      <c r="O993" s="312"/>
      <c r="P993" s="310"/>
      <c r="Q993" s="311"/>
      <c r="R993" s="312"/>
      <c r="S993" s="310"/>
      <c r="T993" s="311"/>
      <c r="U993" s="312"/>
      <c r="V993" s="149"/>
      <c r="W993" s="311"/>
      <c r="X993" s="306"/>
      <c r="Y993" s="188"/>
      <c r="Z993" s="188"/>
      <c r="AA993" s="188"/>
      <c r="AB993" s="20"/>
      <c r="AC993" s="20"/>
      <c r="AD993" s="20"/>
      <c r="AE993" s="20"/>
    </row>
    <row r="994">
      <c r="A994" s="149"/>
      <c r="B994" s="164"/>
      <c r="C994" s="306"/>
      <c r="D994" s="149"/>
      <c r="E994" s="164"/>
      <c r="F994" s="306"/>
      <c r="G994" s="149"/>
      <c r="H994" s="164"/>
      <c r="I994" s="306"/>
      <c r="J994" s="149"/>
      <c r="K994" s="164"/>
      <c r="L994" s="306"/>
      <c r="M994" s="310"/>
      <c r="N994" s="311"/>
      <c r="O994" s="312"/>
      <c r="P994" s="310"/>
      <c r="Q994" s="311"/>
      <c r="R994" s="312"/>
      <c r="S994" s="310"/>
      <c r="T994" s="311"/>
      <c r="U994" s="312"/>
      <c r="V994" s="149"/>
      <c r="W994" s="311"/>
      <c r="X994" s="306"/>
      <c r="Y994" s="188"/>
      <c r="Z994" s="188"/>
      <c r="AA994" s="188"/>
      <c r="AB994" s="20"/>
      <c r="AC994" s="20"/>
      <c r="AD994" s="20"/>
      <c r="AE994" s="20"/>
    </row>
    <row r="995">
      <c r="A995" s="149"/>
      <c r="B995" s="164"/>
      <c r="C995" s="306"/>
      <c r="D995" s="149"/>
      <c r="E995" s="164"/>
      <c r="F995" s="306"/>
      <c r="G995" s="149"/>
      <c r="H995" s="164"/>
      <c r="I995" s="306"/>
      <c r="J995" s="149"/>
      <c r="K995" s="164"/>
      <c r="L995" s="306"/>
      <c r="M995" s="310"/>
      <c r="N995" s="311"/>
      <c r="O995" s="312"/>
      <c r="P995" s="310"/>
      <c r="Q995" s="311"/>
      <c r="R995" s="312"/>
      <c r="S995" s="310"/>
      <c r="T995" s="311"/>
      <c r="U995" s="312"/>
      <c r="V995" s="149"/>
      <c r="W995" s="311"/>
      <c r="X995" s="306"/>
      <c r="Y995" s="188"/>
      <c r="Z995" s="188"/>
      <c r="AA995" s="188"/>
      <c r="AB995" s="20"/>
      <c r="AC995" s="20"/>
      <c r="AD995" s="20"/>
      <c r="AE995" s="20"/>
    </row>
    <row r="996">
      <c r="A996" s="149"/>
      <c r="B996" s="164"/>
      <c r="C996" s="306"/>
      <c r="D996" s="149"/>
      <c r="E996" s="164"/>
      <c r="F996" s="306"/>
      <c r="G996" s="149"/>
      <c r="H996" s="164"/>
      <c r="I996" s="306"/>
      <c r="J996" s="149"/>
      <c r="K996" s="164"/>
      <c r="L996" s="306"/>
      <c r="M996" s="310"/>
      <c r="N996" s="311"/>
      <c r="O996" s="312"/>
      <c r="P996" s="310"/>
      <c r="Q996" s="311"/>
      <c r="R996" s="312"/>
      <c r="S996" s="310"/>
      <c r="T996" s="311"/>
      <c r="U996" s="312"/>
      <c r="V996" s="149"/>
      <c r="W996" s="311"/>
      <c r="X996" s="306"/>
      <c r="Y996" s="188"/>
      <c r="Z996" s="188"/>
      <c r="AA996" s="188"/>
      <c r="AB996" s="20"/>
      <c r="AC996" s="20"/>
      <c r="AD996" s="20"/>
      <c r="AE996" s="20"/>
    </row>
    <row r="997">
      <c r="A997" s="149"/>
      <c r="B997" s="164"/>
      <c r="C997" s="306"/>
      <c r="D997" s="149"/>
      <c r="E997" s="164"/>
      <c r="F997" s="306"/>
      <c r="G997" s="149"/>
      <c r="H997" s="164"/>
      <c r="I997" s="306"/>
      <c r="J997" s="149"/>
      <c r="K997" s="164"/>
      <c r="L997" s="306"/>
      <c r="M997" s="310"/>
      <c r="N997" s="311"/>
      <c r="O997" s="312"/>
      <c r="P997" s="310"/>
      <c r="Q997" s="311"/>
      <c r="R997" s="312"/>
      <c r="S997" s="310"/>
      <c r="T997" s="311"/>
      <c r="U997" s="312"/>
      <c r="V997" s="149"/>
      <c r="W997" s="311"/>
      <c r="X997" s="306"/>
      <c r="Y997" s="188"/>
      <c r="Z997" s="188"/>
      <c r="AA997" s="188"/>
      <c r="AB997" s="20"/>
      <c r="AC997" s="20"/>
      <c r="AD997" s="20"/>
      <c r="AE997" s="20"/>
    </row>
    <row r="998">
      <c r="A998" s="149"/>
      <c r="B998" s="164"/>
      <c r="C998" s="306"/>
      <c r="D998" s="149"/>
      <c r="E998" s="164"/>
      <c r="F998" s="306"/>
      <c r="G998" s="149"/>
      <c r="H998" s="164"/>
      <c r="I998" s="306"/>
      <c r="J998" s="149"/>
      <c r="K998" s="164"/>
      <c r="L998" s="306"/>
      <c r="M998" s="310"/>
      <c r="N998" s="311"/>
      <c r="O998" s="312"/>
      <c r="P998" s="310"/>
      <c r="Q998" s="311"/>
      <c r="R998" s="312"/>
      <c r="S998" s="310"/>
      <c r="T998" s="311"/>
      <c r="U998" s="312"/>
      <c r="V998" s="149"/>
      <c r="W998" s="311"/>
      <c r="X998" s="306"/>
      <c r="Y998" s="188"/>
      <c r="Z998" s="188"/>
      <c r="AA998" s="188"/>
      <c r="AB998" s="20"/>
      <c r="AC998" s="20"/>
      <c r="AD998" s="20"/>
      <c r="AE998" s="20"/>
    </row>
    <row r="999">
      <c r="A999" s="149"/>
      <c r="B999" s="164"/>
      <c r="C999" s="306"/>
      <c r="D999" s="149"/>
      <c r="E999" s="164"/>
      <c r="F999" s="306"/>
      <c r="G999" s="149"/>
      <c r="H999" s="164"/>
      <c r="I999" s="306"/>
      <c r="J999" s="149"/>
      <c r="K999" s="164"/>
      <c r="L999" s="306"/>
      <c r="M999" s="310"/>
      <c r="N999" s="311"/>
      <c r="O999" s="312"/>
      <c r="P999" s="310"/>
      <c r="Q999" s="311"/>
      <c r="R999" s="312"/>
      <c r="S999" s="310"/>
      <c r="T999" s="311"/>
      <c r="U999" s="312"/>
      <c r="V999" s="149"/>
      <c r="W999" s="311"/>
      <c r="X999" s="306"/>
      <c r="Y999" s="188"/>
      <c r="Z999" s="188"/>
      <c r="AA999" s="188"/>
      <c r="AB999" s="20"/>
      <c r="AC999" s="20"/>
      <c r="AD999" s="20"/>
      <c r="AE999" s="20"/>
    </row>
    <row r="1000">
      <c r="A1000" s="149"/>
      <c r="B1000" s="164"/>
      <c r="C1000" s="306"/>
      <c r="D1000" s="149"/>
      <c r="E1000" s="164"/>
      <c r="F1000" s="306"/>
      <c r="G1000" s="149"/>
      <c r="H1000" s="164"/>
      <c r="I1000" s="306"/>
      <c r="J1000" s="149"/>
      <c r="K1000" s="164"/>
      <c r="L1000" s="306"/>
      <c r="M1000" s="310"/>
      <c r="N1000" s="311"/>
      <c r="O1000" s="312"/>
      <c r="P1000" s="310"/>
      <c r="Q1000" s="311"/>
      <c r="R1000" s="312"/>
      <c r="S1000" s="310"/>
      <c r="T1000" s="311"/>
      <c r="U1000" s="312"/>
      <c r="V1000" s="149"/>
      <c r="W1000" s="311"/>
      <c r="X1000" s="306"/>
      <c r="Y1000" s="188"/>
      <c r="Z1000" s="188"/>
      <c r="AA1000" s="188"/>
      <c r="AB1000" s="20"/>
      <c r="AC1000" s="20"/>
      <c r="AD1000" s="20"/>
      <c r="AE1000" s="20"/>
    </row>
    <row r="1001">
      <c r="A1001" s="149"/>
      <c r="B1001" s="164"/>
      <c r="C1001" s="306"/>
      <c r="D1001" s="149"/>
      <c r="E1001" s="164"/>
      <c r="F1001" s="306"/>
      <c r="G1001" s="149"/>
      <c r="H1001" s="164"/>
      <c r="I1001" s="306"/>
      <c r="J1001" s="149"/>
      <c r="K1001" s="164"/>
      <c r="L1001" s="306"/>
      <c r="M1001" s="310"/>
      <c r="N1001" s="311"/>
      <c r="O1001" s="312"/>
      <c r="P1001" s="310"/>
      <c r="Q1001" s="311"/>
      <c r="R1001" s="312"/>
      <c r="S1001" s="310"/>
      <c r="T1001" s="311"/>
      <c r="U1001" s="312"/>
      <c r="V1001" s="149"/>
      <c r="W1001" s="311"/>
      <c r="X1001" s="306"/>
      <c r="Y1001" s="188"/>
      <c r="Z1001" s="188"/>
      <c r="AA1001" s="188"/>
      <c r="AB1001" s="20"/>
      <c r="AC1001" s="20"/>
      <c r="AD1001" s="20"/>
      <c r="AE1001" s="20"/>
    </row>
    <row r="1002">
      <c r="A1002" s="149"/>
      <c r="B1002" s="164"/>
      <c r="C1002" s="306"/>
      <c r="D1002" s="149"/>
      <c r="E1002" s="164"/>
      <c r="F1002" s="306"/>
      <c r="G1002" s="149"/>
      <c r="H1002" s="164"/>
      <c r="I1002" s="306"/>
      <c r="J1002" s="149"/>
      <c r="K1002" s="164"/>
      <c r="L1002" s="306"/>
      <c r="M1002" s="310"/>
      <c r="N1002" s="311"/>
      <c r="O1002" s="312"/>
      <c r="P1002" s="310"/>
      <c r="Q1002" s="311"/>
      <c r="R1002" s="312"/>
      <c r="S1002" s="310"/>
      <c r="T1002" s="311"/>
      <c r="U1002" s="312"/>
      <c r="V1002" s="149"/>
      <c r="W1002" s="311"/>
      <c r="X1002" s="306"/>
      <c r="Y1002" s="188"/>
      <c r="Z1002" s="188"/>
      <c r="AA1002" s="188"/>
      <c r="AB1002" s="20"/>
      <c r="AC1002" s="20"/>
      <c r="AD1002" s="20"/>
      <c r="AE1002" s="20"/>
    </row>
    <row r="1003">
      <c r="A1003" s="149"/>
      <c r="B1003" s="164"/>
      <c r="C1003" s="306"/>
      <c r="D1003" s="149"/>
      <c r="E1003" s="164"/>
      <c r="F1003" s="306"/>
      <c r="G1003" s="149"/>
      <c r="H1003" s="164"/>
      <c r="I1003" s="306"/>
      <c r="J1003" s="149"/>
      <c r="K1003" s="164"/>
      <c r="L1003" s="306"/>
      <c r="M1003" s="310"/>
      <c r="N1003" s="311"/>
      <c r="O1003" s="312"/>
      <c r="P1003" s="310"/>
      <c r="Q1003" s="311"/>
      <c r="R1003" s="312"/>
      <c r="S1003" s="310"/>
      <c r="T1003" s="311"/>
      <c r="U1003" s="312"/>
      <c r="V1003" s="149"/>
      <c r="W1003" s="311"/>
      <c r="X1003" s="306"/>
      <c r="Y1003" s="188"/>
      <c r="Z1003" s="188"/>
      <c r="AA1003" s="188"/>
      <c r="AB1003" s="20"/>
      <c r="AC1003" s="20"/>
      <c r="AD1003" s="20"/>
      <c r="AE1003" s="20"/>
    </row>
    <row r="1004">
      <c r="A1004" s="149"/>
      <c r="B1004" s="164"/>
      <c r="C1004" s="306"/>
      <c r="D1004" s="149"/>
      <c r="E1004" s="164"/>
      <c r="F1004" s="306"/>
      <c r="G1004" s="149"/>
      <c r="H1004" s="164"/>
      <c r="I1004" s="306"/>
      <c r="J1004" s="149"/>
      <c r="K1004" s="164"/>
      <c r="L1004" s="306"/>
      <c r="M1004" s="310"/>
      <c r="N1004" s="311"/>
      <c r="O1004" s="312"/>
      <c r="P1004" s="310"/>
      <c r="Q1004" s="311"/>
      <c r="R1004" s="312"/>
      <c r="S1004" s="310"/>
      <c r="T1004" s="311"/>
      <c r="U1004" s="312"/>
      <c r="V1004" s="149"/>
      <c r="W1004" s="311"/>
      <c r="X1004" s="306"/>
      <c r="Y1004" s="149"/>
      <c r="Z1004" s="164"/>
      <c r="AA1004" s="306"/>
      <c r="AB1004" s="20"/>
      <c r="AC1004" s="20"/>
      <c r="AD1004" s="20"/>
      <c r="AE1004" s="20"/>
    </row>
    <row r="1005">
      <c r="A1005" s="149"/>
      <c r="B1005" s="164"/>
      <c r="C1005" s="306"/>
      <c r="D1005" s="149"/>
      <c r="E1005" s="164"/>
      <c r="F1005" s="306"/>
      <c r="G1005" s="149"/>
      <c r="H1005" s="164"/>
      <c r="I1005" s="306"/>
      <c r="J1005" s="149"/>
      <c r="K1005" s="164"/>
      <c r="L1005" s="306"/>
      <c r="M1005" s="310"/>
      <c r="N1005" s="311"/>
      <c r="O1005" s="312"/>
      <c r="P1005" s="310"/>
      <c r="Q1005" s="311"/>
      <c r="R1005" s="312"/>
      <c r="S1005" s="310"/>
      <c r="T1005" s="311"/>
      <c r="U1005" s="312"/>
      <c r="V1005" s="149"/>
      <c r="W1005" s="311"/>
      <c r="X1005" s="306"/>
      <c r="Y1005" s="149"/>
      <c r="Z1005" s="164"/>
      <c r="AA1005" s="306"/>
      <c r="AB1005" s="20"/>
      <c r="AC1005" s="20"/>
      <c r="AD1005" s="20"/>
      <c r="AE1005" s="20"/>
    </row>
    <row r="1006">
      <c r="A1006" s="149"/>
      <c r="B1006" s="164"/>
      <c r="C1006" s="306"/>
      <c r="D1006" s="149"/>
      <c r="E1006" s="164"/>
      <c r="F1006" s="306"/>
      <c r="G1006" s="149"/>
      <c r="H1006" s="164"/>
      <c r="I1006" s="306"/>
      <c r="J1006" s="149"/>
      <c r="K1006" s="164"/>
      <c r="L1006" s="306"/>
      <c r="M1006" s="310"/>
      <c r="N1006" s="311"/>
      <c r="O1006" s="312"/>
      <c r="P1006" s="310"/>
      <c r="Q1006" s="311"/>
      <c r="R1006" s="312"/>
      <c r="S1006" s="310"/>
      <c r="T1006" s="311"/>
      <c r="U1006" s="312"/>
      <c r="V1006" s="149"/>
      <c r="W1006" s="311"/>
      <c r="X1006" s="306"/>
      <c r="Y1006" s="149"/>
      <c r="Z1006" s="164"/>
      <c r="AA1006" s="306"/>
      <c r="AB1006" s="20"/>
      <c r="AC1006" s="20"/>
      <c r="AD1006" s="20"/>
      <c r="AE1006" s="20"/>
    </row>
    <row r="1007">
      <c r="A1007" s="149"/>
      <c r="B1007" s="164"/>
      <c r="C1007" s="306"/>
      <c r="D1007" s="149"/>
      <c r="E1007" s="164"/>
      <c r="F1007" s="306"/>
      <c r="G1007" s="149"/>
      <c r="H1007" s="164"/>
      <c r="I1007" s="306"/>
      <c r="J1007" s="149"/>
      <c r="K1007" s="164"/>
      <c r="L1007" s="306"/>
      <c r="M1007" s="310"/>
      <c r="N1007" s="311"/>
      <c r="O1007" s="312"/>
      <c r="P1007" s="310"/>
      <c r="Q1007" s="311"/>
      <c r="R1007" s="312"/>
      <c r="S1007" s="310"/>
      <c r="T1007" s="311"/>
      <c r="U1007" s="312"/>
      <c r="V1007" s="149"/>
      <c r="W1007" s="311"/>
      <c r="X1007" s="306"/>
      <c r="Y1007" s="149"/>
      <c r="Z1007" s="164"/>
      <c r="AA1007" s="306"/>
      <c r="AB1007" s="20"/>
      <c r="AC1007" s="20"/>
      <c r="AD1007" s="20"/>
      <c r="AE1007" s="20"/>
    </row>
    <row r="1008">
      <c r="A1008" s="149"/>
      <c r="B1008" s="164"/>
      <c r="C1008" s="306"/>
      <c r="D1008" s="149"/>
      <c r="E1008" s="164"/>
      <c r="F1008" s="306"/>
      <c r="G1008" s="149"/>
      <c r="H1008" s="164"/>
      <c r="I1008" s="306"/>
      <c r="J1008" s="149"/>
      <c r="K1008" s="164"/>
      <c r="L1008" s="306"/>
      <c r="M1008" s="310"/>
      <c r="N1008" s="311"/>
      <c r="O1008" s="312"/>
      <c r="P1008" s="310"/>
      <c r="Q1008" s="311"/>
      <c r="R1008" s="312"/>
      <c r="S1008" s="310"/>
      <c r="T1008" s="311"/>
      <c r="U1008" s="312"/>
      <c r="V1008" s="149"/>
      <c r="W1008" s="311"/>
      <c r="X1008" s="306"/>
      <c r="Y1008" s="149"/>
      <c r="Z1008" s="164"/>
      <c r="AA1008" s="306"/>
      <c r="AB1008" s="20"/>
      <c r="AC1008" s="20"/>
      <c r="AD1008" s="20"/>
      <c r="AE1008" s="20"/>
    </row>
    <row r="1009">
      <c r="A1009" s="149"/>
      <c r="B1009" s="164"/>
      <c r="C1009" s="306"/>
      <c r="D1009" s="149"/>
      <c r="E1009" s="164"/>
      <c r="F1009" s="306"/>
      <c r="G1009" s="149"/>
      <c r="H1009" s="164"/>
      <c r="I1009" s="306"/>
      <c r="J1009" s="149"/>
      <c r="K1009" s="164"/>
      <c r="L1009" s="306"/>
      <c r="M1009" s="310"/>
      <c r="N1009" s="311"/>
      <c r="O1009" s="312"/>
      <c r="P1009" s="310"/>
      <c r="Q1009" s="311"/>
      <c r="R1009" s="312"/>
      <c r="S1009" s="310"/>
      <c r="T1009" s="311"/>
      <c r="U1009" s="312"/>
      <c r="V1009" s="149"/>
      <c r="W1009" s="311"/>
      <c r="X1009" s="306"/>
      <c r="Y1009" s="149"/>
      <c r="Z1009" s="164"/>
      <c r="AA1009" s="306"/>
      <c r="AB1009" s="20"/>
      <c r="AC1009" s="20"/>
      <c r="AD1009" s="20"/>
      <c r="AE1009" s="20"/>
    </row>
    <row r="1010">
      <c r="A1010" s="149"/>
      <c r="B1010" s="164"/>
      <c r="C1010" s="306"/>
      <c r="D1010" s="149"/>
      <c r="E1010" s="164"/>
      <c r="F1010" s="306"/>
      <c r="G1010" s="149"/>
      <c r="H1010" s="164"/>
      <c r="I1010" s="306"/>
      <c r="J1010" s="149"/>
      <c r="K1010" s="164"/>
      <c r="L1010" s="306"/>
      <c r="M1010" s="310"/>
      <c r="N1010" s="311"/>
      <c r="O1010" s="312"/>
      <c r="P1010" s="310"/>
      <c r="Q1010" s="311"/>
      <c r="R1010" s="312"/>
      <c r="S1010" s="310"/>
      <c r="T1010" s="311"/>
      <c r="U1010" s="312"/>
      <c r="V1010" s="149"/>
      <c r="W1010" s="311"/>
      <c r="X1010" s="306"/>
      <c r="Y1010" s="149"/>
      <c r="Z1010" s="164"/>
      <c r="AA1010" s="306"/>
      <c r="AB1010" s="20"/>
      <c r="AC1010" s="20"/>
      <c r="AD1010" s="20"/>
      <c r="AE1010" s="20"/>
    </row>
    <row r="1011">
      <c r="A1011" s="149"/>
      <c r="B1011" s="164"/>
      <c r="C1011" s="306"/>
      <c r="D1011" s="149"/>
      <c r="E1011" s="164"/>
      <c r="F1011" s="306"/>
      <c r="G1011" s="149"/>
      <c r="H1011" s="164"/>
      <c r="I1011" s="306"/>
      <c r="J1011" s="149"/>
      <c r="K1011" s="164"/>
      <c r="L1011" s="306"/>
      <c r="M1011" s="310"/>
      <c r="N1011" s="311"/>
      <c r="O1011" s="312"/>
      <c r="P1011" s="310"/>
      <c r="Q1011" s="311"/>
      <c r="R1011" s="312"/>
      <c r="S1011" s="310"/>
      <c r="T1011" s="311"/>
      <c r="U1011" s="312"/>
      <c r="V1011" s="149"/>
      <c r="W1011" s="311"/>
      <c r="X1011" s="306"/>
      <c r="Y1011" s="149"/>
      <c r="Z1011" s="164"/>
      <c r="AA1011" s="306"/>
      <c r="AB1011" s="20"/>
      <c r="AC1011" s="20"/>
      <c r="AD1011" s="20"/>
      <c r="AE1011" s="20"/>
    </row>
    <row r="1012">
      <c r="A1012" s="149"/>
      <c r="B1012" s="164"/>
      <c r="C1012" s="306"/>
      <c r="D1012" s="149"/>
      <c r="E1012" s="164"/>
      <c r="F1012" s="306"/>
      <c r="G1012" s="149"/>
      <c r="H1012" s="164"/>
      <c r="I1012" s="306"/>
      <c r="J1012" s="149"/>
      <c r="K1012" s="164"/>
      <c r="L1012" s="306"/>
      <c r="M1012" s="310"/>
      <c r="N1012" s="311"/>
      <c r="O1012" s="312"/>
      <c r="P1012" s="310"/>
      <c r="Q1012" s="311"/>
      <c r="R1012" s="312"/>
      <c r="S1012" s="310"/>
      <c r="T1012" s="311"/>
      <c r="U1012" s="312"/>
      <c r="V1012" s="149"/>
      <c r="W1012" s="311"/>
      <c r="X1012" s="306"/>
      <c r="Y1012" s="149"/>
      <c r="Z1012" s="164"/>
      <c r="AA1012" s="306"/>
      <c r="AB1012" s="20"/>
      <c r="AC1012" s="20"/>
      <c r="AD1012" s="20"/>
      <c r="AE1012" s="20"/>
    </row>
    <row r="1013">
      <c r="A1013" s="149"/>
      <c r="B1013" s="164"/>
      <c r="C1013" s="306"/>
      <c r="D1013" s="149"/>
      <c r="E1013" s="164"/>
      <c r="F1013" s="306"/>
      <c r="G1013" s="149"/>
      <c r="H1013" s="164"/>
      <c r="I1013" s="306"/>
      <c r="J1013" s="149"/>
      <c r="K1013" s="164"/>
      <c r="L1013" s="306"/>
      <c r="M1013" s="310"/>
      <c r="N1013" s="311"/>
      <c r="O1013" s="312"/>
      <c r="P1013" s="310"/>
      <c r="Q1013" s="311"/>
      <c r="R1013" s="312"/>
      <c r="S1013" s="310"/>
      <c r="T1013" s="311"/>
      <c r="U1013" s="312"/>
      <c r="V1013" s="149"/>
      <c r="W1013" s="311"/>
      <c r="X1013" s="306"/>
      <c r="Y1013" s="149"/>
      <c r="Z1013" s="164"/>
      <c r="AA1013" s="306"/>
      <c r="AB1013" s="20"/>
      <c r="AC1013" s="20"/>
      <c r="AD1013" s="20"/>
      <c r="AE1013" s="20"/>
    </row>
    <row r="1014">
      <c r="A1014" s="149"/>
      <c r="B1014" s="164"/>
      <c r="C1014" s="306"/>
      <c r="D1014" s="149"/>
      <c r="E1014" s="164"/>
      <c r="F1014" s="306"/>
      <c r="G1014" s="149"/>
      <c r="H1014" s="164"/>
      <c r="I1014" s="306"/>
      <c r="J1014" s="149"/>
      <c r="K1014" s="164"/>
      <c r="L1014" s="306"/>
      <c r="M1014" s="310"/>
      <c r="N1014" s="311"/>
      <c r="O1014" s="312"/>
      <c r="P1014" s="310"/>
      <c r="Q1014" s="311"/>
      <c r="R1014" s="312"/>
      <c r="S1014" s="310"/>
      <c r="T1014" s="311"/>
      <c r="U1014" s="312"/>
      <c r="V1014" s="149"/>
      <c r="W1014" s="311"/>
      <c r="X1014" s="306"/>
      <c r="Y1014" s="149"/>
      <c r="Z1014" s="164"/>
      <c r="AA1014" s="306"/>
      <c r="AB1014" s="20"/>
      <c r="AC1014" s="20"/>
      <c r="AD1014" s="20"/>
      <c r="AE1014" s="20"/>
    </row>
    <row r="1015">
      <c r="A1015" s="149"/>
      <c r="B1015" s="164"/>
      <c r="C1015" s="306"/>
      <c r="D1015" s="149"/>
      <c r="E1015" s="164"/>
      <c r="F1015" s="306"/>
      <c r="G1015" s="149"/>
      <c r="H1015" s="164"/>
      <c r="I1015" s="306"/>
      <c r="J1015" s="149"/>
      <c r="K1015" s="164"/>
      <c r="L1015" s="306"/>
      <c r="M1015" s="310"/>
      <c r="N1015" s="311"/>
      <c r="O1015" s="312"/>
      <c r="P1015" s="310"/>
      <c r="Q1015" s="311"/>
      <c r="R1015" s="312"/>
      <c r="S1015" s="310"/>
      <c r="T1015" s="311"/>
      <c r="U1015" s="312"/>
      <c r="V1015" s="149"/>
      <c r="W1015" s="311"/>
      <c r="X1015" s="306"/>
      <c r="Y1015" s="149"/>
      <c r="Z1015" s="164"/>
      <c r="AA1015" s="306"/>
      <c r="AB1015" s="20"/>
      <c r="AC1015" s="20"/>
      <c r="AD1015" s="20"/>
      <c r="AE1015" s="20"/>
    </row>
    <row r="1016">
      <c r="A1016" s="149"/>
      <c r="B1016" s="164"/>
      <c r="C1016" s="306"/>
      <c r="D1016" s="149"/>
      <c r="E1016" s="164"/>
      <c r="F1016" s="306"/>
      <c r="G1016" s="149"/>
      <c r="H1016" s="164"/>
      <c r="I1016" s="306"/>
      <c r="J1016" s="149"/>
      <c r="K1016" s="164"/>
      <c r="L1016" s="306"/>
      <c r="M1016" s="310"/>
      <c r="N1016" s="311"/>
      <c r="O1016" s="312"/>
      <c r="P1016" s="310"/>
      <c r="Q1016" s="311"/>
      <c r="R1016" s="312"/>
      <c r="S1016" s="310"/>
      <c r="T1016" s="311"/>
      <c r="U1016" s="312"/>
      <c r="V1016" s="149"/>
      <c r="W1016" s="311"/>
      <c r="X1016" s="306"/>
      <c r="Y1016" s="149"/>
      <c r="Z1016" s="164"/>
      <c r="AA1016" s="306"/>
      <c r="AB1016" s="20"/>
      <c r="AC1016" s="20"/>
      <c r="AD1016" s="20"/>
      <c r="AE1016" s="20"/>
    </row>
    <row r="1017">
      <c r="A1017" s="149"/>
      <c r="B1017" s="164"/>
      <c r="C1017" s="306"/>
      <c r="D1017" s="149"/>
      <c r="E1017" s="164"/>
      <c r="F1017" s="306"/>
      <c r="G1017" s="149"/>
      <c r="H1017" s="164"/>
      <c r="I1017" s="306"/>
      <c r="J1017" s="149"/>
      <c r="K1017" s="164"/>
      <c r="L1017" s="306"/>
      <c r="M1017" s="310"/>
      <c r="N1017" s="311"/>
      <c r="O1017" s="312"/>
      <c r="P1017" s="310"/>
      <c r="Q1017" s="311"/>
      <c r="R1017" s="312"/>
      <c r="S1017" s="310"/>
      <c r="T1017" s="311"/>
      <c r="U1017" s="312"/>
      <c r="V1017" s="149"/>
      <c r="W1017" s="311"/>
      <c r="X1017" s="306"/>
      <c r="Y1017" s="149"/>
      <c r="Z1017" s="164"/>
      <c r="AA1017" s="306"/>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65" t="s">
        <v>2115</v>
      </c>
      <c r="S1" s="62" t="s">
        <v>216</v>
      </c>
      <c r="U1" s="63"/>
      <c r="V1" s="63"/>
    </row>
    <row r="2" ht="55.5" customHeight="1">
      <c r="U2" s="63"/>
      <c r="V2" s="63"/>
    </row>
    <row r="3">
      <c r="A3" s="313" t="s">
        <v>5116</v>
      </c>
      <c r="B3" s="76" t="s">
        <v>5117</v>
      </c>
      <c r="C3" s="313" t="str">
        <f>IFERROR(__xludf.DUMMYFUNCTION("GOOGLETRANSLATE(A3,""zh-tw"",""ja"")"),"武器プロジェクト")</f>
        <v>武器プロジェクト</v>
      </c>
      <c r="D3" s="76" t="str">
        <f>IFERROR(__xludf.DUMMYFUNCTION("GOOGLETRANSLATE(B3,""zh-tw"",""ja"")"),"武器の属性")</f>
        <v>武器の属性</v>
      </c>
      <c r="E3" s="313" t="s">
        <v>5118</v>
      </c>
      <c r="F3" s="76" t="s">
        <v>5119</v>
      </c>
      <c r="G3" s="313" t="str">
        <f>IFERROR(__xludf.DUMMYFUNCTION("GOOGLETRANSLATE(A3,""zh-tw"",""zh"")"),"武器项目")</f>
        <v>武器项目</v>
      </c>
      <c r="H3" s="76" t="str">
        <f>IFERROR(__xludf.DUMMYFUNCTION("GOOGLETRANSLATE(B3,""zh-tw"",""zh"")"),"武器属性")</f>
        <v>武器属性</v>
      </c>
      <c r="I3" s="314" t="str">
        <f>IFERROR(__xludf.DUMMYFUNCTION("GOOGLETRANSLATE(A3,""zh-tw"",""es-MX"")"),"Proyecto de armas")</f>
        <v>Proyecto de armas</v>
      </c>
      <c r="J3" s="43" t="str">
        <f>IFERROR(__xludf.DUMMYFUNCTION("GOOGLETRANSLATE(B3,""zh-tw"",""es-MX"")"),"Atributos de armas")</f>
        <v>Atributos de armas</v>
      </c>
      <c r="K3" s="315" t="str">
        <f>IFERROR(__xludf.DUMMYFUNCTION("GOOGLETRANSLATE(A3,""zh-tw"",""KO"")"),"무기 프로젝트")</f>
        <v>무기 프로젝트</v>
      </c>
      <c r="L3" s="73" t="str">
        <f>IFERROR(__xludf.DUMMYFUNCTION("GOOGLETRANSLATE(B3,""zh-tw"",""KO"")"),"무기 속성")</f>
        <v>무기 속성</v>
      </c>
      <c r="M3" s="314" t="str">
        <f>IFERROR(__xludf.DUMMYFUNCTION("GOOGLETRANSLATE(A3,""zh-tw"",""ru"")"),"Проект «Оружие»")</f>
        <v>Проект «Оружие»</v>
      </c>
      <c r="N3" s="43" t="str">
        <f>IFERROR(__xludf.DUMMYFUNCTION("GOOGLETRANSLATE(B3,""zh-tw"",""ru"")"),"Атрибуты оружия")</f>
        <v>Атрибуты оружия</v>
      </c>
      <c r="O3" s="313" t="s">
        <v>5120</v>
      </c>
      <c r="P3" s="76" t="s">
        <v>5121</v>
      </c>
      <c r="Q3" s="316" t="s">
        <v>5122</v>
      </c>
      <c r="R3" s="317" t="s">
        <v>5123</v>
      </c>
      <c r="S3" s="315" t="s">
        <v>5124</v>
      </c>
      <c r="T3" s="73" t="s">
        <v>5125</v>
      </c>
      <c r="U3" s="73"/>
      <c r="V3" s="73"/>
    </row>
    <row r="4">
      <c r="A4" s="318" t="s">
        <v>5126</v>
      </c>
      <c r="B4" s="163" t="s">
        <v>5127</v>
      </c>
      <c r="C4" s="319" t="str">
        <f>IFERROR(__xludf.DUMMYFUNCTION("GOOGLETRANSLATE(A4,""zh-tw"",""ja"")"),"握りしめた拳")</f>
        <v>握りしめた拳</v>
      </c>
      <c r="D4" s="305" t="str">
        <f>IFERROR(__xludf.DUMMYFUNCTION("GOOGLETRANSLATE(B4,""zh-tw"",""ja"")"),"物理攻撃：2。最大HPに応じて攻撃力が上昇します。")</f>
        <v>物理攻撃：2。最大HPに応じて攻撃力が上昇します。</v>
      </c>
      <c r="E4" s="319" t="s">
        <v>5128</v>
      </c>
      <c r="F4" s="305" t="s">
        <v>5129</v>
      </c>
      <c r="G4" s="319" t="str">
        <f>IFERROR(__xludf.DUMMYFUNCTION("GOOGLETRANSLATE(A4,""zh-tw"",""zh"")"),"握紧的拳头")</f>
        <v>握紧的拳头</v>
      </c>
      <c r="H4" s="305" t="str">
        <f>IFERROR(__xludf.DUMMYFUNCTION("GOOGLETRANSLATE(B4,""zh-tw"",""zh"")"),"物攻：2
攻击依照最大体力增加")</f>
        <v>物攻：2
攻击依照最大体力增加</v>
      </c>
      <c r="I4" s="320" t="str">
        <f>IFERROR(__xludf.DUMMYFUNCTION("GOOGLETRANSLATE(A4,""zh-tw"",""es-MX"")"),"Puño cerrado")</f>
        <v>Puño cerrado</v>
      </c>
      <c r="J4" s="164" t="str">
        <f>IFERROR(__xludf.DUMMYFUNCTION("GOOGLETRANSLATE(B4,""zh-tw"",""es-MX"")"),"Ataque físico: 2. El ataque aumenta según el HP máximo.")</f>
        <v>Ataque físico: 2. El ataque aumenta según el HP máximo.</v>
      </c>
      <c r="K4" s="318" t="s">
        <v>5130</v>
      </c>
      <c r="L4" s="163" t="s">
        <v>5131</v>
      </c>
      <c r="M4" s="321" t="str">
        <f>IFERROR(__xludf.DUMMYFUNCTION("GOOGLETRANSLATE(A4,""zh-tw"",""ru"")"),"Сжатый кулак")</f>
        <v>Сжатый кулак</v>
      </c>
      <c r="N4" s="303"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19" t="s">
        <v>5132</v>
      </c>
      <c r="P4" s="305" t="s">
        <v>5133</v>
      </c>
      <c r="Q4" s="322" t="s">
        <v>5134</v>
      </c>
      <c r="R4" s="323" t="s">
        <v>5135</v>
      </c>
      <c r="S4" s="320" t="s">
        <v>5136</v>
      </c>
      <c r="T4" s="164" t="s">
        <v>5137</v>
      </c>
      <c r="U4" s="164"/>
      <c r="V4" s="164"/>
    </row>
    <row r="5">
      <c r="A5" s="319" t="s">
        <v>5138</v>
      </c>
      <c r="B5" s="305" t="s">
        <v>5139</v>
      </c>
      <c r="C5" s="319" t="s">
        <v>5140</v>
      </c>
      <c r="D5" s="305" t="str">
        <f>IFERROR(__xludf.DUMMYFUNCTION("GOOGLETRANSLATE(B5,""zh-tw"",""ja"")"),"物理攻撃力: 15")</f>
        <v>物理攻撃力: 15</v>
      </c>
      <c r="E5" s="319" t="s">
        <v>5141</v>
      </c>
      <c r="F5" s="305" t="s">
        <v>5142</v>
      </c>
      <c r="G5" s="319" t="str">
        <f>IFERROR(__xludf.DUMMYFUNCTION("GOOGLETRANSLATE(A5,""zh-tw"",""zh"")"),"硬木剑")</f>
        <v>硬木剑</v>
      </c>
      <c r="H5" s="305" t="str">
        <f>IFERROR(__xludf.DUMMYFUNCTION("GOOGLETRANSLATE(B5,""zh-tw"",""zh"")"),"物攻：15")</f>
        <v>物攻：15</v>
      </c>
      <c r="I5" s="320" t="str">
        <f>IFERROR(__xludf.DUMMYFUNCTION("GOOGLETRANSLATE(A5,""zh-tw"",""es-MX"")"),"Espada de madera dura")</f>
        <v>Espada de madera dura</v>
      </c>
      <c r="J5" s="164" t="str">
        <f>IFERROR(__xludf.DUMMYFUNCTION("GOOGLETRANSLATE(B5,""zh-tw"",""es-MX"")"),"Ataque físico: 15")</f>
        <v>Ataque físico: 15</v>
      </c>
      <c r="K5" s="319" t="s">
        <v>5143</v>
      </c>
      <c r="L5" s="163" t="s">
        <v>5144</v>
      </c>
      <c r="M5" s="321" t="str">
        <f>IFERROR(__xludf.DUMMYFUNCTION("GOOGLETRANSLATE(A5,""zh-tw"",""ru"")"),"Меч из твердой древесины")</f>
        <v>Меч из твердой древесины</v>
      </c>
      <c r="N5" s="303" t="str">
        <f>IFERROR(__xludf.DUMMYFUNCTION("GOOGLETRANSLATE(B5,""zh-tw"",""ru"")"),"Физическая атака: 15")</f>
        <v>Физическая атака: 15</v>
      </c>
      <c r="O5" s="319" t="s">
        <v>5145</v>
      </c>
      <c r="P5" s="305" t="s">
        <v>5146</v>
      </c>
      <c r="Q5" s="322" t="s">
        <v>5147</v>
      </c>
      <c r="R5" s="323" t="s">
        <v>5148</v>
      </c>
      <c r="S5" s="320" t="s">
        <v>5149</v>
      </c>
      <c r="T5" s="164" t="s">
        <v>5150</v>
      </c>
      <c r="U5" s="164"/>
      <c r="V5" s="164"/>
    </row>
    <row r="6">
      <c r="A6" s="319" t="s">
        <v>5151</v>
      </c>
      <c r="B6" s="305" t="s">
        <v>5152</v>
      </c>
      <c r="C6" s="319" t="s">
        <v>5153</v>
      </c>
      <c r="D6" s="305" t="str">
        <f>IFERROR(__xludf.DUMMYFUNCTION("GOOGLETRANSLATE(B6,""zh-tw"",""ja"")"),"物理攻撃力: 14")</f>
        <v>物理攻撃力: 14</v>
      </c>
      <c r="E6" s="319" t="s">
        <v>5154</v>
      </c>
      <c r="F6" s="305" t="s">
        <v>5155</v>
      </c>
      <c r="G6" s="319" t="str">
        <f>IFERROR(__xludf.DUMMYFUNCTION("GOOGLETRANSLATE(A6,""zh-tw"",""zh"")"),"硬木棒")</f>
        <v>硬木棒</v>
      </c>
      <c r="H6" s="305" t="str">
        <f>IFERROR(__xludf.DUMMYFUNCTION("GOOGLETRANSLATE(B6,""zh-tw"",""zh"")"),"物攻：14")</f>
        <v>物攻：14</v>
      </c>
      <c r="I6" s="320" t="str">
        <f>IFERROR(__xludf.DUMMYFUNCTION("GOOGLETRANSLATE(A6,""zh-tw"",""es-MX"")"),"palo de madera dura")</f>
        <v>palo de madera dura</v>
      </c>
      <c r="J6" s="164" t="str">
        <f>IFERROR(__xludf.DUMMYFUNCTION("GOOGLETRANSLATE(B6,""zh-tw"",""es-MX"")"),"Ataque físico: 14")</f>
        <v>Ataque físico: 14</v>
      </c>
      <c r="K6" s="320" t="str">
        <f>IFERROR(__xludf.DUMMYFUNCTION("GOOGLETRANSLATE(A6,""zh-tw"",""KO"")"),"단단한 나무 막대기")</f>
        <v>단단한 나무 막대기</v>
      </c>
      <c r="L6" s="163" t="s">
        <v>5156</v>
      </c>
      <c r="M6" s="321" t="str">
        <f>IFERROR(__xludf.DUMMYFUNCTION("GOOGLETRANSLATE(A6,""zh-tw"",""ru"")"),"палка из твердой древесины")</f>
        <v>палка из твердой древесины</v>
      </c>
      <c r="N6" s="303" t="str">
        <f>IFERROR(__xludf.DUMMYFUNCTION("GOOGLETRANSLATE(B6,""zh-tw"",""ru"")"),"Физическая атака: 14")</f>
        <v>Физическая атака: 14</v>
      </c>
      <c r="O6" s="319" t="s">
        <v>5157</v>
      </c>
      <c r="P6" s="305" t="s">
        <v>5158</v>
      </c>
      <c r="Q6" s="322" t="s">
        <v>5159</v>
      </c>
      <c r="R6" s="323" t="s">
        <v>5160</v>
      </c>
      <c r="S6" s="320" t="s">
        <v>5161</v>
      </c>
      <c r="T6" s="164" t="s">
        <v>5162</v>
      </c>
      <c r="U6" s="164"/>
      <c r="V6" s="164"/>
    </row>
    <row r="7">
      <c r="A7" s="319" t="s">
        <v>5163</v>
      </c>
      <c r="B7" s="305" t="s">
        <v>5164</v>
      </c>
      <c r="C7" s="319" t="str">
        <f>IFERROR(__xludf.DUMMYFUNCTION("GOOGLETRANSLATE(A7,""zh-tw"",""ja"")"),"伐採斧")</f>
        <v>伐採斧</v>
      </c>
      <c r="D7" s="305" t="str">
        <f>IFERROR(__xludf.DUMMYFUNCTION("GOOGLETRANSLATE(B7,""zh-tw"",""ja"")"),"物理攻撃力: 24")</f>
        <v>物理攻撃力: 24</v>
      </c>
      <c r="E7" s="319" t="s">
        <v>5165</v>
      </c>
      <c r="F7" s="305" t="s">
        <v>5166</v>
      </c>
      <c r="G7" s="319" t="str">
        <f>IFERROR(__xludf.DUMMYFUNCTION("GOOGLETRANSLATE(A7,""zh-tw"",""zh"")"),"伐木斧")</f>
        <v>伐木斧</v>
      </c>
      <c r="H7" s="305" t="str">
        <f>IFERROR(__xludf.DUMMYFUNCTION("GOOGLETRANSLATE(B7,""zh-tw"",""zh"")"),"物攻：24")</f>
        <v>物攻：24</v>
      </c>
      <c r="I7" s="320" t="str">
        <f>IFERROR(__xludf.DUMMYFUNCTION("GOOGLETRANSLATE(A7,""zh-tw"",""es-MX"")"),"hacha de tala")</f>
        <v>hacha de tala</v>
      </c>
      <c r="J7" s="164" t="str">
        <f>IFERROR(__xludf.DUMMYFUNCTION("GOOGLETRANSLATE(B7,""zh-tw"",""es-MX"")"),"Ataque físico: 24")</f>
        <v>Ataque físico: 24</v>
      </c>
      <c r="K7" s="318" t="s">
        <v>5167</v>
      </c>
      <c r="L7" s="163" t="s">
        <v>5168</v>
      </c>
      <c r="M7" s="321" t="str">
        <f>IFERROR(__xludf.DUMMYFUNCTION("GOOGLETRANSLATE(A7,""zh-tw"",""ru"")"),"топор для рубки леса")</f>
        <v>топор для рубки леса</v>
      </c>
      <c r="N7" s="303" t="str">
        <f>IFERROR(__xludf.DUMMYFUNCTION("GOOGLETRANSLATE(B7,""zh-tw"",""ru"")"),"Физическая атака: 24")</f>
        <v>Физическая атака: 24</v>
      </c>
      <c r="O7" s="319" t="s">
        <v>5169</v>
      </c>
      <c r="P7" s="305" t="s">
        <v>5170</v>
      </c>
      <c r="Q7" s="322" t="s">
        <v>5171</v>
      </c>
      <c r="R7" s="323" t="s">
        <v>5172</v>
      </c>
      <c r="S7" s="320" t="s">
        <v>5173</v>
      </c>
      <c r="T7" s="164" t="s">
        <v>5174</v>
      </c>
      <c r="U7" s="164"/>
      <c r="V7" s="164"/>
    </row>
    <row r="8">
      <c r="A8" s="319" t="s">
        <v>5175</v>
      </c>
      <c r="B8" s="305" t="s">
        <v>5176</v>
      </c>
      <c r="C8" s="319" t="str">
        <f>IFERROR(__xludf.DUMMYFUNCTION("GOOGLETRANSLATE(A8,""zh-tw"",""ja"")"),"騎士の剣")</f>
        <v>騎士の剣</v>
      </c>
      <c r="D8" s="305" t="str">
        <f>IFERROR(__xludf.DUMMYFUNCTION("GOOGLETRANSLATE(B8,""zh-tw"",""ja"")"),"物理攻撃力：30（条件を満たすと2倍）")</f>
        <v>物理攻撃力：30（条件を満たすと2倍）</v>
      </c>
      <c r="E8" s="319" t="s">
        <v>4636</v>
      </c>
      <c r="F8" s="305" t="s">
        <v>5177</v>
      </c>
      <c r="G8" s="319" t="str">
        <f>IFERROR(__xludf.DUMMYFUNCTION("GOOGLETRANSLATE(A8,""zh-tw"",""zh"")"),"骑士之剑")</f>
        <v>骑士之剑</v>
      </c>
      <c r="H8" s="305" t="str">
        <f>IFERROR(__xludf.DUMMYFUNCTION("GOOGLETRANSLATE(B8,""zh-tw"",""zh"")"),"物攻：30
满足条件后翻倍")</f>
        <v>物攻：30
满足条件后翻倍</v>
      </c>
      <c r="I8" s="320"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63" t="s">
        <v>5178</v>
      </c>
      <c r="M8" s="321" t="str">
        <f>IFERROR(__xludf.DUMMYFUNCTION("GOOGLETRANSLATE(A8,""zh-tw"",""ru"")"),"Рыцарский меч")</f>
        <v>Рыцарский меч</v>
      </c>
      <c r="N8" s="30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9" t="s">
        <v>4640</v>
      </c>
      <c r="P8" s="305" t="s">
        <v>5179</v>
      </c>
      <c r="Q8" s="322" t="s">
        <v>5180</v>
      </c>
      <c r="R8" s="323" t="s">
        <v>5181</v>
      </c>
      <c r="S8" s="320" t="s">
        <v>4645</v>
      </c>
      <c r="T8" s="164" t="s">
        <v>5182</v>
      </c>
      <c r="U8" s="164"/>
      <c r="V8" s="164"/>
    </row>
    <row r="9">
      <c r="A9" s="319" t="s">
        <v>5183</v>
      </c>
      <c r="B9" s="305" t="s">
        <v>5184</v>
      </c>
      <c r="C9" s="319" t="s">
        <v>5185</v>
      </c>
      <c r="D9" s="305" t="str">
        <f>IFERROR(__xludf.DUMMYFUNCTION("GOOGLETRANSLATE(B9,""zh-tw"",""ja"")"),"物理攻撃力: 42")</f>
        <v>物理攻撃力: 42</v>
      </c>
      <c r="E9" s="319" t="s">
        <v>5186</v>
      </c>
      <c r="F9" s="305" t="s">
        <v>5187</v>
      </c>
      <c r="G9" s="319" t="str">
        <f>IFERROR(__xludf.DUMMYFUNCTION("GOOGLETRANSLATE(A9,""zh-tw"",""zh"")"),"兽人的骨釜")</f>
        <v>兽人的骨釜</v>
      </c>
      <c r="H9" s="305" t="str">
        <f>IFERROR(__xludf.DUMMYFUNCTION("GOOGLETRANSLATE(B9,""zh-tw"",""zh"")"),"物攻：42")</f>
        <v>物攻：42</v>
      </c>
      <c r="I9" s="320" t="str">
        <f>IFERROR(__xludf.DUMMYFUNCTION("GOOGLETRANSLATE(A9,""zh-tw"",""es-MX"")"),"Caldero de huesos de orco")</f>
        <v>Caldero de huesos de orco</v>
      </c>
      <c r="J9" s="164" t="str">
        <f>IFERROR(__xludf.DUMMYFUNCTION("GOOGLETRANSLATE(B9,""zh-tw"",""es-MX"")"),"Ataque físico: 42")</f>
        <v>Ataque físico: 42</v>
      </c>
      <c r="K9" s="319" t="s">
        <v>5188</v>
      </c>
      <c r="L9" s="163" t="s">
        <v>5189</v>
      </c>
      <c r="M9" s="321" t="str">
        <f>IFERROR(__xludf.DUMMYFUNCTION("GOOGLETRANSLATE(A9,""zh-tw"",""ru"")"),"Орочий костяной котел")</f>
        <v>Орочий костяной котел</v>
      </c>
      <c r="N9" s="303" t="str">
        <f>IFERROR(__xludf.DUMMYFUNCTION("GOOGLETRANSLATE(B9,""zh-tw"",""ru"")"),"Физическая атака: 42")</f>
        <v>Физическая атака: 42</v>
      </c>
      <c r="O9" s="319" t="s">
        <v>5190</v>
      </c>
      <c r="P9" s="305" t="s">
        <v>5191</v>
      </c>
      <c r="Q9" s="322" t="s">
        <v>5192</v>
      </c>
      <c r="R9" s="323" t="s">
        <v>5193</v>
      </c>
      <c r="S9" s="320" t="s">
        <v>5194</v>
      </c>
      <c r="T9" s="164" t="s">
        <v>5195</v>
      </c>
      <c r="U9" s="164"/>
      <c r="V9" s="164"/>
    </row>
    <row r="10">
      <c r="A10" s="320" t="s">
        <v>5196</v>
      </c>
      <c r="B10" s="164" t="s">
        <v>5197</v>
      </c>
      <c r="C10" s="320" t="s">
        <v>5198</v>
      </c>
      <c r="D10" s="41" t="s">
        <v>5199</v>
      </c>
      <c r="E10" s="324" t="s">
        <v>5200</v>
      </c>
      <c r="F10" s="41" t="s">
        <v>5201</v>
      </c>
      <c r="G10" s="319" t="str">
        <f>IFERROR(__xludf.DUMMYFUNCTION("GOOGLETRANSLATE(A10,""zh-tw"",""zh"")"),"怪鸟的羽毛")</f>
        <v>怪鸟的羽毛</v>
      </c>
      <c r="H10" s="305" t="str">
        <f>IFERROR(__xludf.DUMMYFUNCTION("GOOGLETRANSLATE(B10,""zh-tw"",""zh"")"),"物攻：18
旋风斩提升移速
旋风斩进入漂浮状态")</f>
        <v>物攻：18
旋风斩提升移速
旋风斩进入漂浮状态</v>
      </c>
      <c r="I10" s="320" t="str">
        <f>IFERROR(__xludf.DUMMYFUNCTION("GOOGLETRANSLATE(A10,""zh-tw"",""es-MX"")"),"Las plumas del extraño pájaro")</f>
        <v>Las plumas del extraño pájaro</v>
      </c>
      <c r="J10" s="16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1" t="str">
        <f>IFERROR(__xludf.DUMMYFUNCTION("GOOGLETRANSLATE(A10,""zh-tw"",""ru"")"),"Перья странной птицы")</f>
        <v>Перья странной птицы</v>
      </c>
      <c r="N10" s="30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4" t="s">
        <v>5202</v>
      </c>
      <c r="P10" s="41" t="s">
        <v>5203</v>
      </c>
      <c r="Q10" s="322" t="s">
        <v>5204</v>
      </c>
      <c r="R10" s="323" t="s">
        <v>5205</v>
      </c>
      <c r="S10" s="320" t="s">
        <v>5206</v>
      </c>
      <c r="T10" s="164" t="s">
        <v>5207</v>
      </c>
      <c r="U10" s="164"/>
      <c r="V10" s="164"/>
    </row>
    <row r="11">
      <c r="A11" s="319" t="s">
        <v>5208</v>
      </c>
      <c r="B11" s="305" t="s">
        <v>5209</v>
      </c>
      <c r="C11" s="319" t="s">
        <v>5210</v>
      </c>
      <c r="D11" s="305" t="str">
        <f>IFERROR(__xludf.DUMMYFUNCTION("GOOGLETRANSLATE(B11,""zh-tw"",""ja"")"),"物理攻撃: 20 飛び道具を反射する")</f>
        <v>物理攻撃: 20 飛び道具を反射する</v>
      </c>
      <c r="E11" s="319" t="s">
        <v>5211</v>
      </c>
      <c r="F11" s="305" t="s">
        <v>5212</v>
      </c>
      <c r="G11" s="319" t="str">
        <f>IFERROR(__xludf.DUMMYFUNCTION("GOOGLETRANSLATE(A11,""zh-tw"",""zh"")"),"棒球棍")</f>
        <v>棒球棍</v>
      </c>
      <c r="H11" s="305" t="str">
        <f>IFERROR(__xludf.DUMMYFUNCTION("GOOGLETRANSLATE(B11,""zh-tw"",""zh"")"),"物攻：20
反弹抛射物")</f>
        <v>物攻：20
反弹抛射物</v>
      </c>
      <c r="I11" s="320" t="str">
        <f>IFERROR(__xludf.DUMMYFUNCTION("GOOGLETRANSLATE(A11,""zh-tw"",""es-MX"")"),"bate de béisbol")</f>
        <v>bate de béisbol</v>
      </c>
      <c r="J11" s="164" t="str">
        <f>IFERROR(__xludf.DUMMYFUNCTION("GOOGLETRANSLATE(B11,""zh-tw"",""es-MX"")"),"Ataque físico: 20 Refleja proyectiles")</f>
        <v>Ataque físico: 20 Refleja proyectiles</v>
      </c>
      <c r="K11" s="318" t="s">
        <v>5213</v>
      </c>
      <c r="L11" s="163" t="s">
        <v>5214</v>
      </c>
      <c r="M11" s="321" t="str">
        <f>IFERROR(__xludf.DUMMYFUNCTION("GOOGLETRANSLATE(A11,""zh-tw"",""ru"")"),"бейсбольная бита")</f>
        <v>бейсбольная бита</v>
      </c>
      <c r="N11" s="303" t="str">
        <f>IFERROR(__xludf.DUMMYFUNCTION("GOOGLETRANSLATE(B11,""zh-tw"",""ru"")"),"Физическая атака: 20 отражает снаряды")</f>
        <v>Физическая атака: 20 отражает снаряды</v>
      </c>
      <c r="O11" s="319" t="s">
        <v>5215</v>
      </c>
      <c r="P11" s="305" t="s">
        <v>5216</v>
      </c>
      <c r="Q11" s="322" t="s">
        <v>5217</v>
      </c>
      <c r="R11" s="323" t="s">
        <v>5218</v>
      </c>
      <c r="S11" s="320" t="s">
        <v>5219</v>
      </c>
      <c r="T11" s="164" t="s">
        <v>5220</v>
      </c>
      <c r="U11" s="164"/>
      <c r="V11" s="164"/>
    </row>
    <row r="12">
      <c r="A12" s="319" t="s">
        <v>5221</v>
      </c>
      <c r="B12" s="305" t="s">
        <v>5222</v>
      </c>
      <c r="C12" s="319" t="s">
        <v>5223</v>
      </c>
      <c r="D12" s="305" t="str">
        <f>IFERROR(__xludf.DUMMYFUNCTION("GOOGLETRANSLATE(B12,""zh-tw"",""ja"")"),"物理攻撃力: 14 悪臭を放つ")</f>
        <v>物理攻撃力: 14 悪臭を放つ</v>
      </c>
      <c r="E12" s="319" t="s">
        <v>5224</v>
      </c>
      <c r="F12" s="305" t="s">
        <v>5225</v>
      </c>
      <c r="G12" s="319" t="str">
        <f>IFERROR(__xludf.DUMMYFUNCTION("GOOGLETRANSLATE(A12,""zh-tw"",""zh"")"),"臭鱼骨")</f>
        <v>臭鱼骨</v>
      </c>
      <c r="H12" s="305" t="str">
        <f>IFERROR(__xludf.DUMMYFUNCTION("GOOGLETRANSLATE(B12,""zh-tw"",""zh"")"),"物攻：14
散发恶臭")</f>
        <v>物攻：14
散发恶臭</v>
      </c>
      <c r="I12" s="320" t="str">
        <f>IFERROR(__xludf.DUMMYFUNCTION("GOOGLETRANSLATE(A12,""zh-tw"",""es-MX"")"),"Huesos de pescado apestosos")</f>
        <v>Huesos de pescado apestosos</v>
      </c>
      <c r="J12" s="164"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63" t="s">
        <v>5226</v>
      </c>
      <c r="M12" s="321" t="str">
        <f>IFERROR(__xludf.DUMMYFUNCTION("GOOGLETRANSLATE(A12,""zh-tw"",""ru"")"),"Вонючие рыбьи кости")</f>
        <v>Вонючие рыбьи кости</v>
      </c>
      <c r="N12" s="303" t="str">
        <f>IFERROR(__xludf.DUMMYFUNCTION("GOOGLETRANSLATE(B12,""zh-tw"",""ru"")"),"Физическая атака: 14. Издает неприятный запах.")</f>
        <v>Физическая атака: 14. Издает неприятный запах.</v>
      </c>
      <c r="O12" s="319" t="s">
        <v>5227</v>
      </c>
      <c r="P12" s="305" t="s">
        <v>5228</v>
      </c>
      <c r="Q12" s="322" t="s">
        <v>5229</v>
      </c>
      <c r="R12" s="323" t="s">
        <v>5230</v>
      </c>
      <c r="S12" s="320" t="s">
        <v>5231</v>
      </c>
      <c r="T12" s="164" t="s">
        <v>5232</v>
      </c>
      <c r="U12" s="164"/>
      <c r="V12" s="164"/>
    </row>
    <row r="13">
      <c r="A13" s="319" t="s">
        <v>5233</v>
      </c>
      <c r="B13" s="305" t="s">
        <v>5234</v>
      </c>
      <c r="C13" s="319" t="s">
        <v>5233</v>
      </c>
      <c r="D13" s="305" t="str">
        <f>IFERROR(__xludf.DUMMYFUNCTION("GOOGLETRANSLATE(B13,""zh-tw"",""ja"")"),"物理攻撃力：24
魔法攻撃力：16
火属性")</f>
        <v>物理攻撃力：24
魔法攻撃力：16
火属性</v>
      </c>
      <c r="E13" s="319" t="s">
        <v>5235</v>
      </c>
      <c r="F13" s="305" t="s">
        <v>5236</v>
      </c>
      <c r="G13" s="319" t="str">
        <f>IFERROR(__xludf.DUMMYFUNCTION("GOOGLETRANSLATE(A13,""zh-tw"",""zh"")"),"阳炎")</f>
        <v>阳炎</v>
      </c>
      <c r="H13" s="305" t="str">
        <f>IFERROR(__xludf.DUMMYFUNCTION("GOOGLETRANSLATE(B13,""zh-tw"",""zh"")"),"物攻：24
魔攻：16
炎属性")</f>
        <v>物攻：24
魔攻：16
炎属性</v>
      </c>
      <c r="I13" s="320" t="str">
        <f>IFERROR(__xludf.DUMMYFUNCTION("GOOGLETRANSLATE(A13,""zh-tw"",""es-MX"")"),"kagerou")</f>
        <v>kagerou</v>
      </c>
      <c r="J13" s="164" t="str">
        <f>IFERROR(__xludf.DUMMYFUNCTION("GOOGLETRANSLATE(B13,""zh-tw"",""es-MX"")"),"Ataque físico: 24
Ataque mágico: 16
Atributo de fuego")</f>
        <v>Ataque físico: 24
Ataque mágico: 16
Atributo de fuego</v>
      </c>
      <c r="K13" s="319" t="s">
        <v>5237</v>
      </c>
      <c r="L13" s="163" t="s">
        <v>5238</v>
      </c>
      <c r="M13" s="321" t="str">
        <f>IFERROR(__xludf.DUMMYFUNCTION("GOOGLETRANSLATE(A13,""zh-tw"",""ru"")"),"Кагеро")</f>
        <v>Кагеро</v>
      </c>
      <c r="N13" s="303" t="str">
        <f>IFERROR(__xludf.DUMMYFUNCTION("GOOGLETRANSLATE(B13,""zh-tw"",""ru"")"),"Физическая атака: 24
Магическая атака: 16
Атрибут огня")</f>
        <v>Физическая атака: 24
Магическая атака: 16
Атрибут огня</v>
      </c>
      <c r="O13" s="319" t="s">
        <v>5239</v>
      </c>
      <c r="P13" s="305" t="s">
        <v>5240</v>
      </c>
      <c r="Q13" s="322" t="s">
        <v>5241</v>
      </c>
      <c r="R13" s="309" t="s">
        <v>5242</v>
      </c>
      <c r="S13" s="320" t="s">
        <v>5243</v>
      </c>
      <c r="T13" s="164" t="s">
        <v>5244</v>
      </c>
      <c r="U13" s="164"/>
      <c r="V13" s="164"/>
    </row>
    <row r="14">
      <c r="A14" s="319" t="s">
        <v>5245</v>
      </c>
      <c r="B14" s="305" t="s">
        <v>5246</v>
      </c>
      <c r="C14" s="319" t="s">
        <v>5245</v>
      </c>
      <c r="D14" s="305" t="str">
        <f>IFERROR(__xludf.DUMMYFUNCTION("GOOGLETRANSLATE(B14,""zh-tw"",""ja"")"),"物理攻撃力：20
魔法攻撃力：14
氷属性")</f>
        <v>物理攻撃力：20
魔法攻撃力：14
氷属性</v>
      </c>
      <c r="E14" s="319" t="s">
        <v>5247</v>
      </c>
      <c r="F14" s="305" t="s">
        <v>5248</v>
      </c>
      <c r="G14" s="319" t="str">
        <f>IFERROR(__xludf.DUMMYFUNCTION("GOOGLETRANSLATE(A14,""zh-tw"",""zh"")"),"霜月")</f>
        <v>霜月</v>
      </c>
      <c r="H14" s="305" t="str">
        <f>IFERROR(__xludf.DUMMYFUNCTION("GOOGLETRANSLATE(B14,""zh-tw"",""zh"")"),"物攻：20
魔攻：14
冰属性")</f>
        <v>物攻：20
魔攻：14
冰属性</v>
      </c>
      <c r="I14" s="320" t="str">
        <f>IFERROR(__xludf.DUMMYFUNCTION("GOOGLETRANSLATE(A14,""zh-tw"",""es-MX"")"),"luna helada")</f>
        <v>luna helada</v>
      </c>
      <c r="J14" s="164" t="str">
        <f>IFERROR(__xludf.DUMMYFUNCTION("GOOGLETRANSLATE(B14,""zh-tw"",""es-MX"")"),"Ataque físico: 20
Ataque mágico: 14
Atributo hielo")</f>
        <v>Ataque físico: 20
Ataque mágico: 14
Atributo hielo</v>
      </c>
      <c r="K14" s="318" t="s">
        <v>5249</v>
      </c>
      <c r="L14" s="163" t="s">
        <v>5250</v>
      </c>
      <c r="M14" s="321" t="str">
        <f>IFERROR(__xludf.DUMMYFUNCTION("GOOGLETRANSLATE(A14,""zh-tw"",""ru"")"),"морозная луна")</f>
        <v>морозная луна</v>
      </c>
      <c r="N14" s="303" t="str">
        <f>IFERROR(__xludf.DUMMYFUNCTION("GOOGLETRANSLATE(B14,""zh-tw"",""ru"")"),"Физическая атака: 20
Магическая атака: 14
Атрибут льда")</f>
        <v>Физическая атака: 20
Магическая атака: 14
Атрибут льда</v>
      </c>
      <c r="O14" s="319" t="s">
        <v>5251</v>
      </c>
      <c r="P14" s="305" t="s">
        <v>5252</v>
      </c>
      <c r="Q14" s="325" t="s">
        <v>5253</v>
      </c>
      <c r="R14" s="323" t="s">
        <v>5254</v>
      </c>
      <c r="S14" s="320" t="s">
        <v>5255</v>
      </c>
      <c r="T14" s="164" t="s">
        <v>5256</v>
      </c>
      <c r="U14" s="164"/>
      <c r="V14" s="164"/>
    </row>
    <row r="15">
      <c r="A15" s="319" t="s">
        <v>5257</v>
      </c>
      <c r="B15" s="305" t="s">
        <v>5258</v>
      </c>
      <c r="C15" s="319" t="s">
        <v>5259</v>
      </c>
      <c r="D15" s="305" t="str">
        <f>IFERROR(__xludf.DUMMYFUNCTION("GOOGLETRANSLATE(B15,""zh-tw"",""ja"")"),"物理攻撃力：28
魔法攻撃力：12
電撃属性")</f>
        <v>物理攻撃力：28
魔法攻撃力：12
電撃属性</v>
      </c>
      <c r="E15" s="319" t="s">
        <v>5260</v>
      </c>
      <c r="F15" s="305" t="s">
        <v>5261</v>
      </c>
      <c r="G15" s="319" t="str">
        <f>IFERROR(__xludf.DUMMYFUNCTION("GOOGLETRANSLATE(A15,""zh-tw"",""zh"")"),"会漏电的不良品")</f>
        <v>会漏电的不良品</v>
      </c>
      <c r="H15" s="305" t="str">
        <f>IFERROR(__xludf.DUMMYFUNCTION("GOOGLETRANSLATE(B15,""zh-tw"",""zh"")"),"物攻：28
魔攻：12
电属性")</f>
        <v>物攻：28
魔攻：12
电属性</v>
      </c>
      <c r="I15" s="320" t="str">
        <f>IFERROR(__xludf.DUMMYFUNCTION("GOOGLETRANSLATE(A15,""zh-tw"",""es-MX"")"),"Productos defectuosos que pueden tener fugas de electricidad")</f>
        <v>Productos defectuosos que pueden tener fugas de electricidad</v>
      </c>
      <c r="J15" s="164" t="str">
        <f>IFERROR(__xludf.DUMMYFUNCTION("GOOGLETRANSLATE(B15,""zh-tw"",""es-MX"")"),"Ataque físico: 28
Ataque mágico: 12
Atributo eléctrico")</f>
        <v>Ataque físico: 28
Ataque mágico: 12
Atributo eléctrico</v>
      </c>
      <c r="K15" s="318" t="s">
        <v>5262</v>
      </c>
      <c r="L15" s="164" t="str">
        <f>IFERROR(__xludf.DUMMYFUNCTION("GOOGLETRANSLATE(B15,""zh-tw"",""KO"")"),"물리 공격력: 28
마법 공격력: 12
전기 속성")</f>
        <v>물리 공격력: 28
마법 공격력: 12
전기 속성</v>
      </c>
      <c r="M15" s="321"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3"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9" t="s">
        <v>5263</v>
      </c>
      <c r="P15" s="305" t="s">
        <v>5264</v>
      </c>
      <c r="Q15" s="322" t="s">
        <v>5265</v>
      </c>
      <c r="R15" s="309" t="s">
        <v>5266</v>
      </c>
      <c r="S15" s="320" t="s">
        <v>5267</v>
      </c>
      <c r="T15" s="164" t="s">
        <v>5268</v>
      </c>
      <c r="U15" s="164"/>
      <c r="V15" s="164"/>
    </row>
    <row r="16">
      <c r="A16" s="319" t="s">
        <v>5269</v>
      </c>
      <c r="B16" s="305" t="s">
        <v>5270</v>
      </c>
      <c r="C16" s="319" t="s">
        <v>5271</v>
      </c>
      <c r="D16" s="305" t="str">
        <f>IFERROR(__xludf.DUMMYFUNCTION("GOOGLETRANSLATE(B16,""zh-tw"",""ja"")"),"物理攻撃：毒属性14")</f>
        <v>物理攻撃：毒属性14</v>
      </c>
      <c r="E16" s="319" t="s">
        <v>5272</v>
      </c>
      <c r="F16" s="305" t="s">
        <v>5273</v>
      </c>
      <c r="G16" s="319" t="str">
        <f>IFERROR(__xludf.DUMMYFUNCTION("GOOGLETRANSLATE(A16,""zh-tw"",""zh"")"),"毒孢针")</f>
        <v>毒孢针</v>
      </c>
      <c r="H16" s="305" t="str">
        <f>IFERROR(__xludf.DUMMYFUNCTION("GOOGLETRANSLATE(B16,""zh-tw"",""zh"")"),"物攻：14
毒属性")</f>
        <v>物攻：14
毒属性</v>
      </c>
      <c r="I16" s="320" t="str">
        <f>IFERROR(__xludf.DUMMYFUNCTION("GOOGLETRANSLATE(A16,""zh-tw"",""es-MX"")"),"Aguja de esporas venenosas")</f>
        <v>Aguja de esporas venenosas</v>
      </c>
      <c r="J16" s="164" t="str">
        <f>IFERROR(__xludf.DUMMYFUNCTION("GOOGLETRANSLATE(B16,""zh-tw"",""es-MX"")"),"Ataque físico: 14 Atributo Veneno")</f>
        <v>Ataque físico: 14 Atributo Veneno</v>
      </c>
      <c r="K16" s="318" t="s">
        <v>5274</v>
      </c>
      <c r="L16" s="164" t="str">
        <f>IFERROR(__xludf.DUMMYFUNCTION("GOOGLETRANSLATE(B16,""zh-tw"",""KO"")"),"물리 공격력: 14 독 속성")</f>
        <v>물리 공격력: 14 독 속성</v>
      </c>
      <c r="M16" s="321" t="str">
        <f>IFERROR(__xludf.DUMMYFUNCTION("GOOGLETRANSLATE(A16,""zh-tw"",""ru"")"),"Ядовитая споровая игла")</f>
        <v>Ядовитая споровая игла</v>
      </c>
      <c r="N16" s="303" t="str">
        <f>IFERROR(__xludf.DUMMYFUNCTION("GOOGLETRANSLATE(B16,""zh-tw"",""ru"")"),"Физическая атака: 14 Атрибут Яда")</f>
        <v>Физическая атака: 14 Атрибут Яда</v>
      </c>
      <c r="O16" s="319" t="s">
        <v>5275</v>
      </c>
      <c r="P16" s="305" t="s">
        <v>5276</v>
      </c>
      <c r="Q16" s="322" t="s">
        <v>5277</v>
      </c>
      <c r="R16" s="323" t="s">
        <v>5278</v>
      </c>
      <c r="S16" s="320" t="s">
        <v>5279</v>
      </c>
      <c r="T16" s="164" t="s">
        <v>5280</v>
      </c>
      <c r="U16" s="164"/>
      <c r="V16" s="164"/>
    </row>
    <row r="17">
      <c r="A17" s="319" t="s">
        <v>5281</v>
      </c>
      <c r="B17" s="305" t="s">
        <v>5282</v>
      </c>
      <c r="C17" s="319" t="s">
        <v>5283</v>
      </c>
      <c r="D17" s="305" t="str">
        <f>IFERROR(__xludf.DUMMYFUNCTION("GOOGLETRANSLATE(B17,""zh-tw"",""ja"")"),"物理攻撃：32 分割攻撃")</f>
        <v>物理攻撃：32 分割攻撃</v>
      </c>
      <c r="E17" s="318" t="s">
        <v>5284</v>
      </c>
      <c r="F17" s="163" t="s">
        <v>5285</v>
      </c>
      <c r="G17" s="319" t="str">
        <f>IFERROR(__xludf.DUMMYFUNCTION("GOOGLETRANSLATE(A17,""zh-tw"",""zh"")"),"柳叶长剑")</f>
        <v>柳叶长剑</v>
      </c>
      <c r="H17" s="305" t="str">
        <f>IFERROR(__xludf.DUMMYFUNCTION("GOOGLETRANSLATE(B17,""zh-tw"",""zh"")"),"物攻：32
分裂攻击")</f>
        <v>物攻：32
分裂攻击</v>
      </c>
      <c r="I17" s="320" t="str">
        <f>IFERROR(__xludf.DUMMYFUNCTION("GOOGLETRANSLATE(A17,""zh-tw"",""es-MX"")"),"Espada larga de hoja de sauce")</f>
        <v>Espada larga de hoja de sauce</v>
      </c>
      <c r="J17" s="164" t="str">
        <f>IFERROR(__xludf.DUMMYFUNCTION("GOOGLETRANSLATE(B17,""zh-tw"",""es-MX"")"),"Ataque físico: 32 Ataque dividido")</f>
        <v>Ataque físico: 32 Ataque dividido</v>
      </c>
      <c r="K17" s="320" t="str">
        <f>IFERROR(__xludf.DUMMYFUNCTION("GOOGLETRANSLATE(A17,""zh-tw"",""KO"")"),"버드나무 잎 장검")</f>
        <v>버드나무 잎 장검</v>
      </c>
      <c r="L17" s="164" t="str">
        <f>IFERROR(__xludf.DUMMYFUNCTION("GOOGLETRANSLATE(B17,""zh-tw"",""KO"")"),"물리 공격: 32 분할 공격")</f>
        <v>물리 공격: 32 분할 공격</v>
      </c>
      <c r="M17" s="321" t="str">
        <f>IFERROR(__xludf.DUMMYFUNCTION("GOOGLETRANSLATE(A17,""zh-tw"",""ru"")"),"Длинный меч из листьев ивы")</f>
        <v>Длинный меч из листьев ивы</v>
      </c>
      <c r="N17" s="303" t="str">
        <f>IFERROR(__xludf.DUMMYFUNCTION("GOOGLETRANSLATE(B17,""zh-tw"",""ru"")"),"Физическая атака: 32-я раздельная атака")</f>
        <v>Физическая атака: 32-я раздельная атака</v>
      </c>
      <c r="O17" s="319" t="s">
        <v>5286</v>
      </c>
      <c r="P17" s="305" t="s">
        <v>5287</v>
      </c>
      <c r="Q17" s="322" t="s">
        <v>5288</v>
      </c>
      <c r="R17" s="309" t="s">
        <v>5289</v>
      </c>
      <c r="S17" s="320" t="s">
        <v>5290</v>
      </c>
      <c r="T17" s="164" t="s">
        <v>5291</v>
      </c>
      <c r="U17" s="164"/>
      <c r="V17" s="164"/>
    </row>
    <row r="18" ht="49.5" customHeight="1">
      <c r="A18" s="319" t="s">
        <v>5292</v>
      </c>
      <c r="B18" s="305" t="s">
        <v>5293</v>
      </c>
      <c r="C18" s="319" t="s">
        <v>5294</v>
      </c>
      <c r="D18" s="305" t="str">
        <f>IFERROR(__xludf.DUMMYFUNCTION("GOOGLETRANSLATE(B18,""zh-tw"",""ja"")"),"物理攻撃力：48
魔法耐性：20
条件を満たす武器種")</f>
        <v>物理攻撃力：48
魔法耐性：20
条件を満たす武器種</v>
      </c>
      <c r="E18" s="319" t="s">
        <v>5295</v>
      </c>
      <c r="F18" s="305" t="s">
        <v>5296</v>
      </c>
      <c r="G18" s="319" t="str">
        <f>IFERROR(__xludf.DUMMYFUNCTION("GOOGLETRANSLATE(A18,""zh-tw"",""zh"")"),"银辉大剑")</f>
        <v>银辉大剑</v>
      </c>
      <c r="H18" s="305" t="str">
        <f>IFERROR(__xludf.DUMMYFUNCTION("GOOGLETRANSLATE(B18,""zh-tw"",""zh"")"),"物攻：48
魔抗：20
满足条件类型武器")</f>
        <v>物攻：48
魔抗：20
满足条件类型武器</v>
      </c>
      <c r="I18" s="320" t="str">
        <f>IFERROR(__xludf.DUMMYFUNCTION("GOOGLETRANSLATE(A18,""zh-tw"",""es-MX"")"),"Espada magna de plata")</f>
        <v>Espada magna de plata</v>
      </c>
      <c r="J18" s="164" t="str">
        <f>IFERROR(__xludf.DUMMYFUNCTION("GOOGLETRANSLATE(B18,""zh-tw"",""es-MX"")"),"Ataque físico: 48
Resistencia mágica: 20
Tipo de arma que cumple con los requisitos")</f>
        <v>Ataque físico: 48
Resistencia mágica: 20
Tipo de arma que cumple con los requisitos</v>
      </c>
      <c r="K18" s="318" t="s">
        <v>5297</v>
      </c>
      <c r="L18" s="164" t="str">
        <f>IFERROR(__xludf.DUMMYFUNCTION("GOOGLETRANSLATE(B18,""zh-tw"",""KO"")"),"물리 공격력: 48
마법 저항력: 20
조건을 충족하는 무기 종류")</f>
        <v>물리 공격력: 48
마법 저항력: 20
조건을 충족하는 무기 종류</v>
      </c>
      <c r="M18" s="321" t="str">
        <f>IFERROR(__xludf.DUMMYFUNCTION("GOOGLETRANSLATE(A18,""zh-tw"",""ru"")"),"Серебряный большой меч")</f>
        <v>Серебряный большой меч</v>
      </c>
      <c r="N18" s="30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9" t="s">
        <v>5298</v>
      </c>
      <c r="P18" s="305" t="s">
        <v>5299</v>
      </c>
      <c r="Q18" s="322" t="s">
        <v>5300</v>
      </c>
      <c r="R18" s="323" t="s">
        <v>5301</v>
      </c>
      <c r="S18" s="320" t="s">
        <v>5302</v>
      </c>
      <c r="T18" s="164" t="s">
        <v>5303</v>
      </c>
      <c r="U18" s="164"/>
      <c r="V18" s="164"/>
    </row>
    <row r="19">
      <c r="A19" s="319" t="s">
        <v>5304</v>
      </c>
      <c r="B19" s="305" t="s">
        <v>5305</v>
      </c>
      <c r="C19" s="319" t="s">
        <v>5306</v>
      </c>
      <c r="D19" s="305" t="str">
        <f>IFERROR(__xludf.DUMMYFUNCTION("GOOGLETRANSLATE(B19,""zh-tw"",""ja"")"),"物理攻撃力：1（累積ダメージ型武器）")</f>
        <v>物理攻撃力：1（累積ダメージ型武器）</v>
      </c>
      <c r="E19" s="319" t="s">
        <v>5307</v>
      </c>
      <c r="F19" s="305" t="s">
        <v>5308</v>
      </c>
      <c r="G19" s="319" t="str">
        <f>IFERROR(__xludf.DUMMYFUNCTION("GOOGLETRANSLATE(A19,""zh-tw"",""zh"")"),"甜筒大剑")</f>
        <v>甜筒大剑</v>
      </c>
      <c r="H19" s="305" t="str">
        <f>IFERROR(__xludf.DUMMYFUNCTION("GOOGLETRANSLATE(B19,""zh-tw"",""zh"")"),"物攻：1
累计伤害型武器")</f>
        <v>物攻：1
累计伤害型武器</v>
      </c>
      <c r="I19" s="320" t="str">
        <f>IFERROR(__xludf.DUMMYFUNCTION("GOOGLETRANSLATE(A19,""zh-tw"",""es-MX"")"),"Espada de cono de helado")</f>
        <v>Espada de cono de helado</v>
      </c>
      <c r="J19" s="164" t="str">
        <f>IFERROR(__xludf.DUMMYFUNCTION("GOOGLETRANSLATE(B19,""zh-tw"",""es-MX"")"),"Ataque físico: 1 (Arma de tipo daño acumulativo)")</f>
        <v>Ataque físico: 1 (Arma de tipo daño acumulativo)</v>
      </c>
      <c r="K19" s="320" t="str">
        <f>IFERROR(__xludf.DUMMYFUNCTION("GOOGLETRANSLATE(A19,""zh-tw"",""KO"")"),"아이스크림 콘 검")</f>
        <v>아이스크림 콘 검</v>
      </c>
      <c r="L19" s="164" t="str">
        <f>IFERROR(__xludf.DUMMYFUNCTION("GOOGLETRANSLATE(B19,""zh-tw"",""KO"")"),"물리 공격력: 1 (누적 데미지 유형 무기)")</f>
        <v>물리 공격력: 1 (누적 데미지 유형 무기)</v>
      </c>
      <c r="M19" s="321" t="str">
        <f>IFERROR(__xludf.DUMMYFUNCTION("GOOGLETRANSLATE(A19,""zh-tw"",""ru"")"),"Меч из рожка мороженого")</f>
        <v>Меч из рожка мороженого</v>
      </c>
      <c r="N19" s="303" t="str">
        <f>IFERROR(__xludf.DUMMYFUNCTION("GOOGLETRANSLATE(B19,""zh-tw"",""ru"")"),"Физическая атака: 1 (Оружие кумулятивного урона)")</f>
        <v>Физическая атака: 1 (Оружие кумулятивного урона)</v>
      </c>
      <c r="O19" s="319" t="s">
        <v>5309</v>
      </c>
      <c r="P19" s="305" t="s">
        <v>5310</v>
      </c>
      <c r="Q19" s="322" t="s">
        <v>5311</v>
      </c>
      <c r="R19" s="323" t="s">
        <v>5312</v>
      </c>
      <c r="S19" s="320" t="s">
        <v>5313</v>
      </c>
      <c r="T19" s="164" t="s">
        <v>5314</v>
      </c>
      <c r="U19" s="164"/>
      <c r="V19" s="164"/>
    </row>
    <row r="20">
      <c r="A20" s="319" t="s">
        <v>5315</v>
      </c>
      <c r="B20" s="305" t="s">
        <v>5316</v>
      </c>
      <c r="C20" s="319" t="s">
        <v>5317</v>
      </c>
      <c r="D20" s="305" t="str">
        <f>IFERROR(__xludf.DUMMYFUNCTION("GOOGLETRANSLATE(B20,""zh-tw"",""ja"")"),"物理攻撃力：20
物理耐性：2
累積ステータスベースの武器")</f>
        <v>物理攻撃力：20
物理耐性：2
累積ステータスベースの武器</v>
      </c>
      <c r="E20" s="319" t="s">
        <v>5318</v>
      </c>
      <c r="F20" s="305" t="s">
        <v>5319</v>
      </c>
      <c r="G20" s="319" t="str">
        <f>IFERROR(__xludf.DUMMYFUNCTION("GOOGLETRANSLATE(A20,""zh-tw"",""zh"")"),"古树残骸")</f>
        <v>古树残骸</v>
      </c>
      <c r="H20" s="305" t="str">
        <f>IFERROR(__xludf.DUMMYFUNCTION("GOOGLETRANSLATE(B20,""zh-tw"",""zh"")"),"物攻：20
物抗：2
累计素质型武器")</f>
        <v>物攻：20
物抗：2
累计素质型武器</v>
      </c>
      <c r="I20" s="320" t="str">
        <f>IFERROR(__xludf.DUMMYFUNCTION("GOOGLETRANSLATE(A20,""zh-tw"",""es-MX"")"),"Restos de árboles antiguos")</f>
        <v>Restos de árboles antiguos</v>
      </c>
      <c r="J20" s="164"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21" t="str">
        <f>IFERROR(__xludf.DUMMYFUNCTION("GOOGLETRANSLATE(A20,""zh-tw"",""ru"")"),"Останки древних деревьев")</f>
        <v>Останки древних деревьев</v>
      </c>
      <c r="N20" s="303"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9" t="s">
        <v>5320</v>
      </c>
      <c r="P20" s="305" t="s">
        <v>5321</v>
      </c>
      <c r="Q20" s="322" t="s">
        <v>5322</v>
      </c>
      <c r="R20" s="323" t="s">
        <v>5323</v>
      </c>
      <c r="S20" s="320" t="s">
        <v>5324</v>
      </c>
      <c r="T20" s="164" t="s">
        <v>5325</v>
      </c>
      <c r="U20" s="164"/>
      <c r="V20" s="164"/>
    </row>
    <row r="21">
      <c r="A21" s="319" t="s">
        <v>5326</v>
      </c>
      <c r="B21" s="305" t="s">
        <v>5327</v>
      </c>
      <c r="C21" s="319" t="s">
        <v>5328</v>
      </c>
      <c r="D21" s="305" t="str">
        <f>IFERROR(__xludf.DUMMYFUNCTION("GOOGLETRANSLATE(B21,""zh-tw"",""ja"")"),"物理攻撃力：40 剣波を発射する")</f>
        <v>物理攻撃力：40 剣波を発射する</v>
      </c>
      <c r="E21" s="319" t="s">
        <v>5329</v>
      </c>
      <c r="F21" s="305" t="s">
        <v>5330</v>
      </c>
      <c r="G21" s="319" t="str">
        <f>IFERROR(__xludf.DUMMYFUNCTION("GOOGLETRANSLATE(A21,""zh-tw"",""zh"")"),"斩裂剑提尔锋")</f>
        <v>斩裂剑提尔锋</v>
      </c>
      <c r="H21" s="305" t="str">
        <f>IFERROR(__xludf.DUMMYFUNCTION("GOOGLETRANSLATE(B21,""zh-tw"",""zh"")"),"物攻：40
发射剑波")</f>
        <v>物攻：40
发射剑波</v>
      </c>
      <c r="I21" s="320" t="str">
        <f>IFERROR(__xludf.DUMMYFUNCTION("GOOGLETRANSLATE(A21,""zh-tw"",""es-MX"")"),"La Hoja de la Espada Cortante, El Filo de Tyr")</f>
        <v>La Hoja de la Espada Cortante, El Filo de Tyr</v>
      </c>
      <c r="J21" s="164"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21" t="str">
        <f>IFERROR(__xludf.DUMMYFUNCTION("GOOGLETRANSLATE(A21,""zh-tw"",""ru"")"),"Клинок Разрубающего Меча, Лезвие Тира")</f>
        <v>Клинок Разрубающего Меча, Лезвие Тира</v>
      </c>
      <c r="N21" s="303" t="str">
        <f>IFERROR(__xludf.DUMMYFUNCTION("GOOGLETRANSLATE(B21,""zh-tw"",""ru"")"),"Физическая атака: 40. Запускает волну мечом.")</f>
        <v>Физическая атака: 40. Запускает волну мечом.</v>
      </c>
      <c r="O21" s="319" t="s">
        <v>5331</v>
      </c>
      <c r="P21" s="305" t="s">
        <v>5332</v>
      </c>
      <c r="Q21" s="322" t="s">
        <v>5333</v>
      </c>
      <c r="R21" s="323" t="s">
        <v>5334</v>
      </c>
      <c r="S21" s="320" t="s">
        <v>5329</v>
      </c>
      <c r="T21" s="164" t="s">
        <v>5335</v>
      </c>
      <c r="U21" s="164"/>
      <c r="V21" s="164"/>
    </row>
    <row r="22">
      <c r="A22" s="319" t="s">
        <v>5336</v>
      </c>
      <c r="B22" s="305" t="s">
        <v>5337</v>
      </c>
      <c r="C22" s="319" t="s">
        <v>5338</v>
      </c>
      <c r="D22" s="305" t="str">
        <f>IFERROR(__xludf.DUMMYFUNCTION("GOOGLETRANSLATE(B22,""zh-tw"",""ja"")"),"物理攻撃：出血30")</f>
        <v>物理攻撃：出血30</v>
      </c>
      <c r="E22" s="319" t="s">
        <v>5339</v>
      </c>
      <c r="F22" s="305" t="s">
        <v>5340</v>
      </c>
      <c r="G22" s="319" t="str">
        <f>IFERROR(__xludf.DUMMYFUNCTION("GOOGLETRANSLATE(A22,""zh-tw"",""zh"")"),"来自地狱")</f>
        <v>来自地狱</v>
      </c>
      <c r="H22" s="305" t="str">
        <f>IFERROR(__xludf.DUMMYFUNCTION("GOOGLETRANSLATE(B22,""zh-tw"",""zh"")"),"物攻：30
出血")</f>
        <v>物攻：30
出血</v>
      </c>
      <c r="I22" s="320" t="str">
        <f>IFERROR(__xludf.DUMMYFUNCTION("GOOGLETRANSLATE(A22,""zh-tw"",""es-MX"")"),"Del infierno")</f>
        <v>Del infierno</v>
      </c>
      <c r="J22" s="164" t="str">
        <f>IFERROR(__xludf.DUMMYFUNCTION("GOOGLETRANSLATE(B22,""zh-tw"",""es-MX"")"),"Ataque físico: 30 sangrado")</f>
        <v>Ataque físico: 30 sangrado</v>
      </c>
      <c r="K22" s="318" t="s">
        <v>5341</v>
      </c>
      <c r="L22" s="164" t="str">
        <f>IFERROR(__xludf.DUMMYFUNCTION("GOOGLETRANSLATE(B22,""zh-tw"",""KO"")"),"물리 공격력: 30 출혈")</f>
        <v>물리 공격력: 30 출혈</v>
      </c>
      <c r="M22" s="321" t="str">
        <f>IFERROR(__xludf.DUMMYFUNCTION("GOOGLETRANSLATE(A22,""zh-tw"",""ru"")"),"Из ада")</f>
        <v>Из ада</v>
      </c>
      <c r="N22" s="303" t="str">
        <f>IFERROR(__xludf.DUMMYFUNCTION("GOOGLETRANSLATE(B22,""zh-tw"",""ru"")"),"Физическая атака: 30 кровотечения")</f>
        <v>Физическая атака: 30 кровотечения</v>
      </c>
      <c r="O22" s="319" t="s">
        <v>5342</v>
      </c>
      <c r="P22" s="305" t="s">
        <v>5343</v>
      </c>
      <c r="Q22" s="322" t="s">
        <v>5344</v>
      </c>
      <c r="R22" s="323" t="s">
        <v>5345</v>
      </c>
      <c r="S22" s="320" t="s">
        <v>5346</v>
      </c>
      <c r="T22" s="164" t="s">
        <v>5347</v>
      </c>
      <c r="U22" s="164"/>
      <c r="V22" s="164"/>
    </row>
    <row r="23">
      <c r="A23" s="319" t="s">
        <v>5348</v>
      </c>
      <c r="B23" s="305" t="s">
        <v>5349</v>
      </c>
      <c r="C23" s="319" t="s">
        <v>5350</v>
      </c>
      <c r="D23" s="305" t="str">
        <f>IFERROR(__xludf.DUMMYFUNCTION("GOOGLETRANSLATE(B23,""zh-tw"",""ja"")"),"物理攻撃：ノックダウン回復32")</f>
        <v>物理攻撃：ノックダウン回復32</v>
      </c>
      <c r="E23" s="319" t="s">
        <v>5351</v>
      </c>
      <c r="F23" s="305" t="s">
        <v>5352</v>
      </c>
      <c r="G23" s="319" t="str">
        <f>IFERROR(__xludf.DUMMYFUNCTION("GOOGLETRANSLATE(A23,""zh-tw"",""zh"")"),"寄生刃")</f>
        <v>寄生刃</v>
      </c>
      <c r="H23" s="305" t="str">
        <f>IFERROR(__xludf.DUMMYFUNCTION("GOOGLETRANSLATE(B23,""zh-tw"",""zh"")"),"物攻：32
击倒回复")</f>
        <v>物攻：32
击倒回复</v>
      </c>
      <c r="I23" s="320" t="str">
        <f>IFERROR(__xludf.DUMMYFUNCTION("GOOGLETRANSLATE(A23,""zh-tw"",""es-MX"")"),"Hoja parásita")</f>
        <v>Hoja parásita</v>
      </c>
      <c r="J23" s="164" t="str">
        <f>IFERROR(__xludf.DUMMYFUNCTION("GOOGLETRANSLATE(B23,""zh-tw"",""es-MX"")"),"Ataque físico: 32 Recuperación de derribo")</f>
        <v>Ataque físico: 32 Recuperación de derribo</v>
      </c>
      <c r="K23" s="318" t="s">
        <v>5353</v>
      </c>
      <c r="L23" s="163" t="s">
        <v>5354</v>
      </c>
      <c r="M23" s="321" t="str">
        <f>IFERROR(__xludf.DUMMYFUNCTION("GOOGLETRANSLATE(A23,""zh-tw"",""ru"")"),"Паразитарный клинок")</f>
        <v>Паразитарный клинок</v>
      </c>
      <c r="N23" s="303" t="str">
        <f>IFERROR(__xludf.DUMMYFUNCTION("GOOGLETRANSLATE(B23,""zh-tw"",""ru"")"),"Физическая атака: 32 восстановления после нокдауна")</f>
        <v>Физическая атака: 32 восстановления после нокдауна</v>
      </c>
      <c r="O23" s="319" t="s">
        <v>5355</v>
      </c>
      <c r="P23" s="305" t="s">
        <v>5356</v>
      </c>
      <c r="Q23" s="322" t="s">
        <v>5357</v>
      </c>
      <c r="R23" s="323" t="s">
        <v>5358</v>
      </c>
      <c r="S23" s="320" t="s">
        <v>5359</v>
      </c>
      <c r="T23" s="164" t="s">
        <v>5360</v>
      </c>
      <c r="U23" s="164"/>
      <c r="V23" s="164"/>
    </row>
    <row r="24">
      <c r="A24" s="324" t="s">
        <v>5361</v>
      </c>
      <c r="B24" s="41" t="s">
        <v>5362</v>
      </c>
      <c r="C24" s="324" t="s">
        <v>5363</v>
      </c>
      <c r="D24" s="41" t="s">
        <v>5364</v>
      </c>
      <c r="E24" s="324" t="s">
        <v>5365</v>
      </c>
      <c r="F24" s="41" t="s">
        <v>5366</v>
      </c>
      <c r="G24" s="319" t="str">
        <f>IFERROR(__xludf.DUMMYFUNCTION("GOOGLETRANSLATE(A24,""zh-tw"",""zh"")"),"寄坏剑")</f>
        <v>寄坏剑</v>
      </c>
      <c r="H24" s="30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0" t="str">
        <f>IFERROR(__xludf.DUMMYFUNCTION("GOOGLETRANSLATE(A24,""zh-tw"",""es-MX"")"),"Envía una espada rota")</f>
        <v>Envía una espada rota</v>
      </c>
      <c r="J24" s="16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8" t="s">
        <v>5367</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1" t="str">
        <f>IFERROR(__xludf.DUMMYFUNCTION("GOOGLETRANSLATE(A24,""zh-tw"",""ru"")"),"Пошли сломанный меч")</f>
        <v>Пошли сломанный меч</v>
      </c>
      <c r="N24" s="303"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4" t="s">
        <v>5368</v>
      </c>
      <c r="P24" s="41" t="s">
        <v>5369</v>
      </c>
      <c r="Q24" s="322" t="s">
        <v>5370</v>
      </c>
      <c r="R24" s="309" t="s">
        <v>5371</v>
      </c>
      <c r="S24" s="320" t="s">
        <v>5372</v>
      </c>
      <c r="T24" s="164" t="s">
        <v>5373</v>
      </c>
      <c r="U24" s="164"/>
      <c r="V24" s="164"/>
    </row>
    <row r="25">
      <c r="A25" s="324" t="s">
        <v>5374</v>
      </c>
      <c r="B25" s="163" t="s">
        <v>5375</v>
      </c>
      <c r="C25" s="324" t="s">
        <v>5374</v>
      </c>
      <c r="D25" s="163" t="s">
        <v>5376</v>
      </c>
      <c r="E25" s="324" t="s">
        <v>5377</v>
      </c>
      <c r="F25" s="163" t="s">
        <v>5378</v>
      </c>
      <c r="G25" s="319" t="str">
        <f>IFERROR(__xludf.DUMMYFUNCTION("GOOGLETRANSLATE(A25,""zh-tw"",""zh"")"),"血狩")</f>
        <v>血狩</v>
      </c>
      <c r="H25" s="30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0" t="str">
        <f>IFERROR(__xludf.DUMMYFUNCTION("GOOGLETRANSLATE(A25,""zh-tw"",""es-MX"")"),"Caza de sangre")</f>
        <v>Caza de sangre</v>
      </c>
      <c r="J25" s="16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64"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1" t="str">
        <f>IFERROR(__xludf.DUMMYFUNCTION("GOOGLETRANSLATE(A25,""zh-tw"",""ru"")"),"Кровавая охота")</f>
        <v>Кровавая охота</v>
      </c>
      <c r="N25" s="303"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4" t="s">
        <v>5379</v>
      </c>
      <c r="P25" s="163" t="s">
        <v>5380</v>
      </c>
      <c r="Q25" s="322" t="s">
        <v>5381</v>
      </c>
      <c r="R25" s="309" t="s">
        <v>5382</v>
      </c>
      <c r="S25" s="320" t="s">
        <v>5383</v>
      </c>
      <c r="T25" s="164" t="s">
        <v>5384</v>
      </c>
      <c r="U25" s="164"/>
      <c r="V25" s="164"/>
    </row>
    <row r="26">
      <c r="A26" s="319" t="s">
        <v>5385</v>
      </c>
      <c r="B26" s="305" t="s">
        <v>5386</v>
      </c>
      <c r="C26" s="319" t="s">
        <v>5387</v>
      </c>
      <c r="D26" s="305" t="s">
        <v>5388</v>
      </c>
      <c r="E26" s="319" t="s">
        <v>5389</v>
      </c>
      <c r="F26" s="305" t="s">
        <v>5390</v>
      </c>
      <c r="G26" s="319" t="str">
        <f>IFERROR(__xludf.DUMMYFUNCTION("GOOGLETRANSLATE(A26,""zh-tw"",""zh"")"),"荒古荣光")</f>
        <v>荒古荣光</v>
      </c>
      <c r="H26" s="305" t="str">
        <f>IFERROR(__xludf.DUMMYFUNCTION("GOOGLETRANSLATE(B26,""zh-tw"",""zh"")"),"物攻：36
特殊指令强化
*稀有品扭蛋品")</f>
        <v>物攻：36
特殊指令强化
*稀有品扭蛋品</v>
      </c>
      <c r="I26" s="320"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21" t="str">
        <f>IFERROR(__xludf.DUMMYFUNCTION("GOOGLETRANSLATE(A26,""zh-tw"",""ru"")"),"Древняя слава")</f>
        <v>Древняя слава</v>
      </c>
      <c r="N26" s="303"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9" t="s">
        <v>5391</v>
      </c>
      <c r="P26" s="305" t="s">
        <v>5392</v>
      </c>
      <c r="Q26" s="322" t="s">
        <v>5393</v>
      </c>
      <c r="R26" s="323" t="s">
        <v>5394</v>
      </c>
      <c r="S26" s="320" t="s">
        <v>5395</v>
      </c>
      <c r="T26" s="164" t="s">
        <v>5396</v>
      </c>
      <c r="U26" s="164"/>
      <c r="V26" s="164"/>
    </row>
    <row r="27">
      <c r="A27" s="319" t="s">
        <v>5397</v>
      </c>
      <c r="B27" s="305" t="s">
        <v>5398</v>
      </c>
      <c r="C27" s="319" t="s">
        <v>5399</v>
      </c>
      <c r="D27" s="305" t="str">
        <f>IFERROR(__xludf.DUMMYFUNCTION("GOOGLETRANSLATE(B27,""zh-tw"",""ja"")"),"物理攻撃力：32
魔法攻撃力：36
防御力無視、不可視の刃
*レアガチャアイテム")</f>
        <v>物理攻撃力：32
魔法攻撃力：36
防御力無視、不可視の刃
*レアガチャアイテム</v>
      </c>
      <c r="E27" s="319" t="s">
        <v>5400</v>
      </c>
      <c r="F27" s="305" t="s">
        <v>5401</v>
      </c>
      <c r="G27" s="319" t="str">
        <f>IFERROR(__xludf.DUMMYFUNCTION("GOOGLETRANSLATE(A27,""zh-tw"",""zh"")"),"克里乌之光")</f>
        <v>克里乌之光</v>
      </c>
      <c r="H27" s="305" t="s">
        <v>5402</v>
      </c>
      <c r="I27" s="320" t="str">
        <f>IFERROR(__xludf.DUMMYFUNCTION("GOOGLETRANSLATE(A27,""zh-tw"",""es-MX"")"),"La luz de Kriu")</f>
        <v>La luz de Kriu</v>
      </c>
      <c r="J27" s="164"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21" t="str">
        <f>IFERROR(__xludf.DUMMYFUNCTION("GOOGLETRANSLATE(A27,""zh-tw"",""ru"")"),"Свет Криу")</f>
        <v>Свет Криу</v>
      </c>
      <c r="N27" s="303"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9" t="s">
        <v>5403</v>
      </c>
      <c r="P27" s="305" t="s">
        <v>5404</v>
      </c>
      <c r="Q27" s="322" t="s">
        <v>5405</v>
      </c>
      <c r="R27" s="323" t="s">
        <v>5406</v>
      </c>
      <c r="S27" s="320" t="s">
        <v>5400</v>
      </c>
      <c r="T27" s="164" t="s">
        <v>5407</v>
      </c>
      <c r="U27" s="164"/>
      <c r="V27" s="164"/>
    </row>
    <row r="28">
      <c r="A28" s="319" t="s">
        <v>5408</v>
      </c>
      <c r="B28" s="305" t="s">
        <v>5409</v>
      </c>
      <c r="C28" s="319" t="str">
        <f>IFERROR(__xludf.DUMMYFUNCTION("GOOGLETRANSLATE(A28,""zh-tw"",""ja"")"),"木製の弓")</f>
        <v>木製の弓</v>
      </c>
      <c r="D28" s="305" t="str">
        <f>IFERROR(__xludf.DUMMYFUNCTION("GOOGLETRANSLATE(B28,""zh-tw"",""ja"")"),"物理攻撃：貫通力20（ダメージ減少）")</f>
        <v>物理攻撃：貫通力20（ダメージ減少）</v>
      </c>
      <c r="E28" s="319" t="s">
        <v>5410</v>
      </c>
      <c r="F28" s="305" t="s">
        <v>5411</v>
      </c>
      <c r="G28" s="319" t="str">
        <f>IFERROR(__xludf.DUMMYFUNCTION("GOOGLETRANSLATE(A28,""zh-tw"",""zh"")"),"木弓")</f>
        <v>木弓</v>
      </c>
      <c r="H28" s="305" t="str">
        <f>IFERROR(__xludf.DUMMYFUNCTION("GOOGLETRANSLATE(B28,""zh-tw"",""zh"")"),"物攻：20
穿透(伤害递减)")</f>
        <v>物攻：20
穿透(伤害递减)</v>
      </c>
      <c r="I28" s="320" t="str">
        <f>IFERROR(__xludf.DUMMYFUNCTION("GOOGLETRANSLATE(A28,""zh-tw"",""es-MX"")"),"arco de madera")</f>
        <v>arco de madera</v>
      </c>
      <c r="J28" s="164" t="str">
        <f>IFERROR(__xludf.DUMMYFUNCTION("GOOGLETRANSLATE(B28,""zh-tw"",""es-MX"")"),"Ataque físico: 20 de penetración (daño decreciente)")</f>
        <v>Ataque físico: 20 de penetración (daño decreciente)</v>
      </c>
      <c r="K28" s="320" t="str">
        <f>IFERROR(__xludf.DUMMYFUNCTION("GOOGLETRANSLATE(A28,""zh-tw"",""KO"")"),"나무 활")</f>
        <v>나무 활</v>
      </c>
      <c r="L28" s="164" t="str">
        <f>IFERROR(__xludf.DUMMYFUNCTION("GOOGLETRANSLATE(B28,""zh-tw"",""KO"")"),"물리 공격력: 관통력 20 (데미지 감소)")</f>
        <v>물리 공격력: 관통력 20 (데미지 감소)</v>
      </c>
      <c r="M28" s="321" t="str">
        <f>IFERROR(__xludf.DUMMYFUNCTION("GOOGLETRANSLATE(A28,""zh-tw"",""ru"")"),"деревянный лук")</f>
        <v>деревянный лук</v>
      </c>
      <c r="N28" s="303" t="str">
        <f>IFERROR(__xludf.DUMMYFUNCTION("GOOGLETRANSLATE(B28,""zh-tw"",""ru"")"),"Физическая атака: 20 Пробитие (урон уменьшается)")</f>
        <v>Физическая атака: 20 Пробитие (урон уменьшается)</v>
      </c>
      <c r="O28" s="319" t="s">
        <v>5412</v>
      </c>
      <c r="P28" s="305" t="s">
        <v>5413</v>
      </c>
      <c r="Q28" s="322" t="s">
        <v>5414</v>
      </c>
      <c r="R28" s="323" t="s">
        <v>5415</v>
      </c>
      <c r="S28" s="320" t="s">
        <v>5416</v>
      </c>
      <c r="T28" s="164" t="s">
        <v>5417</v>
      </c>
      <c r="U28" s="164"/>
      <c r="V28" s="164"/>
    </row>
    <row r="29">
      <c r="A29" s="319" t="s">
        <v>5418</v>
      </c>
      <c r="B29" s="305" t="s">
        <v>5419</v>
      </c>
      <c r="C29" s="319" t="s">
        <v>5420</v>
      </c>
      <c r="D29" s="305" t="str">
        <f>IFERROR(__xludf.DUMMYFUNCTION("GOOGLETRANSLATE(B29,""zh-tw"",""ja"")"),"物理攻撃：貫通力24")</f>
        <v>物理攻撃：貫通力24</v>
      </c>
      <c r="E29" s="319" t="s">
        <v>5421</v>
      </c>
      <c r="F29" s="305" t="s">
        <v>5422</v>
      </c>
      <c r="G29" s="319" t="str">
        <f>IFERROR(__xludf.DUMMYFUNCTION("GOOGLETRANSLATE(A29,""zh-tw"",""zh"")"),"猎人之弓")</f>
        <v>猎人之弓</v>
      </c>
      <c r="H29" s="305" t="str">
        <f>IFERROR(__xludf.DUMMYFUNCTION("GOOGLETRANSLATE(B29,""zh-tw"",""zh"")"),"物攻：24
穿透")</f>
        <v>物攻：24
穿透</v>
      </c>
      <c r="I29" s="320" t="str">
        <f>IFERROR(__xludf.DUMMYFUNCTION("GOOGLETRANSLATE(A29,""zh-tw"",""es-MX"")"),"Arco del cazador")</f>
        <v>Arco del cazador</v>
      </c>
      <c r="J29" s="164" t="str">
        <f>IFERROR(__xludf.DUMMYFUNCTION("GOOGLETRANSLATE(B29,""zh-tw"",""es-MX"")"),"Ataque físico: 24 penetración")</f>
        <v>Ataque físico: 24 penetración</v>
      </c>
      <c r="K29" s="320" t="str">
        <f>IFERROR(__xludf.DUMMYFUNCTION("GOOGLETRANSLATE(A29,""zh-tw"",""KO"")"),"사냥꾼의 활")</f>
        <v>사냥꾼의 활</v>
      </c>
      <c r="L29" s="164" t="str">
        <f>IFERROR(__xludf.DUMMYFUNCTION("GOOGLETRANSLATE(B29,""zh-tw"",""KO"")"),"물리 공격력: 24 관통력")</f>
        <v>물리 공격력: 24 관통력</v>
      </c>
      <c r="M29" s="321" t="str">
        <f>IFERROR(__xludf.DUMMYFUNCTION("GOOGLETRANSLATE(A29,""zh-tw"",""ru"")"),"Лук Охотника")</f>
        <v>Лук Охотника</v>
      </c>
      <c r="N29" s="303" t="str">
        <f>IFERROR(__xludf.DUMMYFUNCTION("GOOGLETRANSLATE(B29,""zh-tw"",""ru"")"),"Физическая атака: 24 Проникновение")</f>
        <v>Физическая атака: 24 Проникновение</v>
      </c>
      <c r="O29" s="319" t="s">
        <v>5423</v>
      </c>
      <c r="P29" s="305" t="s">
        <v>5424</v>
      </c>
      <c r="Q29" s="322" t="s">
        <v>5425</v>
      </c>
      <c r="R29" s="323" t="s">
        <v>5426</v>
      </c>
      <c r="S29" s="320" t="s">
        <v>5427</v>
      </c>
      <c r="T29" s="164" t="s">
        <v>5428</v>
      </c>
      <c r="U29" s="164"/>
      <c r="V29" s="164"/>
    </row>
    <row r="30">
      <c r="A30" s="319" t="s">
        <v>5429</v>
      </c>
      <c r="B30" s="305" t="s">
        <v>5430</v>
      </c>
      <c r="C30" s="319" t="s">
        <v>5431</v>
      </c>
      <c r="D30" s="305" t="str">
        <f>IFERROR(__xludf.DUMMYFUNCTION("GOOGLETRANSLATE(B30,""zh-tw"",""ja"")"),"物理攻撃力：18
魔法攻撃力：18
火属性")</f>
        <v>物理攻撃力：18
魔法攻撃力：18
火属性</v>
      </c>
      <c r="E30" s="319" t="s">
        <v>5432</v>
      </c>
      <c r="F30" s="305" t="s">
        <v>5433</v>
      </c>
      <c r="G30" s="319" t="str">
        <f>IFERROR(__xludf.DUMMYFUNCTION("GOOGLETRANSLATE(A30,""zh-tw"",""zh"")"),"火烧云")</f>
        <v>火烧云</v>
      </c>
      <c r="H30" s="305" t="str">
        <f>IFERROR(__xludf.DUMMYFUNCTION("GOOGLETRANSLATE(B30,""zh-tw"",""zh"")"),"物攻：18
魔攻：18
炎属性")</f>
        <v>物攻：18
魔攻：18
炎属性</v>
      </c>
      <c r="I30" s="320"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21" t="str">
        <f>IFERROR(__xludf.DUMMYFUNCTION("GOOGLETRANSLATE(A30,""zh-tw"",""ru"")"),"Огненные облака")</f>
        <v>Огненные облака</v>
      </c>
      <c r="N30" s="303" t="str">
        <f>IFERROR(__xludf.DUMMYFUNCTION("GOOGLETRANSLATE(B30,""zh-tw"",""ru"")"),"Физическая атака: 18
Магическая атака: 18
Атрибут огня")</f>
        <v>Физическая атака: 18
Магическая атака: 18
Атрибут огня</v>
      </c>
      <c r="O30" s="319" t="s">
        <v>5434</v>
      </c>
      <c r="P30" s="305" t="s">
        <v>5435</v>
      </c>
      <c r="Q30" s="322" t="s">
        <v>5436</v>
      </c>
      <c r="R30" s="323" t="s">
        <v>5437</v>
      </c>
      <c r="S30" s="320" t="s">
        <v>5432</v>
      </c>
      <c r="T30" s="164" t="s">
        <v>5438</v>
      </c>
      <c r="U30" s="164"/>
      <c r="V30" s="164"/>
    </row>
    <row r="31">
      <c r="A31" s="319" t="s">
        <v>5439</v>
      </c>
      <c r="B31" s="305" t="s">
        <v>5440</v>
      </c>
      <c r="C31" s="319" t="s">
        <v>5439</v>
      </c>
      <c r="D31" s="305" t="str">
        <f>IFERROR(__xludf.DUMMYFUNCTION("GOOGLETRANSLATE(B31,""zh-tw"",""ja"")"),"物理攻撃力：16
魔法攻撃力：16
氷属性")</f>
        <v>物理攻撃力：16
魔法攻撃力：16
氷属性</v>
      </c>
      <c r="E31" s="319" t="s">
        <v>5441</v>
      </c>
      <c r="F31" s="305" t="s">
        <v>5442</v>
      </c>
      <c r="G31" s="319" t="str">
        <f>IFERROR(__xludf.DUMMYFUNCTION("GOOGLETRANSLATE(A31,""zh-tw"",""zh"")"),"雪见")</f>
        <v>雪见</v>
      </c>
      <c r="H31" s="305" t="str">
        <f>IFERROR(__xludf.DUMMYFUNCTION("GOOGLETRANSLATE(B31,""zh-tw"",""zh"")"),"物攻：16
魔攻：16
冰属性")</f>
        <v>物攻：16
魔攻：16
冰属性</v>
      </c>
      <c r="I31" s="320" t="str">
        <f>IFERROR(__xludf.DUMMYFUNCTION("GOOGLETRANSLATE(A31,""zh-tw"",""es-MX"")"),"Xuejian")</f>
        <v>Xuejian</v>
      </c>
      <c r="J31" s="164" t="str">
        <f>IFERROR(__xludf.DUMMYFUNCTION("GOOGLETRANSLATE(B31,""zh-tw"",""es-MX"")"),"Ataque físico: 16
Ataque mágico: 16
Atributo hielo")</f>
        <v>Ataque físico: 16
Ataque mágico: 16
Atributo hielo</v>
      </c>
      <c r="K31" s="320" t="str">
        <f>IFERROR(__xludf.DUMMYFUNCTION("GOOGLETRANSLATE(A31,""zh-tw"",""KO"")"),"쉐지안")</f>
        <v>쉐지안</v>
      </c>
      <c r="L31" s="164" t="str">
        <f>IFERROR(__xludf.DUMMYFUNCTION("GOOGLETRANSLATE(B31,""zh-tw"",""KO"")"),"물리 공격력: 16
마법 공격력: 16
얼음 속성")</f>
        <v>물리 공격력: 16
마법 공격력: 16
얼음 속성</v>
      </c>
      <c r="M31" s="321" t="str">
        <f>IFERROR(__xludf.DUMMYFUNCTION("GOOGLETRANSLATE(A31,""zh-tw"",""ru"")"),"Сюэцзянь")</f>
        <v>Сюэцзянь</v>
      </c>
      <c r="N31" s="303" t="str">
        <f>IFERROR(__xludf.DUMMYFUNCTION("GOOGLETRANSLATE(B31,""zh-tw"",""ru"")"),"Физическая атака: 16
Магическая атака: 16
Атрибут льда")</f>
        <v>Физическая атака: 16
Магическая атака: 16
Атрибут льда</v>
      </c>
      <c r="O31" s="319" t="s">
        <v>5443</v>
      </c>
      <c r="P31" s="305" t="s">
        <v>5444</v>
      </c>
      <c r="Q31" s="322" t="s">
        <v>5445</v>
      </c>
      <c r="R31" s="323" t="s">
        <v>5446</v>
      </c>
      <c r="S31" s="320" t="s">
        <v>5447</v>
      </c>
      <c r="T31" s="164" t="s">
        <v>5448</v>
      </c>
      <c r="U31" s="164"/>
      <c r="V31" s="164"/>
    </row>
    <row r="32">
      <c r="A32" s="319" t="s">
        <v>5449</v>
      </c>
      <c r="B32" s="305" t="s">
        <v>5450</v>
      </c>
      <c r="C32" s="319" t="str">
        <f>IFERROR(__xludf.DUMMYFUNCTION("GOOGLETRANSLATE(A32,""zh-tw"",""ja"")"),"千鳥")</f>
        <v>千鳥</v>
      </c>
      <c r="D32" s="305" t="str">
        <f>IFERROR(__xludf.DUMMYFUNCTION("GOOGLETRANSLATE(B32,""zh-tw"",""ja"")"),"物理攻撃力：16
魔法攻撃力：16
雷属性")</f>
        <v>物理攻撃力：16
魔法攻撃力：16
雷属性</v>
      </c>
      <c r="E32" s="319" t="s">
        <v>5451</v>
      </c>
      <c r="F32" s="305" t="s">
        <v>5452</v>
      </c>
      <c r="G32" s="319" t="str">
        <f>IFERROR(__xludf.DUMMYFUNCTION("GOOGLETRANSLATE(A32,""zh-tw"",""zh"")"),"千鸟")</f>
        <v>千鸟</v>
      </c>
      <c r="H32" s="305" t="str">
        <f>IFERROR(__xludf.DUMMYFUNCTION("GOOGLETRANSLATE(B32,""zh-tw"",""zh"")"),"物攻：16
魔攻：16
雷属性")</f>
        <v>物攻：16
魔攻：16
雷属性</v>
      </c>
      <c r="I32" s="320" t="str">
        <f>IFERROR(__xludf.DUMMYFUNCTION("GOOGLETRANSLATE(A32,""zh-tw"",""es-MX"")"),"Chidori")</f>
        <v>Chidori</v>
      </c>
      <c r="J32" s="164" t="str">
        <f>IFERROR(__xludf.DUMMYFUNCTION("GOOGLETRANSLATE(B32,""zh-tw"",""es-MX"")"),"Ataque físico: 16
Ataque mágico: 16
Atributo Rayo")</f>
        <v>Ataque físico: 16
Ataque mágico: 16
Atributo Rayo</v>
      </c>
      <c r="K32" s="320" t="str">
        <f>IFERROR(__xludf.DUMMYFUNCTION("GOOGLETRANSLATE(A32,""zh-tw"",""KO"")"),"치도리")</f>
        <v>치도리</v>
      </c>
      <c r="L32" s="164" t="str">
        <f>IFERROR(__xludf.DUMMYFUNCTION("GOOGLETRANSLATE(B32,""zh-tw"",""KO"")"),"물리 공격력: 16
마법 공격력: 16
번개 속성")</f>
        <v>물리 공격력: 16
마법 공격력: 16
번개 속성</v>
      </c>
      <c r="M32" s="321" t="str">
        <f>IFERROR(__xludf.DUMMYFUNCTION("GOOGLETRANSLATE(A32,""zh-tw"",""ru"")"),"Чидори")</f>
        <v>Чидори</v>
      </c>
      <c r="N32" s="303" t="str">
        <f>IFERROR(__xludf.DUMMYFUNCTION("GOOGLETRANSLATE(B32,""zh-tw"",""ru"")"),"Физическая атака: 16
Магическая атака: 16
Атрибут «Молния»")</f>
        <v>Физическая атака: 16
Магическая атака: 16
Атрибут «Молния»</v>
      </c>
      <c r="O32" s="319" t="s">
        <v>5453</v>
      </c>
      <c r="P32" s="305" t="s">
        <v>5454</v>
      </c>
      <c r="Q32" s="322" t="s">
        <v>5455</v>
      </c>
      <c r="R32" s="323" t="s">
        <v>5456</v>
      </c>
      <c r="S32" s="320" t="s">
        <v>5451</v>
      </c>
      <c r="T32" s="164" t="s">
        <v>5457</v>
      </c>
      <c r="U32" s="164"/>
      <c r="V32" s="164"/>
    </row>
    <row r="33">
      <c r="A33" s="319" t="s">
        <v>5458</v>
      </c>
      <c r="B33" s="305" t="s">
        <v>5459</v>
      </c>
      <c r="C33" s="319" t="s">
        <v>5460</v>
      </c>
      <c r="D33" s="305" t="str">
        <f>IFERROR(__xludf.DUMMYFUNCTION("GOOGLETRANSLATE(B33,""zh-tw"",""ja"")"),"物理攻撃力：32（連射）")</f>
        <v>物理攻撃力：32（連射）</v>
      </c>
      <c r="E33" s="319" t="s">
        <v>5461</v>
      </c>
      <c r="F33" s="305" t="s">
        <v>5462</v>
      </c>
      <c r="G33" s="319" t="str">
        <f>IFERROR(__xludf.DUMMYFUNCTION("GOOGLETRANSLATE(A33,""zh-tw"",""zh"")"),"三头连弓地狱犬")</f>
        <v>三头连弓地狱犬</v>
      </c>
      <c r="H33" s="305" t="str">
        <f>IFERROR(__xludf.DUMMYFUNCTION("GOOGLETRANSLATE(B33,""zh-tw"",""zh"")"),"物攻：32
连发")</f>
        <v>物攻：32
连发</v>
      </c>
      <c r="I33" s="320" t="str">
        <f>IFERROR(__xludf.DUMMYFUNCTION("GOOGLETRANSLATE(A33,""zh-tw"",""es-MX"")"),"Cerbero de tres cabezas")</f>
        <v>Cerbero de tres cabezas</v>
      </c>
      <c r="J33" s="164"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21" t="str">
        <f>IFERROR(__xludf.DUMMYFUNCTION("GOOGLETRANSLATE(A33,""zh-tw"",""ru"")"),"Трехголовый Цербер")</f>
        <v>Трехголовый Цербер</v>
      </c>
      <c r="N33" s="303" t="str">
        <f>IFERROR(__xludf.DUMMYFUNCTION("GOOGLETRANSLATE(B33,""zh-tw"",""ru"")"),"Физическая атака: 32 (Быстрая стрельба)")</f>
        <v>Физическая атака: 32 (Быстрая стрельба)</v>
      </c>
      <c r="O33" s="319" t="s">
        <v>5463</v>
      </c>
      <c r="P33" s="305" t="s">
        <v>5464</v>
      </c>
      <c r="Q33" s="322" t="s">
        <v>5465</v>
      </c>
      <c r="R33" s="323" t="s">
        <v>5466</v>
      </c>
      <c r="S33" s="320" t="s">
        <v>5467</v>
      </c>
      <c r="T33" s="164" t="s">
        <v>5468</v>
      </c>
      <c r="U33" s="164"/>
      <c r="V33" s="164"/>
    </row>
    <row r="34">
      <c r="A34" s="319" t="s">
        <v>4970</v>
      </c>
      <c r="B34" s="305" t="s">
        <v>5469</v>
      </c>
      <c r="C34" s="319" t="str">
        <f>IFERROR(__xludf.DUMMYFUNCTION("GOOGLETRANSLATE(A34,""zh-tw"",""ja"")"),"溶岩の杖")</f>
        <v>溶岩の杖</v>
      </c>
      <c r="D34" s="305" t="str">
        <f>IFERROR(__xludf.DUMMYFUNCTION("GOOGLETRANSLATE(B34,""zh-tw"",""ja"")"),"物理攻撃力：1
魔法攻撃力：66
火属性")</f>
        <v>物理攻撃力：1
魔法攻撃力：66
火属性</v>
      </c>
      <c r="E34" s="319" t="s">
        <v>4974</v>
      </c>
      <c r="F34" s="305" t="s">
        <v>5470</v>
      </c>
      <c r="G34" s="319" t="str">
        <f>IFERROR(__xludf.DUMMYFUNCTION("GOOGLETRANSLATE(A34,""zh-tw"",""zh"")"),"熔岩杖")</f>
        <v>熔岩杖</v>
      </c>
      <c r="H34" s="305" t="str">
        <f>IFERROR(__xludf.DUMMYFUNCTION("GOOGLETRANSLATE(B34,""zh-tw"",""zh"")"),"物攻：1
魔攻：66
炎属性")</f>
        <v>物攻：1
魔攻：66
炎属性</v>
      </c>
      <c r="I34" s="320" t="str">
        <f>IFERROR(__xludf.DUMMYFUNCTION("GOOGLETRANSLATE(A34,""zh-tw"",""es-MX"")"),"Bastón de lava")</f>
        <v>Bastón de lava</v>
      </c>
      <c r="J34" s="164"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64" t="str">
        <f>IFERROR(__xludf.DUMMYFUNCTION("GOOGLETRANSLATE(B34,""zh-tw"",""KO"")"),"물리 공격력: 1
마법 공격력: 66
화속성")</f>
        <v>물리 공격력: 1
마법 공격력: 66
화속성</v>
      </c>
      <c r="M34" s="321" t="str">
        <f>IFERROR(__xludf.DUMMYFUNCTION("GOOGLETRANSLATE(A34,""zh-tw"",""ru"")"),"Лавовый посох")</f>
        <v>Лавовый посох</v>
      </c>
      <c r="N34" s="303" t="str">
        <f>IFERROR(__xludf.DUMMYFUNCTION("GOOGLETRANSLATE(B34,""zh-tw"",""ru"")"),"Физическая атака: 1
Магическая атака: 66
Атрибут огня")</f>
        <v>Физическая атака: 1
Магическая атака: 66
Атрибут огня</v>
      </c>
      <c r="O34" s="319" t="s">
        <v>4977</v>
      </c>
      <c r="P34" s="305" t="s">
        <v>5471</v>
      </c>
      <c r="Q34" s="322" t="s">
        <v>5472</v>
      </c>
      <c r="R34" s="309" t="s">
        <v>5473</v>
      </c>
      <c r="S34" s="320" t="s">
        <v>4981</v>
      </c>
      <c r="T34" s="164" t="s">
        <v>5474</v>
      </c>
      <c r="U34" s="164"/>
      <c r="V34" s="164"/>
    </row>
    <row r="35">
      <c r="A35" s="319" t="s">
        <v>5475</v>
      </c>
      <c r="B35" s="305" t="s">
        <v>5476</v>
      </c>
      <c r="C35" s="319" t="s">
        <v>5477</v>
      </c>
      <c r="D35" s="305" t="str">
        <f>IFERROR(__xludf.DUMMYFUNCTION("GOOGLETRANSLATE(B35,""zh-tw"",""ja"")"),"物理攻撃: 1 魔法攻撃: 55 氷属性")</f>
        <v>物理攻撃: 1 魔法攻撃: 55 氷属性</v>
      </c>
      <c r="E35" s="319" t="s">
        <v>5478</v>
      </c>
      <c r="F35" s="305" t="s">
        <v>5479</v>
      </c>
      <c r="G35" s="319" t="str">
        <f>IFERROR(__xludf.DUMMYFUNCTION("GOOGLETRANSLATE(A35,""zh-tw"",""zh"")"),"寒冰杖")</f>
        <v>寒冰杖</v>
      </c>
      <c r="H35" s="305" t="str">
        <f>IFERROR(__xludf.DUMMYFUNCTION("GOOGLETRANSLATE(B35,""zh-tw"",""zh"")"),"物攻：1
魔攻：55
冰属性")</f>
        <v>物攻：1
魔攻：55
冰属性</v>
      </c>
      <c r="I35" s="320" t="str">
        <f>IFERROR(__xludf.DUMMYFUNCTION("GOOGLETRANSLATE(A35,""zh-tw"",""es-MX"")"),"Bastón de hielo")</f>
        <v>Bastón de hielo</v>
      </c>
      <c r="J35" s="164"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21" t="str">
        <f>IFERROR(__xludf.DUMMYFUNCTION("GOOGLETRANSLATE(A35,""zh-tw"",""ru"")"),"Ледяной посох")</f>
        <v>Ледяной посох</v>
      </c>
      <c r="N35" s="303" t="str">
        <f>IFERROR(__xludf.DUMMYFUNCTION("GOOGLETRANSLATE(B35,""zh-tw"",""ru"")"),"Физическая атака: 1 Магическая атака: 55 Атрибут льда")</f>
        <v>Физическая атака: 1 Магическая атака: 55 Атрибут льда</v>
      </c>
      <c r="O35" s="319" t="s">
        <v>5480</v>
      </c>
      <c r="P35" s="305" t="s">
        <v>5481</v>
      </c>
      <c r="Q35" s="322" t="s">
        <v>5482</v>
      </c>
      <c r="R35" s="323" t="s">
        <v>5483</v>
      </c>
      <c r="S35" s="320" t="s">
        <v>5484</v>
      </c>
      <c r="T35" s="164" t="s">
        <v>5485</v>
      </c>
      <c r="U35" s="164"/>
      <c r="V35" s="164"/>
    </row>
    <row r="36">
      <c r="A36" s="319" t="s">
        <v>5486</v>
      </c>
      <c r="B36" s="305" t="s">
        <v>5487</v>
      </c>
      <c r="C36" s="319" t="str">
        <f>IFERROR(__xludf.DUMMYFUNCTION("GOOGLETRANSLATE(A36,""zh-tw"",""ja"")"),"星空の夜")</f>
        <v>星空の夜</v>
      </c>
      <c r="D36" s="305" t="str">
        <f>IFERROR(__xludf.DUMMYFUNCTION("GOOGLETRANSLATE(B36,""zh-tw"",""ja"")"),"物理攻撃力: 1 魔法攻撃力: 68 ブラックホール")</f>
        <v>物理攻撃力: 1 魔法攻撃力: 68 ブラックホール</v>
      </c>
      <c r="E36" s="319" t="s">
        <v>5488</v>
      </c>
      <c r="F36" s="305" t="s">
        <v>5489</v>
      </c>
      <c r="G36" s="319" t="str">
        <f>IFERROR(__xludf.DUMMYFUNCTION("GOOGLETRANSLATE(A36,""zh-tw"",""zh"")"),"星月夜")</f>
        <v>星月夜</v>
      </c>
      <c r="H36" s="305" t="str">
        <f>IFERROR(__xludf.DUMMYFUNCTION("GOOGLETRANSLATE(B36,""zh-tw"",""zh"")"),"物攻：1
魔攻：68
黑洞")</f>
        <v>物攻：1
魔攻：68
黑洞</v>
      </c>
      <c r="I36" s="320"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21" t="str">
        <f>IFERROR(__xludf.DUMMYFUNCTION("GOOGLETRANSLATE(A36,""zh-tw"",""ru"")"),"звездная лунная ночь")</f>
        <v>звездная лунная ночь</v>
      </c>
      <c r="N36" s="303" t="str">
        <f>IFERROR(__xludf.DUMMYFUNCTION("GOOGLETRANSLATE(B36,""zh-tw"",""ru"")"),"Физическая атака: 1 Магическая атака: 68 Черная дыра")</f>
        <v>Физическая атака: 1 Магическая атака: 68 Черная дыра</v>
      </c>
      <c r="O36" s="319" t="s">
        <v>5490</v>
      </c>
      <c r="P36" s="305" t="s">
        <v>5491</v>
      </c>
      <c r="Q36" s="322" t="s">
        <v>5492</v>
      </c>
      <c r="R36" s="323" t="s">
        <v>5493</v>
      </c>
      <c r="S36" s="320" t="s">
        <v>5494</v>
      </c>
      <c r="T36" s="164" t="s">
        <v>5495</v>
      </c>
      <c r="U36" s="164"/>
      <c r="V36" s="164"/>
    </row>
    <row r="37">
      <c r="A37" s="319" t="s">
        <v>5496</v>
      </c>
      <c r="B37" s="305" t="s">
        <v>5497</v>
      </c>
      <c r="C37" s="319" t="str">
        <f>IFERROR(__xludf.DUMMYFUNCTION("GOOGLETRANSLATE(A37,""zh-tw"",""ja"")"),"バナナ？")</f>
        <v>バナナ？</v>
      </c>
      <c r="D37" s="305" t="str">
        <f>IFERROR(__xludf.DUMMYFUNCTION("GOOGLETRANSLATE(B37,""zh-tw"",""ja"")"),"物理攻撃力：10爆発")</f>
        <v>物理攻撃力：10爆発</v>
      </c>
      <c r="E37" s="319" t="s">
        <v>5498</v>
      </c>
      <c r="F37" s="305" t="s">
        <v>5499</v>
      </c>
      <c r="G37" s="319" t="str">
        <f>IFERROR(__xludf.DUMMYFUNCTION("GOOGLETRANSLATE(A37,""zh-tw"",""zh"")"),"香蕉?")</f>
        <v>香蕉?</v>
      </c>
      <c r="H37" s="305" t="str">
        <f>IFERROR(__xludf.DUMMYFUNCTION("GOOGLETRANSLATE(B37,""zh-tw"",""zh"")"),"物攻：10
爆炸")</f>
        <v>物攻：10
爆炸</v>
      </c>
      <c r="I37" s="320" t="str">
        <f>IFERROR(__xludf.DUMMYFUNCTION("GOOGLETRANSLATE(A37,""zh-tw"",""es-MX"")"),"¿banana?")</f>
        <v>¿banana?</v>
      </c>
      <c r="J37" s="164" t="str">
        <f>IFERROR(__xludf.DUMMYFUNCTION("GOOGLETRANSLATE(B37,""zh-tw"",""es-MX"")"),"Ataque físico: 10 Explosión")</f>
        <v>Ataque físico: 10 Explosión</v>
      </c>
      <c r="K37" s="320" t="str">
        <f>IFERROR(__xludf.DUMMYFUNCTION("GOOGLETRANSLATE(A37,""zh-tw"",""KO"")"),"바나나?")</f>
        <v>바나나?</v>
      </c>
      <c r="L37" s="164" t="str">
        <f>IFERROR(__xludf.DUMMYFUNCTION("GOOGLETRANSLATE(B37,""zh-tw"",""KO"")"),"물리 공격력: 10 폭발")</f>
        <v>물리 공격력: 10 폭발</v>
      </c>
      <c r="M37" s="321" t="str">
        <f>IFERROR(__xludf.DUMMYFUNCTION("GOOGLETRANSLATE(A37,""zh-tw"",""ru"")"),"банан?")</f>
        <v>банан?</v>
      </c>
      <c r="N37" s="303" t="str">
        <f>IFERROR(__xludf.DUMMYFUNCTION("GOOGLETRANSLATE(B37,""zh-tw"",""ru"")"),"Физическая атака: 10 взрывов")</f>
        <v>Физическая атака: 10 взрывов</v>
      </c>
      <c r="O37" s="319" t="s">
        <v>5500</v>
      </c>
      <c r="P37" s="305" t="s">
        <v>5501</v>
      </c>
      <c r="Q37" s="322" t="s">
        <v>5502</v>
      </c>
      <c r="R37" s="323" t="s">
        <v>5503</v>
      </c>
      <c r="S37" s="320" t="s">
        <v>5498</v>
      </c>
      <c r="T37" s="164" t="s">
        <v>5504</v>
      </c>
      <c r="U37" s="164"/>
      <c r="V37" s="164"/>
    </row>
    <row r="38" ht="68.25" customHeight="1">
      <c r="A38" s="319" t="s">
        <v>5505</v>
      </c>
      <c r="B38" s="305" t="s">
        <v>5506</v>
      </c>
      <c r="C38" s="319" t="s">
        <v>5507</v>
      </c>
      <c r="D38" s="305" t="str">
        <f>IFERROR(__xludf.DUMMYFUNCTION("GOOGLETRANSLATE(B38,""zh-tw"",""ja"")"),"物理攻撃力：1
魔法攻撃力：1
アイテム吸収")</f>
        <v>物理攻撃力：1
魔法攻撃力：1
アイテム吸収</v>
      </c>
      <c r="E38" s="319" t="s">
        <v>5508</v>
      </c>
      <c r="F38" s="305" t="s">
        <v>5509</v>
      </c>
      <c r="G38" s="319" t="str">
        <f>IFERROR(__xludf.DUMMYFUNCTION("GOOGLETRANSLATE(A38,""zh-tw"",""zh"")"),"巨蜗吸尘器")</f>
        <v>巨蜗吸尘器</v>
      </c>
      <c r="H38" s="305" t="str">
        <f>IFERROR(__xludf.DUMMYFUNCTION("GOOGLETRANSLATE(B38,""zh-tw"",""zh"")"),"物攻：1
魔攻：1
吸取物品")</f>
        <v>物攻：1
魔攻：1
吸取物品</v>
      </c>
      <c r="I38" s="320"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21" t="str">
        <f>IFERROR(__xludf.DUMMYFUNCTION("GOOGLETRANSLATE(A38,""zh-tw"",""ru"")"),"Гигантский пылесос-улитка")</f>
        <v>Гигантский пылесос-улитка</v>
      </c>
      <c r="N38" s="30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9" t="s">
        <v>5510</v>
      </c>
      <c r="P38" s="305" t="s">
        <v>5511</v>
      </c>
      <c r="Q38" s="322" t="s">
        <v>5512</v>
      </c>
      <c r="R38" s="323" t="s">
        <v>5513</v>
      </c>
      <c r="S38" s="320" t="s">
        <v>5514</v>
      </c>
      <c r="T38" s="164" t="s">
        <v>5515</v>
      </c>
      <c r="U38" s="164"/>
      <c r="V38" s="164"/>
    </row>
    <row r="39">
      <c r="A39" s="319" t="s">
        <v>5516</v>
      </c>
      <c r="B39" s="305" t="s">
        <v>5517</v>
      </c>
      <c r="C39" s="319" t="s">
        <v>5518</v>
      </c>
      <c r="D39" s="305" t="str">
        <f>IFERROR(__xludf.DUMMYFUNCTION("GOOGLETRANSLATE(B39,""zh-tw"",""ja"")"),"物理攻撃: 15 ターゲットをクランプする")</f>
        <v>物理攻撃: 15 ターゲットをクランプする</v>
      </c>
      <c r="E39" s="319" t="s">
        <v>5519</v>
      </c>
      <c r="F39" s="305" t="s">
        <v>5520</v>
      </c>
      <c r="G39" s="319" t="str">
        <f>IFERROR(__xludf.DUMMYFUNCTION("GOOGLETRANSLATE(A39,""zh-tw"",""zh"")"),"巨大蟹钳")</f>
        <v>巨大蟹钳</v>
      </c>
      <c r="H39" s="305" t="str">
        <f>IFERROR(__xludf.DUMMYFUNCTION("GOOGLETRANSLATE(B39,""zh-tw"",""zh"")"),"物攻：15
夹住目标")</f>
        <v>物攻：15
夹住目标</v>
      </c>
      <c r="I39" s="320"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20"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21" t="str">
        <f>IFERROR(__xludf.DUMMYFUNCTION("GOOGLETRANSLATE(A39,""zh-tw"",""ru"")"),"Клешни гигантского краба")</f>
        <v>Клешни гигантского краба</v>
      </c>
      <c r="N39" s="303" t="str">
        <f>IFERROR(__xludf.DUMMYFUNCTION("GOOGLETRANSLATE(B39,""zh-tw"",""ru"")"),"Физическая атака: 15 Захват цели")</f>
        <v>Физическая атака: 15 Захват цели</v>
      </c>
      <c r="O39" s="319" t="s">
        <v>5521</v>
      </c>
      <c r="P39" s="305" t="s">
        <v>5522</v>
      </c>
      <c r="Q39" s="322" t="s">
        <v>5523</v>
      </c>
      <c r="R39" s="323" t="s">
        <v>5524</v>
      </c>
      <c r="S39" s="320" t="s">
        <v>5525</v>
      </c>
      <c r="T39" s="164" t="s">
        <v>5526</v>
      </c>
      <c r="U39" s="164"/>
      <c r="V39" s="164"/>
    </row>
    <row r="40">
      <c r="A40" s="318" t="s">
        <v>5527</v>
      </c>
      <c r="B40" s="163" t="s">
        <v>5528</v>
      </c>
      <c r="C40" s="319" t="s">
        <v>5527</v>
      </c>
      <c r="D40" s="305" t="str">
        <f>IFERROR(__xludf.DUMMYFUNCTION("GOOGLETRANSLATE(B40,""zh-tw"",""ja"")"),"物理攻撃：スタンの確率36%")</f>
        <v>物理攻撃：スタンの確率36%</v>
      </c>
      <c r="E40" s="319" t="s">
        <v>5529</v>
      </c>
      <c r="F40" s="305" t="s">
        <v>5530</v>
      </c>
      <c r="G40" s="319" t="str">
        <f>IFERROR(__xludf.DUMMYFUNCTION("GOOGLETRANSLATE(A40,""zh-tw"",""zh"")"),"大木槌")</f>
        <v>大木槌</v>
      </c>
      <c r="H40" s="305" t="str">
        <f>IFERROR(__xludf.DUMMYFUNCTION("GOOGLETRANSLATE(B40,""zh-tw"",""zh"")"),"物攻：36
机率晕眩")</f>
        <v>物攻：36
机率晕眩</v>
      </c>
      <c r="I40" s="320" t="str">
        <f>IFERROR(__xludf.DUMMYFUNCTION("GOOGLETRANSLATE(A40,""zh-tw"",""es-MX"")"),"mazo de madera grande")</f>
        <v>mazo de madera grande</v>
      </c>
      <c r="J40" s="164"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64" t="str">
        <f>IFERROR(__xludf.DUMMYFUNCTION("GOOGLETRANSLATE(B40,""zh-tw"",""KO"")"),"물리 공격: 36% 확률로 기절")</f>
        <v>물리 공격: 36% 확률로 기절</v>
      </c>
      <c r="M40" s="321" t="str">
        <f>IFERROR(__xludf.DUMMYFUNCTION("GOOGLETRANSLATE(A40,""zh-tw"",""ru"")"),"Большой деревянный молоток")</f>
        <v>Большой деревянный молоток</v>
      </c>
      <c r="N40" s="303" t="str">
        <f>IFERROR(__xludf.DUMMYFUNCTION("GOOGLETRANSLATE(B40,""zh-tw"",""ru"")"),"Физическая атака: 36% шанс оглушения")</f>
        <v>Физическая атака: 36% шанс оглушения</v>
      </c>
      <c r="O40" s="319" t="s">
        <v>5531</v>
      </c>
      <c r="P40" s="305" t="s">
        <v>5532</v>
      </c>
      <c r="Q40" s="322" t="s">
        <v>5533</v>
      </c>
      <c r="R40" s="323" t="s">
        <v>5534</v>
      </c>
      <c r="S40" s="320" t="s">
        <v>5535</v>
      </c>
      <c r="T40" s="164" t="s">
        <v>5536</v>
      </c>
      <c r="U40" s="164"/>
      <c r="V40" s="164"/>
    </row>
    <row r="41">
      <c r="A41" s="320" t="s">
        <v>5537</v>
      </c>
      <c r="B41" s="164" t="s">
        <v>5538</v>
      </c>
      <c r="C41" s="320" t="s">
        <v>5537</v>
      </c>
      <c r="D41" s="164" t="s">
        <v>5539</v>
      </c>
      <c r="E41" s="320" t="s">
        <v>5540</v>
      </c>
      <c r="F41" s="163" t="s">
        <v>5541</v>
      </c>
      <c r="G41" s="319" t="str">
        <f>IFERROR(__xludf.DUMMYFUNCTION("GOOGLETRANSLATE(A41,""zh-tw"",""zh"")"),"日轮")</f>
        <v>日轮</v>
      </c>
      <c r="H41" s="305" t="str">
        <f>IFERROR(__xludf.DUMMYFUNCTION("GOOGLETRANSLATE(B41,""zh-tw"",""zh"")"),"物攻：12
魔攻：30
魔防：30
召唤陨石")</f>
        <v>物攻：12
魔攻：30
魔防：30
召唤陨石</v>
      </c>
      <c r="I41" s="320"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21" t="str">
        <f>IFERROR(__xludf.DUMMYFUNCTION("GOOGLETRANSLATE(A41,""zh-tw"",""ru"")"),"Солнечное колесо")</f>
        <v>Солнечное колесо</v>
      </c>
      <c r="N41" s="30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4" t="s">
        <v>5542</v>
      </c>
      <c r="P41" s="41" t="s">
        <v>5543</v>
      </c>
      <c r="Q41" s="322" t="s">
        <v>5544</v>
      </c>
      <c r="R41" s="323" t="s">
        <v>5545</v>
      </c>
      <c r="S41" s="320" t="s">
        <v>5540</v>
      </c>
      <c r="T41" s="164" t="s">
        <v>5546</v>
      </c>
      <c r="U41" s="164"/>
      <c r="V41" s="164"/>
    </row>
    <row r="42">
      <c r="A42" s="320" t="s">
        <v>5547</v>
      </c>
      <c r="B42" s="163" t="s">
        <v>5548</v>
      </c>
      <c r="C42" s="320" t="s">
        <v>5549</v>
      </c>
      <c r="D42" s="164" t="s">
        <v>5550</v>
      </c>
      <c r="E42" s="320" t="s">
        <v>5551</v>
      </c>
      <c r="F42" s="164" t="s">
        <v>5552</v>
      </c>
      <c r="G42" s="319" t="str">
        <f>IFERROR(__xludf.DUMMYFUNCTION("GOOGLETRANSLATE(A42,""zh-tw"",""zh"")"),"登的阴郁手镰")</f>
        <v>登的阴郁手镰</v>
      </c>
      <c r="H42" s="305" t="str">
        <f>IFERROR(__xludf.DUMMYFUNCTION("GOOGLETRANSLATE(B42,""zh-tw"",""zh"")"),"
物攻：18
魔攻：9
回力镖类型武器")</f>
        <v>
物攻：18
魔攻：9
回力镖类型武器</v>
      </c>
      <c r="I42" s="320" t="str">
        <f>IFERROR(__xludf.DUMMYFUNCTION("GOOGLETRANSLATE(A42,""zh-tw"",""es-MX"")"),"La hoz sombría de Deng")</f>
        <v>La hoz sombría de Deng</v>
      </c>
      <c r="J42" s="164"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21" t="str">
        <f>IFERROR(__xludf.DUMMYFUNCTION("GOOGLETRANSLATE(A42,""zh-tw"",""ru"")"),"Мрачный серп Дэнга")</f>
        <v>Мрачный серп Дэнга</v>
      </c>
      <c r="N42" s="30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4" t="s">
        <v>5553</v>
      </c>
      <c r="P42" s="41" t="s">
        <v>5554</v>
      </c>
      <c r="Q42" s="322" t="s">
        <v>5555</v>
      </c>
      <c r="R42" s="323" t="s">
        <v>5556</v>
      </c>
      <c r="S42" s="320" t="s">
        <v>5557</v>
      </c>
      <c r="T42" s="164" t="s">
        <v>5558</v>
      </c>
      <c r="U42" s="164"/>
      <c r="V42" s="164"/>
    </row>
    <row r="43">
      <c r="A43" s="318" t="s">
        <v>5559</v>
      </c>
      <c r="B43" s="163" t="s">
        <v>5560</v>
      </c>
      <c r="C43" s="318" t="s">
        <v>3490</v>
      </c>
      <c r="D43" s="164" t="str">
        <f>IFERROR(__xludf.DUMMYFUNCTION("GOOGLETRANSLATE(B43,""zh-tw"",""ja"")"),"物理攻撃: 毒または出血を与える確率 15%。毒は必ず発生します。")</f>
        <v>物理攻撃: 毒または出血を与える確率 15%。毒は必ず発生します。</v>
      </c>
      <c r="E43" s="318" t="s">
        <v>5561</v>
      </c>
      <c r="F43" s="163" t="s">
        <v>5562</v>
      </c>
      <c r="G43" s="319" t="str">
        <f>IFERROR(__xludf.DUMMYFUNCTION("GOOGLETRANSLATE(A43,""zh-tw"",""zh"")"),"生锈的铁剑")</f>
        <v>生锈的铁剑</v>
      </c>
      <c r="H43" s="305" t="str">
        <f>IFERROR(__xludf.DUMMYFUNCTION("GOOGLETRANSLATE(B43,""zh-tw"",""zh"")"),"物攻：15
机率附加中毒、出血必定中毒")</f>
        <v>物攻：15
机率附加中毒、出血必定中毒</v>
      </c>
      <c r="I43" s="320" t="str">
        <f>IFERROR(__xludf.DUMMYFUNCTION("GOOGLETRANSLATE(A43,""zh-tw"",""es-MX"")"),"Espada de hierro oxidada")</f>
        <v>Espada de hierro oxidada</v>
      </c>
      <c r="J43" s="164"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21" t="str">
        <f>IFERROR(__xludf.DUMMYFUNCTION("GOOGLETRANSLATE(A43,""zh-tw"",""ru"")"),"Ржавый железный меч")</f>
        <v>Ржавый железный меч</v>
      </c>
      <c r="N43" s="303"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8" t="s">
        <v>5563</v>
      </c>
      <c r="P43" s="163" t="s">
        <v>5564</v>
      </c>
      <c r="Q43" s="322" t="s">
        <v>5565</v>
      </c>
      <c r="R43" s="323" t="s">
        <v>5566</v>
      </c>
      <c r="S43" s="320" t="s">
        <v>5567</v>
      </c>
      <c r="T43" s="164" t="s">
        <v>5568</v>
      </c>
      <c r="U43" s="164"/>
      <c r="V43" s="164"/>
    </row>
    <row r="44">
      <c r="A44" s="318" t="s">
        <v>5569</v>
      </c>
      <c r="B44" s="163" t="s">
        <v>5570</v>
      </c>
      <c r="C44" s="320"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18" t="s">
        <v>5571</v>
      </c>
      <c r="F44" s="163" t="s">
        <v>5572</v>
      </c>
      <c r="G44" s="319" t="str">
        <f>IFERROR(__xludf.DUMMYFUNCTION("GOOGLETRANSLATE(A44,""zh-tw"",""zh"")"),"锻造锤")</f>
        <v>锻造锤</v>
      </c>
      <c r="H44" s="305" t="str">
        <f>IFERROR(__xludf.DUMMYFUNCTION("GOOGLETRANSLATE(B44,""zh-tw"",""zh"")"),"物攻：6
锻造用途，详情于TIPS")</f>
        <v>物攻：6
锻造用途，详情于TIPS</v>
      </c>
      <c r="I44" s="320"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21" t="str">
        <f>IFERROR(__xludf.DUMMYFUNCTION("GOOGLETRANSLATE(A44,""zh-tw"",""ru"")"),"Кузнечный молот")</f>
        <v>Кузнечный молот</v>
      </c>
      <c r="N44" s="303"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8" t="s">
        <v>5573</v>
      </c>
      <c r="P44" s="163" t="s">
        <v>5574</v>
      </c>
      <c r="Q44" s="322" t="s">
        <v>5575</v>
      </c>
      <c r="R44" s="323" t="s">
        <v>5576</v>
      </c>
      <c r="S44" s="320" t="s">
        <v>5577</v>
      </c>
      <c r="T44" s="164" t="s">
        <v>5578</v>
      </c>
      <c r="U44" s="164"/>
      <c r="V44" s="164"/>
    </row>
    <row r="45">
      <c r="A45" s="319" t="s">
        <v>5579</v>
      </c>
      <c r="B45" s="305" t="s">
        <v>5580</v>
      </c>
      <c r="C45" s="319" t="s">
        <v>5581</v>
      </c>
      <c r="D45" s="30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9" t="s">
        <v>5582</v>
      </c>
      <c r="F45" s="305" t="s">
        <v>5583</v>
      </c>
      <c r="G45" s="319" t="str">
        <f>IFERROR(__xludf.DUMMYFUNCTION("GOOGLETRANSLATE(A45,""zh-tw"",""zh"")"),"2号机")</f>
        <v>2号机</v>
      </c>
      <c r="H45" s="30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0" t="str">
        <f>IFERROR(__xludf.DUMMYFUNCTION("GOOGLETRANSLATE(A45,""zh-tw"",""es-MX"")"),"Unidad 2")</f>
        <v>Unidad 2</v>
      </c>
      <c r="J45" s="16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1" t="str">
        <f>IFERROR(__xludf.DUMMYFUNCTION("GOOGLETRANSLATE(A45,""zh-tw"",""ru"")"),"Блок 2")</f>
        <v>Блок 2</v>
      </c>
      <c r="N45" s="303"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9" t="s">
        <v>5584</v>
      </c>
      <c r="P45" s="305" t="s">
        <v>5585</v>
      </c>
      <c r="Q45" s="322" t="s">
        <v>5586</v>
      </c>
      <c r="R45" s="323" t="s">
        <v>5587</v>
      </c>
      <c r="S45" s="320" t="s">
        <v>5588</v>
      </c>
      <c r="T45" s="164" t="s">
        <v>5589</v>
      </c>
      <c r="U45" s="164"/>
      <c r="V45" s="164"/>
    </row>
    <row r="46">
      <c r="A46" s="318" t="s">
        <v>5590</v>
      </c>
      <c r="B46" s="163" t="s">
        <v>5591</v>
      </c>
      <c r="C46" s="318" t="s">
        <v>5592</v>
      </c>
      <c r="D46" s="163" t="s">
        <v>5593</v>
      </c>
      <c r="E46" s="318" t="s">
        <v>5594</v>
      </c>
      <c r="F46" s="163" t="s">
        <v>5595</v>
      </c>
      <c r="G46" s="319" t="str">
        <f>IFERROR(__xludf.DUMMYFUNCTION("GOOGLETRANSLATE(A46,""zh-tw"",""zh"")"),"潮汐之诗")</f>
        <v>潮汐之诗</v>
      </c>
      <c r="H46" s="30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0"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1" t="str">
        <f>IFERROR(__xludf.DUMMYFUNCTION("GOOGLETRANSLATE(A46,""zh-tw"",""ru"")"),"Поэма приливов")</f>
        <v>Поэма приливов</v>
      </c>
      <c r="N46" s="303"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8" t="s">
        <v>5596</v>
      </c>
      <c r="P46" s="163" t="s">
        <v>5597</v>
      </c>
      <c r="Q46" s="324" t="s">
        <v>5598</v>
      </c>
      <c r="R46" s="41" t="s">
        <v>5599</v>
      </c>
      <c r="S46" s="326" t="s">
        <v>5594</v>
      </c>
      <c r="T46" s="164" t="s">
        <v>5600</v>
      </c>
      <c r="U46" s="164"/>
      <c r="V46" s="164"/>
    </row>
    <row r="47">
      <c r="A47" s="324" t="s">
        <v>5601</v>
      </c>
      <c r="B47" s="163" t="s">
        <v>5602</v>
      </c>
      <c r="C47" s="318" t="s">
        <v>3683</v>
      </c>
      <c r="D47" s="163" t="s">
        <v>5603</v>
      </c>
      <c r="E47" s="318" t="s">
        <v>3698</v>
      </c>
      <c r="F47" s="163" t="s">
        <v>5604</v>
      </c>
      <c r="G47" s="319" t="str">
        <f>IFERROR(__xludf.DUMMYFUNCTION("GOOGLETRANSLATE(A47,""zh-tw"",""zh"")"),"胡萝卜大剑")</f>
        <v>胡萝卜大剑</v>
      </c>
      <c r="H47" s="305" t="str">
        <f>IFERROR(__xludf.DUMMYFUNCTION("GOOGLETRANSLATE(B47,""zh-tw"",""zh"")"),"物攻：1
累计伤害型武器
投掷穿刺效果
*特殊传送效果(请参考TIPS)")</f>
        <v>物攻：1
累计伤害型武器
投掷穿刺效果
*特殊传送效果(请参考TIPS)</v>
      </c>
      <c r="I47" s="320" t="str">
        <f>IFERROR(__xludf.DUMMYFUNCTION("GOOGLETRANSLATE(A47,""zh-tw"",""es-MX"")"),"Espada de zanahoria")</f>
        <v>Espada de zanahoria</v>
      </c>
      <c r="J47" s="16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1" t="str">
        <f>IFERROR(__xludf.DUMMYFUNCTION("GOOGLETRANSLATE(A47,""zh-tw"",""ru"")"),"Морковный меч")</f>
        <v>Морковный меч</v>
      </c>
      <c r="N47" s="303"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4"/>
      <c r="P47" s="41"/>
      <c r="Q47" s="322" t="s">
        <v>3701</v>
      </c>
      <c r="R47" s="323" t="s">
        <v>5605</v>
      </c>
      <c r="S47" s="320" t="s">
        <v>3703</v>
      </c>
      <c r="T47" s="164" t="s">
        <v>5606</v>
      </c>
      <c r="U47" s="164"/>
      <c r="V47" s="164"/>
    </row>
    <row r="48">
      <c r="A48" s="318" t="s">
        <v>5607</v>
      </c>
      <c r="B48" s="163" t="s">
        <v>5608</v>
      </c>
      <c r="C48" s="318" t="s">
        <v>5609</v>
      </c>
      <c r="D48" s="163" t="s">
        <v>5610</v>
      </c>
      <c r="E48" s="318" t="s">
        <v>3685</v>
      </c>
      <c r="F48" s="163" t="s">
        <v>5611</v>
      </c>
      <c r="G48" s="319" t="str">
        <f>IFERROR(__xludf.DUMMYFUNCTION("GOOGLETRANSLATE(A48,""zh-tw"",""zh"")"),"冻萝卜大剑")</f>
        <v>冻萝卜大剑</v>
      </c>
      <c r="H48" s="305" t="str">
        <f>IFERROR(__xludf.DUMMYFUNCTION("GOOGLETRANSLATE(B48,""zh-tw"",""zh"")"),"物攻：26
物防：2
冻结效果
投掷穿刺效果")</f>
        <v>物攻：26
物防：2
冻结效果
投掷穿刺效果</v>
      </c>
      <c r="I48" s="320" t="str">
        <f>IFERROR(__xludf.DUMMYFUNCTION("GOOGLETRANSLATE(A48,""zh-tw"",""es-MX"")"),"Espada de rábano congelado")</f>
        <v>Espada de rábano congelado</v>
      </c>
      <c r="J48" s="164"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21" t="str">
        <f>IFERROR(__xludf.DUMMYFUNCTION("GOOGLETRANSLATE(A48,""zh-tw"",""ru"")"),"Замороженный меч из редиса")</f>
        <v>Замороженный меч из редиса</v>
      </c>
      <c r="N48" s="303"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0"/>
      <c r="P48" s="164"/>
      <c r="Q48" s="318" t="s">
        <v>5612</v>
      </c>
      <c r="R48" s="164" t="s">
        <v>5613</v>
      </c>
      <c r="S48" s="320" t="s">
        <v>5614</v>
      </c>
      <c r="T48" s="164" t="s">
        <v>5615</v>
      </c>
      <c r="U48" s="164"/>
      <c r="V48" s="164"/>
    </row>
    <row r="49">
      <c r="A49" s="318" t="s">
        <v>5616</v>
      </c>
      <c r="B49" s="163" t="s">
        <v>5617</v>
      </c>
      <c r="C49" s="318" t="s">
        <v>5618</v>
      </c>
      <c r="D49" s="163" t="s">
        <v>5619</v>
      </c>
      <c r="E49" s="318" t="s">
        <v>5620</v>
      </c>
      <c r="F49" s="163" t="s">
        <v>5621</v>
      </c>
      <c r="G49" s="319" t="str">
        <f>IFERROR(__xludf.DUMMYFUNCTION("GOOGLETRANSLATE(A49,""zh-tw"",""zh"")"),"霉萝卜大剑")</f>
        <v>霉萝卜大剑</v>
      </c>
      <c r="H49" s="305" t="str">
        <f>IFERROR(__xludf.DUMMYFUNCTION("GOOGLETRANSLATE(B49,""zh-tw"",""zh"")"),"物攻：10
魔攻：10
中毒效果
投掷穿刺效果")</f>
        <v>物攻：10
魔攻：10
中毒效果
投掷穿刺效果</v>
      </c>
      <c r="I49" s="320" t="str">
        <f>IFERROR(__xludf.DUMMYFUNCTION("GOOGLETRANSLATE(A49,""zh-tw"",""es-MX"")"),"Espada de rábano mohoso")</f>
        <v>Espada de rábano mohoso</v>
      </c>
      <c r="J49" s="164"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IFERROR(__xludf.DUMMYFUNCTION("GOOGLETRANSLATE(A49,""zh-tw"",""KO"")"),"곰팡이 핀 무우 검")</f>
        <v>곰팡이 핀 무우 검</v>
      </c>
      <c r="L49" s="164" t="str">
        <f>IFERROR(__xludf.DUMMYFUNCTION("GOOGLETRANSLATE(B49,""zh-tw"",""KO"")"),"물리 공격력: 10
마법 공격력: 10
독 효과
투척 관통 효과")</f>
        <v>물리 공격력: 10
마법 공격력: 10
독 효과
투척 관통 효과</v>
      </c>
      <c r="M49" s="321" t="str">
        <f>IFERROR(__xludf.DUMMYFUNCTION("GOOGLETRANSLATE(A49,""zh-tw"",""ru"")"),"Заплесневелый меч из редьки")</f>
        <v>Заплесневелый меч из редьки</v>
      </c>
      <c r="N49" s="303"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0"/>
      <c r="P49" s="164"/>
      <c r="Q49" s="318" t="s">
        <v>5622</v>
      </c>
      <c r="R49" s="164" t="s">
        <v>5623</v>
      </c>
      <c r="S49" s="320" t="s">
        <v>5624</v>
      </c>
      <c r="T49" s="164" t="s">
        <v>5625</v>
      </c>
      <c r="U49" s="164"/>
      <c r="V49" s="164"/>
    </row>
    <row r="50">
      <c r="A50" s="320"/>
      <c r="B50" s="164"/>
      <c r="C50" s="320"/>
      <c r="D50" s="117"/>
      <c r="E50" s="320"/>
      <c r="F50" s="164"/>
      <c r="G50" s="320"/>
      <c r="H50" s="164"/>
      <c r="I50" s="327"/>
      <c r="J50" s="117"/>
      <c r="K50" s="327"/>
      <c r="L50" s="117"/>
      <c r="M50" s="327"/>
      <c r="N50" s="117"/>
      <c r="O50" s="320"/>
      <c r="P50" s="164"/>
      <c r="Q50" s="320"/>
      <c r="R50" s="164"/>
      <c r="S50" s="20"/>
      <c r="T50" s="20"/>
      <c r="U50" s="20"/>
      <c r="V50" s="20"/>
    </row>
    <row r="51">
      <c r="A51" s="320"/>
      <c r="B51" s="164"/>
      <c r="C51" s="320"/>
      <c r="D51" s="117"/>
      <c r="E51" s="320"/>
      <c r="F51" s="164"/>
      <c r="G51" s="320"/>
      <c r="H51" s="164"/>
      <c r="I51" s="327"/>
      <c r="J51" s="117"/>
      <c r="K51" s="327"/>
      <c r="L51" s="117"/>
      <c r="M51" s="327"/>
      <c r="N51" s="117"/>
      <c r="O51" s="320"/>
      <c r="P51" s="164"/>
      <c r="Q51" s="320"/>
      <c r="R51" s="164"/>
      <c r="S51" s="20"/>
      <c r="T51" s="20"/>
      <c r="U51" s="20"/>
      <c r="V51" s="20"/>
    </row>
    <row r="52">
      <c r="A52" s="320"/>
      <c r="B52" s="164"/>
      <c r="C52" s="320"/>
      <c r="D52" s="117"/>
      <c r="E52" s="320"/>
      <c r="F52" s="164"/>
      <c r="G52" s="320"/>
      <c r="H52" s="164"/>
      <c r="I52" s="327"/>
      <c r="J52" s="117"/>
      <c r="K52" s="327"/>
      <c r="L52" s="117"/>
      <c r="M52" s="327"/>
      <c r="N52" s="117"/>
      <c r="O52" s="320"/>
      <c r="P52" s="164"/>
      <c r="Q52" s="320"/>
      <c r="R52" s="164"/>
      <c r="S52" s="20"/>
      <c r="T52" s="20"/>
      <c r="U52" s="20"/>
      <c r="V52" s="20"/>
    </row>
    <row r="53">
      <c r="A53" s="320"/>
      <c r="B53" s="164"/>
      <c r="C53" s="320"/>
      <c r="D53" s="117"/>
      <c r="E53" s="320"/>
      <c r="F53" s="164"/>
      <c r="G53" s="320"/>
      <c r="H53" s="164"/>
      <c r="I53" s="327"/>
      <c r="J53" s="117"/>
      <c r="K53" s="327"/>
      <c r="L53" s="117"/>
      <c r="M53" s="327"/>
      <c r="N53" s="117"/>
      <c r="O53" s="320"/>
      <c r="P53" s="164"/>
      <c r="Q53" s="320"/>
      <c r="R53" s="164"/>
      <c r="S53" s="20"/>
      <c r="T53" s="20"/>
      <c r="U53" s="20"/>
      <c r="V53" s="20"/>
    </row>
    <row r="54">
      <c r="A54" s="320"/>
      <c r="B54" s="164"/>
      <c r="C54" s="320"/>
      <c r="D54" s="117"/>
      <c r="E54" s="320"/>
      <c r="F54" s="164"/>
      <c r="G54" s="320"/>
      <c r="H54" s="164"/>
      <c r="I54" s="327"/>
      <c r="J54" s="117"/>
      <c r="K54" s="327"/>
      <c r="L54" s="117"/>
      <c r="M54" s="327"/>
      <c r="N54" s="117"/>
      <c r="O54" s="320"/>
      <c r="P54" s="164"/>
      <c r="Q54" s="320"/>
      <c r="R54" s="164"/>
      <c r="S54" s="20"/>
      <c r="T54" s="20"/>
      <c r="U54" s="20"/>
      <c r="V54" s="20"/>
    </row>
    <row r="55">
      <c r="A55" s="320"/>
      <c r="B55" s="164"/>
      <c r="C55" s="320"/>
      <c r="D55" s="117"/>
      <c r="E55" s="320"/>
      <c r="F55" s="164"/>
      <c r="G55" s="320"/>
      <c r="H55" s="164"/>
      <c r="I55" s="327"/>
      <c r="J55" s="117"/>
      <c r="K55" s="327"/>
      <c r="L55" s="117"/>
      <c r="M55" s="327"/>
      <c r="N55" s="117"/>
      <c r="O55" s="320"/>
      <c r="P55" s="164"/>
      <c r="Q55" s="320"/>
      <c r="R55" s="164"/>
      <c r="S55" s="20"/>
      <c r="T55" s="20"/>
      <c r="U55" s="20"/>
      <c r="V55" s="20"/>
    </row>
    <row r="56">
      <c r="A56" s="320"/>
      <c r="B56" s="164"/>
      <c r="C56" s="320"/>
      <c r="D56" s="117"/>
      <c r="E56" s="320"/>
      <c r="F56" s="164"/>
      <c r="G56" s="320"/>
      <c r="H56" s="164"/>
      <c r="I56" s="327"/>
      <c r="J56" s="117"/>
      <c r="K56" s="327"/>
      <c r="L56" s="117"/>
      <c r="M56" s="327"/>
      <c r="N56" s="117"/>
      <c r="O56" s="320"/>
      <c r="P56" s="164"/>
      <c r="Q56" s="320"/>
      <c r="R56" s="164"/>
      <c r="S56" s="20"/>
      <c r="T56" s="20"/>
      <c r="U56" s="20"/>
      <c r="V56" s="20"/>
    </row>
    <row r="57">
      <c r="A57" s="320"/>
      <c r="B57" s="164"/>
      <c r="C57" s="320"/>
      <c r="D57" s="117"/>
      <c r="E57" s="320"/>
      <c r="F57" s="164"/>
      <c r="G57" s="320"/>
      <c r="H57" s="164"/>
      <c r="I57" s="327"/>
      <c r="J57" s="117"/>
      <c r="K57" s="327"/>
      <c r="L57" s="117"/>
      <c r="M57" s="327"/>
      <c r="N57" s="117"/>
      <c r="O57" s="320"/>
      <c r="P57" s="164"/>
      <c r="Q57" s="320"/>
      <c r="R57" s="164"/>
      <c r="S57" s="20"/>
      <c r="T57" s="20"/>
      <c r="U57" s="20"/>
      <c r="V57" s="20"/>
    </row>
    <row r="58">
      <c r="A58" s="320"/>
      <c r="B58" s="164"/>
      <c r="C58" s="320"/>
      <c r="D58" s="117"/>
      <c r="E58" s="320"/>
      <c r="F58" s="164"/>
      <c r="G58" s="320"/>
      <c r="H58" s="164"/>
      <c r="I58" s="327"/>
      <c r="J58" s="117"/>
      <c r="K58" s="327"/>
      <c r="L58" s="117"/>
      <c r="M58" s="327"/>
      <c r="N58" s="117"/>
      <c r="O58" s="320"/>
      <c r="P58" s="164"/>
      <c r="Q58" s="320"/>
      <c r="R58" s="164"/>
      <c r="S58" s="20"/>
      <c r="T58" s="20"/>
      <c r="U58" s="20"/>
      <c r="V58" s="20"/>
    </row>
    <row r="59">
      <c r="A59" s="320"/>
      <c r="B59" s="164"/>
      <c r="C59" s="320"/>
      <c r="D59" s="117"/>
      <c r="E59" s="320"/>
      <c r="F59" s="164"/>
      <c r="G59" s="320"/>
      <c r="H59" s="164"/>
      <c r="I59" s="327"/>
      <c r="J59" s="117"/>
      <c r="K59" s="327"/>
      <c r="L59" s="117"/>
      <c r="M59" s="327"/>
      <c r="N59" s="117"/>
      <c r="O59" s="320"/>
      <c r="P59" s="164"/>
      <c r="Q59" s="320"/>
      <c r="R59" s="164"/>
      <c r="S59" s="20"/>
      <c r="T59" s="20"/>
      <c r="U59" s="20"/>
      <c r="V59" s="20"/>
    </row>
    <row r="60">
      <c r="A60" s="320"/>
      <c r="B60" s="164"/>
      <c r="C60" s="320"/>
      <c r="D60" s="117"/>
      <c r="E60" s="320"/>
      <c r="F60" s="164"/>
      <c r="G60" s="320"/>
      <c r="H60" s="164"/>
      <c r="I60" s="327"/>
      <c r="J60" s="117"/>
      <c r="K60" s="327"/>
      <c r="L60" s="117"/>
      <c r="M60" s="327"/>
      <c r="N60" s="117"/>
      <c r="O60" s="320"/>
      <c r="P60" s="164"/>
      <c r="Q60" s="320"/>
      <c r="R60" s="164"/>
      <c r="S60" s="20"/>
      <c r="T60" s="20"/>
      <c r="U60" s="20"/>
      <c r="V60" s="20"/>
    </row>
    <row r="61">
      <c r="A61" s="320"/>
      <c r="B61" s="164"/>
      <c r="C61" s="320"/>
      <c r="D61" s="117"/>
      <c r="E61" s="320"/>
      <c r="F61" s="164"/>
      <c r="G61" s="320"/>
      <c r="H61" s="164"/>
      <c r="I61" s="327"/>
      <c r="J61" s="117"/>
      <c r="K61" s="327"/>
      <c r="L61" s="117"/>
      <c r="M61" s="327"/>
      <c r="N61" s="117"/>
      <c r="O61" s="320"/>
      <c r="P61" s="164"/>
      <c r="Q61" s="320"/>
      <c r="R61" s="164"/>
      <c r="S61" s="20"/>
      <c r="T61" s="20"/>
      <c r="U61" s="20"/>
      <c r="V61" s="20"/>
    </row>
    <row r="62">
      <c r="A62" s="320"/>
      <c r="B62" s="164"/>
      <c r="C62" s="320"/>
      <c r="D62" s="117"/>
      <c r="E62" s="320"/>
      <c r="F62" s="164"/>
      <c r="G62" s="320"/>
      <c r="H62" s="164"/>
      <c r="I62" s="327"/>
      <c r="J62" s="117"/>
      <c r="K62" s="327"/>
      <c r="L62" s="117"/>
      <c r="M62" s="327"/>
      <c r="N62" s="117"/>
      <c r="O62" s="320"/>
      <c r="P62" s="164"/>
      <c r="Q62" s="320"/>
      <c r="R62" s="164"/>
      <c r="S62" s="20"/>
      <c r="T62" s="20"/>
      <c r="U62" s="20"/>
      <c r="V62" s="20"/>
    </row>
    <row r="63">
      <c r="A63" s="320"/>
      <c r="B63" s="164"/>
      <c r="C63" s="320"/>
      <c r="D63" s="117"/>
      <c r="E63" s="320"/>
      <c r="F63" s="164"/>
      <c r="G63" s="320"/>
      <c r="H63" s="164"/>
      <c r="I63" s="327"/>
      <c r="J63" s="117"/>
      <c r="K63" s="327"/>
      <c r="L63" s="117"/>
      <c r="M63" s="327"/>
      <c r="N63" s="117"/>
      <c r="O63" s="320"/>
      <c r="P63" s="164"/>
      <c r="Q63" s="320"/>
      <c r="R63" s="164"/>
      <c r="S63" s="20"/>
      <c r="T63" s="20"/>
      <c r="U63" s="20"/>
      <c r="V63" s="20"/>
    </row>
    <row r="64">
      <c r="A64" s="320"/>
      <c r="B64" s="164"/>
      <c r="C64" s="320"/>
      <c r="D64" s="117"/>
      <c r="E64" s="320"/>
      <c r="F64" s="164"/>
      <c r="G64" s="320"/>
      <c r="H64" s="164"/>
      <c r="I64" s="327"/>
      <c r="J64" s="117"/>
      <c r="K64" s="327"/>
      <c r="L64" s="117"/>
      <c r="M64" s="327"/>
      <c r="N64" s="117"/>
      <c r="O64" s="320"/>
      <c r="P64" s="164"/>
      <c r="Q64" s="320"/>
      <c r="R64" s="164"/>
      <c r="S64" s="20"/>
      <c r="T64" s="20"/>
      <c r="U64" s="20"/>
      <c r="V64" s="20"/>
    </row>
    <row r="65">
      <c r="A65" s="320"/>
      <c r="B65" s="164"/>
      <c r="C65" s="320"/>
      <c r="D65" s="117"/>
      <c r="E65" s="320"/>
      <c r="F65" s="164"/>
      <c r="G65" s="320"/>
      <c r="H65" s="164"/>
      <c r="I65" s="327"/>
      <c r="J65" s="117"/>
      <c r="K65" s="327"/>
      <c r="L65" s="117"/>
      <c r="M65" s="327"/>
      <c r="N65" s="117"/>
      <c r="O65" s="320"/>
      <c r="P65" s="164"/>
      <c r="Q65" s="320"/>
      <c r="R65" s="164"/>
      <c r="S65" s="20"/>
      <c r="T65" s="20"/>
      <c r="U65" s="20"/>
      <c r="V65" s="20"/>
    </row>
    <row r="66">
      <c r="A66" s="320"/>
      <c r="B66" s="164"/>
      <c r="C66" s="320"/>
      <c r="D66" s="117"/>
      <c r="E66" s="320"/>
      <c r="F66" s="164"/>
      <c r="G66" s="320"/>
      <c r="H66" s="164"/>
      <c r="I66" s="327"/>
      <c r="J66" s="117"/>
      <c r="K66" s="327"/>
      <c r="L66" s="117"/>
      <c r="M66" s="327"/>
      <c r="N66" s="117"/>
      <c r="O66" s="320"/>
      <c r="P66" s="164"/>
      <c r="Q66" s="320"/>
      <c r="R66" s="164"/>
      <c r="S66" s="20"/>
      <c r="T66" s="20"/>
      <c r="U66" s="20"/>
      <c r="V66" s="20"/>
    </row>
    <row r="67">
      <c r="A67" s="320"/>
      <c r="B67" s="164"/>
      <c r="C67" s="320"/>
      <c r="D67" s="117"/>
      <c r="E67" s="320"/>
      <c r="F67" s="164"/>
      <c r="G67" s="320"/>
      <c r="H67" s="164"/>
      <c r="I67" s="327"/>
      <c r="J67" s="117"/>
      <c r="K67" s="327"/>
      <c r="L67" s="117"/>
      <c r="M67" s="327"/>
      <c r="N67" s="117"/>
      <c r="O67" s="320"/>
      <c r="P67" s="164"/>
      <c r="Q67" s="320"/>
      <c r="R67" s="164"/>
      <c r="S67" s="20"/>
      <c r="T67" s="20"/>
      <c r="U67" s="20"/>
      <c r="V67" s="20"/>
    </row>
    <row r="68">
      <c r="A68" s="320"/>
      <c r="B68" s="164"/>
      <c r="C68" s="320"/>
      <c r="D68" s="117"/>
      <c r="E68" s="320"/>
      <c r="F68" s="164"/>
      <c r="G68" s="320"/>
      <c r="H68" s="164"/>
      <c r="I68" s="327"/>
      <c r="J68" s="117"/>
      <c r="K68" s="327"/>
      <c r="L68" s="117"/>
      <c r="M68" s="327"/>
      <c r="N68" s="117"/>
      <c r="O68" s="320"/>
      <c r="P68" s="164"/>
      <c r="Q68" s="320"/>
      <c r="R68" s="164"/>
      <c r="S68" s="20"/>
      <c r="T68" s="20"/>
      <c r="U68" s="20"/>
      <c r="V68" s="20"/>
    </row>
    <row r="69">
      <c r="A69" s="320"/>
      <c r="B69" s="164"/>
      <c r="C69" s="320"/>
      <c r="D69" s="117"/>
      <c r="E69" s="320"/>
      <c r="F69" s="164"/>
      <c r="G69" s="320"/>
      <c r="H69" s="164"/>
      <c r="I69" s="327"/>
      <c r="J69" s="117"/>
      <c r="K69" s="327"/>
      <c r="L69" s="117"/>
      <c r="M69" s="327"/>
      <c r="N69" s="117"/>
      <c r="O69" s="320"/>
      <c r="P69" s="164"/>
      <c r="Q69" s="320"/>
      <c r="R69" s="164"/>
      <c r="S69" s="20"/>
      <c r="T69" s="20"/>
      <c r="U69" s="20"/>
      <c r="V69" s="20"/>
    </row>
    <row r="70">
      <c r="A70" s="320"/>
      <c r="B70" s="164"/>
      <c r="C70" s="320"/>
      <c r="D70" s="117"/>
      <c r="E70" s="320"/>
      <c r="F70" s="164"/>
      <c r="G70" s="320"/>
      <c r="H70" s="164"/>
      <c r="I70" s="327"/>
      <c r="J70" s="117"/>
      <c r="K70" s="327"/>
      <c r="L70" s="117"/>
      <c r="M70" s="327"/>
      <c r="N70" s="117"/>
      <c r="O70" s="320"/>
      <c r="P70" s="164"/>
      <c r="Q70" s="320"/>
      <c r="R70" s="164"/>
      <c r="S70" s="20"/>
      <c r="T70" s="20"/>
      <c r="U70" s="20"/>
      <c r="V70" s="20"/>
    </row>
    <row r="71">
      <c r="A71" s="320"/>
      <c r="B71" s="164"/>
      <c r="C71" s="320"/>
      <c r="D71" s="117"/>
      <c r="E71" s="320"/>
      <c r="F71" s="164"/>
      <c r="G71" s="320"/>
      <c r="H71" s="164"/>
      <c r="I71" s="327"/>
      <c r="J71" s="117"/>
      <c r="K71" s="327"/>
      <c r="L71" s="117"/>
      <c r="M71" s="327"/>
      <c r="N71" s="117"/>
      <c r="O71" s="320"/>
      <c r="P71" s="164"/>
      <c r="Q71" s="320"/>
      <c r="R71" s="164"/>
      <c r="S71" s="20"/>
      <c r="T71" s="20"/>
      <c r="U71" s="20"/>
      <c r="V71" s="20"/>
    </row>
    <row r="72">
      <c r="A72" s="320"/>
      <c r="B72" s="164"/>
      <c r="C72" s="320"/>
      <c r="D72" s="117"/>
      <c r="E72" s="320"/>
      <c r="F72" s="164"/>
      <c r="G72" s="320"/>
      <c r="H72" s="164"/>
      <c r="I72" s="327"/>
      <c r="J72" s="117"/>
      <c r="K72" s="327"/>
      <c r="L72" s="117"/>
      <c r="M72" s="327"/>
      <c r="N72" s="117"/>
      <c r="O72" s="320"/>
      <c r="P72" s="164"/>
      <c r="Q72" s="320"/>
      <c r="R72" s="164"/>
      <c r="S72" s="20"/>
      <c r="T72" s="20"/>
      <c r="U72" s="20"/>
      <c r="V72" s="20"/>
    </row>
    <row r="73">
      <c r="A73" s="320"/>
      <c r="B73" s="164"/>
      <c r="C73" s="320"/>
      <c r="D73" s="117"/>
      <c r="E73" s="320"/>
      <c r="F73" s="164"/>
      <c r="G73" s="320"/>
      <c r="H73" s="164"/>
      <c r="I73" s="327"/>
      <c r="J73" s="117"/>
      <c r="K73" s="327"/>
      <c r="L73" s="117"/>
      <c r="M73" s="327"/>
      <c r="N73" s="117"/>
      <c r="O73" s="320"/>
      <c r="P73" s="164"/>
      <c r="Q73" s="320"/>
      <c r="R73" s="164"/>
      <c r="S73" s="20"/>
      <c r="T73" s="20"/>
      <c r="U73" s="20"/>
      <c r="V73" s="20"/>
    </row>
    <row r="74">
      <c r="A74" s="320"/>
      <c r="B74" s="164"/>
      <c r="C74" s="320"/>
      <c r="D74" s="117"/>
      <c r="E74" s="320"/>
      <c r="F74" s="164"/>
      <c r="G74" s="320"/>
      <c r="H74" s="164"/>
      <c r="I74" s="327"/>
      <c r="J74" s="117"/>
      <c r="K74" s="327"/>
      <c r="L74" s="117"/>
      <c r="M74" s="327"/>
      <c r="N74" s="117"/>
      <c r="O74" s="320"/>
      <c r="P74" s="164"/>
      <c r="Q74" s="320"/>
      <c r="R74" s="164"/>
      <c r="S74" s="20"/>
      <c r="T74" s="20"/>
      <c r="U74" s="20"/>
      <c r="V74" s="20"/>
    </row>
    <row r="75">
      <c r="A75" s="320"/>
      <c r="B75" s="164"/>
      <c r="C75" s="320"/>
      <c r="D75" s="117"/>
      <c r="E75" s="320"/>
      <c r="F75" s="164"/>
      <c r="G75" s="320"/>
      <c r="H75" s="164"/>
      <c r="I75" s="327"/>
      <c r="J75" s="117"/>
      <c r="K75" s="327"/>
      <c r="L75" s="117"/>
      <c r="M75" s="327"/>
      <c r="N75" s="117"/>
      <c r="O75" s="320"/>
      <c r="P75" s="164"/>
      <c r="Q75" s="320"/>
      <c r="R75" s="164"/>
      <c r="S75" s="20"/>
      <c r="T75" s="20"/>
      <c r="U75" s="20"/>
      <c r="V75" s="20"/>
    </row>
    <row r="76">
      <c r="A76" s="320"/>
      <c r="B76" s="164"/>
      <c r="C76" s="320"/>
      <c r="D76" s="117"/>
      <c r="E76" s="320"/>
      <c r="F76" s="164"/>
      <c r="G76" s="320"/>
      <c r="H76" s="164"/>
      <c r="I76" s="327"/>
      <c r="J76" s="117"/>
      <c r="K76" s="327"/>
      <c r="L76" s="117"/>
      <c r="M76" s="327"/>
      <c r="N76" s="117"/>
      <c r="O76" s="320"/>
      <c r="P76" s="164"/>
      <c r="Q76" s="320"/>
      <c r="R76" s="164"/>
      <c r="S76" s="20"/>
      <c r="T76" s="20"/>
      <c r="U76" s="20"/>
      <c r="V76" s="20"/>
    </row>
    <row r="77">
      <c r="A77" s="320"/>
      <c r="B77" s="164"/>
      <c r="C77" s="320"/>
      <c r="D77" s="117"/>
      <c r="E77" s="320"/>
      <c r="F77" s="164"/>
      <c r="G77" s="320"/>
      <c r="H77" s="164"/>
      <c r="I77" s="327"/>
      <c r="J77" s="117"/>
      <c r="K77" s="327"/>
      <c r="L77" s="117"/>
      <c r="M77" s="327"/>
      <c r="N77" s="117"/>
      <c r="O77" s="320"/>
      <c r="P77" s="164"/>
      <c r="Q77" s="320"/>
      <c r="R77" s="164"/>
      <c r="S77" s="20"/>
      <c r="T77" s="20"/>
      <c r="U77" s="20"/>
      <c r="V77" s="20"/>
    </row>
    <row r="78">
      <c r="A78" s="320"/>
      <c r="B78" s="164"/>
      <c r="C78" s="320"/>
      <c r="D78" s="117"/>
      <c r="E78" s="320"/>
      <c r="F78" s="164"/>
      <c r="G78" s="320"/>
      <c r="H78" s="164"/>
      <c r="I78" s="327"/>
      <c r="J78" s="117"/>
      <c r="K78" s="327"/>
      <c r="L78" s="117"/>
      <c r="M78" s="327"/>
      <c r="N78" s="117"/>
      <c r="O78" s="320"/>
      <c r="P78" s="164"/>
      <c r="Q78" s="320"/>
      <c r="R78" s="164"/>
      <c r="S78" s="20"/>
      <c r="T78" s="20"/>
      <c r="U78" s="20"/>
      <c r="V78" s="20"/>
    </row>
    <row r="79">
      <c r="A79" s="320"/>
      <c r="B79" s="164"/>
      <c r="C79" s="320"/>
      <c r="D79" s="117"/>
      <c r="E79" s="320"/>
      <c r="F79" s="164"/>
      <c r="G79" s="320"/>
      <c r="H79" s="164"/>
      <c r="I79" s="327"/>
      <c r="J79" s="117"/>
      <c r="K79" s="327"/>
      <c r="L79" s="117"/>
      <c r="M79" s="327"/>
      <c r="N79" s="117"/>
      <c r="O79" s="320"/>
      <c r="P79" s="164"/>
      <c r="Q79" s="320"/>
      <c r="R79" s="164"/>
      <c r="S79" s="20"/>
      <c r="T79" s="20"/>
      <c r="U79" s="20"/>
      <c r="V79" s="20"/>
    </row>
    <row r="80">
      <c r="A80" s="320"/>
      <c r="B80" s="164"/>
      <c r="C80" s="320"/>
      <c r="D80" s="117"/>
      <c r="E80" s="320"/>
      <c r="F80" s="164"/>
      <c r="G80" s="320"/>
      <c r="H80" s="164"/>
      <c r="I80" s="327"/>
      <c r="J80" s="117"/>
      <c r="K80" s="327"/>
      <c r="L80" s="117"/>
      <c r="M80" s="327"/>
      <c r="N80" s="117"/>
      <c r="O80" s="320"/>
      <c r="P80" s="164"/>
      <c r="Q80" s="320"/>
      <c r="R80" s="164"/>
      <c r="S80" s="20"/>
      <c r="T80" s="20"/>
      <c r="U80" s="20"/>
      <c r="V80" s="20"/>
    </row>
    <row r="81">
      <c r="A81" s="320"/>
      <c r="B81" s="164"/>
      <c r="C81" s="320"/>
      <c r="D81" s="117"/>
      <c r="E81" s="320"/>
      <c r="F81" s="164"/>
      <c r="G81" s="320"/>
      <c r="H81" s="164"/>
      <c r="I81" s="327"/>
      <c r="J81" s="117"/>
      <c r="K81" s="327"/>
      <c r="L81" s="117"/>
      <c r="M81" s="327"/>
      <c r="N81" s="117"/>
      <c r="O81" s="320"/>
      <c r="P81" s="164"/>
      <c r="Q81" s="320"/>
      <c r="R81" s="164"/>
      <c r="S81" s="20"/>
      <c r="T81" s="20"/>
      <c r="U81" s="20"/>
      <c r="V81" s="20"/>
    </row>
    <row r="82">
      <c r="A82" s="320"/>
      <c r="B82" s="164"/>
      <c r="C82" s="320"/>
      <c r="D82" s="117"/>
      <c r="E82" s="320"/>
      <c r="F82" s="164"/>
      <c r="G82" s="320"/>
      <c r="H82" s="164"/>
      <c r="I82" s="327"/>
      <c r="J82" s="117"/>
      <c r="K82" s="327"/>
      <c r="L82" s="117"/>
      <c r="M82" s="327"/>
      <c r="N82" s="117"/>
      <c r="O82" s="320"/>
      <c r="P82" s="164"/>
      <c r="Q82" s="320"/>
      <c r="R82" s="164"/>
      <c r="S82" s="20"/>
      <c r="T82" s="20"/>
      <c r="U82" s="20"/>
      <c r="V82" s="20"/>
    </row>
    <row r="83">
      <c r="A83" s="320"/>
      <c r="B83" s="164"/>
      <c r="C83" s="320"/>
      <c r="D83" s="117"/>
      <c r="E83" s="320"/>
      <c r="F83" s="164"/>
      <c r="G83" s="320"/>
      <c r="H83" s="164"/>
      <c r="I83" s="327"/>
      <c r="J83" s="117"/>
      <c r="K83" s="327"/>
      <c r="L83" s="117"/>
      <c r="M83" s="327"/>
      <c r="N83" s="117"/>
      <c r="O83" s="320"/>
      <c r="P83" s="164"/>
      <c r="Q83" s="320"/>
      <c r="R83" s="164"/>
      <c r="S83" s="20"/>
      <c r="T83" s="20"/>
      <c r="U83" s="20"/>
      <c r="V83" s="20"/>
    </row>
    <row r="84">
      <c r="A84" s="320"/>
      <c r="B84" s="164"/>
      <c r="C84" s="320"/>
      <c r="D84" s="117"/>
      <c r="E84" s="320"/>
      <c r="F84" s="164"/>
      <c r="G84" s="320"/>
      <c r="H84" s="164"/>
      <c r="I84" s="327"/>
      <c r="J84" s="117"/>
      <c r="K84" s="327"/>
      <c r="L84" s="117"/>
      <c r="M84" s="327"/>
      <c r="N84" s="117"/>
      <c r="O84" s="320"/>
      <c r="P84" s="164"/>
      <c r="Q84" s="320"/>
      <c r="R84" s="164"/>
      <c r="S84" s="20"/>
      <c r="T84" s="20"/>
      <c r="U84" s="20"/>
      <c r="V84" s="20"/>
    </row>
    <row r="85">
      <c r="A85" s="320"/>
      <c r="B85" s="164"/>
      <c r="C85" s="320"/>
      <c r="D85" s="117"/>
      <c r="E85" s="320"/>
      <c r="F85" s="164"/>
      <c r="G85" s="320"/>
      <c r="H85" s="164"/>
      <c r="I85" s="327"/>
      <c r="J85" s="117"/>
      <c r="K85" s="327"/>
      <c r="L85" s="117"/>
      <c r="M85" s="327"/>
      <c r="N85" s="117"/>
      <c r="O85" s="320"/>
      <c r="P85" s="164"/>
      <c r="Q85" s="320"/>
      <c r="R85" s="164"/>
      <c r="S85" s="20"/>
      <c r="T85" s="20"/>
      <c r="U85" s="20"/>
      <c r="V85" s="20"/>
    </row>
    <row r="86">
      <c r="A86" s="320"/>
      <c r="B86" s="164"/>
      <c r="C86" s="320"/>
      <c r="D86" s="117"/>
      <c r="E86" s="320"/>
      <c r="F86" s="164"/>
      <c r="G86" s="320"/>
      <c r="H86" s="164"/>
      <c r="I86" s="327"/>
      <c r="J86" s="117"/>
      <c r="K86" s="327"/>
      <c r="L86" s="117"/>
      <c r="M86" s="327"/>
      <c r="N86" s="117"/>
      <c r="O86" s="320"/>
      <c r="P86" s="164"/>
      <c r="Q86" s="320"/>
      <c r="R86" s="164"/>
      <c r="S86" s="20"/>
      <c r="T86" s="20"/>
      <c r="U86" s="20"/>
      <c r="V86" s="20"/>
    </row>
    <row r="87">
      <c r="A87" s="320"/>
      <c r="B87" s="164"/>
      <c r="C87" s="320"/>
      <c r="D87" s="117"/>
      <c r="E87" s="320"/>
      <c r="F87" s="164"/>
      <c r="G87" s="320"/>
      <c r="H87" s="164"/>
      <c r="I87" s="327"/>
      <c r="J87" s="117"/>
      <c r="K87" s="327"/>
      <c r="L87" s="117"/>
      <c r="M87" s="327"/>
      <c r="N87" s="117"/>
      <c r="O87" s="320"/>
      <c r="P87" s="164"/>
      <c r="Q87" s="320"/>
      <c r="R87" s="164"/>
      <c r="S87" s="20"/>
      <c r="T87" s="20"/>
      <c r="U87" s="20"/>
      <c r="V87" s="20"/>
    </row>
    <row r="88">
      <c r="A88" s="320"/>
      <c r="B88" s="164"/>
      <c r="C88" s="320"/>
      <c r="D88" s="117"/>
      <c r="E88" s="320"/>
      <c r="F88" s="164"/>
      <c r="G88" s="320"/>
      <c r="H88" s="164"/>
      <c r="I88" s="327"/>
      <c r="J88" s="117"/>
      <c r="K88" s="327"/>
      <c r="L88" s="117"/>
      <c r="M88" s="327"/>
      <c r="N88" s="117"/>
      <c r="O88" s="320"/>
      <c r="P88" s="164"/>
      <c r="Q88" s="320"/>
      <c r="R88" s="164"/>
      <c r="S88" s="20"/>
      <c r="T88" s="20"/>
      <c r="U88" s="20"/>
      <c r="V88" s="20"/>
    </row>
    <row r="89">
      <c r="A89" s="320"/>
      <c r="B89" s="164"/>
      <c r="C89" s="320"/>
      <c r="D89" s="117"/>
      <c r="E89" s="320"/>
      <c r="F89" s="164"/>
      <c r="G89" s="320"/>
      <c r="H89" s="164"/>
      <c r="I89" s="327"/>
      <c r="J89" s="117"/>
      <c r="K89" s="327"/>
      <c r="L89" s="117"/>
      <c r="M89" s="327"/>
      <c r="N89" s="117"/>
      <c r="O89" s="320"/>
      <c r="P89" s="164"/>
      <c r="Q89" s="320"/>
      <c r="R89" s="164"/>
      <c r="S89" s="20"/>
      <c r="T89" s="20"/>
      <c r="U89" s="20"/>
      <c r="V89" s="20"/>
    </row>
    <row r="90">
      <c r="A90" s="320"/>
      <c r="B90" s="164"/>
      <c r="C90" s="320"/>
      <c r="D90" s="117"/>
      <c r="E90" s="320"/>
      <c r="F90" s="164"/>
      <c r="G90" s="320"/>
      <c r="H90" s="164"/>
      <c r="I90" s="327"/>
      <c r="J90" s="117"/>
      <c r="K90" s="327"/>
      <c r="L90" s="117"/>
      <c r="M90" s="327"/>
      <c r="N90" s="117"/>
      <c r="O90" s="320"/>
      <c r="P90" s="164"/>
      <c r="Q90" s="188"/>
      <c r="R90" s="188"/>
      <c r="S90" s="20"/>
      <c r="T90" s="20"/>
      <c r="U90" s="20"/>
      <c r="V90" s="20"/>
    </row>
    <row r="91">
      <c r="A91" s="320"/>
      <c r="B91" s="164"/>
      <c r="C91" s="320"/>
      <c r="D91" s="117"/>
      <c r="E91" s="320"/>
      <c r="F91" s="164"/>
      <c r="G91" s="320"/>
      <c r="H91" s="164"/>
      <c r="I91" s="327"/>
      <c r="J91" s="117"/>
      <c r="K91" s="327"/>
      <c r="L91" s="117"/>
      <c r="M91" s="327"/>
      <c r="N91" s="117"/>
      <c r="O91" s="320"/>
      <c r="P91" s="164"/>
      <c r="Q91" s="188"/>
      <c r="R91" s="188"/>
      <c r="S91" s="20"/>
      <c r="T91" s="20"/>
      <c r="U91" s="20"/>
      <c r="V91" s="20"/>
    </row>
    <row r="92">
      <c r="A92" s="320"/>
      <c r="B92" s="164"/>
      <c r="C92" s="320"/>
      <c r="D92" s="117"/>
      <c r="E92" s="320"/>
      <c r="F92" s="164"/>
      <c r="G92" s="320"/>
      <c r="H92" s="164"/>
      <c r="I92" s="327"/>
      <c r="J92" s="117"/>
      <c r="K92" s="327"/>
      <c r="L92" s="117"/>
      <c r="M92" s="327"/>
      <c r="N92" s="117"/>
      <c r="O92" s="320"/>
      <c r="P92" s="164"/>
      <c r="Q92" s="188"/>
      <c r="R92" s="188"/>
      <c r="S92" s="20"/>
      <c r="T92" s="20"/>
      <c r="U92" s="20"/>
      <c r="V92" s="20"/>
    </row>
    <row r="93">
      <c r="A93" s="320"/>
      <c r="B93" s="164"/>
      <c r="C93" s="320"/>
      <c r="D93" s="117"/>
      <c r="E93" s="320"/>
      <c r="F93" s="164"/>
      <c r="G93" s="320"/>
      <c r="H93" s="164"/>
      <c r="I93" s="327"/>
      <c r="J93" s="117"/>
      <c r="K93" s="327"/>
      <c r="L93" s="117"/>
      <c r="M93" s="327"/>
      <c r="N93" s="117"/>
      <c r="O93" s="320"/>
      <c r="P93" s="164"/>
      <c r="Q93" s="188"/>
      <c r="R93" s="188"/>
      <c r="S93" s="20"/>
      <c r="T93" s="20"/>
      <c r="U93" s="20"/>
      <c r="V93" s="20"/>
    </row>
    <row r="94">
      <c r="A94" s="320"/>
      <c r="B94" s="164"/>
      <c r="C94" s="320"/>
      <c r="D94" s="117"/>
      <c r="E94" s="320"/>
      <c r="F94" s="164"/>
      <c r="G94" s="320"/>
      <c r="H94" s="164"/>
      <c r="I94" s="327"/>
      <c r="J94" s="117"/>
      <c r="K94" s="327"/>
      <c r="L94" s="117"/>
      <c r="M94" s="327"/>
      <c r="N94" s="117"/>
      <c r="O94" s="320"/>
      <c r="P94" s="164"/>
      <c r="Q94" s="188"/>
      <c r="R94" s="188"/>
      <c r="S94" s="20"/>
      <c r="T94" s="20"/>
      <c r="U94" s="20"/>
      <c r="V94" s="20"/>
    </row>
    <row r="95">
      <c r="A95" s="320"/>
      <c r="B95" s="164"/>
      <c r="C95" s="320"/>
      <c r="D95" s="117"/>
      <c r="E95" s="320"/>
      <c r="F95" s="164"/>
      <c r="G95" s="320"/>
      <c r="H95" s="164"/>
      <c r="I95" s="327"/>
      <c r="J95" s="117"/>
      <c r="K95" s="327"/>
      <c r="L95" s="117"/>
      <c r="M95" s="327"/>
      <c r="N95" s="117"/>
      <c r="O95" s="320"/>
      <c r="P95" s="164"/>
      <c r="Q95" s="188"/>
      <c r="R95" s="188"/>
      <c r="S95" s="20"/>
      <c r="T95" s="20"/>
      <c r="U95" s="20"/>
      <c r="V95" s="20"/>
    </row>
    <row r="96">
      <c r="A96" s="320"/>
      <c r="B96" s="164"/>
      <c r="C96" s="320"/>
      <c r="D96" s="117"/>
      <c r="E96" s="320"/>
      <c r="F96" s="164"/>
      <c r="G96" s="320"/>
      <c r="H96" s="164"/>
      <c r="I96" s="327"/>
      <c r="J96" s="117"/>
      <c r="K96" s="327"/>
      <c r="L96" s="117"/>
      <c r="M96" s="327"/>
      <c r="N96" s="117"/>
      <c r="O96" s="320"/>
      <c r="P96" s="164"/>
      <c r="Q96" s="188"/>
      <c r="R96" s="188"/>
      <c r="S96" s="20"/>
      <c r="T96" s="20"/>
      <c r="U96" s="20"/>
      <c r="V96" s="20"/>
    </row>
    <row r="97">
      <c r="A97" s="320"/>
      <c r="B97" s="164"/>
      <c r="C97" s="320"/>
      <c r="D97" s="117"/>
      <c r="E97" s="320"/>
      <c r="F97" s="164"/>
      <c r="G97" s="320"/>
      <c r="H97" s="164"/>
      <c r="I97" s="327"/>
      <c r="J97" s="117"/>
      <c r="K97" s="327"/>
      <c r="L97" s="117"/>
      <c r="M97" s="327"/>
      <c r="N97" s="117"/>
      <c r="O97" s="320"/>
      <c r="P97" s="164"/>
      <c r="Q97" s="188"/>
      <c r="R97" s="188"/>
      <c r="S97" s="20"/>
      <c r="T97" s="20"/>
      <c r="U97" s="20"/>
      <c r="V97" s="20"/>
    </row>
    <row r="98">
      <c r="A98" s="320"/>
      <c r="B98" s="164"/>
      <c r="C98" s="320"/>
      <c r="D98" s="117"/>
      <c r="E98" s="320"/>
      <c r="F98" s="164"/>
      <c r="G98" s="320"/>
      <c r="H98" s="164"/>
      <c r="I98" s="327"/>
      <c r="J98" s="117"/>
      <c r="K98" s="327"/>
      <c r="L98" s="117"/>
      <c r="M98" s="327"/>
      <c r="N98" s="117"/>
      <c r="O98" s="320"/>
      <c r="P98" s="164"/>
      <c r="Q98" s="188"/>
      <c r="R98" s="188"/>
      <c r="S98" s="20"/>
      <c r="T98" s="20"/>
      <c r="U98" s="20"/>
      <c r="V98" s="20"/>
    </row>
    <row r="99">
      <c r="A99" s="320"/>
      <c r="B99" s="164"/>
      <c r="C99" s="320"/>
      <c r="D99" s="117"/>
      <c r="E99" s="320"/>
      <c r="F99" s="164"/>
      <c r="G99" s="320"/>
      <c r="H99" s="164"/>
      <c r="I99" s="327"/>
      <c r="J99" s="117"/>
      <c r="K99" s="327"/>
      <c r="L99" s="117"/>
      <c r="M99" s="327"/>
      <c r="N99" s="117"/>
      <c r="O99" s="320"/>
      <c r="P99" s="164"/>
      <c r="Q99" s="188"/>
      <c r="R99" s="188"/>
      <c r="S99" s="20"/>
      <c r="T99" s="20"/>
      <c r="U99" s="20"/>
      <c r="V99" s="20"/>
    </row>
    <row r="100">
      <c r="A100" s="320"/>
      <c r="B100" s="164"/>
      <c r="C100" s="320"/>
      <c r="D100" s="117"/>
      <c r="E100" s="320"/>
      <c r="F100" s="164"/>
      <c r="G100" s="320"/>
      <c r="H100" s="164"/>
      <c r="I100" s="327"/>
      <c r="J100" s="117"/>
      <c r="K100" s="327"/>
      <c r="L100" s="117"/>
      <c r="M100" s="327"/>
      <c r="N100" s="117"/>
      <c r="O100" s="320"/>
      <c r="P100" s="164"/>
      <c r="Q100" s="188"/>
      <c r="R100" s="188"/>
      <c r="S100" s="20"/>
      <c r="T100" s="20"/>
      <c r="U100" s="20"/>
      <c r="V100" s="20"/>
    </row>
    <row r="101">
      <c r="A101" s="320"/>
      <c r="B101" s="164"/>
      <c r="C101" s="320"/>
      <c r="D101" s="117"/>
      <c r="E101" s="320"/>
      <c r="F101" s="164"/>
      <c r="G101" s="320"/>
      <c r="H101" s="164"/>
      <c r="I101" s="327"/>
      <c r="J101" s="117"/>
      <c r="K101" s="327"/>
      <c r="L101" s="117"/>
      <c r="M101" s="327"/>
      <c r="N101" s="117"/>
      <c r="O101" s="320"/>
      <c r="P101" s="164"/>
      <c r="Q101" s="188"/>
      <c r="R101" s="188"/>
      <c r="S101" s="20"/>
      <c r="T101" s="20"/>
      <c r="U101" s="20"/>
      <c r="V101" s="20"/>
    </row>
    <row r="102">
      <c r="A102" s="320"/>
      <c r="B102" s="164"/>
      <c r="C102" s="320"/>
      <c r="D102" s="117"/>
      <c r="E102" s="320"/>
      <c r="F102" s="164"/>
      <c r="G102" s="320"/>
      <c r="H102" s="164"/>
      <c r="I102" s="327"/>
      <c r="J102" s="117"/>
      <c r="K102" s="327"/>
      <c r="L102" s="117"/>
      <c r="M102" s="327"/>
      <c r="N102" s="117"/>
      <c r="O102" s="320"/>
      <c r="P102" s="164"/>
      <c r="Q102" s="188"/>
      <c r="R102" s="188"/>
      <c r="S102" s="20"/>
      <c r="T102" s="20"/>
      <c r="U102" s="20"/>
      <c r="V102" s="20"/>
    </row>
    <row r="103">
      <c r="A103" s="320"/>
      <c r="B103" s="164"/>
      <c r="C103" s="320"/>
      <c r="D103" s="117"/>
      <c r="E103" s="320"/>
      <c r="F103" s="164"/>
      <c r="G103" s="320"/>
      <c r="H103" s="164"/>
      <c r="I103" s="327"/>
      <c r="J103" s="117"/>
      <c r="K103" s="327"/>
      <c r="L103" s="117"/>
      <c r="M103" s="327"/>
      <c r="N103" s="117"/>
      <c r="O103" s="320"/>
      <c r="P103" s="164"/>
      <c r="Q103" s="188"/>
      <c r="R103" s="188"/>
      <c r="S103" s="20"/>
      <c r="T103" s="20"/>
      <c r="U103" s="20"/>
      <c r="V103" s="20"/>
    </row>
    <row r="104">
      <c r="A104" s="320"/>
      <c r="B104" s="164"/>
      <c r="C104" s="320"/>
      <c r="D104" s="117"/>
      <c r="E104" s="320"/>
      <c r="F104" s="164"/>
      <c r="G104" s="320"/>
      <c r="H104" s="164"/>
      <c r="I104" s="327"/>
      <c r="J104" s="117"/>
      <c r="K104" s="327"/>
      <c r="L104" s="117"/>
      <c r="M104" s="327"/>
      <c r="N104" s="117"/>
      <c r="O104" s="320"/>
      <c r="P104" s="164"/>
      <c r="Q104" s="188"/>
      <c r="R104" s="188"/>
      <c r="S104" s="20"/>
      <c r="T104" s="20"/>
      <c r="U104" s="20"/>
      <c r="V104" s="20"/>
    </row>
    <row r="105">
      <c r="A105" s="320"/>
      <c r="B105" s="164"/>
      <c r="C105" s="320"/>
      <c r="D105" s="117"/>
      <c r="E105" s="320"/>
      <c r="F105" s="164"/>
      <c r="G105" s="320"/>
      <c r="H105" s="164"/>
      <c r="I105" s="327"/>
      <c r="J105" s="117"/>
      <c r="K105" s="327"/>
      <c r="L105" s="117"/>
      <c r="M105" s="327"/>
      <c r="N105" s="117"/>
      <c r="O105" s="320"/>
      <c r="P105" s="164"/>
      <c r="Q105" s="188"/>
      <c r="R105" s="188"/>
      <c r="S105" s="20"/>
      <c r="T105" s="20"/>
      <c r="U105" s="20"/>
      <c r="V105" s="20"/>
    </row>
    <row r="106">
      <c r="A106" s="320"/>
      <c r="B106" s="164"/>
      <c r="C106" s="320"/>
      <c r="D106" s="117"/>
      <c r="E106" s="320"/>
      <c r="F106" s="164"/>
      <c r="G106" s="320"/>
      <c r="H106" s="164"/>
      <c r="I106" s="327"/>
      <c r="J106" s="117"/>
      <c r="K106" s="327"/>
      <c r="L106" s="117"/>
      <c r="M106" s="327"/>
      <c r="N106" s="117"/>
      <c r="O106" s="320"/>
      <c r="P106" s="164"/>
      <c r="Q106" s="188"/>
      <c r="R106" s="188"/>
      <c r="S106" s="20"/>
      <c r="T106" s="20"/>
      <c r="U106" s="20"/>
      <c r="V106" s="20"/>
    </row>
    <row r="107">
      <c r="A107" s="320"/>
      <c r="B107" s="164"/>
      <c r="C107" s="320"/>
      <c r="D107" s="117"/>
      <c r="E107" s="320"/>
      <c r="F107" s="164"/>
      <c r="G107" s="320"/>
      <c r="H107" s="164"/>
      <c r="I107" s="327"/>
      <c r="J107" s="117"/>
      <c r="K107" s="327"/>
      <c r="L107" s="117"/>
      <c r="M107" s="327"/>
      <c r="N107" s="117"/>
      <c r="O107" s="320"/>
      <c r="P107" s="164"/>
      <c r="Q107" s="188"/>
      <c r="R107" s="188"/>
      <c r="S107" s="20"/>
      <c r="T107" s="20"/>
      <c r="U107" s="20"/>
      <c r="V107" s="20"/>
    </row>
    <row r="108">
      <c r="A108" s="320"/>
      <c r="B108" s="164"/>
      <c r="C108" s="320"/>
      <c r="D108" s="117"/>
      <c r="E108" s="320"/>
      <c r="F108" s="164"/>
      <c r="G108" s="320"/>
      <c r="H108" s="164"/>
      <c r="I108" s="327"/>
      <c r="J108" s="117"/>
      <c r="K108" s="327"/>
      <c r="L108" s="117"/>
      <c r="M108" s="327"/>
      <c r="N108" s="117"/>
      <c r="O108" s="320"/>
      <c r="P108" s="164"/>
      <c r="Q108" s="188"/>
      <c r="R108" s="188"/>
      <c r="S108" s="20"/>
      <c r="T108" s="20"/>
      <c r="U108" s="20"/>
      <c r="V108" s="20"/>
    </row>
    <row r="109">
      <c r="A109" s="320"/>
      <c r="B109" s="164"/>
      <c r="C109" s="320"/>
      <c r="D109" s="117"/>
      <c r="E109" s="320"/>
      <c r="F109" s="164"/>
      <c r="G109" s="320"/>
      <c r="H109" s="164"/>
      <c r="I109" s="327"/>
      <c r="J109" s="117"/>
      <c r="K109" s="327"/>
      <c r="L109" s="117"/>
      <c r="M109" s="327"/>
      <c r="N109" s="117"/>
      <c r="O109" s="320"/>
      <c r="P109" s="164"/>
      <c r="Q109" s="188"/>
      <c r="R109" s="188"/>
      <c r="S109" s="20"/>
      <c r="T109" s="20"/>
      <c r="U109" s="20"/>
      <c r="V109" s="20"/>
    </row>
    <row r="110">
      <c r="A110" s="320"/>
      <c r="B110" s="164"/>
      <c r="C110" s="320"/>
      <c r="D110" s="117"/>
      <c r="E110" s="320"/>
      <c r="F110" s="164"/>
      <c r="G110" s="320"/>
      <c r="H110" s="164"/>
      <c r="I110" s="327"/>
      <c r="J110" s="117"/>
      <c r="K110" s="327"/>
      <c r="L110" s="117"/>
      <c r="M110" s="327"/>
      <c r="N110" s="117"/>
      <c r="O110" s="320"/>
      <c r="P110" s="164"/>
      <c r="Q110" s="188"/>
      <c r="R110" s="188"/>
      <c r="S110" s="20"/>
      <c r="T110" s="20"/>
      <c r="U110" s="20"/>
      <c r="V110" s="20"/>
    </row>
    <row r="111">
      <c r="A111" s="320"/>
      <c r="B111" s="164"/>
      <c r="C111" s="320"/>
      <c r="D111" s="117"/>
      <c r="E111" s="320"/>
      <c r="F111" s="164"/>
      <c r="G111" s="320"/>
      <c r="H111" s="164"/>
      <c r="I111" s="327"/>
      <c r="J111" s="117"/>
      <c r="K111" s="327"/>
      <c r="L111" s="117"/>
      <c r="M111" s="327"/>
      <c r="N111" s="117"/>
      <c r="O111" s="320"/>
      <c r="P111" s="164"/>
      <c r="Q111" s="188"/>
      <c r="R111" s="188"/>
      <c r="S111" s="20"/>
      <c r="T111" s="20"/>
      <c r="U111" s="20"/>
      <c r="V111" s="20"/>
    </row>
    <row r="112">
      <c r="A112" s="320"/>
      <c r="B112" s="164"/>
      <c r="C112" s="320"/>
      <c r="D112" s="117"/>
      <c r="E112" s="320"/>
      <c r="F112" s="164"/>
      <c r="G112" s="320"/>
      <c r="H112" s="164"/>
      <c r="I112" s="327"/>
      <c r="J112" s="117"/>
      <c r="K112" s="327"/>
      <c r="L112" s="117"/>
      <c r="M112" s="327"/>
      <c r="N112" s="117"/>
      <c r="O112" s="320"/>
      <c r="P112" s="164"/>
      <c r="Q112" s="188"/>
      <c r="R112" s="188"/>
      <c r="S112" s="20"/>
      <c r="T112" s="20"/>
      <c r="U112" s="20"/>
      <c r="V112" s="20"/>
    </row>
    <row r="113">
      <c r="A113" s="320"/>
      <c r="B113" s="164"/>
      <c r="C113" s="320"/>
      <c r="D113" s="117"/>
      <c r="E113" s="320"/>
      <c r="F113" s="164"/>
      <c r="G113" s="320"/>
      <c r="H113" s="164"/>
      <c r="I113" s="327"/>
      <c r="J113" s="117"/>
      <c r="K113" s="327"/>
      <c r="L113" s="117"/>
      <c r="M113" s="327"/>
      <c r="N113" s="117"/>
      <c r="O113" s="320"/>
      <c r="P113" s="164"/>
      <c r="Q113" s="188"/>
      <c r="R113" s="188"/>
      <c r="S113" s="20"/>
      <c r="T113" s="20"/>
      <c r="U113" s="20"/>
      <c r="V113" s="20"/>
    </row>
    <row r="114">
      <c r="A114" s="320"/>
      <c r="B114" s="164"/>
      <c r="C114" s="320"/>
      <c r="D114" s="117"/>
      <c r="E114" s="320"/>
      <c r="F114" s="164"/>
      <c r="G114" s="320"/>
      <c r="H114" s="164"/>
      <c r="I114" s="327"/>
      <c r="J114" s="117"/>
      <c r="K114" s="327"/>
      <c r="L114" s="117"/>
      <c r="M114" s="327"/>
      <c r="N114" s="117"/>
      <c r="O114" s="320"/>
      <c r="P114" s="164"/>
      <c r="Q114" s="188"/>
      <c r="R114" s="188"/>
      <c r="S114" s="20"/>
      <c r="T114" s="20"/>
      <c r="U114" s="20"/>
      <c r="V114" s="20"/>
    </row>
    <row r="115">
      <c r="A115" s="320"/>
      <c r="B115" s="164"/>
      <c r="C115" s="320"/>
      <c r="D115" s="117"/>
      <c r="E115" s="320"/>
      <c r="F115" s="164"/>
      <c r="G115" s="320"/>
      <c r="H115" s="164"/>
      <c r="I115" s="327"/>
      <c r="J115" s="117"/>
      <c r="K115" s="327"/>
      <c r="L115" s="117"/>
      <c r="M115" s="327"/>
      <c r="N115" s="117"/>
      <c r="O115" s="320"/>
      <c r="P115" s="164"/>
      <c r="Q115" s="188"/>
      <c r="R115" s="188"/>
      <c r="S115" s="20"/>
      <c r="T115" s="20"/>
      <c r="U115" s="20"/>
      <c r="V115" s="20"/>
    </row>
    <row r="116">
      <c r="A116" s="320"/>
      <c r="B116" s="164"/>
      <c r="C116" s="320"/>
      <c r="D116" s="117"/>
      <c r="E116" s="320"/>
      <c r="F116" s="164"/>
      <c r="G116" s="320"/>
      <c r="H116" s="164"/>
      <c r="I116" s="327"/>
      <c r="J116" s="117"/>
      <c r="K116" s="327"/>
      <c r="L116" s="117"/>
      <c r="M116" s="327"/>
      <c r="N116" s="117"/>
      <c r="O116" s="320"/>
      <c r="P116" s="164"/>
      <c r="Q116" s="188"/>
      <c r="R116" s="188"/>
      <c r="S116" s="20"/>
      <c r="T116" s="20"/>
      <c r="U116" s="20"/>
      <c r="V116" s="20"/>
    </row>
    <row r="117">
      <c r="A117" s="320"/>
      <c r="B117" s="164"/>
      <c r="C117" s="320"/>
      <c r="D117" s="117"/>
      <c r="E117" s="320"/>
      <c r="F117" s="164"/>
      <c r="G117" s="320"/>
      <c r="H117" s="164"/>
      <c r="I117" s="327"/>
      <c r="J117" s="117"/>
      <c r="K117" s="327"/>
      <c r="L117" s="117"/>
      <c r="M117" s="327"/>
      <c r="N117" s="117"/>
      <c r="O117" s="320"/>
      <c r="P117" s="164"/>
      <c r="Q117" s="188"/>
      <c r="R117" s="188"/>
      <c r="S117" s="20"/>
      <c r="T117" s="20"/>
      <c r="U117" s="20"/>
      <c r="V117" s="20"/>
    </row>
    <row r="118">
      <c r="A118" s="320"/>
      <c r="B118" s="164"/>
      <c r="C118" s="320"/>
      <c r="D118" s="117"/>
      <c r="E118" s="320"/>
      <c r="F118" s="164"/>
      <c r="G118" s="320"/>
      <c r="H118" s="164"/>
      <c r="I118" s="327"/>
      <c r="J118" s="117"/>
      <c r="K118" s="327"/>
      <c r="L118" s="117"/>
      <c r="M118" s="327"/>
      <c r="N118" s="117"/>
      <c r="O118" s="320"/>
      <c r="P118" s="164"/>
      <c r="Q118" s="188"/>
      <c r="R118" s="188"/>
      <c r="S118" s="20"/>
      <c r="T118" s="20"/>
      <c r="U118" s="20"/>
      <c r="V118" s="20"/>
    </row>
    <row r="119">
      <c r="A119" s="320"/>
      <c r="B119" s="164"/>
      <c r="C119" s="320"/>
      <c r="D119" s="117"/>
      <c r="E119" s="320"/>
      <c r="F119" s="164"/>
      <c r="G119" s="320"/>
      <c r="H119" s="164"/>
      <c r="I119" s="327"/>
      <c r="J119" s="117"/>
      <c r="K119" s="327"/>
      <c r="L119" s="117"/>
      <c r="M119" s="327"/>
      <c r="N119" s="117"/>
      <c r="O119" s="320"/>
      <c r="P119" s="164"/>
      <c r="Q119" s="188"/>
      <c r="R119" s="188"/>
      <c r="S119" s="20"/>
      <c r="T119" s="20"/>
      <c r="U119" s="20"/>
      <c r="V119" s="20"/>
    </row>
    <row r="120">
      <c r="A120" s="320"/>
      <c r="B120" s="164"/>
      <c r="C120" s="320"/>
      <c r="D120" s="117"/>
      <c r="E120" s="320"/>
      <c r="F120" s="164"/>
      <c r="G120" s="320"/>
      <c r="H120" s="164"/>
      <c r="I120" s="327"/>
      <c r="J120" s="117"/>
      <c r="K120" s="327"/>
      <c r="L120" s="117"/>
      <c r="M120" s="327"/>
      <c r="N120" s="117"/>
      <c r="O120" s="320"/>
      <c r="P120" s="164"/>
      <c r="Q120" s="188"/>
      <c r="R120" s="188"/>
      <c r="S120" s="20"/>
      <c r="T120" s="20"/>
      <c r="U120" s="20"/>
      <c r="V120" s="20"/>
    </row>
    <row r="121">
      <c r="A121" s="320"/>
      <c r="B121" s="164"/>
      <c r="C121" s="320"/>
      <c r="D121" s="117"/>
      <c r="E121" s="320"/>
      <c r="F121" s="164"/>
      <c r="G121" s="320"/>
      <c r="H121" s="164"/>
      <c r="I121" s="327"/>
      <c r="J121" s="117"/>
      <c r="K121" s="327"/>
      <c r="L121" s="117"/>
      <c r="M121" s="327"/>
      <c r="N121" s="117"/>
      <c r="O121" s="320"/>
      <c r="P121" s="164"/>
      <c r="Q121" s="188"/>
      <c r="R121" s="188"/>
      <c r="S121" s="20"/>
      <c r="T121" s="20"/>
      <c r="U121" s="20"/>
      <c r="V121" s="20"/>
    </row>
    <row r="122">
      <c r="A122" s="320"/>
      <c r="B122" s="164"/>
      <c r="C122" s="320"/>
      <c r="D122" s="117"/>
      <c r="E122" s="320"/>
      <c r="F122" s="164"/>
      <c r="G122" s="320"/>
      <c r="H122" s="164"/>
      <c r="I122" s="327"/>
      <c r="J122" s="117"/>
      <c r="K122" s="327"/>
      <c r="L122" s="117"/>
      <c r="M122" s="327"/>
      <c r="N122" s="117"/>
      <c r="O122" s="320"/>
      <c r="P122" s="164"/>
      <c r="Q122" s="188"/>
      <c r="R122" s="188"/>
      <c r="S122" s="20"/>
      <c r="T122" s="20"/>
      <c r="U122" s="20"/>
      <c r="V122" s="20"/>
    </row>
    <row r="123">
      <c r="A123" s="320"/>
      <c r="B123" s="164"/>
      <c r="C123" s="320"/>
      <c r="D123" s="117"/>
      <c r="E123" s="320"/>
      <c r="F123" s="164"/>
      <c r="G123" s="320"/>
      <c r="H123" s="164"/>
      <c r="I123" s="327"/>
      <c r="J123" s="117"/>
      <c r="K123" s="327"/>
      <c r="L123" s="117"/>
      <c r="M123" s="327"/>
      <c r="N123" s="117"/>
      <c r="O123" s="320"/>
      <c r="P123" s="164"/>
      <c r="Q123" s="188"/>
      <c r="R123" s="188"/>
      <c r="S123" s="20"/>
      <c r="T123" s="20"/>
      <c r="U123" s="20"/>
      <c r="V123" s="20"/>
    </row>
    <row r="124">
      <c r="A124" s="320"/>
      <c r="B124" s="164"/>
      <c r="C124" s="320"/>
      <c r="D124" s="117"/>
      <c r="E124" s="320"/>
      <c r="F124" s="164"/>
      <c r="G124" s="320"/>
      <c r="H124" s="164"/>
      <c r="I124" s="327"/>
      <c r="J124" s="117"/>
      <c r="K124" s="327"/>
      <c r="L124" s="117"/>
      <c r="M124" s="327"/>
      <c r="N124" s="117"/>
      <c r="O124" s="320"/>
      <c r="P124" s="164"/>
      <c r="Q124" s="188"/>
      <c r="R124" s="188"/>
      <c r="S124" s="20"/>
      <c r="T124" s="20"/>
      <c r="U124" s="20"/>
      <c r="V124" s="20"/>
    </row>
    <row r="125">
      <c r="A125" s="320"/>
      <c r="B125" s="164"/>
      <c r="C125" s="320"/>
      <c r="D125" s="117"/>
      <c r="E125" s="320"/>
      <c r="F125" s="164"/>
      <c r="G125" s="320"/>
      <c r="H125" s="164"/>
      <c r="I125" s="327"/>
      <c r="J125" s="117"/>
      <c r="K125" s="327"/>
      <c r="L125" s="117"/>
      <c r="M125" s="327"/>
      <c r="N125" s="117"/>
      <c r="O125" s="320"/>
      <c r="P125" s="164"/>
      <c r="Q125" s="188"/>
      <c r="R125" s="188"/>
      <c r="S125" s="20"/>
      <c r="T125" s="20"/>
      <c r="U125" s="20"/>
      <c r="V125" s="20"/>
    </row>
    <row r="126">
      <c r="A126" s="320"/>
      <c r="B126" s="164"/>
      <c r="C126" s="320"/>
      <c r="D126" s="117"/>
      <c r="E126" s="320"/>
      <c r="F126" s="164"/>
      <c r="G126" s="320"/>
      <c r="H126" s="164"/>
      <c r="I126" s="327"/>
      <c r="J126" s="117"/>
      <c r="K126" s="327"/>
      <c r="L126" s="117"/>
      <c r="M126" s="327"/>
      <c r="N126" s="117"/>
      <c r="O126" s="320"/>
      <c r="P126" s="164"/>
      <c r="Q126" s="188"/>
      <c r="R126" s="188"/>
      <c r="S126" s="20"/>
      <c r="T126" s="20"/>
      <c r="U126" s="20"/>
      <c r="V126" s="20"/>
    </row>
    <row r="127">
      <c r="A127" s="320"/>
      <c r="B127" s="164"/>
      <c r="C127" s="320"/>
      <c r="D127" s="117"/>
      <c r="E127" s="320"/>
      <c r="F127" s="164"/>
      <c r="G127" s="320"/>
      <c r="H127" s="164"/>
      <c r="I127" s="327"/>
      <c r="J127" s="117"/>
      <c r="K127" s="327"/>
      <c r="L127" s="117"/>
      <c r="M127" s="327"/>
      <c r="N127" s="117"/>
      <c r="O127" s="320"/>
      <c r="P127" s="164"/>
      <c r="Q127" s="188"/>
      <c r="R127" s="188"/>
      <c r="S127" s="20"/>
      <c r="T127" s="20"/>
      <c r="U127" s="20"/>
      <c r="V127" s="20"/>
    </row>
    <row r="128">
      <c r="A128" s="320"/>
      <c r="B128" s="164"/>
      <c r="C128" s="320"/>
      <c r="D128" s="117"/>
      <c r="E128" s="320"/>
      <c r="F128" s="164"/>
      <c r="G128" s="320"/>
      <c r="H128" s="164"/>
      <c r="I128" s="327"/>
      <c r="J128" s="117"/>
      <c r="K128" s="327"/>
      <c r="L128" s="117"/>
      <c r="M128" s="327"/>
      <c r="N128" s="117"/>
      <c r="O128" s="320"/>
      <c r="P128" s="164"/>
      <c r="Q128" s="188"/>
      <c r="R128" s="188"/>
      <c r="S128" s="20"/>
      <c r="T128" s="20"/>
      <c r="U128" s="20"/>
      <c r="V128" s="20"/>
    </row>
    <row r="129">
      <c r="A129" s="320"/>
      <c r="B129" s="164"/>
      <c r="C129" s="320"/>
      <c r="D129" s="117"/>
      <c r="E129" s="320"/>
      <c r="F129" s="164"/>
      <c r="G129" s="320"/>
      <c r="H129" s="164"/>
      <c r="I129" s="327"/>
      <c r="J129" s="117"/>
      <c r="K129" s="327"/>
      <c r="L129" s="117"/>
      <c r="M129" s="327"/>
      <c r="N129" s="117"/>
      <c r="O129" s="320"/>
      <c r="P129" s="164"/>
      <c r="Q129" s="188"/>
      <c r="R129" s="188"/>
      <c r="S129" s="20"/>
      <c r="T129" s="20"/>
      <c r="U129" s="20"/>
      <c r="V129" s="20"/>
    </row>
    <row r="130">
      <c r="A130" s="320"/>
      <c r="B130" s="164"/>
      <c r="C130" s="320"/>
      <c r="D130" s="117"/>
      <c r="E130" s="320"/>
      <c r="F130" s="164"/>
      <c r="G130" s="320"/>
      <c r="H130" s="164"/>
      <c r="I130" s="327"/>
      <c r="J130" s="117"/>
      <c r="K130" s="327"/>
      <c r="L130" s="117"/>
      <c r="M130" s="327"/>
      <c r="N130" s="117"/>
      <c r="O130" s="320"/>
      <c r="P130" s="164"/>
      <c r="Q130" s="188"/>
      <c r="R130" s="188"/>
      <c r="S130" s="20"/>
      <c r="T130" s="20"/>
      <c r="U130" s="20"/>
      <c r="V130" s="20"/>
    </row>
    <row r="131">
      <c r="A131" s="320"/>
      <c r="B131" s="164"/>
      <c r="C131" s="320"/>
      <c r="D131" s="117"/>
      <c r="E131" s="320"/>
      <c r="F131" s="164"/>
      <c r="G131" s="320"/>
      <c r="H131" s="164"/>
      <c r="I131" s="327"/>
      <c r="J131" s="117"/>
      <c r="K131" s="327"/>
      <c r="L131" s="117"/>
      <c r="M131" s="327"/>
      <c r="N131" s="117"/>
      <c r="O131" s="320"/>
      <c r="P131" s="164"/>
      <c r="Q131" s="188"/>
      <c r="R131" s="188"/>
      <c r="S131" s="20"/>
      <c r="T131" s="20"/>
      <c r="U131" s="20"/>
      <c r="V131" s="20"/>
    </row>
    <row r="132">
      <c r="A132" s="320"/>
      <c r="B132" s="164"/>
      <c r="C132" s="320"/>
      <c r="D132" s="117"/>
      <c r="E132" s="320"/>
      <c r="F132" s="164"/>
      <c r="G132" s="320"/>
      <c r="H132" s="164"/>
      <c r="I132" s="327"/>
      <c r="J132" s="117"/>
      <c r="K132" s="327"/>
      <c r="L132" s="117"/>
      <c r="M132" s="327"/>
      <c r="N132" s="117"/>
      <c r="O132" s="320"/>
      <c r="P132" s="164"/>
      <c r="Q132" s="188"/>
      <c r="R132" s="188"/>
      <c r="S132" s="20"/>
      <c r="T132" s="20"/>
      <c r="U132" s="20"/>
      <c r="V132" s="20"/>
    </row>
    <row r="133">
      <c r="A133" s="320"/>
      <c r="B133" s="164"/>
      <c r="C133" s="320"/>
      <c r="D133" s="117"/>
      <c r="E133" s="320"/>
      <c r="F133" s="164"/>
      <c r="G133" s="320"/>
      <c r="H133" s="164"/>
      <c r="I133" s="327"/>
      <c r="J133" s="117"/>
      <c r="K133" s="327"/>
      <c r="L133" s="117"/>
      <c r="M133" s="327"/>
      <c r="N133" s="117"/>
      <c r="O133" s="320"/>
      <c r="P133" s="164"/>
      <c r="Q133" s="188"/>
      <c r="R133" s="188"/>
      <c r="S133" s="20"/>
      <c r="T133" s="20"/>
      <c r="U133" s="20"/>
      <c r="V133" s="20"/>
    </row>
    <row r="134">
      <c r="A134" s="320"/>
      <c r="B134" s="164"/>
      <c r="C134" s="320"/>
      <c r="D134" s="117"/>
      <c r="E134" s="320"/>
      <c r="F134" s="164"/>
      <c r="G134" s="320"/>
      <c r="H134" s="164"/>
      <c r="I134" s="327"/>
      <c r="J134" s="117"/>
      <c r="K134" s="327"/>
      <c r="L134" s="117"/>
      <c r="M134" s="327"/>
      <c r="N134" s="117"/>
      <c r="O134" s="320"/>
      <c r="P134" s="164"/>
      <c r="Q134" s="188"/>
      <c r="R134" s="188"/>
      <c r="S134" s="20"/>
      <c r="T134" s="20"/>
      <c r="U134" s="20"/>
      <c r="V134" s="20"/>
    </row>
    <row r="135">
      <c r="A135" s="320"/>
      <c r="B135" s="164"/>
      <c r="C135" s="320"/>
      <c r="D135" s="117"/>
      <c r="E135" s="320"/>
      <c r="F135" s="164"/>
      <c r="G135" s="320"/>
      <c r="H135" s="164"/>
      <c r="I135" s="327"/>
      <c r="J135" s="117"/>
      <c r="K135" s="327"/>
      <c r="L135" s="117"/>
      <c r="M135" s="327"/>
      <c r="N135" s="117"/>
      <c r="O135" s="320"/>
      <c r="P135" s="164"/>
      <c r="Q135" s="188"/>
      <c r="R135" s="188"/>
      <c r="S135" s="20"/>
      <c r="T135" s="20"/>
      <c r="U135" s="20"/>
      <c r="V135" s="20"/>
    </row>
    <row r="136">
      <c r="A136" s="320"/>
      <c r="B136" s="164"/>
      <c r="C136" s="320"/>
      <c r="D136" s="117"/>
      <c r="E136" s="320"/>
      <c r="F136" s="164"/>
      <c r="G136" s="320"/>
      <c r="H136" s="164"/>
      <c r="I136" s="327"/>
      <c r="J136" s="117"/>
      <c r="K136" s="327"/>
      <c r="L136" s="117"/>
      <c r="M136" s="327"/>
      <c r="N136" s="117"/>
      <c r="O136" s="320"/>
      <c r="P136" s="164"/>
      <c r="Q136" s="188"/>
      <c r="R136" s="188"/>
      <c r="S136" s="20"/>
      <c r="T136" s="20"/>
      <c r="U136" s="20"/>
      <c r="V136" s="20"/>
    </row>
    <row r="137">
      <c r="A137" s="320"/>
      <c r="B137" s="164"/>
      <c r="C137" s="320"/>
      <c r="D137" s="117"/>
      <c r="E137" s="320"/>
      <c r="F137" s="164"/>
      <c r="G137" s="320"/>
      <c r="H137" s="164"/>
      <c r="I137" s="327"/>
      <c r="J137" s="117"/>
      <c r="K137" s="327"/>
      <c r="L137" s="117"/>
      <c r="M137" s="327"/>
      <c r="N137" s="117"/>
      <c r="O137" s="320"/>
      <c r="P137" s="164"/>
      <c r="Q137" s="188"/>
      <c r="R137" s="188"/>
      <c r="S137" s="20"/>
      <c r="T137" s="20"/>
      <c r="U137" s="20"/>
      <c r="V137" s="20"/>
    </row>
    <row r="138">
      <c r="A138" s="320"/>
      <c r="B138" s="164"/>
      <c r="C138" s="320"/>
      <c r="D138" s="117"/>
      <c r="E138" s="320"/>
      <c r="F138" s="164"/>
      <c r="G138" s="320"/>
      <c r="H138" s="164"/>
      <c r="I138" s="327"/>
      <c r="J138" s="117"/>
      <c r="K138" s="327"/>
      <c r="L138" s="117"/>
      <c r="M138" s="327"/>
      <c r="N138" s="117"/>
      <c r="O138" s="320"/>
      <c r="P138" s="164"/>
      <c r="Q138" s="188"/>
      <c r="R138" s="188"/>
      <c r="S138" s="20"/>
      <c r="T138" s="20"/>
      <c r="U138" s="20"/>
      <c r="V138" s="20"/>
    </row>
    <row r="139">
      <c r="A139" s="320"/>
      <c r="B139" s="164"/>
      <c r="C139" s="320"/>
      <c r="D139" s="117"/>
      <c r="E139" s="320"/>
      <c r="F139" s="164"/>
      <c r="G139" s="320"/>
      <c r="H139" s="164"/>
      <c r="I139" s="327"/>
      <c r="J139" s="117"/>
      <c r="K139" s="327"/>
      <c r="L139" s="117"/>
      <c r="M139" s="327"/>
      <c r="N139" s="117"/>
      <c r="O139" s="320"/>
      <c r="P139" s="164"/>
      <c r="Q139" s="188"/>
      <c r="R139" s="188"/>
      <c r="S139" s="20"/>
      <c r="T139" s="20"/>
      <c r="U139" s="20"/>
      <c r="V139" s="20"/>
    </row>
    <row r="140">
      <c r="A140" s="320"/>
      <c r="B140" s="164"/>
      <c r="C140" s="320"/>
      <c r="D140" s="117"/>
      <c r="E140" s="320"/>
      <c r="F140" s="164"/>
      <c r="G140" s="320"/>
      <c r="H140" s="164"/>
      <c r="I140" s="327"/>
      <c r="J140" s="117"/>
      <c r="K140" s="327"/>
      <c r="L140" s="117"/>
      <c r="M140" s="327"/>
      <c r="N140" s="117"/>
      <c r="O140" s="320"/>
      <c r="P140" s="164"/>
      <c r="Q140" s="188"/>
      <c r="R140" s="188"/>
      <c r="S140" s="20"/>
      <c r="T140" s="20"/>
      <c r="U140" s="20"/>
      <c r="V140" s="20"/>
    </row>
    <row r="141">
      <c r="A141" s="320"/>
      <c r="B141" s="164"/>
      <c r="C141" s="320"/>
      <c r="D141" s="117"/>
      <c r="E141" s="320"/>
      <c r="F141" s="164"/>
      <c r="G141" s="320"/>
      <c r="H141" s="164"/>
      <c r="I141" s="327"/>
      <c r="J141" s="117"/>
      <c r="K141" s="327"/>
      <c r="L141" s="117"/>
      <c r="M141" s="327"/>
      <c r="N141" s="117"/>
      <c r="O141" s="320"/>
      <c r="P141" s="164"/>
      <c r="Q141" s="188"/>
      <c r="R141" s="188"/>
      <c r="S141" s="20"/>
      <c r="T141" s="20"/>
      <c r="U141" s="20"/>
      <c r="V141" s="20"/>
    </row>
    <row r="142">
      <c r="A142" s="320"/>
      <c r="B142" s="164"/>
      <c r="C142" s="320"/>
      <c r="D142" s="117"/>
      <c r="E142" s="320"/>
      <c r="F142" s="164"/>
      <c r="G142" s="320"/>
      <c r="H142" s="164"/>
      <c r="I142" s="327"/>
      <c r="J142" s="117"/>
      <c r="K142" s="327"/>
      <c r="L142" s="117"/>
      <c r="M142" s="327"/>
      <c r="N142" s="117"/>
      <c r="O142" s="320"/>
      <c r="P142" s="164"/>
      <c r="Q142" s="188"/>
      <c r="R142" s="188"/>
      <c r="S142" s="20"/>
      <c r="T142" s="20"/>
      <c r="U142" s="20"/>
      <c r="V142" s="20"/>
    </row>
    <row r="143">
      <c r="A143" s="320"/>
      <c r="B143" s="164"/>
      <c r="C143" s="320"/>
      <c r="D143" s="117"/>
      <c r="E143" s="320"/>
      <c r="F143" s="164"/>
      <c r="G143" s="320"/>
      <c r="H143" s="164"/>
      <c r="I143" s="327"/>
      <c r="J143" s="117"/>
      <c r="K143" s="327"/>
      <c r="L143" s="117"/>
      <c r="M143" s="327"/>
      <c r="N143" s="117"/>
      <c r="O143" s="320"/>
      <c r="P143" s="164"/>
      <c r="Q143" s="188"/>
      <c r="R143" s="188"/>
      <c r="S143" s="20"/>
      <c r="T143" s="20"/>
      <c r="U143" s="20"/>
      <c r="V143" s="20"/>
    </row>
    <row r="144">
      <c r="A144" s="320"/>
      <c r="B144" s="164"/>
      <c r="C144" s="320"/>
      <c r="D144" s="117"/>
      <c r="E144" s="320"/>
      <c r="F144" s="164"/>
      <c r="G144" s="320"/>
      <c r="H144" s="164"/>
      <c r="I144" s="327"/>
      <c r="J144" s="117"/>
      <c r="K144" s="327"/>
      <c r="L144" s="117"/>
      <c r="M144" s="327"/>
      <c r="N144" s="117"/>
      <c r="O144" s="320"/>
      <c r="P144" s="164"/>
      <c r="Q144" s="188"/>
      <c r="R144" s="188"/>
      <c r="S144" s="20"/>
      <c r="T144" s="20"/>
      <c r="U144" s="20"/>
      <c r="V144" s="20"/>
    </row>
    <row r="145">
      <c r="A145" s="320"/>
      <c r="B145" s="164"/>
      <c r="C145" s="320"/>
      <c r="D145" s="117"/>
      <c r="E145" s="320"/>
      <c r="F145" s="164"/>
      <c r="G145" s="320"/>
      <c r="H145" s="164"/>
      <c r="I145" s="327"/>
      <c r="J145" s="117"/>
      <c r="K145" s="327"/>
      <c r="L145" s="117"/>
      <c r="M145" s="327"/>
      <c r="N145" s="117"/>
      <c r="O145" s="320"/>
      <c r="P145" s="164"/>
      <c r="Q145" s="188"/>
      <c r="R145" s="188"/>
      <c r="S145" s="20"/>
      <c r="T145" s="20"/>
      <c r="U145" s="20"/>
      <c r="V145" s="20"/>
    </row>
    <row r="146">
      <c r="A146" s="320"/>
      <c r="B146" s="164"/>
      <c r="C146" s="320"/>
      <c r="D146" s="117"/>
      <c r="E146" s="320"/>
      <c r="F146" s="164"/>
      <c r="G146" s="320"/>
      <c r="H146" s="164"/>
      <c r="I146" s="327"/>
      <c r="J146" s="117"/>
      <c r="K146" s="327"/>
      <c r="L146" s="117"/>
      <c r="M146" s="327"/>
      <c r="N146" s="117"/>
      <c r="O146" s="320"/>
      <c r="P146" s="164"/>
      <c r="Q146" s="188"/>
      <c r="R146" s="188"/>
      <c r="S146" s="20"/>
      <c r="T146" s="20"/>
      <c r="U146" s="20"/>
      <c r="V146" s="20"/>
    </row>
    <row r="147">
      <c r="A147" s="320"/>
      <c r="B147" s="164"/>
      <c r="C147" s="320"/>
      <c r="D147" s="117"/>
      <c r="E147" s="320"/>
      <c r="F147" s="164"/>
      <c r="G147" s="320"/>
      <c r="H147" s="164"/>
      <c r="I147" s="327"/>
      <c r="J147" s="117"/>
      <c r="K147" s="327"/>
      <c r="L147" s="117"/>
      <c r="M147" s="327"/>
      <c r="N147" s="117"/>
      <c r="O147" s="320"/>
      <c r="P147" s="164"/>
      <c r="Q147" s="188"/>
      <c r="R147" s="188"/>
      <c r="S147" s="20"/>
      <c r="T147" s="20"/>
      <c r="U147" s="20"/>
      <c r="V147" s="20"/>
    </row>
    <row r="148">
      <c r="A148" s="320"/>
      <c r="B148" s="164"/>
      <c r="C148" s="320"/>
      <c r="D148" s="117"/>
      <c r="E148" s="320"/>
      <c r="F148" s="164"/>
      <c r="G148" s="320"/>
      <c r="H148" s="164"/>
      <c r="I148" s="327"/>
      <c r="J148" s="117"/>
      <c r="K148" s="327"/>
      <c r="L148" s="117"/>
      <c r="M148" s="327"/>
      <c r="N148" s="117"/>
      <c r="O148" s="320"/>
      <c r="P148" s="164"/>
      <c r="Q148" s="188"/>
      <c r="R148" s="188"/>
      <c r="S148" s="20"/>
      <c r="T148" s="20"/>
      <c r="U148" s="20"/>
      <c r="V148" s="20"/>
    </row>
    <row r="149">
      <c r="A149" s="320"/>
      <c r="B149" s="164"/>
      <c r="C149" s="320"/>
      <c r="D149" s="117"/>
      <c r="E149" s="320"/>
      <c r="F149" s="164"/>
      <c r="G149" s="320"/>
      <c r="H149" s="164"/>
      <c r="I149" s="327"/>
      <c r="J149" s="117"/>
      <c r="K149" s="327"/>
      <c r="L149" s="117"/>
      <c r="M149" s="327"/>
      <c r="N149" s="117"/>
      <c r="O149" s="320"/>
      <c r="P149" s="164"/>
      <c r="Q149" s="188"/>
      <c r="R149" s="188"/>
      <c r="S149" s="20"/>
      <c r="T149" s="20"/>
      <c r="U149" s="20"/>
      <c r="V149" s="20"/>
    </row>
    <row r="150">
      <c r="A150" s="320"/>
      <c r="B150" s="164"/>
      <c r="C150" s="320"/>
      <c r="D150" s="117"/>
      <c r="E150" s="320"/>
      <c r="F150" s="164"/>
      <c r="G150" s="320"/>
      <c r="H150" s="164"/>
      <c r="I150" s="327"/>
      <c r="J150" s="117"/>
      <c r="K150" s="327"/>
      <c r="L150" s="117"/>
      <c r="M150" s="327"/>
      <c r="N150" s="117"/>
      <c r="O150" s="320"/>
      <c r="P150" s="164"/>
      <c r="Q150" s="188"/>
      <c r="R150" s="188"/>
      <c r="S150" s="20"/>
      <c r="T150" s="20"/>
      <c r="U150" s="20"/>
      <c r="V150" s="20"/>
    </row>
    <row r="151">
      <c r="A151" s="320"/>
      <c r="B151" s="164"/>
      <c r="C151" s="320"/>
      <c r="D151" s="117"/>
      <c r="E151" s="320"/>
      <c r="F151" s="164"/>
      <c r="G151" s="320"/>
      <c r="H151" s="164"/>
      <c r="I151" s="327"/>
      <c r="J151" s="117"/>
      <c r="K151" s="327"/>
      <c r="L151" s="117"/>
      <c r="M151" s="327"/>
      <c r="N151" s="117"/>
      <c r="O151" s="320"/>
      <c r="P151" s="164"/>
      <c r="Q151" s="188"/>
      <c r="R151" s="188"/>
      <c r="S151" s="20"/>
      <c r="T151" s="20"/>
      <c r="U151" s="20"/>
      <c r="V151" s="20"/>
    </row>
    <row r="152">
      <c r="A152" s="320"/>
      <c r="B152" s="164"/>
      <c r="C152" s="320"/>
      <c r="D152" s="117"/>
      <c r="E152" s="320"/>
      <c r="F152" s="164"/>
      <c r="G152" s="320"/>
      <c r="H152" s="164"/>
      <c r="I152" s="327"/>
      <c r="J152" s="117"/>
      <c r="K152" s="327"/>
      <c r="L152" s="117"/>
      <c r="M152" s="327"/>
      <c r="N152" s="117"/>
      <c r="O152" s="320"/>
      <c r="P152" s="164"/>
      <c r="Q152" s="188"/>
      <c r="R152" s="188"/>
      <c r="S152" s="20"/>
      <c r="T152" s="20"/>
      <c r="U152" s="20"/>
      <c r="V152" s="20"/>
    </row>
    <row r="153">
      <c r="A153" s="320"/>
      <c r="B153" s="164"/>
      <c r="C153" s="320"/>
      <c r="D153" s="117"/>
      <c r="E153" s="320"/>
      <c r="F153" s="164"/>
      <c r="G153" s="320"/>
      <c r="H153" s="164"/>
      <c r="I153" s="327"/>
      <c r="J153" s="117"/>
      <c r="K153" s="327"/>
      <c r="L153" s="117"/>
      <c r="M153" s="327"/>
      <c r="N153" s="117"/>
      <c r="O153" s="320"/>
      <c r="P153" s="164"/>
      <c r="Q153" s="188"/>
      <c r="R153" s="188"/>
      <c r="S153" s="20"/>
      <c r="T153" s="20"/>
      <c r="U153" s="20"/>
      <c r="V153" s="20"/>
    </row>
    <row r="154">
      <c r="A154" s="320"/>
      <c r="B154" s="164"/>
      <c r="C154" s="320"/>
      <c r="D154" s="117"/>
      <c r="E154" s="320"/>
      <c r="F154" s="164"/>
      <c r="G154" s="320"/>
      <c r="H154" s="164"/>
      <c r="I154" s="327"/>
      <c r="J154" s="117"/>
      <c r="K154" s="327"/>
      <c r="L154" s="117"/>
      <c r="M154" s="327"/>
      <c r="N154" s="117"/>
      <c r="O154" s="320"/>
      <c r="P154" s="164"/>
      <c r="Q154" s="188"/>
      <c r="R154" s="188"/>
      <c r="S154" s="20"/>
      <c r="T154" s="20"/>
      <c r="U154" s="20"/>
      <c r="V154" s="20"/>
    </row>
    <row r="155">
      <c r="A155" s="320"/>
      <c r="B155" s="164"/>
      <c r="C155" s="320"/>
      <c r="D155" s="117"/>
      <c r="E155" s="320"/>
      <c r="F155" s="164"/>
      <c r="G155" s="320"/>
      <c r="H155" s="164"/>
      <c r="I155" s="327"/>
      <c r="J155" s="117"/>
      <c r="K155" s="327"/>
      <c r="L155" s="117"/>
      <c r="M155" s="327"/>
      <c r="N155" s="117"/>
      <c r="O155" s="320"/>
      <c r="P155" s="164"/>
      <c r="Q155" s="188"/>
      <c r="R155" s="188"/>
      <c r="S155" s="20"/>
      <c r="T155" s="20"/>
      <c r="U155" s="20"/>
      <c r="V155" s="20"/>
    </row>
    <row r="156">
      <c r="A156" s="320"/>
      <c r="B156" s="164"/>
      <c r="C156" s="320"/>
      <c r="D156" s="117"/>
      <c r="E156" s="320"/>
      <c r="F156" s="164"/>
      <c r="G156" s="320"/>
      <c r="H156" s="164"/>
      <c r="I156" s="327"/>
      <c r="J156" s="117"/>
      <c r="K156" s="327"/>
      <c r="L156" s="117"/>
      <c r="M156" s="327"/>
      <c r="N156" s="117"/>
      <c r="O156" s="320"/>
      <c r="P156" s="164"/>
      <c r="Q156" s="188"/>
      <c r="R156" s="188"/>
      <c r="S156" s="20"/>
      <c r="T156" s="20"/>
      <c r="U156" s="20"/>
      <c r="V156" s="20"/>
    </row>
    <row r="157">
      <c r="A157" s="320"/>
      <c r="B157" s="164"/>
      <c r="C157" s="320"/>
      <c r="D157" s="117"/>
      <c r="E157" s="320"/>
      <c r="F157" s="164"/>
      <c r="G157" s="320"/>
      <c r="H157" s="164"/>
      <c r="I157" s="327"/>
      <c r="J157" s="117"/>
      <c r="K157" s="327"/>
      <c r="L157" s="117"/>
      <c r="M157" s="327"/>
      <c r="N157" s="117"/>
      <c r="O157" s="320"/>
      <c r="P157" s="164"/>
      <c r="Q157" s="188"/>
      <c r="R157" s="188"/>
      <c r="S157" s="20"/>
      <c r="T157" s="20"/>
      <c r="U157" s="20"/>
      <c r="V157" s="20"/>
    </row>
    <row r="158">
      <c r="A158" s="320"/>
      <c r="B158" s="164"/>
      <c r="C158" s="320"/>
      <c r="D158" s="117"/>
      <c r="E158" s="320"/>
      <c r="F158" s="164"/>
      <c r="G158" s="320"/>
      <c r="H158" s="164"/>
      <c r="I158" s="327"/>
      <c r="J158" s="117"/>
      <c r="K158" s="327"/>
      <c r="L158" s="117"/>
      <c r="M158" s="327"/>
      <c r="N158" s="117"/>
      <c r="O158" s="320"/>
      <c r="P158" s="164"/>
      <c r="Q158" s="188"/>
      <c r="R158" s="188"/>
      <c r="S158" s="20"/>
      <c r="T158" s="20"/>
      <c r="U158" s="20"/>
      <c r="V158" s="20"/>
    </row>
    <row r="159">
      <c r="A159" s="320"/>
      <c r="B159" s="164"/>
      <c r="C159" s="320"/>
      <c r="D159" s="117"/>
      <c r="E159" s="320"/>
      <c r="F159" s="164"/>
      <c r="G159" s="320"/>
      <c r="H159" s="164"/>
      <c r="I159" s="327"/>
      <c r="J159" s="117"/>
      <c r="K159" s="327"/>
      <c r="L159" s="117"/>
      <c r="M159" s="327"/>
      <c r="N159" s="117"/>
      <c r="O159" s="320"/>
      <c r="P159" s="164"/>
      <c r="Q159" s="188"/>
      <c r="R159" s="188"/>
      <c r="S159" s="20"/>
      <c r="T159" s="20"/>
      <c r="U159" s="20"/>
      <c r="V159" s="20"/>
    </row>
    <row r="160">
      <c r="A160" s="320"/>
      <c r="B160" s="164"/>
      <c r="C160" s="320"/>
      <c r="D160" s="117"/>
      <c r="E160" s="320"/>
      <c r="F160" s="164"/>
      <c r="G160" s="320"/>
      <c r="H160" s="164"/>
      <c r="I160" s="327"/>
      <c r="J160" s="117"/>
      <c r="K160" s="327"/>
      <c r="L160" s="117"/>
      <c r="M160" s="327"/>
      <c r="N160" s="117"/>
      <c r="O160" s="320"/>
      <c r="P160" s="164"/>
      <c r="Q160" s="188"/>
      <c r="R160" s="188"/>
      <c r="S160" s="20"/>
      <c r="T160" s="20"/>
      <c r="U160" s="20"/>
      <c r="V160" s="20"/>
    </row>
    <row r="161">
      <c r="A161" s="320"/>
      <c r="B161" s="164"/>
      <c r="C161" s="320"/>
      <c r="D161" s="117"/>
      <c r="E161" s="320"/>
      <c r="F161" s="164"/>
      <c r="G161" s="320"/>
      <c r="H161" s="164"/>
      <c r="I161" s="327"/>
      <c r="J161" s="117"/>
      <c r="K161" s="327"/>
      <c r="L161" s="117"/>
      <c r="M161" s="327"/>
      <c r="N161" s="117"/>
      <c r="O161" s="320"/>
      <c r="P161" s="164"/>
      <c r="Q161" s="188"/>
      <c r="R161" s="188"/>
      <c r="S161" s="20"/>
      <c r="T161" s="20"/>
      <c r="U161" s="20"/>
      <c r="V161" s="20"/>
    </row>
    <row r="162">
      <c r="A162" s="320"/>
      <c r="B162" s="164"/>
      <c r="C162" s="320"/>
      <c r="D162" s="117"/>
      <c r="E162" s="320"/>
      <c r="F162" s="164"/>
      <c r="G162" s="320"/>
      <c r="H162" s="164"/>
      <c r="I162" s="327"/>
      <c r="J162" s="117"/>
      <c r="K162" s="327"/>
      <c r="L162" s="117"/>
      <c r="M162" s="327"/>
      <c r="N162" s="117"/>
      <c r="O162" s="320"/>
      <c r="P162" s="164"/>
      <c r="Q162" s="188"/>
      <c r="R162" s="188"/>
      <c r="S162" s="20"/>
      <c r="T162" s="20"/>
      <c r="U162" s="20"/>
      <c r="V162" s="20"/>
    </row>
    <row r="163">
      <c r="A163" s="320"/>
      <c r="B163" s="164"/>
      <c r="C163" s="320"/>
      <c r="D163" s="117"/>
      <c r="E163" s="320"/>
      <c r="F163" s="164"/>
      <c r="G163" s="320"/>
      <c r="H163" s="164"/>
      <c r="I163" s="327"/>
      <c r="J163" s="117"/>
      <c r="K163" s="327"/>
      <c r="L163" s="117"/>
      <c r="M163" s="327"/>
      <c r="N163" s="117"/>
      <c r="O163" s="320"/>
      <c r="P163" s="164"/>
      <c r="Q163" s="188"/>
      <c r="R163" s="188"/>
      <c r="S163" s="20"/>
      <c r="T163" s="20"/>
      <c r="U163" s="20"/>
      <c r="V163" s="20"/>
    </row>
    <row r="164">
      <c r="A164" s="320"/>
      <c r="B164" s="164"/>
      <c r="C164" s="320"/>
      <c r="D164" s="117"/>
      <c r="E164" s="320"/>
      <c r="F164" s="164"/>
      <c r="G164" s="320"/>
      <c r="H164" s="164"/>
      <c r="I164" s="327"/>
      <c r="J164" s="117"/>
      <c r="K164" s="327"/>
      <c r="L164" s="117"/>
      <c r="M164" s="327"/>
      <c r="N164" s="117"/>
      <c r="O164" s="320"/>
      <c r="P164" s="164"/>
      <c r="Q164" s="188"/>
      <c r="R164" s="188"/>
      <c r="S164" s="20"/>
      <c r="T164" s="20"/>
      <c r="U164" s="20"/>
      <c r="V164" s="20"/>
    </row>
    <row r="165">
      <c r="A165" s="320"/>
      <c r="B165" s="164"/>
      <c r="C165" s="320"/>
      <c r="D165" s="117"/>
      <c r="E165" s="320"/>
      <c r="F165" s="164"/>
      <c r="G165" s="320"/>
      <c r="H165" s="164"/>
      <c r="I165" s="327"/>
      <c r="J165" s="117"/>
      <c r="K165" s="327"/>
      <c r="L165" s="117"/>
      <c r="M165" s="327"/>
      <c r="N165" s="117"/>
      <c r="O165" s="320"/>
      <c r="P165" s="164"/>
      <c r="Q165" s="188"/>
      <c r="R165" s="188"/>
      <c r="S165" s="20"/>
      <c r="T165" s="20"/>
      <c r="U165" s="20"/>
      <c r="V165" s="20"/>
    </row>
    <row r="166">
      <c r="A166" s="320"/>
      <c r="B166" s="164"/>
      <c r="C166" s="320"/>
      <c r="D166" s="117"/>
      <c r="E166" s="320"/>
      <c r="F166" s="164"/>
      <c r="G166" s="320"/>
      <c r="H166" s="164"/>
      <c r="I166" s="327"/>
      <c r="J166" s="117"/>
      <c r="K166" s="327"/>
      <c r="L166" s="117"/>
      <c r="M166" s="327"/>
      <c r="N166" s="117"/>
      <c r="O166" s="320"/>
      <c r="P166" s="164"/>
      <c r="Q166" s="188"/>
      <c r="R166" s="188"/>
      <c r="S166" s="20"/>
      <c r="T166" s="20"/>
      <c r="U166" s="20"/>
      <c r="V166" s="20"/>
    </row>
    <row r="167">
      <c r="A167" s="320"/>
      <c r="B167" s="164"/>
      <c r="C167" s="320"/>
      <c r="D167" s="117"/>
      <c r="E167" s="320"/>
      <c r="F167" s="164"/>
      <c r="G167" s="320"/>
      <c r="H167" s="164"/>
      <c r="I167" s="327"/>
      <c r="J167" s="117"/>
      <c r="K167" s="327"/>
      <c r="L167" s="117"/>
      <c r="M167" s="327"/>
      <c r="N167" s="117"/>
      <c r="O167" s="320"/>
      <c r="P167" s="164"/>
      <c r="Q167" s="188"/>
      <c r="R167" s="188"/>
      <c r="S167" s="20"/>
      <c r="T167" s="20"/>
      <c r="U167" s="20"/>
      <c r="V167" s="20"/>
    </row>
    <row r="168">
      <c r="A168" s="320"/>
      <c r="B168" s="164"/>
      <c r="C168" s="320"/>
      <c r="D168" s="117"/>
      <c r="E168" s="320"/>
      <c r="F168" s="164"/>
      <c r="G168" s="320"/>
      <c r="H168" s="164"/>
      <c r="I168" s="327"/>
      <c r="J168" s="117"/>
      <c r="K168" s="327"/>
      <c r="L168" s="117"/>
      <c r="M168" s="327"/>
      <c r="N168" s="117"/>
      <c r="O168" s="320"/>
      <c r="P168" s="164"/>
      <c r="Q168" s="188"/>
      <c r="R168" s="188"/>
      <c r="S168" s="20"/>
      <c r="T168" s="20"/>
      <c r="U168" s="20"/>
      <c r="V168" s="20"/>
    </row>
    <row r="169">
      <c r="A169" s="320"/>
      <c r="B169" s="164"/>
      <c r="C169" s="320"/>
      <c r="D169" s="117"/>
      <c r="E169" s="320"/>
      <c r="F169" s="164"/>
      <c r="G169" s="320"/>
      <c r="H169" s="164"/>
      <c r="I169" s="327"/>
      <c r="J169" s="117"/>
      <c r="K169" s="327"/>
      <c r="L169" s="117"/>
      <c r="M169" s="327"/>
      <c r="N169" s="117"/>
      <c r="O169" s="320"/>
      <c r="P169" s="164"/>
      <c r="Q169" s="188"/>
      <c r="R169" s="188"/>
      <c r="S169" s="20"/>
      <c r="T169" s="20"/>
      <c r="U169" s="20"/>
      <c r="V169" s="20"/>
    </row>
    <row r="170">
      <c r="A170" s="320"/>
      <c r="B170" s="164"/>
      <c r="C170" s="320"/>
      <c r="D170" s="117"/>
      <c r="E170" s="320"/>
      <c r="F170" s="164"/>
      <c r="G170" s="320"/>
      <c r="H170" s="164"/>
      <c r="I170" s="327"/>
      <c r="J170" s="117"/>
      <c r="K170" s="327"/>
      <c r="L170" s="117"/>
      <c r="M170" s="327"/>
      <c r="N170" s="117"/>
      <c r="O170" s="320"/>
      <c r="P170" s="164"/>
      <c r="Q170" s="188"/>
      <c r="R170" s="188"/>
      <c r="S170" s="20"/>
      <c r="T170" s="20"/>
      <c r="U170" s="20"/>
      <c r="V170" s="20"/>
    </row>
    <row r="171">
      <c r="A171" s="320"/>
      <c r="B171" s="164"/>
      <c r="C171" s="320"/>
      <c r="D171" s="117"/>
      <c r="E171" s="320"/>
      <c r="F171" s="164"/>
      <c r="G171" s="320"/>
      <c r="H171" s="164"/>
      <c r="I171" s="327"/>
      <c r="J171" s="117"/>
      <c r="K171" s="327"/>
      <c r="L171" s="117"/>
      <c r="M171" s="327"/>
      <c r="N171" s="117"/>
      <c r="O171" s="320"/>
      <c r="P171" s="164"/>
      <c r="Q171" s="188"/>
      <c r="R171" s="188"/>
      <c r="S171" s="20"/>
      <c r="T171" s="20"/>
      <c r="U171" s="20"/>
      <c r="V171" s="20"/>
    </row>
    <row r="172">
      <c r="A172" s="320"/>
      <c r="B172" s="164"/>
      <c r="C172" s="320"/>
      <c r="D172" s="117"/>
      <c r="E172" s="320"/>
      <c r="F172" s="164"/>
      <c r="G172" s="320"/>
      <c r="H172" s="164"/>
      <c r="I172" s="327"/>
      <c r="J172" s="117"/>
      <c r="K172" s="327"/>
      <c r="L172" s="117"/>
      <c r="M172" s="327"/>
      <c r="N172" s="117"/>
      <c r="O172" s="320"/>
      <c r="P172" s="164"/>
      <c r="Q172" s="188"/>
      <c r="R172" s="188"/>
      <c r="S172" s="20"/>
      <c r="T172" s="20"/>
      <c r="U172" s="20"/>
      <c r="V172" s="20"/>
    </row>
    <row r="173">
      <c r="A173" s="320"/>
      <c r="B173" s="164"/>
      <c r="C173" s="320"/>
      <c r="D173" s="117"/>
      <c r="E173" s="320"/>
      <c r="F173" s="164"/>
      <c r="G173" s="320"/>
      <c r="H173" s="164"/>
      <c r="I173" s="327"/>
      <c r="J173" s="117"/>
      <c r="K173" s="327"/>
      <c r="L173" s="117"/>
      <c r="M173" s="327"/>
      <c r="N173" s="117"/>
      <c r="O173" s="320"/>
      <c r="P173" s="164"/>
      <c r="Q173" s="188"/>
      <c r="R173" s="188"/>
      <c r="S173" s="20"/>
      <c r="T173" s="20"/>
      <c r="U173" s="20"/>
      <c r="V173" s="20"/>
    </row>
    <row r="174">
      <c r="A174" s="320"/>
      <c r="B174" s="164"/>
      <c r="C174" s="320"/>
      <c r="D174" s="117"/>
      <c r="E174" s="320"/>
      <c r="F174" s="164"/>
      <c r="G174" s="320"/>
      <c r="H174" s="164"/>
      <c r="I174" s="327"/>
      <c r="J174" s="117"/>
      <c r="K174" s="327"/>
      <c r="L174" s="117"/>
      <c r="M174" s="327"/>
      <c r="N174" s="117"/>
      <c r="O174" s="320"/>
      <c r="P174" s="164"/>
      <c r="Q174" s="188"/>
      <c r="R174" s="188"/>
      <c r="S174" s="20"/>
      <c r="T174" s="20"/>
      <c r="U174" s="20"/>
      <c r="V174" s="20"/>
    </row>
    <row r="175">
      <c r="A175" s="320"/>
      <c r="B175" s="164"/>
      <c r="C175" s="320"/>
      <c r="D175" s="117"/>
      <c r="E175" s="320"/>
      <c r="F175" s="164"/>
      <c r="G175" s="320"/>
      <c r="H175" s="164"/>
      <c r="I175" s="327"/>
      <c r="J175" s="117"/>
      <c r="K175" s="327"/>
      <c r="L175" s="117"/>
      <c r="M175" s="327"/>
      <c r="N175" s="117"/>
      <c r="O175" s="320"/>
      <c r="P175" s="164"/>
      <c r="Q175" s="188"/>
      <c r="R175" s="188"/>
      <c r="S175" s="20"/>
      <c r="T175" s="20"/>
      <c r="U175" s="20"/>
      <c r="V175" s="20"/>
    </row>
    <row r="176">
      <c r="A176" s="320"/>
      <c r="B176" s="164"/>
      <c r="C176" s="320"/>
      <c r="D176" s="117"/>
      <c r="E176" s="320"/>
      <c r="F176" s="164"/>
      <c r="G176" s="320"/>
      <c r="H176" s="164"/>
      <c r="I176" s="327"/>
      <c r="J176" s="117"/>
      <c r="K176" s="327"/>
      <c r="L176" s="117"/>
      <c r="M176" s="327"/>
      <c r="N176" s="117"/>
      <c r="O176" s="320"/>
      <c r="P176" s="164"/>
      <c r="Q176" s="188"/>
      <c r="R176" s="188"/>
      <c r="S176" s="20"/>
      <c r="T176" s="20"/>
      <c r="U176" s="20"/>
      <c r="V176" s="20"/>
    </row>
    <row r="177">
      <c r="A177" s="320"/>
      <c r="B177" s="164"/>
      <c r="C177" s="320"/>
      <c r="D177" s="117"/>
      <c r="E177" s="320"/>
      <c r="F177" s="164"/>
      <c r="G177" s="320"/>
      <c r="H177" s="164"/>
      <c r="I177" s="327"/>
      <c r="J177" s="117"/>
      <c r="K177" s="327"/>
      <c r="L177" s="117"/>
      <c r="M177" s="327"/>
      <c r="N177" s="117"/>
      <c r="O177" s="320"/>
      <c r="P177" s="164"/>
      <c r="Q177" s="188"/>
      <c r="R177" s="188"/>
      <c r="S177" s="20"/>
      <c r="T177" s="20"/>
      <c r="U177" s="20"/>
      <c r="V177" s="20"/>
    </row>
    <row r="178">
      <c r="A178" s="320"/>
      <c r="B178" s="164"/>
      <c r="C178" s="320"/>
      <c r="D178" s="117"/>
      <c r="E178" s="320"/>
      <c r="F178" s="164"/>
      <c r="G178" s="320"/>
      <c r="H178" s="164"/>
      <c r="I178" s="327"/>
      <c r="J178" s="117"/>
      <c r="K178" s="327"/>
      <c r="L178" s="117"/>
      <c r="M178" s="327"/>
      <c r="N178" s="117"/>
      <c r="O178" s="320"/>
      <c r="P178" s="164"/>
      <c r="Q178" s="188"/>
      <c r="R178" s="188"/>
      <c r="S178" s="20"/>
      <c r="T178" s="20"/>
      <c r="U178" s="20"/>
      <c r="V178" s="20"/>
    </row>
    <row r="179">
      <c r="A179" s="320"/>
      <c r="B179" s="164"/>
      <c r="C179" s="320"/>
      <c r="D179" s="117"/>
      <c r="E179" s="320"/>
      <c r="F179" s="164"/>
      <c r="G179" s="320"/>
      <c r="H179" s="164"/>
      <c r="I179" s="327"/>
      <c r="J179" s="117"/>
      <c r="K179" s="327"/>
      <c r="L179" s="117"/>
      <c r="M179" s="327"/>
      <c r="N179" s="117"/>
      <c r="O179" s="320"/>
      <c r="P179" s="164"/>
      <c r="Q179" s="188"/>
      <c r="R179" s="188"/>
      <c r="S179" s="20"/>
      <c r="T179" s="20"/>
      <c r="U179" s="20"/>
      <c r="V179" s="20"/>
    </row>
    <row r="180">
      <c r="A180" s="320"/>
      <c r="B180" s="164"/>
      <c r="C180" s="320"/>
      <c r="D180" s="117"/>
      <c r="E180" s="320"/>
      <c r="F180" s="164"/>
      <c r="G180" s="320"/>
      <c r="H180" s="164"/>
      <c r="I180" s="327"/>
      <c r="J180" s="117"/>
      <c r="K180" s="327"/>
      <c r="L180" s="117"/>
      <c r="M180" s="327"/>
      <c r="N180" s="117"/>
      <c r="O180" s="320"/>
      <c r="P180" s="164"/>
      <c r="Q180" s="188"/>
      <c r="R180" s="188"/>
      <c r="S180" s="20"/>
      <c r="T180" s="20"/>
      <c r="U180" s="20"/>
      <c r="V180" s="20"/>
    </row>
    <row r="181">
      <c r="A181" s="320"/>
      <c r="B181" s="164"/>
      <c r="C181" s="320"/>
      <c r="D181" s="117"/>
      <c r="E181" s="320"/>
      <c r="F181" s="164"/>
      <c r="G181" s="320"/>
      <c r="H181" s="164"/>
      <c r="I181" s="327"/>
      <c r="J181" s="117"/>
      <c r="K181" s="327"/>
      <c r="L181" s="117"/>
      <c r="M181" s="327"/>
      <c r="N181" s="117"/>
      <c r="O181" s="320"/>
      <c r="P181" s="164"/>
      <c r="Q181" s="188"/>
      <c r="R181" s="188"/>
      <c r="S181" s="20"/>
      <c r="T181" s="20"/>
      <c r="U181" s="20"/>
      <c r="V181" s="20"/>
    </row>
    <row r="182">
      <c r="A182" s="320"/>
      <c r="B182" s="164"/>
      <c r="C182" s="320"/>
      <c r="D182" s="117"/>
      <c r="E182" s="320"/>
      <c r="F182" s="164"/>
      <c r="G182" s="320"/>
      <c r="H182" s="164"/>
      <c r="I182" s="327"/>
      <c r="J182" s="117"/>
      <c r="K182" s="327"/>
      <c r="L182" s="117"/>
      <c r="M182" s="327"/>
      <c r="N182" s="117"/>
      <c r="O182" s="320"/>
      <c r="P182" s="164"/>
      <c r="Q182" s="188"/>
      <c r="R182" s="188"/>
      <c r="S182" s="20"/>
      <c r="T182" s="20"/>
      <c r="U182" s="20"/>
      <c r="V182" s="20"/>
    </row>
    <row r="183">
      <c r="A183" s="320"/>
      <c r="B183" s="164"/>
      <c r="C183" s="320"/>
      <c r="D183" s="117"/>
      <c r="E183" s="320"/>
      <c r="F183" s="164"/>
      <c r="G183" s="320"/>
      <c r="H183" s="164"/>
      <c r="I183" s="327"/>
      <c r="J183" s="117"/>
      <c r="K183" s="327"/>
      <c r="L183" s="117"/>
      <c r="M183" s="327"/>
      <c r="N183" s="117"/>
      <c r="O183" s="320"/>
      <c r="P183" s="164"/>
      <c r="Q183" s="188"/>
      <c r="R183" s="188"/>
      <c r="S183" s="20"/>
      <c r="T183" s="20"/>
      <c r="U183" s="20"/>
      <c r="V183" s="20"/>
    </row>
    <row r="184">
      <c r="A184" s="320"/>
      <c r="B184" s="164"/>
      <c r="C184" s="320"/>
      <c r="D184" s="117"/>
      <c r="E184" s="320"/>
      <c r="F184" s="164"/>
      <c r="G184" s="320"/>
      <c r="H184" s="164"/>
      <c r="I184" s="327"/>
      <c r="J184" s="117"/>
      <c r="K184" s="327"/>
      <c r="L184" s="117"/>
      <c r="M184" s="327"/>
      <c r="N184" s="117"/>
      <c r="O184" s="320"/>
      <c r="P184" s="164"/>
      <c r="Q184" s="188"/>
      <c r="R184" s="188"/>
      <c r="S184" s="20"/>
      <c r="T184" s="20"/>
      <c r="U184" s="20"/>
      <c r="V184" s="20"/>
    </row>
    <row r="185">
      <c r="A185" s="320"/>
      <c r="B185" s="164"/>
      <c r="C185" s="320"/>
      <c r="D185" s="117"/>
      <c r="E185" s="320"/>
      <c r="F185" s="164"/>
      <c r="G185" s="320"/>
      <c r="H185" s="164"/>
      <c r="I185" s="327"/>
      <c r="J185" s="117"/>
      <c r="K185" s="327"/>
      <c r="L185" s="117"/>
      <c r="M185" s="327"/>
      <c r="N185" s="117"/>
      <c r="O185" s="320"/>
      <c r="P185" s="164"/>
      <c r="Q185" s="188"/>
      <c r="R185" s="188"/>
      <c r="S185" s="20"/>
      <c r="T185" s="20"/>
      <c r="U185" s="20"/>
      <c r="V185" s="20"/>
    </row>
    <row r="186">
      <c r="A186" s="320"/>
      <c r="B186" s="164"/>
      <c r="C186" s="320"/>
      <c r="D186" s="117"/>
      <c r="E186" s="320"/>
      <c r="F186" s="164"/>
      <c r="G186" s="320"/>
      <c r="H186" s="164"/>
      <c r="I186" s="327"/>
      <c r="J186" s="117"/>
      <c r="K186" s="327"/>
      <c r="L186" s="117"/>
      <c r="M186" s="327"/>
      <c r="N186" s="117"/>
      <c r="O186" s="320"/>
      <c r="P186" s="164"/>
      <c r="Q186" s="188"/>
      <c r="R186" s="188"/>
      <c r="S186" s="20"/>
      <c r="T186" s="20"/>
      <c r="U186" s="20"/>
      <c r="V186" s="20"/>
    </row>
    <row r="187">
      <c r="A187" s="320"/>
      <c r="B187" s="164"/>
      <c r="C187" s="320"/>
      <c r="D187" s="117"/>
      <c r="E187" s="320"/>
      <c r="F187" s="164"/>
      <c r="G187" s="320"/>
      <c r="H187" s="164"/>
      <c r="I187" s="327"/>
      <c r="J187" s="117"/>
      <c r="K187" s="327"/>
      <c r="L187" s="117"/>
      <c r="M187" s="327"/>
      <c r="N187" s="117"/>
      <c r="O187" s="320"/>
      <c r="P187" s="164"/>
      <c r="Q187" s="188"/>
      <c r="R187" s="188"/>
      <c r="S187" s="20"/>
      <c r="T187" s="20"/>
      <c r="U187" s="20"/>
      <c r="V187" s="20"/>
    </row>
    <row r="188">
      <c r="A188" s="320"/>
      <c r="B188" s="164"/>
      <c r="C188" s="320"/>
      <c r="D188" s="117"/>
      <c r="E188" s="320"/>
      <c r="F188" s="164"/>
      <c r="G188" s="320"/>
      <c r="H188" s="164"/>
      <c r="I188" s="327"/>
      <c r="J188" s="117"/>
      <c r="K188" s="327"/>
      <c r="L188" s="117"/>
      <c r="M188" s="327"/>
      <c r="N188" s="117"/>
      <c r="O188" s="320"/>
      <c r="P188" s="164"/>
      <c r="Q188" s="188"/>
      <c r="R188" s="188"/>
      <c r="S188" s="20"/>
      <c r="T188" s="20"/>
      <c r="U188" s="20"/>
      <c r="V188" s="20"/>
    </row>
    <row r="189">
      <c r="A189" s="320"/>
      <c r="B189" s="164"/>
      <c r="C189" s="320"/>
      <c r="D189" s="117"/>
      <c r="E189" s="320"/>
      <c r="F189" s="164"/>
      <c r="G189" s="320"/>
      <c r="H189" s="164"/>
      <c r="I189" s="327"/>
      <c r="J189" s="117"/>
      <c r="K189" s="327"/>
      <c r="L189" s="117"/>
      <c r="M189" s="327"/>
      <c r="N189" s="117"/>
      <c r="O189" s="320"/>
      <c r="P189" s="164"/>
      <c r="Q189" s="188"/>
      <c r="R189" s="188"/>
      <c r="S189" s="20"/>
      <c r="T189" s="20"/>
      <c r="U189" s="20"/>
      <c r="V189" s="20"/>
    </row>
    <row r="190">
      <c r="A190" s="320"/>
      <c r="B190" s="164"/>
      <c r="C190" s="320"/>
      <c r="D190" s="117"/>
      <c r="E190" s="320"/>
      <c r="F190" s="164"/>
      <c r="G190" s="320"/>
      <c r="H190" s="164"/>
      <c r="I190" s="327"/>
      <c r="J190" s="117"/>
      <c r="K190" s="327"/>
      <c r="L190" s="117"/>
      <c r="M190" s="327"/>
      <c r="N190" s="117"/>
      <c r="O190" s="320"/>
      <c r="P190" s="164"/>
      <c r="Q190" s="188"/>
      <c r="R190" s="188"/>
      <c r="S190" s="20"/>
      <c r="T190" s="20"/>
      <c r="U190" s="20"/>
      <c r="V190" s="20"/>
    </row>
    <row r="191">
      <c r="A191" s="320"/>
      <c r="B191" s="164"/>
      <c r="C191" s="320"/>
      <c r="D191" s="117"/>
      <c r="E191" s="320"/>
      <c r="F191" s="164"/>
      <c r="G191" s="320"/>
      <c r="H191" s="164"/>
      <c r="I191" s="327"/>
      <c r="J191" s="117"/>
      <c r="K191" s="327"/>
      <c r="L191" s="117"/>
      <c r="M191" s="327"/>
      <c r="N191" s="117"/>
      <c r="O191" s="320"/>
      <c r="P191" s="164"/>
      <c r="Q191" s="188"/>
      <c r="R191" s="188"/>
      <c r="S191" s="20"/>
      <c r="T191" s="20"/>
      <c r="U191" s="20"/>
      <c r="V191" s="20"/>
    </row>
    <row r="192">
      <c r="A192" s="320"/>
      <c r="B192" s="164"/>
      <c r="C192" s="320"/>
      <c r="D192" s="117"/>
      <c r="E192" s="320"/>
      <c r="F192" s="164"/>
      <c r="G192" s="320"/>
      <c r="H192" s="164"/>
      <c r="I192" s="327"/>
      <c r="J192" s="117"/>
      <c r="K192" s="327"/>
      <c r="L192" s="117"/>
      <c r="M192" s="327"/>
      <c r="N192" s="117"/>
      <c r="O192" s="320"/>
      <c r="P192" s="164"/>
      <c r="Q192" s="188"/>
      <c r="R192" s="188"/>
      <c r="S192" s="20"/>
      <c r="T192" s="20"/>
      <c r="U192" s="20"/>
      <c r="V192" s="20"/>
    </row>
    <row r="193">
      <c r="A193" s="320"/>
      <c r="B193" s="164"/>
      <c r="C193" s="320"/>
      <c r="D193" s="117"/>
      <c r="E193" s="320"/>
      <c r="F193" s="164"/>
      <c r="G193" s="320"/>
      <c r="H193" s="164"/>
      <c r="I193" s="327"/>
      <c r="J193" s="117"/>
      <c r="K193" s="327"/>
      <c r="L193" s="117"/>
      <c r="M193" s="327"/>
      <c r="N193" s="117"/>
      <c r="O193" s="320"/>
      <c r="P193" s="164"/>
      <c r="Q193" s="188"/>
      <c r="R193" s="188"/>
      <c r="S193" s="20"/>
      <c r="T193" s="20"/>
      <c r="U193" s="20"/>
      <c r="V193" s="20"/>
    </row>
    <row r="194">
      <c r="A194" s="320"/>
      <c r="B194" s="164"/>
      <c r="C194" s="320"/>
      <c r="D194" s="117"/>
      <c r="E194" s="320"/>
      <c r="F194" s="164"/>
      <c r="G194" s="320"/>
      <c r="H194" s="164"/>
      <c r="I194" s="327"/>
      <c r="J194" s="117"/>
      <c r="K194" s="327"/>
      <c r="L194" s="117"/>
      <c r="M194" s="327"/>
      <c r="N194" s="117"/>
      <c r="O194" s="320"/>
      <c r="P194" s="164"/>
      <c r="Q194" s="188"/>
      <c r="R194" s="188"/>
      <c r="S194" s="20"/>
      <c r="T194" s="20"/>
      <c r="U194" s="20"/>
      <c r="V194" s="20"/>
    </row>
    <row r="195">
      <c r="A195" s="320"/>
      <c r="B195" s="164"/>
      <c r="C195" s="320"/>
      <c r="D195" s="117"/>
      <c r="E195" s="320"/>
      <c r="F195" s="164"/>
      <c r="G195" s="320"/>
      <c r="H195" s="164"/>
      <c r="I195" s="327"/>
      <c r="J195" s="117"/>
      <c r="K195" s="327"/>
      <c r="L195" s="117"/>
      <c r="M195" s="327"/>
      <c r="N195" s="117"/>
      <c r="O195" s="320"/>
      <c r="P195" s="164"/>
      <c r="Q195" s="188"/>
      <c r="R195" s="188"/>
      <c r="S195" s="20"/>
      <c r="T195" s="20"/>
      <c r="U195" s="20"/>
      <c r="V195" s="20"/>
    </row>
    <row r="196">
      <c r="A196" s="320"/>
      <c r="B196" s="164"/>
      <c r="C196" s="320"/>
      <c r="D196" s="117"/>
      <c r="E196" s="320"/>
      <c r="F196" s="164"/>
      <c r="G196" s="320"/>
      <c r="H196" s="164"/>
      <c r="I196" s="327"/>
      <c r="J196" s="117"/>
      <c r="K196" s="327"/>
      <c r="L196" s="117"/>
      <c r="M196" s="327"/>
      <c r="N196" s="117"/>
      <c r="O196" s="320"/>
      <c r="P196" s="164"/>
      <c r="Q196" s="188"/>
      <c r="R196" s="188"/>
      <c r="S196" s="20"/>
      <c r="T196" s="20"/>
      <c r="U196" s="20"/>
      <c r="V196" s="20"/>
    </row>
    <row r="197">
      <c r="A197" s="320"/>
      <c r="B197" s="164"/>
      <c r="C197" s="320"/>
      <c r="D197" s="117"/>
      <c r="E197" s="320"/>
      <c r="F197" s="164"/>
      <c r="G197" s="320"/>
      <c r="H197" s="164"/>
      <c r="I197" s="327"/>
      <c r="J197" s="117"/>
      <c r="K197" s="327"/>
      <c r="L197" s="117"/>
      <c r="M197" s="327"/>
      <c r="N197" s="117"/>
      <c r="O197" s="320"/>
      <c r="P197" s="164"/>
      <c r="Q197" s="188"/>
      <c r="R197" s="188"/>
      <c r="S197" s="20"/>
      <c r="T197" s="20"/>
      <c r="U197" s="20"/>
      <c r="V197" s="20"/>
    </row>
    <row r="198">
      <c r="A198" s="320"/>
      <c r="B198" s="164"/>
      <c r="C198" s="320"/>
      <c r="D198" s="117"/>
      <c r="E198" s="320"/>
      <c r="F198" s="164"/>
      <c r="G198" s="320"/>
      <c r="H198" s="164"/>
      <c r="I198" s="327"/>
      <c r="J198" s="117"/>
      <c r="K198" s="327"/>
      <c r="L198" s="117"/>
      <c r="M198" s="327"/>
      <c r="N198" s="117"/>
      <c r="O198" s="320"/>
      <c r="P198" s="164"/>
      <c r="Q198" s="188"/>
      <c r="R198" s="188"/>
      <c r="S198" s="20"/>
      <c r="T198" s="20"/>
      <c r="U198" s="20"/>
      <c r="V198" s="20"/>
    </row>
    <row r="199">
      <c r="A199" s="320"/>
      <c r="B199" s="164"/>
      <c r="C199" s="320"/>
      <c r="D199" s="117"/>
      <c r="E199" s="320"/>
      <c r="F199" s="164"/>
      <c r="G199" s="320"/>
      <c r="H199" s="164"/>
      <c r="I199" s="327"/>
      <c r="J199" s="117"/>
      <c r="K199" s="327"/>
      <c r="L199" s="117"/>
      <c r="M199" s="327"/>
      <c r="N199" s="117"/>
      <c r="O199" s="320"/>
      <c r="P199" s="164"/>
      <c r="Q199" s="188"/>
      <c r="R199" s="188"/>
      <c r="S199" s="20"/>
      <c r="T199" s="20"/>
      <c r="U199" s="20"/>
      <c r="V199" s="20"/>
    </row>
    <row r="200">
      <c r="A200" s="320"/>
      <c r="B200" s="164"/>
      <c r="C200" s="320"/>
      <c r="D200" s="117"/>
      <c r="E200" s="320"/>
      <c r="F200" s="164"/>
      <c r="G200" s="320"/>
      <c r="H200" s="164"/>
      <c r="I200" s="327"/>
      <c r="J200" s="117"/>
      <c r="K200" s="327"/>
      <c r="L200" s="117"/>
      <c r="M200" s="327"/>
      <c r="N200" s="117"/>
      <c r="O200" s="320"/>
      <c r="P200" s="164"/>
      <c r="Q200" s="188"/>
      <c r="R200" s="188"/>
      <c r="S200" s="20"/>
      <c r="T200" s="20"/>
      <c r="U200" s="20"/>
      <c r="V200" s="20"/>
    </row>
    <row r="201">
      <c r="A201" s="320"/>
      <c r="B201" s="164"/>
      <c r="C201" s="320"/>
      <c r="D201" s="117"/>
      <c r="E201" s="320"/>
      <c r="F201" s="164"/>
      <c r="G201" s="320"/>
      <c r="H201" s="164"/>
      <c r="I201" s="327"/>
      <c r="J201" s="117"/>
      <c r="K201" s="327"/>
      <c r="L201" s="117"/>
      <c r="M201" s="327"/>
      <c r="N201" s="117"/>
      <c r="O201" s="320"/>
      <c r="P201" s="164"/>
      <c r="Q201" s="188"/>
      <c r="R201" s="188"/>
      <c r="S201" s="20"/>
      <c r="T201" s="20"/>
      <c r="U201" s="20"/>
      <c r="V201" s="20"/>
    </row>
    <row r="202">
      <c r="A202" s="320"/>
      <c r="B202" s="164"/>
      <c r="C202" s="320"/>
      <c r="D202" s="117"/>
      <c r="E202" s="320"/>
      <c r="F202" s="164"/>
      <c r="G202" s="320"/>
      <c r="H202" s="164"/>
      <c r="I202" s="327"/>
      <c r="J202" s="117"/>
      <c r="K202" s="327"/>
      <c r="L202" s="117"/>
      <c r="M202" s="327"/>
      <c r="N202" s="117"/>
      <c r="O202" s="320"/>
      <c r="P202" s="164"/>
      <c r="Q202" s="188"/>
      <c r="R202" s="188"/>
      <c r="S202" s="20"/>
      <c r="T202" s="20"/>
      <c r="U202" s="20"/>
      <c r="V202" s="20"/>
    </row>
    <row r="203">
      <c r="A203" s="320"/>
      <c r="B203" s="164"/>
      <c r="C203" s="320"/>
      <c r="D203" s="117"/>
      <c r="E203" s="320"/>
      <c r="F203" s="164"/>
      <c r="G203" s="320"/>
      <c r="H203" s="164"/>
      <c r="I203" s="327"/>
      <c r="J203" s="117"/>
      <c r="K203" s="327"/>
      <c r="L203" s="117"/>
      <c r="M203" s="327"/>
      <c r="N203" s="117"/>
      <c r="O203" s="320"/>
      <c r="P203" s="164"/>
      <c r="Q203" s="188"/>
      <c r="R203" s="188"/>
      <c r="S203" s="20"/>
      <c r="T203" s="20"/>
      <c r="U203" s="20"/>
      <c r="V203" s="20"/>
    </row>
    <row r="204">
      <c r="A204" s="320"/>
      <c r="B204" s="164"/>
      <c r="C204" s="320"/>
      <c r="D204" s="117"/>
      <c r="E204" s="320"/>
      <c r="F204" s="164"/>
      <c r="G204" s="320"/>
      <c r="H204" s="164"/>
      <c r="I204" s="327"/>
      <c r="J204" s="117"/>
      <c r="K204" s="327"/>
      <c r="L204" s="117"/>
      <c r="M204" s="327"/>
      <c r="N204" s="117"/>
      <c r="O204" s="320"/>
      <c r="P204" s="164"/>
      <c r="Q204" s="188"/>
      <c r="R204" s="188"/>
      <c r="S204" s="20"/>
      <c r="T204" s="20"/>
      <c r="U204" s="20"/>
      <c r="V204" s="20"/>
    </row>
    <row r="205">
      <c r="A205" s="320"/>
      <c r="B205" s="164"/>
      <c r="C205" s="320"/>
      <c r="D205" s="117"/>
      <c r="E205" s="320"/>
      <c r="F205" s="164"/>
      <c r="G205" s="320"/>
      <c r="H205" s="164"/>
      <c r="I205" s="327"/>
      <c r="J205" s="117"/>
      <c r="K205" s="327"/>
      <c r="L205" s="117"/>
      <c r="M205" s="327"/>
      <c r="N205" s="117"/>
      <c r="O205" s="320"/>
      <c r="P205" s="164"/>
      <c r="Q205" s="188"/>
      <c r="R205" s="188"/>
      <c r="S205" s="20"/>
      <c r="T205" s="20"/>
      <c r="U205" s="20"/>
      <c r="V205" s="20"/>
    </row>
    <row r="206">
      <c r="A206" s="320"/>
      <c r="B206" s="164"/>
      <c r="C206" s="320"/>
      <c r="D206" s="117"/>
      <c r="E206" s="320"/>
      <c r="F206" s="164"/>
      <c r="G206" s="320"/>
      <c r="H206" s="164"/>
      <c r="I206" s="327"/>
      <c r="J206" s="117"/>
      <c r="K206" s="327"/>
      <c r="L206" s="117"/>
      <c r="M206" s="327"/>
      <c r="N206" s="117"/>
      <c r="O206" s="320"/>
      <c r="P206" s="164"/>
      <c r="Q206" s="188"/>
      <c r="R206" s="188"/>
      <c r="S206" s="20"/>
      <c r="T206" s="20"/>
      <c r="U206" s="20"/>
      <c r="V206" s="20"/>
    </row>
    <row r="207">
      <c r="A207" s="320"/>
      <c r="B207" s="164"/>
      <c r="C207" s="320"/>
      <c r="D207" s="117"/>
      <c r="E207" s="320"/>
      <c r="F207" s="164"/>
      <c r="G207" s="320"/>
      <c r="H207" s="164"/>
      <c r="I207" s="327"/>
      <c r="J207" s="117"/>
      <c r="K207" s="327"/>
      <c r="L207" s="117"/>
      <c r="M207" s="327"/>
      <c r="N207" s="117"/>
      <c r="O207" s="320"/>
      <c r="P207" s="164"/>
      <c r="Q207" s="188"/>
      <c r="R207" s="188"/>
      <c r="S207" s="20"/>
      <c r="T207" s="20"/>
      <c r="U207" s="20"/>
      <c r="V207" s="20"/>
    </row>
    <row r="208">
      <c r="A208" s="320"/>
      <c r="B208" s="164"/>
      <c r="C208" s="320"/>
      <c r="D208" s="117"/>
      <c r="E208" s="320"/>
      <c r="F208" s="164"/>
      <c r="G208" s="320"/>
      <c r="H208" s="164"/>
      <c r="I208" s="327"/>
      <c r="J208" s="117"/>
      <c r="K208" s="327"/>
      <c r="L208" s="117"/>
      <c r="M208" s="327"/>
      <c r="N208" s="117"/>
      <c r="O208" s="320"/>
      <c r="P208" s="164"/>
      <c r="Q208" s="188"/>
      <c r="R208" s="188"/>
      <c r="S208" s="20"/>
      <c r="T208" s="20"/>
      <c r="U208" s="20"/>
      <c r="V208" s="20"/>
    </row>
    <row r="209">
      <c r="A209" s="320"/>
      <c r="B209" s="164"/>
      <c r="C209" s="320"/>
      <c r="D209" s="117"/>
      <c r="E209" s="320"/>
      <c r="F209" s="164"/>
      <c r="G209" s="320"/>
      <c r="H209" s="164"/>
      <c r="I209" s="327"/>
      <c r="J209" s="117"/>
      <c r="K209" s="327"/>
      <c r="L209" s="117"/>
      <c r="M209" s="327"/>
      <c r="N209" s="117"/>
      <c r="O209" s="320"/>
      <c r="P209" s="164"/>
      <c r="Q209" s="188"/>
      <c r="R209" s="188"/>
      <c r="S209" s="20"/>
      <c r="T209" s="20"/>
      <c r="U209" s="20"/>
      <c r="V209" s="20"/>
    </row>
    <row r="210">
      <c r="A210" s="320"/>
      <c r="B210" s="164"/>
      <c r="C210" s="320"/>
      <c r="D210" s="117"/>
      <c r="E210" s="320"/>
      <c r="F210" s="164"/>
      <c r="G210" s="320"/>
      <c r="H210" s="164"/>
      <c r="I210" s="327"/>
      <c r="J210" s="117"/>
      <c r="K210" s="327"/>
      <c r="L210" s="117"/>
      <c r="M210" s="327"/>
      <c r="N210" s="117"/>
      <c r="O210" s="320"/>
      <c r="P210" s="164"/>
      <c r="Q210" s="188"/>
      <c r="R210" s="188"/>
      <c r="S210" s="20"/>
      <c r="T210" s="20"/>
      <c r="U210" s="20"/>
      <c r="V210" s="20"/>
    </row>
    <row r="211">
      <c r="A211" s="320"/>
      <c r="B211" s="164"/>
      <c r="C211" s="320"/>
      <c r="D211" s="117"/>
      <c r="E211" s="320"/>
      <c r="F211" s="164"/>
      <c r="G211" s="320"/>
      <c r="H211" s="164"/>
      <c r="I211" s="327"/>
      <c r="J211" s="117"/>
      <c r="K211" s="327"/>
      <c r="L211" s="117"/>
      <c r="M211" s="327"/>
      <c r="N211" s="117"/>
      <c r="O211" s="320"/>
      <c r="P211" s="164"/>
      <c r="Q211" s="188"/>
      <c r="R211" s="188"/>
      <c r="S211" s="20"/>
      <c r="T211" s="20"/>
      <c r="U211" s="20"/>
      <c r="V211" s="20"/>
    </row>
    <row r="212">
      <c r="A212" s="320"/>
      <c r="B212" s="164"/>
      <c r="C212" s="320"/>
      <c r="D212" s="117"/>
      <c r="E212" s="320"/>
      <c r="F212" s="164"/>
      <c r="G212" s="320"/>
      <c r="H212" s="164"/>
      <c r="I212" s="327"/>
      <c r="J212" s="117"/>
      <c r="K212" s="327"/>
      <c r="L212" s="117"/>
      <c r="M212" s="327"/>
      <c r="N212" s="117"/>
      <c r="O212" s="320"/>
      <c r="P212" s="164"/>
      <c r="Q212" s="188"/>
      <c r="R212" s="188"/>
      <c r="S212" s="20"/>
      <c r="T212" s="20"/>
      <c r="U212" s="20"/>
      <c r="V212" s="20"/>
    </row>
    <row r="213">
      <c r="A213" s="320"/>
      <c r="B213" s="164"/>
      <c r="C213" s="320"/>
      <c r="D213" s="117"/>
      <c r="E213" s="320"/>
      <c r="F213" s="164"/>
      <c r="G213" s="320"/>
      <c r="H213" s="164"/>
      <c r="I213" s="327"/>
      <c r="J213" s="117"/>
      <c r="K213" s="327"/>
      <c r="L213" s="117"/>
      <c r="M213" s="327"/>
      <c r="N213" s="117"/>
      <c r="O213" s="320"/>
      <c r="P213" s="164"/>
      <c r="Q213" s="188"/>
      <c r="R213" s="188"/>
      <c r="S213" s="20"/>
      <c r="T213" s="20"/>
      <c r="U213" s="20"/>
      <c r="V213" s="20"/>
    </row>
    <row r="214">
      <c r="A214" s="320"/>
      <c r="B214" s="164"/>
      <c r="C214" s="320"/>
      <c r="D214" s="117"/>
      <c r="E214" s="320"/>
      <c r="F214" s="164"/>
      <c r="G214" s="320"/>
      <c r="H214" s="164"/>
      <c r="I214" s="327"/>
      <c r="J214" s="117"/>
      <c r="K214" s="327"/>
      <c r="L214" s="117"/>
      <c r="M214" s="327"/>
      <c r="N214" s="117"/>
      <c r="O214" s="320"/>
      <c r="P214" s="164"/>
      <c r="Q214" s="188"/>
      <c r="R214" s="188"/>
      <c r="S214" s="20"/>
      <c r="T214" s="20"/>
      <c r="U214" s="20"/>
      <c r="V214" s="20"/>
    </row>
    <row r="215">
      <c r="A215" s="320"/>
      <c r="B215" s="164"/>
      <c r="C215" s="320"/>
      <c r="D215" s="117"/>
      <c r="E215" s="320"/>
      <c r="F215" s="164"/>
      <c r="G215" s="320"/>
      <c r="H215" s="164"/>
      <c r="I215" s="327"/>
      <c r="J215" s="117"/>
      <c r="K215" s="327"/>
      <c r="L215" s="117"/>
      <c r="M215" s="327"/>
      <c r="N215" s="117"/>
      <c r="O215" s="320"/>
      <c r="P215" s="164"/>
      <c r="Q215" s="188"/>
      <c r="R215" s="188"/>
      <c r="S215" s="20"/>
      <c r="T215" s="20"/>
      <c r="U215" s="20"/>
      <c r="V215" s="20"/>
    </row>
    <row r="216">
      <c r="A216" s="320"/>
      <c r="B216" s="164"/>
      <c r="C216" s="320"/>
      <c r="D216" s="117"/>
      <c r="E216" s="320"/>
      <c r="F216" s="164"/>
      <c r="G216" s="320"/>
      <c r="H216" s="164"/>
      <c r="I216" s="327"/>
      <c r="J216" s="117"/>
      <c r="K216" s="327"/>
      <c r="L216" s="117"/>
      <c r="M216" s="327"/>
      <c r="N216" s="117"/>
      <c r="O216" s="320"/>
      <c r="P216" s="164"/>
      <c r="Q216" s="188"/>
      <c r="R216" s="188"/>
      <c r="S216" s="20"/>
      <c r="T216" s="20"/>
      <c r="U216" s="20"/>
      <c r="V216" s="20"/>
    </row>
    <row r="217">
      <c r="A217" s="320"/>
      <c r="B217" s="164"/>
      <c r="C217" s="320"/>
      <c r="D217" s="117"/>
      <c r="E217" s="320"/>
      <c r="F217" s="164"/>
      <c r="G217" s="320"/>
      <c r="H217" s="164"/>
      <c r="I217" s="327"/>
      <c r="J217" s="117"/>
      <c r="K217" s="327"/>
      <c r="L217" s="117"/>
      <c r="M217" s="327"/>
      <c r="N217" s="117"/>
      <c r="O217" s="320"/>
      <c r="P217" s="164"/>
      <c r="Q217" s="188"/>
      <c r="R217" s="188"/>
      <c r="S217" s="20"/>
      <c r="T217" s="20"/>
      <c r="U217" s="20"/>
      <c r="V217" s="20"/>
    </row>
    <row r="218">
      <c r="A218" s="320"/>
      <c r="B218" s="164"/>
      <c r="C218" s="320"/>
      <c r="D218" s="117"/>
      <c r="E218" s="320"/>
      <c r="F218" s="164"/>
      <c r="G218" s="320"/>
      <c r="H218" s="164"/>
      <c r="I218" s="327"/>
      <c r="J218" s="117"/>
      <c r="K218" s="327"/>
      <c r="L218" s="117"/>
      <c r="M218" s="327"/>
      <c r="N218" s="117"/>
      <c r="O218" s="320"/>
      <c r="P218" s="164"/>
      <c r="Q218" s="188"/>
      <c r="R218" s="188"/>
      <c r="S218" s="20"/>
      <c r="T218" s="20"/>
      <c r="U218" s="20"/>
      <c r="V218" s="20"/>
    </row>
    <row r="219">
      <c r="A219" s="320"/>
      <c r="B219" s="164"/>
      <c r="C219" s="320"/>
      <c r="D219" s="117"/>
      <c r="E219" s="320"/>
      <c r="F219" s="164"/>
      <c r="G219" s="320"/>
      <c r="H219" s="164"/>
      <c r="I219" s="327"/>
      <c r="J219" s="117"/>
      <c r="K219" s="327"/>
      <c r="L219" s="117"/>
      <c r="M219" s="327"/>
      <c r="N219" s="117"/>
      <c r="O219" s="320"/>
      <c r="P219" s="164"/>
      <c r="Q219" s="188"/>
      <c r="R219" s="188"/>
      <c r="S219" s="20"/>
      <c r="T219" s="20"/>
      <c r="U219" s="20"/>
      <c r="V219" s="20"/>
    </row>
    <row r="220">
      <c r="A220" s="320"/>
      <c r="B220" s="164"/>
      <c r="C220" s="320"/>
      <c r="D220" s="117"/>
      <c r="E220" s="320"/>
      <c r="F220" s="164"/>
      <c r="G220" s="320"/>
      <c r="H220" s="164"/>
      <c r="I220" s="327"/>
      <c r="J220" s="117"/>
      <c r="K220" s="327"/>
      <c r="L220" s="117"/>
      <c r="M220" s="327"/>
      <c r="N220" s="117"/>
      <c r="O220" s="320"/>
      <c r="P220" s="164"/>
      <c r="Q220" s="188"/>
      <c r="R220" s="188"/>
      <c r="S220" s="20"/>
      <c r="T220" s="20"/>
      <c r="U220" s="20"/>
      <c r="V220" s="20"/>
    </row>
    <row r="221">
      <c r="A221" s="320"/>
      <c r="B221" s="164"/>
      <c r="C221" s="320"/>
      <c r="D221" s="117"/>
      <c r="E221" s="320"/>
      <c r="F221" s="164"/>
      <c r="G221" s="320"/>
      <c r="H221" s="164"/>
      <c r="I221" s="327"/>
      <c r="J221" s="117"/>
      <c r="K221" s="327"/>
      <c r="L221" s="117"/>
      <c r="M221" s="327"/>
      <c r="N221" s="117"/>
      <c r="O221" s="320"/>
      <c r="P221" s="164"/>
      <c r="Q221" s="188"/>
      <c r="R221" s="188"/>
      <c r="S221" s="20"/>
      <c r="T221" s="20"/>
      <c r="U221" s="20"/>
      <c r="V221" s="20"/>
    </row>
    <row r="222">
      <c r="A222" s="320"/>
      <c r="B222" s="164"/>
      <c r="C222" s="320"/>
      <c r="D222" s="117"/>
      <c r="E222" s="320"/>
      <c r="F222" s="164"/>
      <c r="G222" s="320"/>
      <c r="H222" s="164"/>
      <c r="I222" s="327"/>
      <c r="J222" s="117"/>
      <c r="K222" s="327"/>
      <c r="L222" s="117"/>
      <c r="M222" s="327"/>
      <c r="N222" s="117"/>
      <c r="O222" s="320"/>
      <c r="P222" s="164"/>
      <c r="Q222" s="188"/>
      <c r="R222" s="188"/>
      <c r="S222" s="20"/>
      <c r="T222" s="20"/>
      <c r="U222" s="20"/>
      <c r="V222" s="20"/>
    </row>
    <row r="223">
      <c r="A223" s="320"/>
      <c r="B223" s="164"/>
      <c r="C223" s="320"/>
      <c r="D223" s="117"/>
      <c r="E223" s="320"/>
      <c r="F223" s="164"/>
      <c r="G223" s="320"/>
      <c r="H223" s="164"/>
      <c r="I223" s="327"/>
      <c r="J223" s="117"/>
      <c r="K223" s="327"/>
      <c r="L223" s="117"/>
      <c r="M223" s="327"/>
      <c r="N223" s="117"/>
      <c r="O223" s="320"/>
      <c r="P223" s="164"/>
      <c r="Q223" s="188"/>
      <c r="R223" s="188"/>
      <c r="S223" s="20"/>
      <c r="T223" s="20"/>
      <c r="U223" s="20"/>
      <c r="V223" s="20"/>
    </row>
    <row r="224">
      <c r="A224" s="320"/>
      <c r="B224" s="164"/>
      <c r="C224" s="320"/>
      <c r="D224" s="117"/>
      <c r="E224" s="320"/>
      <c r="F224" s="164"/>
      <c r="G224" s="320"/>
      <c r="H224" s="164"/>
      <c r="I224" s="327"/>
      <c r="J224" s="117"/>
      <c r="K224" s="327"/>
      <c r="L224" s="117"/>
      <c r="M224" s="327"/>
      <c r="N224" s="117"/>
      <c r="O224" s="320"/>
      <c r="P224" s="164"/>
      <c r="Q224" s="188"/>
      <c r="R224" s="188"/>
      <c r="S224" s="20"/>
      <c r="T224" s="20"/>
      <c r="U224" s="20"/>
      <c r="V224" s="20"/>
    </row>
    <row r="225">
      <c r="A225" s="320"/>
      <c r="B225" s="164"/>
      <c r="C225" s="320"/>
      <c r="D225" s="117"/>
      <c r="E225" s="320"/>
      <c r="F225" s="164"/>
      <c r="G225" s="320"/>
      <c r="H225" s="164"/>
      <c r="I225" s="327"/>
      <c r="J225" s="117"/>
      <c r="K225" s="327"/>
      <c r="L225" s="117"/>
      <c r="M225" s="327"/>
      <c r="N225" s="117"/>
      <c r="O225" s="320"/>
      <c r="P225" s="164"/>
      <c r="Q225" s="188"/>
      <c r="R225" s="188"/>
      <c r="S225" s="20"/>
      <c r="T225" s="20"/>
      <c r="U225" s="20"/>
      <c r="V225" s="20"/>
    </row>
    <row r="226">
      <c r="A226" s="320"/>
      <c r="B226" s="164"/>
      <c r="C226" s="320"/>
      <c r="D226" s="117"/>
      <c r="E226" s="320"/>
      <c r="F226" s="164"/>
      <c r="G226" s="320"/>
      <c r="H226" s="164"/>
      <c r="I226" s="327"/>
      <c r="J226" s="117"/>
      <c r="K226" s="327"/>
      <c r="L226" s="117"/>
      <c r="M226" s="327"/>
      <c r="N226" s="117"/>
      <c r="O226" s="320"/>
      <c r="P226" s="164"/>
      <c r="Q226" s="188"/>
      <c r="R226" s="188"/>
      <c r="S226" s="20"/>
      <c r="T226" s="20"/>
      <c r="U226" s="20"/>
      <c r="V226" s="20"/>
    </row>
    <row r="227">
      <c r="A227" s="320"/>
      <c r="B227" s="164"/>
      <c r="C227" s="320"/>
      <c r="D227" s="117"/>
      <c r="E227" s="320"/>
      <c r="F227" s="164"/>
      <c r="G227" s="320"/>
      <c r="H227" s="164"/>
      <c r="I227" s="327"/>
      <c r="J227" s="117"/>
      <c r="K227" s="327"/>
      <c r="L227" s="117"/>
      <c r="M227" s="327"/>
      <c r="N227" s="117"/>
      <c r="O227" s="320"/>
      <c r="P227" s="164"/>
      <c r="Q227" s="188"/>
      <c r="R227" s="188"/>
      <c r="S227" s="20"/>
      <c r="T227" s="20"/>
      <c r="U227" s="20"/>
      <c r="V227" s="20"/>
    </row>
    <row r="228">
      <c r="A228" s="320"/>
      <c r="B228" s="164"/>
      <c r="C228" s="320"/>
      <c r="D228" s="117"/>
      <c r="E228" s="320"/>
      <c r="F228" s="164"/>
      <c r="G228" s="320"/>
      <c r="H228" s="164"/>
      <c r="I228" s="327"/>
      <c r="J228" s="117"/>
      <c r="K228" s="327"/>
      <c r="L228" s="117"/>
      <c r="M228" s="327"/>
      <c r="N228" s="117"/>
      <c r="O228" s="320"/>
      <c r="P228" s="164"/>
      <c r="Q228" s="188"/>
      <c r="R228" s="188"/>
      <c r="S228" s="20"/>
      <c r="T228" s="20"/>
      <c r="U228" s="20"/>
      <c r="V228" s="20"/>
    </row>
    <row r="229">
      <c r="A229" s="320"/>
      <c r="B229" s="164"/>
      <c r="C229" s="320"/>
      <c r="D229" s="117"/>
      <c r="E229" s="320"/>
      <c r="F229" s="164"/>
      <c r="G229" s="320"/>
      <c r="H229" s="164"/>
      <c r="I229" s="327"/>
      <c r="J229" s="117"/>
      <c r="K229" s="327"/>
      <c r="L229" s="117"/>
      <c r="M229" s="327"/>
      <c r="N229" s="117"/>
      <c r="O229" s="320"/>
      <c r="P229" s="164"/>
      <c r="Q229" s="188"/>
      <c r="R229" s="188"/>
      <c r="S229" s="20"/>
      <c r="T229" s="20"/>
      <c r="U229" s="20"/>
      <c r="V229" s="20"/>
    </row>
    <row r="230">
      <c r="A230" s="320"/>
      <c r="B230" s="164"/>
      <c r="C230" s="320"/>
      <c r="D230" s="117"/>
      <c r="E230" s="320"/>
      <c r="F230" s="164"/>
      <c r="G230" s="320"/>
      <c r="H230" s="164"/>
      <c r="I230" s="327"/>
      <c r="J230" s="117"/>
      <c r="K230" s="327"/>
      <c r="L230" s="117"/>
      <c r="M230" s="327"/>
      <c r="N230" s="117"/>
      <c r="O230" s="320"/>
      <c r="P230" s="164"/>
      <c r="Q230" s="188"/>
      <c r="R230" s="188"/>
      <c r="S230" s="20"/>
      <c r="T230" s="20"/>
      <c r="U230" s="20"/>
      <c r="V230" s="20"/>
    </row>
    <row r="231">
      <c r="A231" s="320"/>
      <c r="B231" s="164"/>
      <c r="C231" s="320"/>
      <c r="D231" s="117"/>
      <c r="E231" s="320"/>
      <c r="F231" s="164"/>
      <c r="G231" s="320"/>
      <c r="H231" s="164"/>
      <c r="I231" s="327"/>
      <c r="J231" s="117"/>
      <c r="K231" s="327"/>
      <c r="L231" s="117"/>
      <c r="M231" s="327"/>
      <c r="N231" s="117"/>
      <c r="O231" s="320"/>
      <c r="P231" s="164"/>
      <c r="Q231" s="188"/>
      <c r="R231" s="188"/>
      <c r="S231" s="20"/>
      <c r="T231" s="20"/>
      <c r="U231" s="20"/>
      <c r="V231" s="20"/>
    </row>
    <row r="232">
      <c r="A232" s="320"/>
      <c r="B232" s="164"/>
      <c r="C232" s="320"/>
      <c r="D232" s="117"/>
      <c r="E232" s="320"/>
      <c r="F232" s="164"/>
      <c r="G232" s="320"/>
      <c r="H232" s="164"/>
      <c r="I232" s="327"/>
      <c r="J232" s="117"/>
      <c r="K232" s="327"/>
      <c r="L232" s="117"/>
      <c r="M232" s="327"/>
      <c r="N232" s="117"/>
      <c r="O232" s="320"/>
      <c r="P232" s="164"/>
      <c r="Q232" s="188"/>
      <c r="R232" s="188"/>
      <c r="S232" s="20"/>
      <c r="T232" s="20"/>
      <c r="U232" s="20"/>
      <c r="V232" s="20"/>
    </row>
    <row r="233">
      <c r="A233" s="320"/>
      <c r="B233" s="164"/>
      <c r="C233" s="320"/>
      <c r="D233" s="117"/>
      <c r="E233" s="320"/>
      <c r="F233" s="164"/>
      <c r="G233" s="320"/>
      <c r="H233" s="164"/>
      <c r="I233" s="327"/>
      <c r="J233" s="117"/>
      <c r="K233" s="327"/>
      <c r="L233" s="117"/>
      <c r="M233" s="327"/>
      <c r="N233" s="117"/>
      <c r="O233" s="320"/>
      <c r="P233" s="164"/>
      <c r="Q233" s="188"/>
      <c r="R233" s="188"/>
      <c r="S233" s="20"/>
      <c r="T233" s="20"/>
      <c r="U233" s="20"/>
      <c r="V233" s="20"/>
    </row>
    <row r="234">
      <c r="A234" s="320"/>
      <c r="B234" s="164"/>
      <c r="C234" s="320"/>
      <c r="D234" s="117"/>
      <c r="E234" s="320"/>
      <c r="F234" s="164"/>
      <c r="G234" s="320"/>
      <c r="H234" s="164"/>
      <c r="I234" s="327"/>
      <c r="J234" s="117"/>
      <c r="K234" s="327"/>
      <c r="L234" s="117"/>
      <c r="M234" s="327"/>
      <c r="N234" s="117"/>
      <c r="O234" s="320"/>
      <c r="P234" s="164"/>
      <c r="Q234" s="188"/>
      <c r="R234" s="188"/>
      <c r="S234" s="20"/>
      <c r="T234" s="20"/>
      <c r="U234" s="20"/>
      <c r="V234" s="20"/>
    </row>
    <row r="235">
      <c r="A235" s="320"/>
      <c r="B235" s="164"/>
      <c r="C235" s="320"/>
      <c r="D235" s="117"/>
      <c r="E235" s="320"/>
      <c r="F235" s="164"/>
      <c r="G235" s="320"/>
      <c r="H235" s="164"/>
      <c r="I235" s="327"/>
      <c r="J235" s="117"/>
      <c r="K235" s="327"/>
      <c r="L235" s="117"/>
      <c r="M235" s="327"/>
      <c r="N235" s="117"/>
      <c r="O235" s="320"/>
      <c r="P235" s="164"/>
      <c r="Q235" s="188"/>
      <c r="R235" s="188"/>
      <c r="S235" s="20"/>
      <c r="T235" s="20"/>
      <c r="U235" s="20"/>
      <c r="V235" s="20"/>
    </row>
    <row r="236">
      <c r="A236" s="320"/>
      <c r="B236" s="164"/>
      <c r="C236" s="320"/>
      <c r="D236" s="117"/>
      <c r="E236" s="320"/>
      <c r="F236" s="164"/>
      <c r="G236" s="320"/>
      <c r="H236" s="164"/>
      <c r="I236" s="327"/>
      <c r="J236" s="117"/>
      <c r="K236" s="327"/>
      <c r="L236" s="117"/>
      <c r="M236" s="327"/>
      <c r="N236" s="117"/>
      <c r="O236" s="320"/>
      <c r="P236" s="164"/>
      <c r="Q236" s="188"/>
      <c r="R236" s="188"/>
      <c r="S236" s="20"/>
      <c r="T236" s="20"/>
      <c r="U236" s="20"/>
      <c r="V236" s="20"/>
    </row>
    <row r="237">
      <c r="A237" s="320"/>
      <c r="B237" s="164"/>
      <c r="C237" s="320"/>
      <c r="D237" s="117"/>
      <c r="E237" s="320"/>
      <c r="F237" s="164"/>
      <c r="G237" s="320"/>
      <c r="H237" s="164"/>
      <c r="I237" s="327"/>
      <c r="J237" s="117"/>
      <c r="K237" s="327"/>
      <c r="L237" s="117"/>
      <c r="M237" s="327"/>
      <c r="N237" s="117"/>
      <c r="O237" s="320"/>
      <c r="P237" s="164"/>
      <c r="Q237" s="188"/>
      <c r="R237" s="188"/>
      <c r="S237" s="20"/>
      <c r="T237" s="20"/>
      <c r="U237" s="20"/>
      <c r="V237" s="20"/>
    </row>
    <row r="238">
      <c r="A238" s="320"/>
      <c r="B238" s="164"/>
      <c r="C238" s="320"/>
      <c r="D238" s="117"/>
      <c r="E238" s="320"/>
      <c r="F238" s="164"/>
      <c r="G238" s="320"/>
      <c r="H238" s="164"/>
      <c r="I238" s="327"/>
      <c r="J238" s="117"/>
      <c r="K238" s="327"/>
      <c r="L238" s="117"/>
      <c r="M238" s="327"/>
      <c r="N238" s="117"/>
      <c r="O238" s="320"/>
      <c r="P238" s="164"/>
      <c r="Q238" s="188"/>
      <c r="R238" s="188"/>
      <c r="S238" s="20"/>
      <c r="T238" s="20"/>
      <c r="U238" s="20"/>
      <c r="V238" s="20"/>
    </row>
    <row r="239">
      <c r="A239" s="320"/>
      <c r="B239" s="164"/>
      <c r="C239" s="320"/>
      <c r="D239" s="117"/>
      <c r="E239" s="320"/>
      <c r="F239" s="164"/>
      <c r="G239" s="320"/>
      <c r="H239" s="164"/>
      <c r="I239" s="327"/>
      <c r="J239" s="117"/>
      <c r="K239" s="327"/>
      <c r="L239" s="117"/>
      <c r="M239" s="327"/>
      <c r="N239" s="117"/>
      <c r="O239" s="320"/>
      <c r="P239" s="164"/>
      <c r="Q239" s="188"/>
      <c r="R239" s="188"/>
      <c r="S239" s="20"/>
      <c r="T239" s="20"/>
      <c r="U239" s="20"/>
      <c r="V239" s="20"/>
    </row>
    <row r="240">
      <c r="A240" s="320"/>
      <c r="B240" s="164"/>
      <c r="C240" s="320"/>
      <c r="D240" s="117"/>
      <c r="E240" s="320"/>
      <c r="F240" s="164"/>
      <c r="G240" s="320"/>
      <c r="H240" s="164"/>
      <c r="I240" s="327"/>
      <c r="J240" s="117"/>
      <c r="K240" s="327"/>
      <c r="L240" s="117"/>
      <c r="M240" s="327"/>
      <c r="N240" s="117"/>
      <c r="O240" s="320"/>
      <c r="P240" s="164"/>
      <c r="Q240" s="188"/>
      <c r="R240" s="188"/>
      <c r="S240" s="20"/>
      <c r="T240" s="20"/>
      <c r="U240" s="20"/>
      <c r="V240" s="20"/>
    </row>
    <row r="241">
      <c r="A241" s="320"/>
      <c r="B241" s="164"/>
      <c r="C241" s="320"/>
      <c r="D241" s="117"/>
      <c r="E241" s="320"/>
      <c r="F241" s="164"/>
      <c r="G241" s="320"/>
      <c r="H241" s="164"/>
      <c r="I241" s="327"/>
      <c r="J241" s="117"/>
      <c r="K241" s="327"/>
      <c r="L241" s="117"/>
      <c r="M241" s="327"/>
      <c r="N241" s="117"/>
      <c r="O241" s="320"/>
      <c r="P241" s="164"/>
      <c r="Q241" s="188"/>
      <c r="R241" s="188"/>
      <c r="S241" s="20"/>
      <c r="T241" s="20"/>
      <c r="U241" s="20"/>
      <c r="V241" s="20"/>
    </row>
    <row r="242">
      <c r="A242" s="320"/>
      <c r="B242" s="164"/>
      <c r="C242" s="320"/>
      <c r="D242" s="117"/>
      <c r="E242" s="320"/>
      <c r="F242" s="164"/>
      <c r="G242" s="320"/>
      <c r="H242" s="164"/>
      <c r="I242" s="327"/>
      <c r="J242" s="117"/>
      <c r="K242" s="327"/>
      <c r="L242" s="117"/>
      <c r="M242" s="327"/>
      <c r="N242" s="117"/>
      <c r="O242" s="320"/>
      <c r="P242" s="164"/>
      <c r="Q242" s="188"/>
      <c r="R242" s="188"/>
      <c r="S242" s="20"/>
      <c r="T242" s="20"/>
      <c r="U242" s="20"/>
      <c r="V242" s="20"/>
    </row>
    <row r="243">
      <c r="A243" s="320"/>
      <c r="B243" s="164"/>
      <c r="C243" s="320"/>
      <c r="D243" s="117"/>
      <c r="E243" s="320"/>
      <c r="F243" s="164"/>
      <c r="G243" s="320"/>
      <c r="H243" s="164"/>
      <c r="I243" s="327"/>
      <c r="J243" s="117"/>
      <c r="K243" s="327"/>
      <c r="L243" s="117"/>
      <c r="M243" s="327"/>
      <c r="N243" s="117"/>
      <c r="O243" s="320"/>
      <c r="P243" s="164"/>
      <c r="Q243" s="188"/>
      <c r="R243" s="188"/>
      <c r="S243" s="20"/>
      <c r="T243" s="20"/>
      <c r="U243" s="20"/>
      <c r="V243" s="20"/>
    </row>
    <row r="244">
      <c r="A244" s="320"/>
      <c r="B244" s="164"/>
      <c r="C244" s="320"/>
      <c r="D244" s="117"/>
      <c r="E244" s="320"/>
      <c r="F244" s="164"/>
      <c r="G244" s="320"/>
      <c r="H244" s="164"/>
      <c r="I244" s="327"/>
      <c r="J244" s="117"/>
      <c r="K244" s="327"/>
      <c r="L244" s="117"/>
      <c r="M244" s="327"/>
      <c r="N244" s="117"/>
      <c r="O244" s="320"/>
      <c r="P244" s="164"/>
      <c r="Q244" s="188"/>
      <c r="R244" s="188"/>
      <c r="S244" s="20"/>
      <c r="T244" s="20"/>
      <c r="U244" s="20"/>
      <c r="V244" s="20"/>
    </row>
    <row r="245">
      <c r="A245" s="320"/>
      <c r="B245" s="164"/>
      <c r="C245" s="320"/>
      <c r="D245" s="117"/>
      <c r="E245" s="320"/>
      <c r="F245" s="164"/>
      <c r="G245" s="320"/>
      <c r="H245" s="164"/>
      <c r="I245" s="327"/>
      <c r="J245" s="117"/>
      <c r="K245" s="327"/>
      <c r="L245" s="117"/>
      <c r="M245" s="327"/>
      <c r="N245" s="117"/>
      <c r="O245" s="320"/>
      <c r="P245" s="164"/>
      <c r="Q245" s="188"/>
      <c r="R245" s="188"/>
      <c r="S245" s="20"/>
      <c r="T245" s="20"/>
      <c r="U245" s="20"/>
      <c r="V245" s="20"/>
    </row>
    <row r="246">
      <c r="A246" s="320"/>
      <c r="B246" s="164"/>
      <c r="C246" s="320"/>
      <c r="D246" s="117"/>
      <c r="E246" s="320"/>
      <c r="F246" s="164"/>
      <c r="G246" s="320"/>
      <c r="H246" s="164"/>
      <c r="I246" s="327"/>
      <c r="J246" s="117"/>
      <c r="K246" s="327"/>
      <c r="L246" s="117"/>
      <c r="M246" s="327"/>
      <c r="N246" s="117"/>
      <c r="O246" s="320"/>
      <c r="P246" s="164"/>
      <c r="Q246" s="188"/>
      <c r="R246" s="188"/>
      <c r="S246" s="20"/>
      <c r="T246" s="20"/>
      <c r="U246" s="20"/>
      <c r="V246" s="20"/>
    </row>
    <row r="247">
      <c r="A247" s="320"/>
      <c r="B247" s="164"/>
      <c r="C247" s="320"/>
      <c r="D247" s="117"/>
      <c r="E247" s="320"/>
      <c r="F247" s="164"/>
      <c r="G247" s="320"/>
      <c r="H247" s="164"/>
      <c r="I247" s="327"/>
      <c r="J247" s="117"/>
      <c r="K247" s="327"/>
      <c r="L247" s="117"/>
      <c r="M247" s="327"/>
      <c r="N247" s="117"/>
      <c r="O247" s="320"/>
      <c r="P247" s="164"/>
      <c r="Q247" s="188"/>
      <c r="R247" s="188"/>
      <c r="S247" s="20"/>
      <c r="T247" s="20"/>
      <c r="U247" s="20"/>
      <c r="V247" s="20"/>
    </row>
    <row r="248">
      <c r="A248" s="320"/>
      <c r="B248" s="164"/>
      <c r="C248" s="320"/>
      <c r="D248" s="117"/>
      <c r="E248" s="320"/>
      <c r="F248" s="164"/>
      <c r="G248" s="320"/>
      <c r="H248" s="164"/>
      <c r="I248" s="327"/>
      <c r="J248" s="117"/>
      <c r="K248" s="327"/>
      <c r="L248" s="117"/>
      <c r="M248" s="327"/>
      <c r="N248" s="117"/>
      <c r="O248" s="320"/>
      <c r="P248" s="164"/>
      <c r="Q248" s="188"/>
      <c r="R248" s="188"/>
      <c r="S248" s="20"/>
      <c r="T248" s="20"/>
      <c r="U248" s="20"/>
      <c r="V248" s="20"/>
    </row>
    <row r="249">
      <c r="A249" s="320"/>
      <c r="B249" s="164"/>
      <c r="C249" s="320"/>
      <c r="D249" s="117"/>
      <c r="E249" s="320"/>
      <c r="F249" s="164"/>
      <c r="G249" s="320"/>
      <c r="H249" s="164"/>
      <c r="I249" s="327"/>
      <c r="J249" s="117"/>
      <c r="K249" s="327"/>
      <c r="L249" s="117"/>
      <c r="M249" s="327"/>
      <c r="N249" s="117"/>
      <c r="O249" s="320"/>
      <c r="P249" s="164"/>
      <c r="Q249" s="188"/>
      <c r="R249" s="188"/>
      <c r="S249" s="20"/>
      <c r="T249" s="20"/>
      <c r="U249" s="20"/>
      <c r="V249" s="20"/>
    </row>
    <row r="250">
      <c r="A250" s="320"/>
      <c r="B250" s="164"/>
      <c r="C250" s="320"/>
      <c r="D250" s="117"/>
      <c r="E250" s="320"/>
      <c r="F250" s="164"/>
      <c r="G250" s="320"/>
      <c r="H250" s="164"/>
      <c r="I250" s="327"/>
      <c r="J250" s="117"/>
      <c r="K250" s="327"/>
      <c r="L250" s="117"/>
      <c r="M250" s="327"/>
      <c r="N250" s="117"/>
      <c r="O250" s="320"/>
      <c r="P250" s="164"/>
      <c r="Q250" s="188"/>
      <c r="R250" s="188"/>
      <c r="S250" s="20"/>
      <c r="T250" s="20"/>
      <c r="U250" s="20"/>
      <c r="V250" s="20"/>
    </row>
    <row r="251">
      <c r="A251" s="320"/>
      <c r="B251" s="164"/>
      <c r="C251" s="320"/>
      <c r="D251" s="117"/>
      <c r="E251" s="320"/>
      <c r="F251" s="164"/>
      <c r="G251" s="320"/>
      <c r="H251" s="164"/>
      <c r="I251" s="327"/>
      <c r="J251" s="117"/>
      <c r="K251" s="327"/>
      <c r="L251" s="117"/>
      <c r="M251" s="327"/>
      <c r="N251" s="117"/>
      <c r="O251" s="320"/>
      <c r="P251" s="164"/>
      <c r="Q251" s="188"/>
      <c r="R251" s="188"/>
      <c r="S251" s="20"/>
      <c r="T251" s="20"/>
      <c r="U251" s="20"/>
      <c r="V251" s="20"/>
    </row>
    <row r="252">
      <c r="A252" s="320"/>
      <c r="B252" s="164"/>
      <c r="C252" s="320"/>
      <c r="D252" s="117"/>
      <c r="E252" s="320"/>
      <c r="F252" s="164"/>
      <c r="G252" s="320"/>
      <c r="H252" s="164"/>
      <c r="I252" s="327"/>
      <c r="J252" s="117"/>
      <c r="K252" s="327"/>
      <c r="L252" s="117"/>
      <c r="M252" s="327"/>
      <c r="N252" s="117"/>
      <c r="O252" s="320"/>
      <c r="P252" s="164"/>
      <c r="Q252" s="188"/>
      <c r="R252" s="188"/>
      <c r="S252" s="20"/>
      <c r="T252" s="20"/>
      <c r="U252" s="20"/>
      <c r="V252" s="20"/>
    </row>
    <row r="253">
      <c r="A253" s="320"/>
      <c r="B253" s="164"/>
      <c r="C253" s="320"/>
      <c r="D253" s="117"/>
      <c r="E253" s="320"/>
      <c r="F253" s="164"/>
      <c r="G253" s="320"/>
      <c r="H253" s="164"/>
      <c r="I253" s="327"/>
      <c r="J253" s="117"/>
      <c r="K253" s="327"/>
      <c r="L253" s="117"/>
      <c r="M253" s="327"/>
      <c r="N253" s="117"/>
      <c r="O253" s="320"/>
      <c r="P253" s="164"/>
      <c r="Q253" s="188"/>
      <c r="R253" s="188"/>
      <c r="S253" s="20"/>
      <c r="T253" s="20"/>
      <c r="U253" s="20"/>
      <c r="V253" s="20"/>
    </row>
    <row r="254">
      <c r="A254" s="320"/>
      <c r="B254" s="164"/>
      <c r="C254" s="320"/>
      <c r="D254" s="117"/>
      <c r="E254" s="320"/>
      <c r="F254" s="164"/>
      <c r="G254" s="320"/>
      <c r="H254" s="164"/>
      <c r="I254" s="327"/>
      <c r="J254" s="117"/>
      <c r="K254" s="327"/>
      <c r="L254" s="117"/>
      <c r="M254" s="327"/>
      <c r="N254" s="117"/>
      <c r="O254" s="320"/>
      <c r="P254" s="164"/>
      <c r="Q254" s="188"/>
      <c r="R254" s="188"/>
      <c r="S254" s="20"/>
      <c r="T254" s="20"/>
      <c r="U254" s="20"/>
      <c r="V254" s="20"/>
    </row>
    <row r="255">
      <c r="A255" s="320"/>
      <c r="B255" s="164"/>
      <c r="C255" s="320"/>
      <c r="D255" s="117"/>
      <c r="E255" s="320"/>
      <c r="F255" s="164"/>
      <c r="G255" s="320"/>
      <c r="H255" s="164"/>
      <c r="I255" s="327"/>
      <c r="J255" s="117"/>
      <c r="K255" s="327"/>
      <c r="L255" s="117"/>
      <c r="M255" s="327"/>
      <c r="N255" s="117"/>
      <c r="O255" s="320"/>
      <c r="P255" s="164"/>
      <c r="Q255" s="188"/>
      <c r="R255" s="188"/>
      <c r="S255" s="20"/>
      <c r="T255" s="20"/>
      <c r="U255" s="20"/>
      <c r="V255" s="20"/>
    </row>
    <row r="256">
      <c r="A256" s="320"/>
      <c r="B256" s="164"/>
      <c r="C256" s="320"/>
      <c r="D256" s="117"/>
      <c r="E256" s="320"/>
      <c r="F256" s="164"/>
      <c r="G256" s="320"/>
      <c r="H256" s="164"/>
      <c r="I256" s="327"/>
      <c r="J256" s="117"/>
      <c r="K256" s="327"/>
      <c r="L256" s="117"/>
      <c r="M256" s="327"/>
      <c r="N256" s="117"/>
      <c r="O256" s="320"/>
      <c r="P256" s="164"/>
      <c r="Q256" s="188"/>
      <c r="R256" s="188"/>
      <c r="S256" s="20"/>
      <c r="T256" s="20"/>
      <c r="U256" s="20"/>
      <c r="V256" s="20"/>
    </row>
    <row r="257">
      <c r="A257" s="320"/>
      <c r="B257" s="164"/>
      <c r="C257" s="320"/>
      <c r="D257" s="117"/>
      <c r="E257" s="320"/>
      <c r="F257" s="164"/>
      <c r="G257" s="320"/>
      <c r="H257" s="164"/>
      <c r="I257" s="327"/>
      <c r="J257" s="117"/>
      <c r="K257" s="327"/>
      <c r="L257" s="117"/>
      <c r="M257" s="327"/>
      <c r="N257" s="117"/>
      <c r="O257" s="320"/>
      <c r="P257" s="164"/>
      <c r="Q257" s="188"/>
      <c r="R257" s="188"/>
      <c r="S257" s="20"/>
      <c r="T257" s="20"/>
      <c r="U257" s="20"/>
      <c r="V257" s="20"/>
    </row>
    <row r="258">
      <c r="A258" s="320"/>
      <c r="B258" s="164"/>
      <c r="C258" s="320"/>
      <c r="D258" s="117"/>
      <c r="E258" s="320"/>
      <c r="F258" s="164"/>
      <c r="G258" s="320"/>
      <c r="H258" s="164"/>
      <c r="I258" s="327"/>
      <c r="J258" s="117"/>
      <c r="K258" s="327"/>
      <c r="L258" s="117"/>
      <c r="M258" s="327"/>
      <c r="N258" s="117"/>
      <c r="O258" s="320"/>
      <c r="P258" s="164"/>
      <c r="Q258" s="188"/>
      <c r="R258" s="188"/>
      <c r="S258" s="20"/>
      <c r="T258" s="20"/>
      <c r="U258" s="20"/>
      <c r="V258" s="20"/>
    </row>
    <row r="259">
      <c r="A259" s="320"/>
      <c r="B259" s="164"/>
      <c r="C259" s="320"/>
      <c r="D259" s="117"/>
      <c r="E259" s="320"/>
      <c r="F259" s="164"/>
      <c r="G259" s="320"/>
      <c r="H259" s="164"/>
      <c r="I259" s="327"/>
      <c r="J259" s="117"/>
      <c r="K259" s="327"/>
      <c r="L259" s="117"/>
      <c r="M259" s="327"/>
      <c r="N259" s="117"/>
      <c r="O259" s="320"/>
      <c r="P259" s="164"/>
      <c r="Q259" s="188"/>
      <c r="R259" s="188"/>
      <c r="S259" s="20"/>
      <c r="T259" s="20"/>
      <c r="U259" s="20"/>
      <c r="V259" s="20"/>
    </row>
    <row r="260">
      <c r="A260" s="320"/>
      <c r="B260" s="164"/>
      <c r="C260" s="320"/>
      <c r="D260" s="117"/>
      <c r="E260" s="320"/>
      <c r="F260" s="164"/>
      <c r="G260" s="320"/>
      <c r="H260" s="164"/>
      <c r="I260" s="327"/>
      <c r="J260" s="117"/>
      <c r="K260" s="327"/>
      <c r="L260" s="117"/>
      <c r="M260" s="327"/>
      <c r="N260" s="117"/>
      <c r="O260" s="320"/>
      <c r="P260" s="164"/>
      <c r="Q260" s="188"/>
      <c r="R260" s="188"/>
      <c r="S260" s="20"/>
      <c r="T260" s="20"/>
      <c r="U260" s="20"/>
      <c r="V260" s="20"/>
    </row>
    <row r="261">
      <c r="A261" s="320"/>
      <c r="B261" s="164"/>
      <c r="C261" s="320"/>
      <c r="D261" s="117"/>
      <c r="E261" s="320"/>
      <c r="F261" s="164"/>
      <c r="G261" s="320"/>
      <c r="H261" s="164"/>
      <c r="I261" s="327"/>
      <c r="J261" s="117"/>
      <c r="K261" s="327"/>
      <c r="L261" s="117"/>
      <c r="M261" s="327"/>
      <c r="N261" s="117"/>
      <c r="O261" s="320"/>
      <c r="P261" s="164"/>
      <c r="Q261" s="188"/>
      <c r="R261" s="188"/>
      <c r="S261" s="20"/>
      <c r="T261" s="20"/>
      <c r="U261" s="20"/>
      <c r="V261" s="20"/>
    </row>
    <row r="262">
      <c r="A262" s="320"/>
      <c r="B262" s="164"/>
      <c r="C262" s="320"/>
      <c r="D262" s="117"/>
      <c r="E262" s="320"/>
      <c r="F262" s="164"/>
      <c r="G262" s="320"/>
      <c r="H262" s="164"/>
      <c r="I262" s="327"/>
      <c r="J262" s="117"/>
      <c r="K262" s="327"/>
      <c r="L262" s="117"/>
      <c r="M262" s="327"/>
      <c r="N262" s="117"/>
      <c r="O262" s="320"/>
      <c r="P262" s="164"/>
      <c r="Q262" s="188"/>
      <c r="R262" s="188"/>
      <c r="S262" s="20"/>
      <c r="T262" s="20"/>
      <c r="U262" s="20"/>
      <c r="V262" s="20"/>
    </row>
    <row r="263">
      <c r="A263" s="320"/>
      <c r="B263" s="164"/>
      <c r="C263" s="320"/>
      <c r="D263" s="117"/>
      <c r="E263" s="320"/>
      <c r="F263" s="164"/>
      <c r="G263" s="320"/>
      <c r="H263" s="164"/>
      <c r="I263" s="327"/>
      <c r="J263" s="117"/>
      <c r="K263" s="327"/>
      <c r="L263" s="117"/>
      <c r="M263" s="327"/>
      <c r="N263" s="117"/>
      <c r="O263" s="320"/>
      <c r="P263" s="164"/>
      <c r="Q263" s="188"/>
      <c r="R263" s="188"/>
      <c r="S263" s="20"/>
      <c r="T263" s="20"/>
      <c r="U263" s="20"/>
      <c r="V263" s="20"/>
    </row>
    <row r="264">
      <c r="A264" s="320"/>
      <c r="B264" s="164"/>
      <c r="C264" s="320"/>
      <c r="D264" s="117"/>
      <c r="E264" s="320"/>
      <c r="F264" s="164"/>
      <c r="G264" s="320"/>
      <c r="H264" s="164"/>
      <c r="I264" s="327"/>
      <c r="J264" s="117"/>
      <c r="K264" s="327"/>
      <c r="L264" s="117"/>
      <c r="M264" s="327"/>
      <c r="N264" s="117"/>
      <c r="O264" s="320"/>
      <c r="P264" s="164"/>
      <c r="Q264" s="188"/>
      <c r="R264" s="188"/>
      <c r="S264" s="20"/>
      <c r="T264" s="20"/>
      <c r="U264" s="20"/>
      <c r="V264" s="20"/>
    </row>
    <row r="265">
      <c r="A265" s="320"/>
      <c r="B265" s="164"/>
      <c r="C265" s="320"/>
      <c r="D265" s="117"/>
      <c r="E265" s="320"/>
      <c r="F265" s="164"/>
      <c r="G265" s="320"/>
      <c r="H265" s="164"/>
      <c r="I265" s="327"/>
      <c r="J265" s="117"/>
      <c r="K265" s="327"/>
      <c r="L265" s="117"/>
      <c r="M265" s="327"/>
      <c r="N265" s="117"/>
      <c r="O265" s="320"/>
      <c r="P265" s="164"/>
      <c r="Q265" s="188"/>
      <c r="R265" s="188"/>
      <c r="S265" s="20"/>
      <c r="T265" s="20"/>
      <c r="U265" s="20"/>
      <c r="V265" s="20"/>
    </row>
    <row r="266">
      <c r="A266" s="320"/>
      <c r="B266" s="164"/>
      <c r="C266" s="320"/>
      <c r="D266" s="117"/>
      <c r="E266" s="320"/>
      <c r="F266" s="164"/>
      <c r="G266" s="320"/>
      <c r="H266" s="164"/>
      <c r="I266" s="327"/>
      <c r="J266" s="117"/>
      <c r="K266" s="327"/>
      <c r="L266" s="117"/>
      <c r="M266" s="327"/>
      <c r="N266" s="117"/>
      <c r="O266" s="320"/>
      <c r="P266" s="164"/>
      <c r="Q266" s="188"/>
      <c r="R266" s="188"/>
      <c r="S266" s="20"/>
      <c r="T266" s="20"/>
      <c r="U266" s="20"/>
      <c r="V266" s="20"/>
    </row>
    <row r="267">
      <c r="A267" s="320"/>
      <c r="B267" s="164"/>
      <c r="C267" s="320"/>
      <c r="D267" s="117"/>
      <c r="E267" s="320"/>
      <c r="F267" s="164"/>
      <c r="G267" s="320"/>
      <c r="H267" s="164"/>
      <c r="I267" s="327"/>
      <c r="J267" s="117"/>
      <c r="K267" s="327"/>
      <c r="L267" s="117"/>
      <c r="M267" s="327"/>
      <c r="N267" s="117"/>
      <c r="O267" s="320"/>
      <c r="P267" s="164"/>
      <c r="Q267" s="188"/>
      <c r="R267" s="188"/>
      <c r="S267" s="20"/>
      <c r="T267" s="20"/>
      <c r="U267" s="20"/>
      <c r="V267" s="20"/>
    </row>
    <row r="268">
      <c r="A268" s="320"/>
      <c r="B268" s="164"/>
      <c r="C268" s="320"/>
      <c r="D268" s="117"/>
      <c r="E268" s="320"/>
      <c r="F268" s="164"/>
      <c r="G268" s="320"/>
      <c r="H268" s="164"/>
      <c r="I268" s="327"/>
      <c r="J268" s="117"/>
      <c r="K268" s="327"/>
      <c r="L268" s="117"/>
      <c r="M268" s="327"/>
      <c r="N268" s="117"/>
      <c r="O268" s="320"/>
      <c r="P268" s="164"/>
      <c r="Q268" s="188"/>
      <c r="R268" s="188"/>
      <c r="S268" s="20"/>
      <c r="T268" s="20"/>
      <c r="U268" s="20"/>
      <c r="V268" s="20"/>
    </row>
    <row r="269">
      <c r="A269" s="320"/>
      <c r="B269" s="164"/>
      <c r="C269" s="320"/>
      <c r="D269" s="117"/>
      <c r="E269" s="320"/>
      <c r="F269" s="164"/>
      <c r="G269" s="320"/>
      <c r="H269" s="164"/>
      <c r="I269" s="327"/>
      <c r="J269" s="117"/>
      <c r="K269" s="327"/>
      <c r="L269" s="117"/>
      <c r="M269" s="327"/>
      <c r="N269" s="117"/>
      <c r="O269" s="320"/>
      <c r="P269" s="164"/>
      <c r="Q269" s="188"/>
      <c r="R269" s="188"/>
      <c r="S269" s="20"/>
      <c r="T269" s="20"/>
      <c r="U269" s="20"/>
      <c r="V269" s="20"/>
    </row>
    <row r="270">
      <c r="A270" s="320"/>
      <c r="B270" s="164"/>
      <c r="C270" s="320"/>
      <c r="D270" s="117"/>
      <c r="E270" s="320"/>
      <c r="F270" s="164"/>
      <c r="G270" s="320"/>
      <c r="H270" s="164"/>
      <c r="I270" s="327"/>
      <c r="J270" s="117"/>
      <c r="K270" s="327"/>
      <c r="L270" s="117"/>
      <c r="M270" s="327"/>
      <c r="N270" s="117"/>
      <c r="O270" s="320"/>
      <c r="P270" s="164"/>
      <c r="Q270" s="188"/>
      <c r="R270" s="188"/>
      <c r="S270" s="20"/>
      <c r="T270" s="20"/>
      <c r="U270" s="20"/>
      <c r="V270" s="20"/>
    </row>
    <row r="271">
      <c r="A271" s="320"/>
      <c r="B271" s="164"/>
      <c r="C271" s="320"/>
      <c r="D271" s="117"/>
      <c r="E271" s="320"/>
      <c r="F271" s="164"/>
      <c r="G271" s="320"/>
      <c r="H271" s="164"/>
      <c r="I271" s="327"/>
      <c r="J271" s="117"/>
      <c r="K271" s="327"/>
      <c r="L271" s="117"/>
      <c r="M271" s="327"/>
      <c r="N271" s="117"/>
      <c r="O271" s="320"/>
      <c r="P271" s="164"/>
      <c r="Q271" s="188"/>
      <c r="R271" s="188"/>
      <c r="S271" s="20"/>
      <c r="T271" s="20"/>
      <c r="U271" s="20"/>
      <c r="V271" s="20"/>
    </row>
    <row r="272">
      <c r="A272" s="320"/>
      <c r="B272" s="164"/>
      <c r="C272" s="320"/>
      <c r="D272" s="117"/>
      <c r="E272" s="320"/>
      <c r="F272" s="164"/>
      <c r="G272" s="320"/>
      <c r="H272" s="164"/>
      <c r="I272" s="327"/>
      <c r="J272" s="117"/>
      <c r="K272" s="327"/>
      <c r="L272" s="117"/>
      <c r="M272" s="327"/>
      <c r="N272" s="117"/>
      <c r="O272" s="320"/>
      <c r="P272" s="164"/>
      <c r="Q272" s="188"/>
      <c r="R272" s="188"/>
      <c r="S272" s="20"/>
      <c r="T272" s="20"/>
      <c r="U272" s="20"/>
      <c r="V272" s="20"/>
    </row>
    <row r="273">
      <c r="A273" s="320"/>
      <c r="B273" s="164"/>
      <c r="C273" s="320"/>
      <c r="D273" s="117"/>
      <c r="E273" s="320"/>
      <c r="F273" s="164"/>
      <c r="G273" s="320"/>
      <c r="H273" s="164"/>
      <c r="I273" s="327"/>
      <c r="J273" s="117"/>
      <c r="K273" s="327"/>
      <c r="L273" s="117"/>
      <c r="M273" s="327"/>
      <c r="N273" s="117"/>
      <c r="O273" s="320"/>
      <c r="P273" s="164"/>
      <c r="Q273" s="188"/>
      <c r="R273" s="188"/>
      <c r="S273" s="20"/>
      <c r="T273" s="20"/>
      <c r="U273" s="20"/>
      <c r="V273" s="20"/>
    </row>
    <row r="274">
      <c r="A274" s="320"/>
      <c r="B274" s="164"/>
      <c r="C274" s="320"/>
      <c r="D274" s="117"/>
      <c r="E274" s="320"/>
      <c r="F274" s="164"/>
      <c r="G274" s="320"/>
      <c r="H274" s="164"/>
      <c r="I274" s="327"/>
      <c r="J274" s="117"/>
      <c r="K274" s="327"/>
      <c r="L274" s="117"/>
      <c r="M274" s="327"/>
      <c r="N274" s="117"/>
      <c r="O274" s="320"/>
      <c r="P274" s="164"/>
      <c r="Q274" s="188"/>
      <c r="R274" s="188"/>
      <c r="S274" s="20"/>
      <c r="T274" s="20"/>
      <c r="U274" s="20"/>
      <c r="V274" s="20"/>
    </row>
    <row r="275">
      <c r="A275" s="320"/>
      <c r="B275" s="164"/>
      <c r="C275" s="320"/>
      <c r="D275" s="117"/>
      <c r="E275" s="320"/>
      <c r="F275" s="164"/>
      <c r="G275" s="320"/>
      <c r="H275" s="164"/>
      <c r="I275" s="327"/>
      <c r="J275" s="117"/>
      <c r="K275" s="327"/>
      <c r="L275" s="117"/>
      <c r="M275" s="327"/>
      <c r="N275" s="117"/>
      <c r="O275" s="320"/>
      <c r="P275" s="164"/>
      <c r="Q275" s="188"/>
      <c r="R275" s="188"/>
      <c r="S275" s="20"/>
      <c r="T275" s="20"/>
      <c r="U275" s="20"/>
      <c r="V275" s="20"/>
    </row>
    <row r="276">
      <c r="A276" s="320"/>
      <c r="B276" s="164"/>
      <c r="C276" s="320"/>
      <c r="D276" s="117"/>
      <c r="E276" s="320"/>
      <c r="F276" s="164"/>
      <c r="G276" s="320"/>
      <c r="H276" s="164"/>
      <c r="I276" s="327"/>
      <c r="J276" s="117"/>
      <c r="K276" s="327"/>
      <c r="L276" s="117"/>
      <c r="M276" s="327"/>
      <c r="N276" s="117"/>
      <c r="O276" s="320"/>
      <c r="P276" s="164"/>
      <c r="Q276" s="188"/>
      <c r="R276" s="188"/>
      <c r="S276" s="20"/>
      <c r="T276" s="20"/>
      <c r="U276" s="20"/>
      <c r="V276" s="20"/>
    </row>
    <row r="277">
      <c r="A277" s="320"/>
      <c r="B277" s="164"/>
      <c r="C277" s="320"/>
      <c r="D277" s="117"/>
      <c r="E277" s="320"/>
      <c r="F277" s="164"/>
      <c r="G277" s="320"/>
      <c r="H277" s="164"/>
      <c r="I277" s="327"/>
      <c r="J277" s="117"/>
      <c r="K277" s="327"/>
      <c r="L277" s="117"/>
      <c r="M277" s="327"/>
      <c r="N277" s="117"/>
      <c r="O277" s="320"/>
      <c r="P277" s="164"/>
      <c r="Q277" s="188"/>
      <c r="R277" s="188"/>
      <c r="S277" s="20"/>
      <c r="T277" s="20"/>
      <c r="U277" s="20"/>
      <c r="V277" s="20"/>
    </row>
    <row r="278">
      <c r="A278" s="320"/>
      <c r="B278" s="164"/>
      <c r="C278" s="320"/>
      <c r="D278" s="117"/>
      <c r="E278" s="320"/>
      <c r="F278" s="164"/>
      <c r="G278" s="320"/>
      <c r="H278" s="164"/>
      <c r="I278" s="327"/>
      <c r="J278" s="117"/>
      <c r="K278" s="327"/>
      <c r="L278" s="117"/>
      <c r="M278" s="327"/>
      <c r="N278" s="117"/>
      <c r="O278" s="320"/>
      <c r="P278" s="164"/>
      <c r="Q278" s="188"/>
      <c r="R278" s="188"/>
      <c r="S278" s="20"/>
      <c r="T278" s="20"/>
      <c r="U278" s="20"/>
      <c r="V278" s="20"/>
    </row>
    <row r="279">
      <c r="A279" s="320"/>
      <c r="B279" s="164"/>
      <c r="C279" s="320"/>
      <c r="D279" s="117"/>
      <c r="E279" s="320"/>
      <c r="F279" s="164"/>
      <c r="G279" s="320"/>
      <c r="H279" s="164"/>
      <c r="I279" s="327"/>
      <c r="J279" s="117"/>
      <c r="K279" s="327"/>
      <c r="L279" s="117"/>
      <c r="M279" s="327"/>
      <c r="N279" s="117"/>
      <c r="O279" s="320"/>
      <c r="P279" s="164"/>
      <c r="Q279" s="188"/>
      <c r="R279" s="188"/>
      <c r="S279" s="20"/>
      <c r="T279" s="20"/>
      <c r="U279" s="20"/>
      <c r="V279" s="20"/>
    </row>
    <row r="280">
      <c r="A280" s="320"/>
      <c r="B280" s="164"/>
      <c r="C280" s="320"/>
      <c r="D280" s="117"/>
      <c r="E280" s="320"/>
      <c r="F280" s="164"/>
      <c r="G280" s="320"/>
      <c r="H280" s="164"/>
      <c r="I280" s="327"/>
      <c r="J280" s="117"/>
      <c r="K280" s="327"/>
      <c r="L280" s="117"/>
      <c r="M280" s="327"/>
      <c r="N280" s="117"/>
      <c r="O280" s="320"/>
      <c r="P280" s="164"/>
      <c r="Q280" s="188"/>
      <c r="R280" s="188"/>
      <c r="S280" s="20"/>
      <c r="T280" s="20"/>
      <c r="U280" s="20"/>
      <c r="V280" s="20"/>
    </row>
    <row r="281">
      <c r="A281" s="320"/>
      <c r="B281" s="164"/>
      <c r="C281" s="320"/>
      <c r="D281" s="117"/>
      <c r="E281" s="320"/>
      <c r="F281" s="164"/>
      <c r="G281" s="320"/>
      <c r="H281" s="164"/>
      <c r="I281" s="327"/>
      <c r="J281" s="117"/>
      <c r="K281" s="327"/>
      <c r="L281" s="117"/>
      <c r="M281" s="327"/>
      <c r="N281" s="117"/>
      <c r="O281" s="320"/>
      <c r="P281" s="164"/>
      <c r="Q281" s="188"/>
      <c r="R281" s="188"/>
      <c r="S281" s="20"/>
      <c r="T281" s="20"/>
      <c r="U281" s="20"/>
      <c r="V281" s="20"/>
    </row>
    <row r="282">
      <c r="A282" s="320"/>
      <c r="B282" s="164"/>
      <c r="C282" s="320"/>
      <c r="D282" s="117"/>
      <c r="E282" s="320"/>
      <c r="F282" s="164"/>
      <c r="G282" s="320"/>
      <c r="H282" s="164"/>
      <c r="I282" s="327"/>
      <c r="J282" s="117"/>
      <c r="K282" s="327"/>
      <c r="L282" s="117"/>
      <c r="M282" s="327"/>
      <c r="N282" s="117"/>
      <c r="O282" s="320"/>
      <c r="P282" s="164"/>
      <c r="Q282" s="188"/>
      <c r="R282" s="188"/>
      <c r="S282" s="20"/>
      <c r="T282" s="20"/>
      <c r="U282" s="20"/>
      <c r="V282" s="20"/>
    </row>
    <row r="283">
      <c r="A283" s="320"/>
      <c r="B283" s="164"/>
      <c r="C283" s="320"/>
      <c r="D283" s="117"/>
      <c r="E283" s="320"/>
      <c r="F283" s="164"/>
      <c r="G283" s="320"/>
      <c r="H283" s="164"/>
      <c r="I283" s="327"/>
      <c r="J283" s="117"/>
      <c r="K283" s="327"/>
      <c r="L283" s="117"/>
      <c r="M283" s="327"/>
      <c r="N283" s="117"/>
      <c r="O283" s="320"/>
      <c r="P283" s="164"/>
      <c r="Q283" s="188"/>
      <c r="R283" s="188"/>
      <c r="S283" s="20"/>
      <c r="T283" s="20"/>
      <c r="U283" s="20"/>
      <c r="V283" s="20"/>
    </row>
    <row r="284">
      <c r="A284" s="320"/>
      <c r="B284" s="164"/>
      <c r="C284" s="320"/>
      <c r="D284" s="117"/>
      <c r="E284" s="320"/>
      <c r="F284" s="164"/>
      <c r="G284" s="320"/>
      <c r="H284" s="164"/>
      <c r="I284" s="327"/>
      <c r="J284" s="117"/>
      <c r="K284" s="327"/>
      <c r="L284" s="117"/>
      <c r="M284" s="327"/>
      <c r="N284" s="117"/>
      <c r="O284" s="320"/>
      <c r="P284" s="164"/>
      <c r="Q284" s="188"/>
      <c r="R284" s="188"/>
      <c r="S284" s="20"/>
      <c r="T284" s="20"/>
      <c r="U284" s="20"/>
      <c r="V284" s="20"/>
    </row>
    <row r="285">
      <c r="A285" s="320"/>
      <c r="B285" s="164"/>
      <c r="C285" s="320"/>
      <c r="D285" s="117"/>
      <c r="E285" s="320"/>
      <c r="F285" s="164"/>
      <c r="G285" s="320"/>
      <c r="H285" s="164"/>
      <c r="I285" s="327"/>
      <c r="J285" s="117"/>
      <c r="K285" s="327"/>
      <c r="L285" s="117"/>
      <c r="M285" s="327"/>
      <c r="N285" s="117"/>
      <c r="O285" s="320"/>
      <c r="P285" s="164"/>
      <c r="Q285" s="188"/>
      <c r="R285" s="188"/>
      <c r="S285" s="20"/>
      <c r="T285" s="20"/>
      <c r="U285" s="20"/>
      <c r="V285" s="20"/>
    </row>
    <row r="286">
      <c r="A286" s="320"/>
      <c r="B286" s="164"/>
      <c r="C286" s="320"/>
      <c r="D286" s="117"/>
      <c r="E286" s="320"/>
      <c r="F286" s="164"/>
      <c r="G286" s="320"/>
      <c r="H286" s="164"/>
      <c r="I286" s="327"/>
      <c r="J286" s="117"/>
      <c r="K286" s="327"/>
      <c r="L286" s="117"/>
      <c r="M286" s="327"/>
      <c r="N286" s="117"/>
      <c r="O286" s="320"/>
      <c r="P286" s="164"/>
      <c r="Q286" s="188"/>
      <c r="R286" s="188"/>
      <c r="S286" s="20"/>
      <c r="T286" s="20"/>
      <c r="U286" s="20"/>
      <c r="V286" s="20"/>
    </row>
    <row r="287">
      <c r="A287" s="320"/>
      <c r="B287" s="164"/>
      <c r="C287" s="320"/>
      <c r="D287" s="117"/>
      <c r="E287" s="320"/>
      <c r="F287" s="164"/>
      <c r="G287" s="320"/>
      <c r="H287" s="164"/>
      <c r="I287" s="327"/>
      <c r="J287" s="117"/>
      <c r="K287" s="327"/>
      <c r="L287" s="117"/>
      <c r="M287" s="327"/>
      <c r="N287" s="117"/>
      <c r="O287" s="320"/>
      <c r="P287" s="164"/>
      <c r="Q287" s="188"/>
      <c r="R287" s="188"/>
      <c r="S287" s="20"/>
      <c r="T287" s="20"/>
      <c r="U287" s="20"/>
      <c r="V287" s="20"/>
    </row>
    <row r="288">
      <c r="A288" s="320"/>
      <c r="B288" s="164"/>
      <c r="C288" s="320"/>
      <c r="D288" s="117"/>
      <c r="E288" s="320"/>
      <c r="F288" s="164"/>
      <c r="G288" s="320"/>
      <c r="H288" s="164"/>
      <c r="I288" s="327"/>
      <c r="J288" s="117"/>
      <c r="K288" s="327"/>
      <c r="L288" s="117"/>
      <c r="M288" s="327"/>
      <c r="N288" s="117"/>
      <c r="O288" s="320"/>
      <c r="P288" s="164"/>
      <c r="Q288" s="188"/>
      <c r="R288" s="188"/>
      <c r="S288" s="20"/>
      <c r="T288" s="20"/>
      <c r="U288" s="20"/>
      <c r="V288" s="20"/>
    </row>
    <row r="289">
      <c r="A289" s="320"/>
      <c r="B289" s="164"/>
      <c r="C289" s="320"/>
      <c r="D289" s="117"/>
      <c r="E289" s="320"/>
      <c r="F289" s="164"/>
      <c r="G289" s="320"/>
      <c r="H289" s="164"/>
      <c r="I289" s="327"/>
      <c r="J289" s="117"/>
      <c r="K289" s="327"/>
      <c r="L289" s="117"/>
      <c r="M289" s="327"/>
      <c r="N289" s="117"/>
      <c r="O289" s="320"/>
      <c r="P289" s="164"/>
      <c r="Q289" s="188"/>
      <c r="R289" s="188"/>
      <c r="S289" s="20"/>
      <c r="T289" s="20"/>
      <c r="U289" s="20"/>
      <c r="V289" s="20"/>
    </row>
    <row r="290">
      <c r="A290" s="320"/>
      <c r="B290" s="164"/>
      <c r="C290" s="320"/>
      <c r="D290" s="117"/>
      <c r="E290" s="320"/>
      <c r="F290" s="164"/>
      <c r="G290" s="320"/>
      <c r="H290" s="164"/>
      <c r="I290" s="327"/>
      <c r="J290" s="117"/>
      <c r="K290" s="327"/>
      <c r="L290" s="117"/>
      <c r="M290" s="327"/>
      <c r="N290" s="117"/>
      <c r="O290" s="320"/>
      <c r="P290" s="164"/>
      <c r="Q290" s="188"/>
      <c r="R290" s="188"/>
      <c r="S290" s="20"/>
      <c r="T290" s="20"/>
      <c r="U290" s="20"/>
      <c r="V290" s="20"/>
    </row>
    <row r="291">
      <c r="A291" s="320"/>
      <c r="B291" s="164"/>
      <c r="C291" s="320"/>
      <c r="D291" s="117"/>
      <c r="E291" s="320"/>
      <c r="F291" s="164"/>
      <c r="G291" s="320"/>
      <c r="H291" s="164"/>
      <c r="I291" s="327"/>
      <c r="J291" s="117"/>
      <c r="K291" s="327"/>
      <c r="L291" s="117"/>
      <c r="M291" s="327"/>
      <c r="N291" s="117"/>
      <c r="O291" s="320"/>
      <c r="P291" s="164"/>
      <c r="Q291" s="188"/>
      <c r="R291" s="188"/>
      <c r="S291" s="20"/>
      <c r="T291" s="20"/>
      <c r="U291" s="20"/>
      <c r="V291" s="20"/>
    </row>
    <row r="292">
      <c r="A292" s="320"/>
      <c r="B292" s="164"/>
      <c r="C292" s="320"/>
      <c r="D292" s="117"/>
      <c r="E292" s="320"/>
      <c r="F292" s="164"/>
      <c r="G292" s="320"/>
      <c r="H292" s="164"/>
      <c r="I292" s="327"/>
      <c r="J292" s="117"/>
      <c r="K292" s="327"/>
      <c r="L292" s="117"/>
      <c r="M292" s="327"/>
      <c r="N292" s="117"/>
      <c r="O292" s="320"/>
      <c r="P292" s="164"/>
      <c r="Q292" s="188"/>
      <c r="R292" s="188"/>
      <c r="S292" s="20"/>
      <c r="T292" s="20"/>
      <c r="U292" s="20"/>
      <c r="V292" s="20"/>
    </row>
    <row r="293">
      <c r="A293" s="320"/>
      <c r="B293" s="164"/>
      <c r="C293" s="320"/>
      <c r="D293" s="117"/>
      <c r="E293" s="320"/>
      <c r="F293" s="164"/>
      <c r="G293" s="320"/>
      <c r="H293" s="164"/>
      <c r="I293" s="327"/>
      <c r="J293" s="117"/>
      <c r="K293" s="327"/>
      <c r="L293" s="117"/>
      <c r="M293" s="327"/>
      <c r="N293" s="117"/>
      <c r="O293" s="320"/>
      <c r="P293" s="164"/>
      <c r="Q293" s="188"/>
      <c r="R293" s="188"/>
      <c r="S293" s="20"/>
      <c r="T293" s="20"/>
      <c r="U293" s="20"/>
      <c r="V293" s="20"/>
    </row>
    <row r="294">
      <c r="A294" s="320"/>
      <c r="B294" s="164"/>
      <c r="C294" s="320"/>
      <c r="D294" s="117"/>
      <c r="E294" s="320"/>
      <c r="F294" s="164"/>
      <c r="G294" s="320"/>
      <c r="H294" s="164"/>
      <c r="I294" s="327"/>
      <c r="J294" s="117"/>
      <c r="K294" s="327"/>
      <c r="L294" s="117"/>
      <c r="M294" s="327"/>
      <c r="N294" s="117"/>
      <c r="O294" s="320"/>
      <c r="P294" s="164"/>
      <c r="Q294" s="188"/>
      <c r="R294" s="188"/>
      <c r="S294" s="20"/>
      <c r="T294" s="20"/>
      <c r="U294" s="20"/>
      <c r="V294" s="20"/>
    </row>
    <row r="295">
      <c r="A295" s="320"/>
      <c r="B295" s="164"/>
      <c r="C295" s="320"/>
      <c r="D295" s="117"/>
      <c r="E295" s="320"/>
      <c r="F295" s="164"/>
      <c r="G295" s="320"/>
      <c r="H295" s="164"/>
      <c r="I295" s="327"/>
      <c r="J295" s="117"/>
      <c r="K295" s="327"/>
      <c r="L295" s="117"/>
      <c r="M295" s="327"/>
      <c r="N295" s="117"/>
      <c r="O295" s="320"/>
      <c r="P295" s="164"/>
      <c r="Q295" s="188"/>
      <c r="R295" s="188"/>
      <c r="S295" s="20"/>
      <c r="T295" s="20"/>
      <c r="U295" s="20"/>
      <c r="V295" s="20"/>
    </row>
    <row r="296">
      <c r="A296" s="320"/>
      <c r="B296" s="164"/>
      <c r="C296" s="320"/>
      <c r="D296" s="117"/>
      <c r="E296" s="320"/>
      <c r="F296" s="164"/>
      <c r="G296" s="320"/>
      <c r="H296" s="164"/>
      <c r="I296" s="327"/>
      <c r="J296" s="117"/>
      <c r="K296" s="327"/>
      <c r="L296" s="117"/>
      <c r="M296" s="327"/>
      <c r="N296" s="117"/>
      <c r="O296" s="320"/>
      <c r="P296" s="164"/>
      <c r="Q296" s="188"/>
      <c r="R296" s="188"/>
      <c r="S296" s="20"/>
      <c r="T296" s="20"/>
      <c r="U296" s="20"/>
      <c r="V296" s="20"/>
    </row>
    <row r="297">
      <c r="A297" s="320"/>
      <c r="B297" s="164"/>
      <c r="C297" s="320"/>
      <c r="D297" s="117"/>
      <c r="E297" s="320"/>
      <c r="F297" s="164"/>
      <c r="G297" s="320"/>
      <c r="H297" s="164"/>
      <c r="I297" s="327"/>
      <c r="J297" s="117"/>
      <c r="K297" s="327"/>
      <c r="L297" s="117"/>
      <c r="M297" s="327"/>
      <c r="N297" s="117"/>
      <c r="O297" s="320"/>
      <c r="P297" s="164"/>
      <c r="Q297" s="188"/>
      <c r="R297" s="188"/>
      <c r="S297" s="20"/>
      <c r="T297" s="20"/>
      <c r="U297" s="20"/>
      <c r="V297" s="20"/>
    </row>
    <row r="298">
      <c r="A298" s="320"/>
      <c r="B298" s="164"/>
      <c r="C298" s="320"/>
      <c r="D298" s="117"/>
      <c r="E298" s="320"/>
      <c r="F298" s="164"/>
      <c r="G298" s="320"/>
      <c r="H298" s="164"/>
      <c r="I298" s="327"/>
      <c r="J298" s="117"/>
      <c r="K298" s="327"/>
      <c r="L298" s="117"/>
      <c r="M298" s="327"/>
      <c r="N298" s="117"/>
      <c r="O298" s="320"/>
      <c r="P298" s="164"/>
      <c r="Q298" s="188"/>
      <c r="R298" s="188"/>
      <c r="S298" s="20"/>
      <c r="T298" s="20"/>
      <c r="U298" s="20"/>
      <c r="V298" s="20"/>
    </row>
    <row r="299">
      <c r="A299" s="320"/>
      <c r="B299" s="164"/>
      <c r="C299" s="320"/>
      <c r="D299" s="117"/>
      <c r="E299" s="320"/>
      <c r="F299" s="164"/>
      <c r="G299" s="320"/>
      <c r="H299" s="164"/>
      <c r="I299" s="327"/>
      <c r="J299" s="117"/>
      <c r="K299" s="327"/>
      <c r="L299" s="117"/>
      <c r="M299" s="327"/>
      <c r="N299" s="117"/>
      <c r="O299" s="320"/>
      <c r="P299" s="164"/>
      <c r="Q299" s="188"/>
      <c r="R299" s="188"/>
      <c r="S299" s="20"/>
      <c r="T299" s="20"/>
      <c r="U299" s="20"/>
      <c r="V299" s="20"/>
    </row>
    <row r="300">
      <c r="A300" s="320"/>
      <c r="B300" s="164"/>
      <c r="C300" s="320"/>
      <c r="D300" s="117"/>
      <c r="E300" s="320"/>
      <c r="F300" s="164"/>
      <c r="G300" s="320"/>
      <c r="H300" s="164"/>
      <c r="I300" s="327"/>
      <c r="J300" s="117"/>
      <c r="K300" s="327"/>
      <c r="L300" s="117"/>
      <c r="M300" s="327"/>
      <c r="N300" s="117"/>
      <c r="O300" s="320"/>
      <c r="P300" s="164"/>
      <c r="Q300" s="188"/>
      <c r="R300" s="188"/>
      <c r="S300" s="20"/>
      <c r="T300" s="20"/>
      <c r="U300" s="20"/>
      <c r="V300" s="20"/>
    </row>
    <row r="301">
      <c r="A301" s="320"/>
      <c r="B301" s="164"/>
      <c r="C301" s="320"/>
      <c r="D301" s="117"/>
      <c r="E301" s="320"/>
      <c r="F301" s="164"/>
      <c r="G301" s="320"/>
      <c r="H301" s="164"/>
      <c r="I301" s="327"/>
      <c r="J301" s="117"/>
      <c r="K301" s="327"/>
      <c r="L301" s="117"/>
      <c r="M301" s="327"/>
      <c r="N301" s="117"/>
      <c r="O301" s="320"/>
      <c r="P301" s="164"/>
      <c r="Q301" s="188"/>
      <c r="R301" s="188"/>
      <c r="S301" s="20"/>
      <c r="T301" s="20"/>
      <c r="U301" s="20"/>
      <c r="V301" s="20"/>
    </row>
    <row r="302">
      <c r="A302" s="320"/>
      <c r="B302" s="164"/>
      <c r="C302" s="320"/>
      <c r="D302" s="117"/>
      <c r="E302" s="320"/>
      <c r="F302" s="164"/>
      <c r="G302" s="320"/>
      <c r="H302" s="164"/>
      <c r="I302" s="327"/>
      <c r="J302" s="117"/>
      <c r="K302" s="327"/>
      <c r="L302" s="117"/>
      <c r="M302" s="327"/>
      <c r="N302" s="117"/>
      <c r="O302" s="320"/>
      <c r="P302" s="164"/>
      <c r="Q302" s="188"/>
      <c r="R302" s="188"/>
      <c r="S302" s="20"/>
      <c r="T302" s="20"/>
      <c r="U302" s="20"/>
      <c r="V302" s="20"/>
    </row>
    <row r="303">
      <c r="A303" s="320"/>
      <c r="B303" s="164"/>
      <c r="C303" s="320"/>
      <c r="D303" s="117"/>
      <c r="E303" s="320"/>
      <c r="F303" s="164"/>
      <c r="G303" s="320"/>
      <c r="H303" s="164"/>
      <c r="I303" s="327"/>
      <c r="J303" s="117"/>
      <c r="K303" s="327"/>
      <c r="L303" s="117"/>
      <c r="M303" s="327"/>
      <c r="N303" s="117"/>
      <c r="O303" s="320"/>
      <c r="P303" s="164"/>
      <c r="Q303" s="188"/>
      <c r="R303" s="188"/>
      <c r="S303" s="20"/>
      <c r="T303" s="20"/>
      <c r="U303" s="20"/>
      <c r="V303" s="20"/>
    </row>
    <row r="304">
      <c r="A304" s="320"/>
      <c r="B304" s="164"/>
      <c r="C304" s="320"/>
      <c r="D304" s="117"/>
      <c r="E304" s="320"/>
      <c r="F304" s="164"/>
      <c r="G304" s="320"/>
      <c r="H304" s="164"/>
      <c r="I304" s="327"/>
      <c r="J304" s="117"/>
      <c r="K304" s="327"/>
      <c r="L304" s="117"/>
      <c r="M304" s="327"/>
      <c r="N304" s="117"/>
      <c r="O304" s="320"/>
      <c r="P304" s="164"/>
      <c r="Q304" s="188"/>
      <c r="R304" s="188"/>
      <c r="S304" s="20"/>
      <c r="T304" s="20"/>
      <c r="U304" s="20"/>
      <c r="V304" s="20"/>
    </row>
    <row r="305">
      <c r="A305" s="320"/>
      <c r="B305" s="164"/>
      <c r="C305" s="320"/>
      <c r="D305" s="117"/>
      <c r="E305" s="320"/>
      <c r="F305" s="164"/>
      <c r="G305" s="320"/>
      <c r="H305" s="164"/>
      <c r="I305" s="327"/>
      <c r="J305" s="117"/>
      <c r="K305" s="327"/>
      <c r="L305" s="117"/>
      <c r="M305" s="327"/>
      <c r="N305" s="117"/>
      <c r="O305" s="320"/>
      <c r="P305" s="164"/>
      <c r="Q305" s="188"/>
      <c r="R305" s="188"/>
      <c r="S305" s="20"/>
      <c r="T305" s="20"/>
      <c r="U305" s="20"/>
      <c r="V305" s="20"/>
    </row>
    <row r="306">
      <c r="A306" s="320"/>
      <c r="B306" s="164"/>
      <c r="C306" s="320"/>
      <c r="D306" s="117"/>
      <c r="E306" s="320"/>
      <c r="F306" s="164"/>
      <c r="G306" s="320"/>
      <c r="H306" s="164"/>
      <c r="I306" s="327"/>
      <c r="J306" s="117"/>
      <c r="K306" s="327"/>
      <c r="L306" s="117"/>
      <c r="M306" s="327"/>
      <c r="N306" s="117"/>
      <c r="O306" s="320"/>
      <c r="P306" s="164"/>
      <c r="Q306" s="188"/>
      <c r="R306" s="188"/>
      <c r="S306" s="20"/>
      <c r="T306" s="20"/>
      <c r="U306" s="20"/>
      <c r="V306" s="20"/>
    </row>
    <row r="307">
      <c r="A307" s="320"/>
      <c r="B307" s="164"/>
      <c r="C307" s="320"/>
      <c r="D307" s="117"/>
      <c r="E307" s="320"/>
      <c r="F307" s="164"/>
      <c r="G307" s="320"/>
      <c r="H307" s="164"/>
      <c r="I307" s="327"/>
      <c r="J307" s="117"/>
      <c r="K307" s="327"/>
      <c r="L307" s="117"/>
      <c r="M307" s="327"/>
      <c r="N307" s="117"/>
      <c r="O307" s="320"/>
      <c r="P307" s="164"/>
      <c r="Q307" s="188"/>
      <c r="R307" s="188"/>
      <c r="S307" s="20"/>
      <c r="T307" s="20"/>
      <c r="U307" s="20"/>
      <c r="V307" s="20"/>
    </row>
    <row r="308">
      <c r="A308" s="320"/>
      <c r="B308" s="164"/>
      <c r="C308" s="320"/>
      <c r="D308" s="117"/>
      <c r="E308" s="320"/>
      <c r="F308" s="164"/>
      <c r="G308" s="320"/>
      <c r="H308" s="164"/>
      <c r="I308" s="327"/>
      <c r="J308" s="117"/>
      <c r="K308" s="327"/>
      <c r="L308" s="117"/>
      <c r="M308" s="327"/>
      <c r="N308" s="117"/>
      <c r="O308" s="320"/>
      <c r="P308" s="164"/>
      <c r="Q308" s="188"/>
      <c r="R308" s="188"/>
      <c r="S308" s="20"/>
      <c r="T308" s="20"/>
      <c r="U308" s="20"/>
      <c r="V308" s="20"/>
    </row>
    <row r="309">
      <c r="A309" s="320"/>
      <c r="B309" s="164"/>
      <c r="C309" s="320"/>
      <c r="D309" s="117"/>
      <c r="E309" s="320"/>
      <c r="F309" s="164"/>
      <c r="G309" s="320"/>
      <c r="H309" s="164"/>
      <c r="I309" s="327"/>
      <c r="J309" s="117"/>
      <c r="K309" s="327"/>
      <c r="L309" s="117"/>
      <c r="M309" s="327"/>
      <c r="N309" s="117"/>
      <c r="O309" s="320"/>
      <c r="P309" s="164"/>
      <c r="Q309" s="188"/>
      <c r="R309" s="188"/>
      <c r="S309" s="20"/>
      <c r="T309" s="20"/>
      <c r="U309" s="20"/>
      <c r="V309" s="20"/>
    </row>
    <row r="310">
      <c r="A310" s="320"/>
      <c r="B310" s="164"/>
      <c r="C310" s="320"/>
      <c r="D310" s="117"/>
      <c r="E310" s="320"/>
      <c r="F310" s="164"/>
      <c r="G310" s="320"/>
      <c r="H310" s="164"/>
      <c r="I310" s="327"/>
      <c r="J310" s="117"/>
      <c r="K310" s="327"/>
      <c r="L310" s="117"/>
      <c r="M310" s="327"/>
      <c r="N310" s="117"/>
      <c r="O310" s="320"/>
      <c r="P310" s="164"/>
      <c r="Q310" s="188"/>
      <c r="R310" s="188"/>
      <c r="S310" s="20"/>
      <c r="T310" s="20"/>
      <c r="U310" s="20"/>
      <c r="V310" s="20"/>
    </row>
    <row r="311">
      <c r="A311" s="320"/>
      <c r="B311" s="164"/>
      <c r="C311" s="320"/>
      <c r="D311" s="117"/>
      <c r="E311" s="320"/>
      <c r="F311" s="164"/>
      <c r="G311" s="320"/>
      <c r="H311" s="164"/>
      <c r="I311" s="327"/>
      <c r="J311" s="117"/>
      <c r="K311" s="327"/>
      <c r="L311" s="117"/>
      <c r="M311" s="327"/>
      <c r="N311" s="117"/>
      <c r="O311" s="320"/>
      <c r="P311" s="164"/>
      <c r="Q311" s="188"/>
      <c r="R311" s="188"/>
      <c r="S311" s="20"/>
      <c r="T311" s="20"/>
      <c r="U311" s="20"/>
      <c r="V311" s="20"/>
    </row>
    <row r="312">
      <c r="A312" s="320"/>
      <c r="B312" s="164"/>
      <c r="C312" s="320"/>
      <c r="D312" s="117"/>
      <c r="E312" s="320"/>
      <c r="F312" s="164"/>
      <c r="G312" s="320"/>
      <c r="H312" s="164"/>
      <c r="I312" s="327"/>
      <c r="J312" s="117"/>
      <c r="K312" s="327"/>
      <c r="L312" s="117"/>
      <c r="M312" s="327"/>
      <c r="N312" s="117"/>
      <c r="O312" s="320"/>
      <c r="P312" s="164"/>
      <c r="Q312" s="188"/>
      <c r="R312" s="188"/>
      <c r="S312" s="20"/>
      <c r="T312" s="20"/>
      <c r="U312" s="20"/>
      <c r="V312" s="20"/>
    </row>
    <row r="313">
      <c r="A313" s="320"/>
      <c r="B313" s="164"/>
      <c r="C313" s="320"/>
      <c r="D313" s="117"/>
      <c r="E313" s="320"/>
      <c r="F313" s="164"/>
      <c r="G313" s="320"/>
      <c r="H313" s="164"/>
      <c r="I313" s="327"/>
      <c r="J313" s="117"/>
      <c r="K313" s="327"/>
      <c r="L313" s="117"/>
      <c r="M313" s="327"/>
      <c r="N313" s="117"/>
      <c r="O313" s="320"/>
      <c r="P313" s="164"/>
      <c r="Q313" s="188"/>
      <c r="R313" s="188"/>
      <c r="S313" s="20"/>
      <c r="T313" s="20"/>
      <c r="U313" s="20"/>
      <c r="V313" s="20"/>
    </row>
    <row r="314">
      <c r="A314" s="320"/>
      <c r="B314" s="164"/>
      <c r="C314" s="320"/>
      <c r="D314" s="117"/>
      <c r="E314" s="320"/>
      <c r="F314" s="164"/>
      <c r="G314" s="320"/>
      <c r="H314" s="164"/>
      <c r="I314" s="327"/>
      <c r="J314" s="117"/>
      <c r="K314" s="327"/>
      <c r="L314" s="117"/>
      <c r="M314" s="327"/>
      <c r="N314" s="117"/>
      <c r="O314" s="320"/>
      <c r="P314" s="164"/>
      <c r="Q314" s="188"/>
      <c r="R314" s="188"/>
      <c r="S314" s="20"/>
      <c r="T314" s="20"/>
      <c r="U314" s="20"/>
      <c r="V314" s="20"/>
    </row>
    <row r="315">
      <c r="A315" s="320"/>
      <c r="B315" s="164"/>
      <c r="C315" s="320"/>
      <c r="D315" s="117"/>
      <c r="E315" s="320"/>
      <c r="F315" s="164"/>
      <c r="G315" s="320"/>
      <c r="H315" s="164"/>
      <c r="I315" s="327"/>
      <c r="J315" s="117"/>
      <c r="K315" s="327"/>
      <c r="L315" s="117"/>
      <c r="M315" s="327"/>
      <c r="N315" s="117"/>
      <c r="O315" s="320"/>
      <c r="P315" s="164"/>
      <c r="Q315" s="188"/>
      <c r="R315" s="188"/>
      <c r="S315" s="20"/>
      <c r="T315" s="20"/>
      <c r="U315" s="20"/>
      <c r="V315" s="20"/>
    </row>
    <row r="316">
      <c r="A316" s="320"/>
      <c r="B316" s="164"/>
      <c r="C316" s="320"/>
      <c r="D316" s="117"/>
      <c r="E316" s="320"/>
      <c r="F316" s="164"/>
      <c r="G316" s="320"/>
      <c r="H316" s="164"/>
      <c r="I316" s="327"/>
      <c r="J316" s="117"/>
      <c r="K316" s="327"/>
      <c r="L316" s="117"/>
      <c r="M316" s="327"/>
      <c r="N316" s="117"/>
      <c r="O316" s="320"/>
      <c r="P316" s="164"/>
      <c r="Q316" s="188"/>
      <c r="R316" s="188"/>
      <c r="S316" s="20"/>
      <c r="T316" s="20"/>
      <c r="U316" s="20"/>
      <c r="V316" s="20"/>
    </row>
    <row r="317">
      <c r="A317" s="320"/>
      <c r="B317" s="164"/>
      <c r="C317" s="320"/>
      <c r="D317" s="117"/>
      <c r="E317" s="320"/>
      <c r="F317" s="164"/>
      <c r="G317" s="320"/>
      <c r="H317" s="164"/>
      <c r="I317" s="327"/>
      <c r="J317" s="117"/>
      <c r="K317" s="327"/>
      <c r="L317" s="117"/>
      <c r="M317" s="327"/>
      <c r="N317" s="117"/>
      <c r="O317" s="320"/>
      <c r="P317" s="164"/>
      <c r="Q317" s="188"/>
      <c r="R317" s="188"/>
      <c r="S317" s="20"/>
      <c r="T317" s="20"/>
      <c r="U317" s="20"/>
      <c r="V317" s="20"/>
    </row>
    <row r="318">
      <c r="A318" s="320"/>
      <c r="B318" s="164"/>
      <c r="C318" s="320"/>
      <c r="D318" s="117"/>
      <c r="E318" s="320"/>
      <c r="F318" s="164"/>
      <c r="G318" s="320"/>
      <c r="H318" s="164"/>
      <c r="I318" s="327"/>
      <c r="J318" s="117"/>
      <c r="K318" s="327"/>
      <c r="L318" s="117"/>
      <c r="M318" s="327"/>
      <c r="N318" s="117"/>
      <c r="O318" s="320"/>
      <c r="P318" s="164"/>
      <c r="Q318" s="188"/>
      <c r="R318" s="188"/>
      <c r="S318" s="20"/>
      <c r="T318" s="20"/>
      <c r="U318" s="20"/>
      <c r="V318" s="20"/>
    </row>
    <row r="319">
      <c r="A319" s="320"/>
      <c r="B319" s="164"/>
      <c r="C319" s="320"/>
      <c r="D319" s="117"/>
      <c r="E319" s="320"/>
      <c r="F319" s="164"/>
      <c r="G319" s="320"/>
      <c r="H319" s="164"/>
      <c r="I319" s="327"/>
      <c r="J319" s="117"/>
      <c r="K319" s="327"/>
      <c r="L319" s="117"/>
      <c r="M319" s="327"/>
      <c r="N319" s="117"/>
      <c r="O319" s="320"/>
      <c r="P319" s="164"/>
      <c r="Q319" s="188"/>
      <c r="R319" s="188"/>
      <c r="S319" s="20"/>
      <c r="T319" s="20"/>
      <c r="U319" s="20"/>
      <c r="V319" s="20"/>
    </row>
    <row r="320">
      <c r="A320" s="320"/>
      <c r="B320" s="164"/>
      <c r="C320" s="320"/>
      <c r="D320" s="117"/>
      <c r="E320" s="320"/>
      <c r="F320" s="164"/>
      <c r="G320" s="320"/>
      <c r="H320" s="164"/>
      <c r="I320" s="327"/>
      <c r="J320" s="117"/>
      <c r="K320" s="327"/>
      <c r="L320" s="117"/>
      <c r="M320" s="327"/>
      <c r="N320" s="117"/>
      <c r="O320" s="320"/>
      <c r="P320" s="164"/>
      <c r="Q320" s="188"/>
      <c r="R320" s="188"/>
      <c r="S320" s="20"/>
      <c r="T320" s="20"/>
      <c r="U320" s="20"/>
      <c r="V320" s="20"/>
    </row>
    <row r="321">
      <c r="A321" s="320"/>
      <c r="B321" s="164"/>
      <c r="C321" s="320"/>
      <c r="D321" s="117"/>
      <c r="E321" s="320"/>
      <c r="F321" s="164"/>
      <c r="G321" s="320"/>
      <c r="H321" s="164"/>
      <c r="I321" s="327"/>
      <c r="J321" s="117"/>
      <c r="K321" s="327"/>
      <c r="L321" s="117"/>
      <c r="M321" s="327"/>
      <c r="N321" s="117"/>
      <c r="O321" s="320"/>
      <c r="P321" s="164"/>
      <c r="Q321" s="188"/>
      <c r="R321" s="188"/>
      <c r="S321" s="20"/>
      <c r="T321" s="20"/>
      <c r="U321" s="20"/>
      <c r="V321" s="20"/>
    </row>
    <row r="322">
      <c r="A322" s="320"/>
      <c r="B322" s="164"/>
      <c r="C322" s="320"/>
      <c r="D322" s="117"/>
      <c r="E322" s="320"/>
      <c r="F322" s="164"/>
      <c r="G322" s="320"/>
      <c r="H322" s="164"/>
      <c r="I322" s="327"/>
      <c r="J322" s="117"/>
      <c r="K322" s="327"/>
      <c r="L322" s="117"/>
      <c r="M322" s="327"/>
      <c r="N322" s="117"/>
      <c r="O322" s="320"/>
      <c r="P322" s="164"/>
      <c r="Q322" s="188"/>
      <c r="R322" s="188"/>
      <c r="S322" s="20"/>
      <c r="T322" s="20"/>
      <c r="U322" s="20"/>
      <c r="V322" s="20"/>
    </row>
    <row r="323">
      <c r="A323" s="320"/>
      <c r="B323" s="164"/>
      <c r="C323" s="320"/>
      <c r="D323" s="117"/>
      <c r="E323" s="320"/>
      <c r="F323" s="164"/>
      <c r="G323" s="320"/>
      <c r="H323" s="164"/>
      <c r="I323" s="327"/>
      <c r="J323" s="117"/>
      <c r="K323" s="327"/>
      <c r="L323" s="117"/>
      <c r="M323" s="327"/>
      <c r="N323" s="117"/>
      <c r="O323" s="320"/>
      <c r="P323" s="164"/>
      <c r="Q323" s="188"/>
      <c r="R323" s="188"/>
      <c r="S323" s="20"/>
      <c r="T323" s="20"/>
      <c r="U323" s="20"/>
      <c r="V323" s="20"/>
    </row>
    <row r="324">
      <c r="A324" s="320"/>
      <c r="B324" s="164"/>
      <c r="C324" s="320"/>
      <c r="D324" s="117"/>
      <c r="E324" s="320"/>
      <c r="F324" s="164"/>
      <c r="G324" s="320"/>
      <c r="H324" s="164"/>
      <c r="I324" s="327"/>
      <c r="J324" s="117"/>
      <c r="K324" s="327"/>
      <c r="L324" s="117"/>
      <c r="M324" s="327"/>
      <c r="N324" s="117"/>
      <c r="O324" s="320"/>
      <c r="P324" s="164"/>
      <c r="Q324" s="188"/>
      <c r="R324" s="188"/>
      <c r="S324" s="20"/>
      <c r="T324" s="20"/>
      <c r="U324" s="20"/>
      <c r="V324" s="20"/>
    </row>
    <row r="325">
      <c r="A325" s="320"/>
      <c r="B325" s="164"/>
      <c r="C325" s="320"/>
      <c r="D325" s="117"/>
      <c r="E325" s="320"/>
      <c r="F325" s="164"/>
      <c r="G325" s="320"/>
      <c r="H325" s="164"/>
      <c r="I325" s="327"/>
      <c r="J325" s="117"/>
      <c r="K325" s="327"/>
      <c r="L325" s="117"/>
      <c r="M325" s="327"/>
      <c r="N325" s="117"/>
      <c r="O325" s="320"/>
      <c r="P325" s="164"/>
      <c r="Q325" s="188"/>
      <c r="R325" s="188"/>
      <c r="S325" s="20"/>
      <c r="T325" s="20"/>
      <c r="U325" s="20"/>
      <c r="V325" s="20"/>
    </row>
    <row r="326">
      <c r="A326" s="320"/>
      <c r="B326" s="164"/>
      <c r="C326" s="320"/>
      <c r="D326" s="117"/>
      <c r="E326" s="320"/>
      <c r="F326" s="164"/>
      <c r="G326" s="320"/>
      <c r="H326" s="164"/>
      <c r="I326" s="327"/>
      <c r="J326" s="117"/>
      <c r="K326" s="327"/>
      <c r="L326" s="117"/>
      <c r="M326" s="327"/>
      <c r="N326" s="117"/>
      <c r="O326" s="320"/>
      <c r="P326" s="164"/>
      <c r="Q326" s="188"/>
      <c r="R326" s="188"/>
      <c r="S326" s="20"/>
      <c r="T326" s="20"/>
      <c r="U326" s="20"/>
      <c r="V326" s="20"/>
    </row>
    <row r="327">
      <c r="A327" s="320"/>
      <c r="B327" s="164"/>
      <c r="C327" s="320"/>
      <c r="D327" s="117"/>
      <c r="E327" s="320"/>
      <c r="F327" s="164"/>
      <c r="G327" s="320"/>
      <c r="H327" s="164"/>
      <c r="I327" s="327"/>
      <c r="J327" s="117"/>
      <c r="K327" s="327"/>
      <c r="L327" s="117"/>
      <c r="M327" s="327"/>
      <c r="N327" s="117"/>
      <c r="O327" s="320"/>
      <c r="P327" s="164"/>
      <c r="Q327" s="188"/>
      <c r="R327" s="188"/>
      <c r="S327" s="20"/>
      <c r="T327" s="20"/>
      <c r="U327" s="20"/>
      <c r="V327" s="20"/>
    </row>
    <row r="328">
      <c r="A328" s="320"/>
      <c r="B328" s="164"/>
      <c r="C328" s="320"/>
      <c r="D328" s="117"/>
      <c r="E328" s="320"/>
      <c r="F328" s="164"/>
      <c r="G328" s="320"/>
      <c r="H328" s="164"/>
      <c r="I328" s="327"/>
      <c r="J328" s="117"/>
      <c r="K328" s="327"/>
      <c r="L328" s="117"/>
      <c r="M328" s="327"/>
      <c r="N328" s="117"/>
      <c r="O328" s="320"/>
      <c r="P328" s="164"/>
      <c r="Q328" s="188"/>
      <c r="R328" s="188"/>
      <c r="S328" s="20"/>
      <c r="T328" s="20"/>
      <c r="U328" s="20"/>
      <c r="V328" s="20"/>
    </row>
    <row r="329">
      <c r="A329" s="320"/>
      <c r="B329" s="164"/>
      <c r="C329" s="320"/>
      <c r="D329" s="117"/>
      <c r="E329" s="320"/>
      <c r="F329" s="164"/>
      <c r="G329" s="320"/>
      <c r="H329" s="164"/>
      <c r="I329" s="327"/>
      <c r="J329" s="117"/>
      <c r="K329" s="327"/>
      <c r="L329" s="117"/>
      <c r="M329" s="327"/>
      <c r="N329" s="117"/>
      <c r="O329" s="320"/>
      <c r="P329" s="164"/>
      <c r="Q329" s="188"/>
      <c r="R329" s="188"/>
      <c r="S329" s="20"/>
      <c r="T329" s="20"/>
      <c r="U329" s="20"/>
      <c r="V329" s="20"/>
    </row>
    <row r="330">
      <c r="A330" s="320"/>
      <c r="B330" s="164"/>
      <c r="C330" s="320"/>
      <c r="D330" s="117"/>
      <c r="E330" s="320"/>
      <c r="F330" s="164"/>
      <c r="G330" s="320"/>
      <c r="H330" s="164"/>
      <c r="I330" s="327"/>
      <c r="J330" s="117"/>
      <c r="K330" s="327"/>
      <c r="L330" s="117"/>
      <c r="M330" s="327"/>
      <c r="N330" s="117"/>
      <c r="O330" s="320"/>
      <c r="P330" s="164"/>
      <c r="Q330" s="188"/>
      <c r="R330" s="188"/>
      <c r="S330" s="20"/>
      <c r="T330" s="20"/>
      <c r="U330" s="20"/>
      <c r="V330" s="20"/>
    </row>
    <row r="331">
      <c r="A331" s="320"/>
      <c r="B331" s="164"/>
      <c r="C331" s="320"/>
      <c r="D331" s="117"/>
      <c r="E331" s="320"/>
      <c r="F331" s="164"/>
      <c r="G331" s="320"/>
      <c r="H331" s="164"/>
      <c r="I331" s="327"/>
      <c r="J331" s="117"/>
      <c r="K331" s="327"/>
      <c r="L331" s="117"/>
      <c r="M331" s="327"/>
      <c r="N331" s="117"/>
      <c r="O331" s="320"/>
      <c r="P331" s="164"/>
      <c r="Q331" s="188"/>
      <c r="R331" s="188"/>
      <c r="S331" s="20"/>
      <c r="T331" s="20"/>
      <c r="U331" s="20"/>
      <c r="V331" s="20"/>
    </row>
    <row r="332">
      <c r="A332" s="320"/>
      <c r="B332" s="164"/>
      <c r="C332" s="320"/>
      <c r="D332" s="117"/>
      <c r="E332" s="320"/>
      <c r="F332" s="164"/>
      <c r="G332" s="320"/>
      <c r="H332" s="164"/>
      <c r="I332" s="327"/>
      <c r="J332" s="117"/>
      <c r="K332" s="327"/>
      <c r="L332" s="117"/>
      <c r="M332" s="327"/>
      <c r="N332" s="117"/>
      <c r="O332" s="320"/>
      <c r="P332" s="164"/>
      <c r="Q332" s="188"/>
      <c r="R332" s="188"/>
      <c r="S332" s="20"/>
      <c r="T332" s="20"/>
      <c r="U332" s="20"/>
      <c r="V332" s="20"/>
    </row>
    <row r="333">
      <c r="A333" s="320"/>
      <c r="B333" s="164"/>
      <c r="C333" s="320"/>
      <c r="D333" s="117"/>
      <c r="E333" s="320"/>
      <c r="F333" s="164"/>
      <c r="G333" s="320"/>
      <c r="H333" s="164"/>
      <c r="I333" s="327"/>
      <c r="J333" s="117"/>
      <c r="K333" s="327"/>
      <c r="L333" s="117"/>
      <c r="M333" s="327"/>
      <c r="N333" s="117"/>
      <c r="O333" s="320"/>
      <c r="P333" s="164"/>
      <c r="Q333" s="188"/>
      <c r="R333" s="188"/>
      <c r="S333" s="20"/>
      <c r="T333" s="20"/>
      <c r="U333" s="20"/>
      <c r="V333" s="20"/>
    </row>
    <row r="334">
      <c r="A334" s="320"/>
      <c r="B334" s="164"/>
      <c r="C334" s="320"/>
      <c r="D334" s="117"/>
      <c r="E334" s="320"/>
      <c r="F334" s="164"/>
      <c r="G334" s="320"/>
      <c r="H334" s="164"/>
      <c r="I334" s="327"/>
      <c r="J334" s="117"/>
      <c r="K334" s="327"/>
      <c r="L334" s="117"/>
      <c r="M334" s="327"/>
      <c r="N334" s="117"/>
      <c r="O334" s="320"/>
      <c r="P334" s="164"/>
      <c r="Q334" s="188"/>
      <c r="R334" s="188"/>
      <c r="S334" s="20"/>
      <c r="T334" s="20"/>
      <c r="U334" s="20"/>
      <c r="V334" s="20"/>
    </row>
    <row r="335">
      <c r="A335" s="320"/>
      <c r="B335" s="164"/>
      <c r="C335" s="320"/>
      <c r="D335" s="117"/>
      <c r="E335" s="320"/>
      <c r="F335" s="164"/>
      <c r="G335" s="320"/>
      <c r="H335" s="164"/>
      <c r="I335" s="327"/>
      <c r="J335" s="117"/>
      <c r="K335" s="327"/>
      <c r="L335" s="117"/>
      <c r="M335" s="327"/>
      <c r="N335" s="117"/>
      <c r="O335" s="320"/>
      <c r="P335" s="164"/>
      <c r="Q335" s="188"/>
      <c r="R335" s="188"/>
      <c r="S335" s="20"/>
      <c r="T335" s="20"/>
      <c r="U335" s="20"/>
      <c r="V335" s="20"/>
    </row>
    <row r="336">
      <c r="A336" s="320"/>
      <c r="B336" s="164"/>
      <c r="C336" s="320"/>
      <c r="D336" s="117"/>
      <c r="E336" s="320"/>
      <c r="F336" s="164"/>
      <c r="G336" s="320"/>
      <c r="H336" s="164"/>
      <c r="I336" s="327"/>
      <c r="J336" s="117"/>
      <c r="K336" s="327"/>
      <c r="L336" s="117"/>
      <c r="M336" s="327"/>
      <c r="N336" s="117"/>
      <c r="O336" s="320"/>
      <c r="P336" s="164"/>
      <c r="Q336" s="188"/>
      <c r="R336" s="188"/>
      <c r="S336" s="20"/>
      <c r="T336" s="20"/>
      <c r="U336" s="20"/>
      <c r="V336" s="20"/>
    </row>
    <row r="337">
      <c r="A337" s="320"/>
      <c r="B337" s="164"/>
      <c r="C337" s="320"/>
      <c r="D337" s="117"/>
      <c r="E337" s="320"/>
      <c r="F337" s="164"/>
      <c r="G337" s="320"/>
      <c r="H337" s="164"/>
      <c r="I337" s="327"/>
      <c r="J337" s="117"/>
      <c r="K337" s="327"/>
      <c r="L337" s="117"/>
      <c r="M337" s="327"/>
      <c r="N337" s="117"/>
      <c r="O337" s="320"/>
      <c r="P337" s="164"/>
      <c r="Q337" s="188"/>
      <c r="R337" s="188"/>
      <c r="S337" s="20"/>
      <c r="T337" s="20"/>
      <c r="U337" s="20"/>
      <c r="V337" s="20"/>
    </row>
    <row r="338">
      <c r="A338" s="320"/>
      <c r="B338" s="164"/>
      <c r="C338" s="320"/>
      <c r="D338" s="117"/>
      <c r="E338" s="320"/>
      <c r="F338" s="164"/>
      <c r="G338" s="320"/>
      <c r="H338" s="164"/>
      <c r="I338" s="327"/>
      <c r="J338" s="117"/>
      <c r="K338" s="327"/>
      <c r="L338" s="117"/>
      <c r="M338" s="327"/>
      <c r="N338" s="117"/>
      <c r="O338" s="320"/>
      <c r="P338" s="164"/>
      <c r="Q338" s="188"/>
      <c r="R338" s="188"/>
      <c r="S338" s="20"/>
      <c r="T338" s="20"/>
      <c r="U338" s="20"/>
      <c r="V338" s="20"/>
    </row>
    <row r="339">
      <c r="A339" s="320"/>
      <c r="B339" s="164"/>
      <c r="C339" s="320"/>
      <c r="D339" s="117"/>
      <c r="E339" s="320"/>
      <c r="F339" s="164"/>
      <c r="G339" s="320"/>
      <c r="H339" s="164"/>
      <c r="I339" s="327"/>
      <c r="J339" s="117"/>
      <c r="K339" s="327"/>
      <c r="L339" s="117"/>
      <c r="M339" s="327"/>
      <c r="N339" s="117"/>
      <c r="O339" s="320"/>
      <c r="P339" s="164"/>
      <c r="Q339" s="188"/>
      <c r="R339" s="188"/>
      <c r="S339" s="20"/>
      <c r="T339" s="20"/>
      <c r="U339" s="20"/>
      <c r="V339" s="20"/>
    </row>
    <row r="340">
      <c r="A340" s="320"/>
      <c r="B340" s="164"/>
      <c r="C340" s="320"/>
      <c r="D340" s="117"/>
      <c r="E340" s="320"/>
      <c r="F340" s="164"/>
      <c r="G340" s="320"/>
      <c r="H340" s="164"/>
      <c r="I340" s="327"/>
      <c r="J340" s="117"/>
      <c r="K340" s="327"/>
      <c r="L340" s="117"/>
      <c r="M340" s="327"/>
      <c r="N340" s="117"/>
      <c r="O340" s="320"/>
      <c r="P340" s="164"/>
      <c r="Q340" s="188"/>
      <c r="R340" s="188"/>
      <c r="S340" s="20"/>
      <c r="T340" s="20"/>
      <c r="U340" s="20"/>
      <c r="V340" s="20"/>
    </row>
    <row r="341">
      <c r="A341" s="320"/>
      <c r="B341" s="164"/>
      <c r="C341" s="320"/>
      <c r="D341" s="117"/>
      <c r="E341" s="320"/>
      <c r="F341" s="164"/>
      <c r="G341" s="320"/>
      <c r="H341" s="164"/>
      <c r="I341" s="327"/>
      <c r="J341" s="117"/>
      <c r="K341" s="327"/>
      <c r="L341" s="117"/>
      <c r="M341" s="327"/>
      <c r="N341" s="117"/>
      <c r="O341" s="320"/>
      <c r="P341" s="164"/>
      <c r="Q341" s="188"/>
      <c r="R341" s="188"/>
      <c r="S341" s="20"/>
      <c r="T341" s="20"/>
      <c r="U341" s="20"/>
      <c r="V341" s="20"/>
    </row>
    <row r="342">
      <c r="A342" s="320"/>
      <c r="B342" s="164"/>
      <c r="C342" s="320"/>
      <c r="D342" s="117"/>
      <c r="E342" s="320"/>
      <c r="F342" s="164"/>
      <c r="G342" s="320"/>
      <c r="H342" s="164"/>
      <c r="I342" s="327"/>
      <c r="J342" s="117"/>
      <c r="K342" s="327"/>
      <c r="L342" s="117"/>
      <c r="M342" s="327"/>
      <c r="N342" s="117"/>
      <c r="O342" s="320"/>
      <c r="P342" s="164"/>
      <c r="Q342" s="188"/>
      <c r="R342" s="188"/>
      <c r="S342" s="20"/>
      <c r="T342" s="20"/>
      <c r="U342" s="20"/>
      <c r="V342" s="20"/>
    </row>
    <row r="343">
      <c r="A343" s="320"/>
      <c r="B343" s="164"/>
      <c r="C343" s="320"/>
      <c r="D343" s="117"/>
      <c r="E343" s="320"/>
      <c r="F343" s="164"/>
      <c r="G343" s="320"/>
      <c r="H343" s="164"/>
      <c r="I343" s="327"/>
      <c r="J343" s="117"/>
      <c r="K343" s="327"/>
      <c r="L343" s="117"/>
      <c r="M343" s="327"/>
      <c r="N343" s="117"/>
      <c r="O343" s="320"/>
      <c r="P343" s="164"/>
      <c r="Q343" s="188"/>
      <c r="R343" s="188"/>
      <c r="S343" s="20"/>
      <c r="T343" s="20"/>
      <c r="U343" s="20"/>
      <c r="V343" s="20"/>
    </row>
    <row r="344">
      <c r="A344" s="320"/>
      <c r="B344" s="164"/>
      <c r="C344" s="320"/>
      <c r="D344" s="117"/>
      <c r="E344" s="320"/>
      <c r="F344" s="164"/>
      <c r="G344" s="320"/>
      <c r="H344" s="164"/>
      <c r="I344" s="327"/>
      <c r="J344" s="117"/>
      <c r="K344" s="327"/>
      <c r="L344" s="117"/>
      <c r="M344" s="327"/>
      <c r="N344" s="117"/>
      <c r="O344" s="320"/>
      <c r="P344" s="164"/>
      <c r="Q344" s="188"/>
      <c r="R344" s="188"/>
      <c r="S344" s="20"/>
      <c r="T344" s="20"/>
      <c r="U344" s="20"/>
      <c r="V344" s="20"/>
    </row>
    <row r="345">
      <c r="A345" s="320"/>
      <c r="B345" s="164"/>
      <c r="C345" s="320"/>
      <c r="D345" s="117"/>
      <c r="E345" s="320"/>
      <c r="F345" s="164"/>
      <c r="G345" s="320"/>
      <c r="H345" s="164"/>
      <c r="I345" s="327"/>
      <c r="J345" s="117"/>
      <c r="K345" s="327"/>
      <c r="L345" s="117"/>
      <c r="M345" s="327"/>
      <c r="N345" s="117"/>
      <c r="O345" s="320"/>
      <c r="P345" s="164"/>
      <c r="Q345" s="188"/>
      <c r="R345" s="188"/>
      <c r="S345" s="20"/>
      <c r="T345" s="20"/>
      <c r="U345" s="20"/>
      <c r="V345" s="20"/>
    </row>
    <row r="346">
      <c r="A346" s="320"/>
      <c r="B346" s="164"/>
      <c r="C346" s="320"/>
      <c r="D346" s="117"/>
      <c r="E346" s="320"/>
      <c r="F346" s="164"/>
      <c r="G346" s="320"/>
      <c r="H346" s="164"/>
      <c r="I346" s="327"/>
      <c r="J346" s="117"/>
      <c r="K346" s="327"/>
      <c r="L346" s="117"/>
      <c r="M346" s="327"/>
      <c r="N346" s="117"/>
      <c r="O346" s="320"/>
      <c r="P346" s="164"/>
      <c r="Q346" s="188"/>
      <c r="R346" s="188"/>
      <c r="S346" s="20"/>
      <c r="T346" s="20"/>
      <c r="U346" s="20"/>
      <c r="V346" s="20"/>
    </row>
    <row r="347">
      <c r="A347" s="320"/>
      <c r="B347" s="164"/>
      <c r="C347" s="320"/>
      <c r="D347" s="117"/>
      <c r="E347" s="320"/>
      <c r="F347" s="164"/>
      <c r="G347" s="320"/>
      <c r="H347" s="164"/>
      <c r="I347" s="327"/>
      <c r="J347" s="117"/>
      <c r="K347" s="327"/>
      <c r="L347" s="117"/>
      <c r="M347" s="327"/>
      <c r="N347" s="117"/>
      <c r="O347" s="320"/>
      <c r="P347" s="164"/>
      <c r="Q347" s="188"/>
      <c r="R347" s="188"/>
      <c r="S347" s="20"/>
      <c r="T347" s="20"/>
      <c r="U347" s="20"/>
      <c r="V347" s="20"/>
    </row>
    <row r="348">
      <c r="A348" s="320"/>
      <c r="B348" s="164"/>
      <c r="C348" s="320"/>
      <c r="D348" s="117"/>
      <c r="E348" s="320"/>
      <c r="F348" s="164"/>
      <c r="G348" s="320"/>
      <c r="H348" s="164"/>
      <c r="I348" s="327"/>
      <c r="J348" s="117"/>
      <c r="K348" s="327"/>
      <c r="L348" s="117"/>
      <c r="M348" s="327"/>
      <c r="N348" s="117"/>
      <c r="O348" s="320"/>
      <c r="P348" s="164"/>
      <c r="Q348" s="188"/>
      <c r="R348" s="188"/>
      <c r="S348" s="20"/>
      <c r="T348" s="20"/>
      <c r="U348" s="20"/>
      <c r="V348" s="20"/>
    </row>
    <row r="349">
      <c r="A349" s="320"/>
      <c r="B349" s="164"/>
      <c r="C349" s="320"/>
      <c r="D349" s="117"/>
      <c r="E349" s="320"/>
      <c r="F349" s="164"/>
      <c r="G349" s="320"/>
      <c r="H349" s="164"/>
      <c r="I349" s="327"/>
      <c r="J349" s="117"/>
      <c r="K349" s="327"/>
      <c r="L349" s="117"/>
      <c r="M349" s="327"/>
      <c r="N349" s="117"/>
      <c r="O349" s="320"/>
      <c r="P349" s="164"/>
      <c r="Q349" s="188"/>
      <c r="R349" s="188"/>
      <c r="S349" s="20"/>
      <c r="T349" s="20"/>
      <c r="U349" s="20"/>
      <c r="V349" s="20"/>
    </row>
    <row r="350">
      <c r="A350" s="320"/>
      <c r="B350" s="164"/>
      <c r="C350" s="320"/>
      <c r="D350" s="117"/>
      <c r="E350" s="320"/>
      <c r="F350" s="164"/>
      <c r="G350" s="320"/>
      <c r="H350" s="164"/>
      <c r="I350" s="327"/>
      <c r="J350" s="117"/>
      <c r="K350" s="327"/>
      <c r="L350" s="117"/>
      <c r="M350" s="327"/>
      <c r="N350" s="117"/>
      <c r="O350" s="320"/>
      <c r="P350" s="164"/>
      <c r="Q350" s="188"/>
      <c r="R350" s="188"/>
      <c r="S350" s="20"/>
      <c r="T350" s="20"/>
      <c r="U350" s="20"/>
      <c r="V350" s="20"/>
    </row>
    <row r="351">
      <c r="A351" s="320"/>
      <c r="B351" s="164"/>
      <c r="C351" s="320"/>
      <c r="D351" s="117"/>
      <c r="E351" s="320"/>
      <c r="F351" s="164"/>
      <c r="G351" s="320"/>
      <c r="H351" s="164"/>
      <c r="I351" s="327"/>
      <c r="J351" s="117"/>
      <c r="K351" s="327"/>
      <c r="L351" s="117"/>
      <c r="M351" s="327"/>
      <c r="N351" s="117"/>
      <c r="O351" s="320"/>
      <c r="P351" s="164"/>
      <c r="Q351" s="188"/>
      <c r="R351" s="188"/>
      <c r="S351" s="20"/>
      <c r="T351" s="20"/>
      <c r="U351" s="20"/>
      <c r="V351" s="20"/>
    </row>
    <row r="352">
      <c r="A352" s="320"/>
      <c r="B352" s="164"/>
      <c r="C352" s="320"/>
      <c r="D352" s="117"/>
      <c r="E352" s="320"/>
      <c r="F352" s="164"/>
      <c r="G352" s="320"/>
      <c r="H352" s="164"/>
      <c r="I352" s="327"/>
      <c r="J352" s="117"/>
      <c r="K352" s="327"/>
      <c r="L352" s="117"/>
      <c r="M352" s="327"/>
      <c r="N352" s="117"/>
      <c r="O352" s="320"/>
      <c r="P352" s="164"/>
      <c r="Q352" s="188"/>
      <c r="R352" s="188"/>
      <c r="S352" s="20"/>
      <c r="T352" s="20"/>
      <c r="U352" s="20"/>
      <c r="V352" s="20"/>
    </row>
    <row r="353">
      <c r="A353" s="320"/>
      <c r="B353" s="164"/>
      <c r="C353" s="320"/>
      <c r="D353" s="117"/>
      <c r="E353" s="320"/>
      <c r="F353" s="164"/>
      <c r="G353" s="320"/>
      <c r="H353" s="164"/>
      <c r="I353" s="327"/>
      <c r="J353" s="117"/>
      <c r="K353" s="327"/>
      <c r="L353" s="117"/>
      <c r="M353" s="327"/>
      <c r="N353" s="117"/>
      <c r="O353" s="320"/>
      <c r="P353" s="164"/>
      <c r="Q353" s="188"/>
      <c r="R353" s="188"/>
      <c r="S353" s="20"/>
      <c r="T353" s="20"/>
      <c r="U353" s="20"/>
      <c r="V353" s="20"/>
    </row>
    <row r="354">
      <c r="A354" s="320"/>
      <c r="B354" s="164"/>
      <c r="C354" s="320"/>
      <c r="D354" s="117"/>
      <c r="E354" s="320"/>
      <c r="F354" s="164"/>
      <c r="G354" s="320"/>
      <c r="H354" s="164"/>
      <c r="I354" s="327"/>
      <c r="J354" s="117"/>
      <c r="K354" s="327"/>
      <c r="L354" s="117"/>
      <c r="M354" s="327"/>
      <c r="N354" s="117"/>
      <c r="O354" s="320"/>
      <c r="P354" s="164"/>
      <c r="Q354" s="188"/>
      <c r="R354" s="188"/>
      <c r="S354" s="20"/>
      <c r="T354" s="20"/>
      <c r="U354" s="20"/>
      <c r="V354" s="20"/>
    </row>
    <row r="355">
      <c r="A355" s="320"/>
      <c r="B355" s="164"/>
      <c r="C355" s="320"/>
      <c r="D355" s="117"/>
      <c r="E355" s="320"/>
      <c r="F355" s="164"/>
      <c r="G355" s="320"/>
      <c r="H355" s="164"/>
      <c r="I355" s="327"/>
      <c r="J355" s="117"/>
      <c r="K355" s="327"/>
      <c r="L355" s="117"/>
      <c r="M355" s="327"/>
      <c r="N355" s="117"/>
      <c r="O355" s="320"/>
      <c r="P355" s="164"/>
      <c r="Q355" s="188"/>
      <c r="R355" s="188"/>
      <c r="S355" s="20"/>
      <c r="T355" s="20"/>
      <c r="U355" s="20"/>
      <c r="V355" s="20"/>
    </row>
    <row r="356">
      <c r="A356" s="320"/>
      <c r="B356" s="164"/>
      <c r="C356" s="320"/>
      <c r="D356" s="117"/>
      <c r="E356" s="320"/>
      <c r="F356" s="164"/>
      <c r="G356" s="320"/>
      <c r="H356" s="164"/>
      <c r="I356" s="327"/>
      <c r="J356" s="117"/>
      <c r="K356" s="327"/>
      <c r="L356" s="117"/>
      <c r="M356" s="327"/>
      <c r="N356" s="117"/>
      <c r="O356" s="320"/>
      <c r="P356" s="164"/>
      <c r="Q356" s="188"/>
      <c r="R356" s="188"/>
      <c r="S356" s="20"/>
      <c r="T356" s="20"/>
      <c r="U356" s="20"/>
      <c r="V356" s="20"/>
    </row>
    <row r="357">
      <c r="A357" s="320"/>
      <c r="B357" s="164"/>
      <c r="C357" s="320"/>
      <c r="D357" s="117"/>
      <c r="E357" s="320"/>
      <c r="F357" s="164"/>
      <c r="G357" s="320"/>
      <c r="H357" s="164"/>
      <c r="I357" s="327"/>
      <c r="J357" s="117"/>
      <c r="K357" s="327"/>
      <c r="L357" s="117"/>
      <c r="M357" s="327"/>
      <c r="N357" s="117"/>
      <c r="O357" s="320"/>
      <c r="P357" s="164"/>
      <c r="Q357" s="188"/>
      <c r="R357" s="188"/>
      <c r="S357" s="20"/>
      <c r="T357" s="20"/>
      <c r="U357" s="20"/>
      <c r="V357" s="20"/>
    </row>
    <row r="358">
      <c r="A358" s="320"/>
      <c r="B358" s="164"/>
      <c r="C358" s="320"/>
      <c r="D358" s="117"/>
      <c r="E358" s="320"/>
      <c r="F358" s="164"/>
      <c r="G358" s="320"/>
      <c r="H358" s="164"/>
      <c r="I358" s="327"/>
      <c r="J358" s="117"/>
      <c r="K358" s="327"/>
      <c r="L358" s="117"/>
      <c r="M358" s="327"/>
      <c r="N358" s="117"/>
      <c r="O358" s="320"/>
      <c r="P358" s="164"/>
      <c r="Q358" s="188"/>
      <c r="R358" s="188"/>
      <c r="S358" s="20"/>
      <c r="T358" s="20"/>
      <c r="U358" s="20"/>
      <c r="V358" s="20"/>
    </row>
    <row r="359">
      <c r="A359" s="320"/>
      <c r="B359" s="164"/>
      <c r="C359" s="320"/>
      <c r="D359" s="117"/>
      <c r="E359" s="320"/>
      <c r="F359" s="164"/>
      <c r="G359" s="320"/>
      <c r="H359" s="164"/>
      <c r="I359" s="327"/>
      <c r="J359" s="117"/>
      <c r="K359" s="327"/>
      <c r="L359" s="117"/>
      <c r="M359" s="327"/>
      <c r="N359" s="117"/>
      <c r="O359" s="320"/>
      <c r="P359" s="164"/>
      <c r="Q359" s="188"/>
      <c r="R359" s="188"/>
      <c r="S359" s="20"/>
      <c r="T359" s="20"/>
      <c r="U359" s="20"/>
      <c r="V359" s="20"/>
    </row>
    <row r="360">
      <c r="A360" s="320"/>
      <c r="B360" s="164"/>
      <c r="C360" s="320"/>
      <c r="D360" s="117"/>
      <c r="E360" s="320"/>
      <c r="F360" s="164"/>
      <c r="G360" s="320"/>
      <c r="H360" s="164"/>
      <c r="I360" s="327"/>
      <c r="J360" s="117"/>
      <c r="K360" s="327"/>
      <c r="L360" s="117"/>
      <c r="M360" s="327"/>
      <c r="N360" s="117"/>
      <c r="O360" s="320"/>
      <c r="P360" s="164"/>
      <c r="Q360" s="188"/>
      <c r="R360" s="188"/>
      <c r="S360" s="20"/>
      <c r="T360" s="20"/>
      <c r="U360" s="20"/>
      <c r="V360" s="20"/>
    </row>
    <row r="361">
      <c r="A361" s="320"/>
      <c r="B361" s="164"/>
      <c r="C361" s="320"/>
      <c r="D361" s="117"/>
      <c r="E361" s="320"/>
      <c r="F361" s="164"/>
      <c r="G361" s="320"/>
      <c r="H361" s="164"/>
      <c r="I361" s="327"/>
      <c r="J361" s="117"/>
      <c r="K361" s="327"/>
      <c r="L361" s="117"/>
      <c r="M361" s="327"/>
      <c r="N361" s="117"/>
      <c r="O361" s="320"/>
      <c r="P361" s="164"/>
      <c r="Q361" s="188"/>
      <c r="R361" s="188"/>
      <c r="S361" s="20"/>
      <c r="T361" s="20"/>
      <c r="U361" s="20"/>
      <c r="V361" s="20"/>
    </row>
    <row r="362">
      <c r="A362" s="320"/>
      <c r="B362" s="164"/>
      <c r="C362" s="320"/>
      <c r="D362" s="117"/>
      <c r="E362" s="320"/>
      <c r="F362" s="164"/>
      <c r="G362" s="320"/>
      <c r="H362" s="164"/>
      <c r="I362" s="327"/>
      <c r="J362" s="117"/>
      <c r="K362" s="327"/>
      <c r="L362" s="117"/>
      <c r="M362" s="327"/>
      <c r="N362" s="117"/>
      <c r="O362" s="320"/>
      <c r="P362" s="164"/>
      <c r="Q362" s="188"/>
      <c r="R362" s="188"/>
      <c r="S362" s="20"/>
      <c r="T362" s="20"/>
      <c r="U362" s="20"/>
      <c r="V362" s="20"/>
    </row>
    <row r="363">
      <c r="A363" s="320"/>
      <c r="B363" s="164"/>
      <c r="C363" s="320"/>
      <c r="D363" s="117"/>
      <c r="E363" s="320"/>
      <c r="F363" s="164"/>
      <c r="G363" s="320"/>
      <c r="H363" s="164"/>
      <c r="I363" s="327"/>
      <c r="J363" s="117"/>
      <c r="K363" s="327"/>
      <c r="L363" s="117"/>
      <c r="M363" s="327"/>
      <c r="N363" s="117"/>
      <c r="O363" s="320"/>
      <c r="P363" s="164"/>
      <c r="Q363" s="188"/>
      <c r="R363" s="188"/>
      <c r="S363" s="20"/>
      <c r="T363" s="20"/>
      <c r="U363" s="20"/>
      <c r="V363" s="20"/>
    </row>
    <row r="364">
      <c r="A364" s="320"/>
      <c r="B364" s="164"/>
      <c r="C364" s="320"/>
      <c r="D364" s="117"/>
      <c r="E364" s="320"/>
      <c r="F364" s="164"/>
      <c r="G364" s="320"/>
      <c r="H364" s="164"/>
      <c r="I364" s="327"/>
      <c r="J364" s="117"/>
      <c r="K364" s="327"/>
      <c r="L364" s="117"/>
      <c r="M364" s="327"/>
      <c r="N364" s="117"/>
      <c r="O364" s="320"/>
      <c r="P364" s="164"/>
      <c r="Q364" s="188"/>
      <c r="R364" s="188"/>
      <c r="S364" s="20"/>
      <c r="T364" s="20"/>
      <c r="U364" s="20"/>
      <c r="V364" s="20"/>
    </row>
    <row r="365">
      <c r="A365" s="320"/>
      <c r="B365" s="164"/>
      <c r="C365" s="320"/>
      <c r="D365" s="117"/>
      <c r="E365" s="320"/>
      <c r="F365" s="164"/>
      <c r="G365" s="320"/>
      <c r="H365" s="164"/>
      <c r="I365" s="327"/>
      <c r="J365" s="117"/>
      <c r="K365" s="327"/>
      <c r="L365" s="117"/>
      <c r="M365" s="327"/>
      <c r="N365" s="117"/>
      <c r="O365" s="320"/>
      <c r="P365" s="164"/>
      <c r="Q365" s="188"/>
      <c r="R365" s="188"/>
      <c r="S365" s="20"/>
      <c r="T365" s="20"/>
      <c r="U365" s="20"/>
      <c r="V365" s="20"/>
    </row>
    <row r="366">
      <c r="A366" s="320"/>
      <c r="B366" s="164"/>
      <c r="C366" s="320"/>
      <c r="D366" s="117"/>
      <c r="E366" s="320"/>
      <c r="F366" s="164"/>
      <c r="G366" s="320"/>
      <c r="H366" s="164"/>
      <c r="I366" s="327"/>
      <c r="J366" s="117"/>
      <c r="K366" s="327"/>
      <c r="L366" s="117"/>
      <c r="M366" s="327"/>
      <c r="N366" s="117"/>
      <c r="O366" s="320"/>
      <c r="P366" s="164"/>
      <c r="Q366" s="188"/>
      <c r="R366" s="188"/>
      <c r="S366" s="20"/>
      <c r="T366" s="20"/>
      <c r="U366" s="20"/>
      <c r="V366" s="20"/>
    </row>
    <row r="367">
      <c r="A367" s="320"/>
      <c r="B367" s="164"/>
      <c r="C367" s="320"/>
      <c r="D367" s="117"/>
      <c r="E367" s="320"/>
      <c r="F367" s="164"/>
      <c r="G367" s="320"/>
      <c r="H367" s="164"/>
      <c r="I367" s="327"/>
      <c r="J367" s="117"/>
      <c r="K367" s="327"/>
      <c r="L367" s="117"/>
      <c r="M367" s="327"/>
      <c r="N367" s="117"/>
      <c r="O367" s="320"/>
      <c r="P367" s="164"/>
      <c r="Q367" s="188"/>
      <c r="R367" s="188"/>
      <c r="S367" s="20"/>
      <c r="T367" s="20"/>
      <c r="U367" s="20"/>
      <c r="V367" s="20"/>
    </row>
    <row r="368">
      <c r="A368" s="320"/>
      <c r="B368" s="164"/>
      <c r="C368" s="320"/>
      <c r="D368" s="117"/>
      <c r="E368" s="320"/>
      <c r="F368" s="164"/>
      <c r="G368" s="320"/>
      <c r="H368" s="164"/>
      <c r="I368" s="327"/>
      <c r="J368" s="117"/>
      <c r="K368" s="327"/>
      <c r="L368" s="117"/>
      <c r="M368" s="327"/>
      <c r="N368" s="117"/>
      <c r="O368" s="320"/>
      <c r="P368" s="164"/>
      <c r="Q368" s="188"/>
      <c r="R368" s="188"/>
      <c r="S368" s="20"/>
      <c r="T368" s="20"/>
      <c r="U368" s="20"/>
      <c r="V368" s="20"/>
    </row>
    <row r="369">
      <c r="A369" s="320"/>
      <c r="B369" s="164"/>
      <c r="C369" s="320"/>
      <c r="D369" s="117"/>
      <c r="E369" s="320"/>
      <c r="F369" s="164"/>
      <c r="G369" s="320"/>
      <c r="H369" s="164"/>
      <c r="I369" s="327"/>
      <c r="J369" s="117"/>
      <c r="K369" s="327"/>
      <c r="L369" s="117"/>
      <c r="M369" s="327"/>
      <c r="N369" s="117"/>
      <c r="O369" s="320"/>
      <c r="P369" s="164"/>
      <c r="Q369" s="188"/>
      <c r="R369" s="188"/>
      <c r="S369" s="20"/>
      <c r="T369" s="20"/>
      <c r="U369" s="20"/>
      <c r="V369" s="20"/>
    </row>
    <row r="370">
      <c r="A370" s="320"/>
      <c r="B370" s="164"/>
      <c r="C370" s="320"/>
      <c r="D370" s="117"/>
      <c r="E370" s="320"/>
      <c r="F370" s="164"/>
      <c r="G370" s="320"/>
      <c r="H370" s="164"/>
      <c r="I370" s="327"/>
      <c r="J370" s="117"/>
      <c r="K370" s="327"/>
      <c r="L370" s="117"/>
      <c r="M370" s="327"/>
      <c r="N370" s="117"/>
      <c r="O370" s="320"/>
      <c r="P370" s="164"/>
      <c r="Q370" s="188"/>
      <c r="R370" s="188"/>
      <c r="S370" s="20"/>
      <c r="T370" s="20"/>
      <c r="U370" s="20"/>
      <c r="V370" s="20"/>
    </row>
    <row r="371">
      <c r="A371" s="320"/>
      <c r="B371" s="164"/>
      <c r="C371" s="320"/>
      <c r="D371" s="117"/>
      <c r="E371" s="320"/>
      <c r="F371" s="164"/>
      <c r="G371" s="320"/>
      <c r="H371" s="164"/>
      <c r="I371" s="327"/>
      <c r="J371" s="117"/>
      <c r="K371" s="327"/>
      <c r="L371" s="117"/>
      <c r="M371" s="327"/>
      <c r="N371" s="117"/>
      <c r="O371" s="320"/>
      <c r="P371" s="164"/>
      <c r="Q371" s="188"/>
      <c r="R371" s="188"/>
      <c r="S371" s="20"/>
      <c r="T371" s="20"/>
      <c r="U371" s="20"/>
      <c r="V371" s="20"/>
    </row>
    <row r="372">
      <c r="A372" s="320"/>
      <c r="B372" s="164"/>
      <c r="C372" s="320"/>
      <c r="D372" s="117"/>
      <c r="E372" s="320"/>
      <c r="F372" s="164"/>
      <c r="G372" s="320"/>
      <c r="H372" s="164"/>
      <c r="I372" s="327"/>
      <c r="J372" s="117"/>
      <c r="K372" s="327"/>
      <c r="L372" s="117"/>
      <c r="M372" s="327"/>
      <c r="N372" s="117"/>
      <c r="O372" s="320"/>
      <c r="P372" s="164"/>
      <c r="Q372" s="188"/>
      <c r="R372" s="188"/>
      <c r="S372" s="20"/>
      <c r="T372" s="20"/>
      <c r="U372" s="20"/>
      <c r="V372" s="20"/>
    </row>
    <row r="373">
      <c r="A373" s="320"/>
      <c r="B373" s="164"/>
      <c r="C373" s="320"/>
      <c r="D373" s="117"/>
      <c r="E373" s="320"/>
      <c r="F373" s="164"/>
      <c r="G373" s="320"/>
      <c r="H373" s="164"/>
      <c r="I373" s="327"/>
      <c r="J373" s="117"/>
      <c r="K373" s="327"/>
      <c r="L373" s="117"/>
      <c r="M373" s="327"/>
      <c r="N373" s="117"/>
      <c r="O373" s="320"/>
      <c r="P373" s="164"/>
      <c r="Q373" s="188"/>
      <c r="R373" s="188"/>
      <c r="S373" s="20"/>
      <c r="T373" s="20"/>
      <c r="U373" s="20"/>
      <c r="V373" s="20"/>
    </row>
    <row r="374">
      <c r="A374" s="320"/>
      <c r="B374" s="164"/>
      <c r="C374" s="320"/>
      <c r="D374" s="117"/>
      <c r="E374" s="320"/>
      <c r="F374" s="164"/>
      <c r="G374" s="320"/>
      <c r="H374" s="164"/>
      <c r="I374" s="327"/>
      <c r="J374" s="117"/>
      <c r="K374" s="327"/>
      <c r="L374" s="117"/>
      <c r="M374" s="327"/>
      <c r="N374" s="117"/>
      <c r="O374" s="320"/>
      <c r="P374" s="164"/>
      <c r="Q374" s="188"/>
      <c r="R374" s="188"/>
      <c r="S374" s="20"/>
      <c r="T374" s="20"/>
      <c r="U374" s="20"/>
      <c r="V374" s="20"/>
    </row>
    <row r="375">
      <c r="A375" s="320"/>
      <c r="B375" s="164"/>
      <c r="C375" s="320"/>
      <c r="D375" s="117"/>
      <c r="E375" s="320"/>
      <c r="F375" s="164"/>
      <c r="G375" s="320"/>
      <c r="H375" s="164"/>
      <c r="I375" s="327"/>
      <c r="J375" s="117"/>
      <c r="K375" s="327"/>
      <c r="L375" s="117"/>
      <c r="M375" s="327"/>
      <c r="N375" s="117"/>
      <c r="O375" s="320"/>
      <c r="P375" s="164"/>
      <c r="Q375" s="188"/>
      <c r="R375" s="188"/>
      <c r="S375" s="20"/>
      <c r="T375" s="20"/>
      <c r="U375" s="20"/>
      <c r="V375" s="20"/>
    </row>
    <row r="376">
      <c r="A376" s="320"/>
      <c r="B376" s="164"/>
      <c r="C376" s="320"/>
      <c r="D376" s="117"/>
      <c r="E376" s="320"/>
      <c r="F376" s="164"/>
      <c r="G376" s="320"/>
      <c r="H376" s="164"/>
      <c r="I376" s="327"/>
      <c r="J376" s="117"/>
      <c r="K376" s="327"/>
      <c r="L376" s="117"/>
      <c r="M376" s="327"/>
      <c r="N376" s="117"/>
      <c r="O376" s="320"/>
      <c r="P376" s="164"/>
      <c r="Q376" s="188"/>
      <c r="R376" s="188"/>
      <c r="S376" s="20"/>
      <c r="T376" s="20"/>
      <c r="U376" s="20"/>
      <c r="V376" s="20"/>
    </row>
    <row r="377">
      <c r="A377" s="320"/>
      <c r="B377" s="164"/>
      <c r="C377" s="320"/>
      <c r="D377" s="117"/>
      <c r="E377" s="320"/>
      <c r="F377" s="164"/>
      <c r="G377" s="320"/>
      <c r="H377" s="164"/>
      <c r="I377" s="327"/>
      <c r="J377" s="117"/>
      <c r="K377" s="327"/>
      <c r="L377" s="117"/>
      <c r="M377" s="327"/>
      <c r="N377" s="117"/>
      <c r="O377" s="320"/>
      <c r="P377" s="164"/>
      <c r="Q377" s="188"/>
      <c r="R377" s="188"/>
      <c r="S377" s="20"/>
      <c r="T377" s="20"/>
      <c r="U377" s="20"/>
      <c r="V377" s="20"/>
    </row>
    <row r="378">
      <c r="A378" s="320"/>
      <c r="B378" s="164"/>
      <c r="C378" s="320"/>
      <c r="D378" s="117"/>
      <c r="E378" s="320"/>
      <c r="F378" s="164"/>
      <c r="G378" s="320"/>
      <c r="H378" s="164"/>
      <c r="I378" s="327"/>
      <c r="J378" s="117"/>
      <c r="K378" s="327"/>
      <c r="L378" s="117"/>
      <c r="M378" s="327"/>
      <c r="N378" s="117"/>
      <c r="O378" s="320"/>
      <c r="P378" s="164"/>
      <c r="Q378" s="188"/>
      <c r="R378" s="188"/>
      <c r="S378" s="20"/>
      <c r="T378" s="20"/>
      <c r="U378" s="20"/>
      <c r="V378" s="20"/>
    </row>
    <row r="379">
      <c r="A379" s="320"/>
      <c r="B379" s="164"/>
      <c r="C379" s="320"/>
      <c r="D379" s="117"/>
      <c r="E379" s="320"/>
      <c r="F379" s="164"/>
      <c r="G379" s="320"/>
      <c r="H379" s="164"/>
      <c r="I379" s="327"/>
      <c r="J379" s="117"/>
      <c r="K379" s="327"/>
      <c r="L379" s="117"/>
      <c r="M379" s="327"/>
      <c r="N379" s="117"/>
      <c r="O379" s="320"/>
      <c r="P379" s="164"/>
      <c r="Q379" s="188"/>
      <c r="R379" s="188"/>
      <c r="S379" s="20"/>
      <c r="T379" s="20"/>
      <c r="U379" s="20"/>
      <c r="V379" s="20"/>
    </row>
    <row r="380">
      <c r="A380" s="320"/>
      <c r="B380" s="164"/>
      <c r="C380" s="320"/>
      <c r="D380" s="117"/>
      <c r="E380" s="320"/>
      <c r="F380" s="164"/>
      <c r="G380" s="320"/>
      <c r="H380" s="164"/>
      <c r="I380" s="327"/>
      <c r="J380" s="117"/>
      <c r="K380" s="327"/>
      <c r="L380" s="117"/>
      <c r="M380" s="327"/>
      <c r="N380" s="117"/>
      <c r="O380" s="320"/>
      <c r="P380" s="164"/>
      <c r="Q380" s="188"/>
      <c r="R380" s="188"/>
      <c r="S380" s="20"/>
      <c r="T380" s="20"/>
      <c r="U380" s="20"/>
      <c r="V380" s="20"/>
    </row>
    <row r="381">
      <c r="A381" s="320"/>
      <c r="B381" s="164"/>
      <c r="C381" s="320"/>
      <c r="D381" s="117"/>
      <c r="E381" s="320"/>
      <c r="F381" s="164"/>
      <c r="G381" s="320"/>
      <c r="H381" s="164"/>
      <c r="I381" s="327"/>
      <c r="J381" s="117"/>
      <c r="K381" s="327"/>
      <c r="L381" s="117"/>
      <c r="M381" s="327"/>
      <c r="N381" s="117"/>
      <c r="O381" s="320"/>
      <c r="P381" s="164"/>
      <c r="Q381" s="188"/>
      <c r="R381" s="188"/>
      <c r="S381" s="20"/>
      <c r="T381" s="20"/>
      <c r="U381" s="20"/>
      <c r="V381" s="20"/>
    </row>
    <row r="382">
      <c r="A382" s="320"/>
      <c r="B382" s="164"/>
      <c r="C382" s="320"/>
      <c r="D382" s="117"/>
      <c r="E382" s="320"/>
      <c r="F382" s="164"/>
      <c r="G382" s="320"/>
      <c r="H382" s="164"/>
      <c r="I382" s="327"/>
      <c r="J382" s="117"/>
      <c r="K382" s="327"/>
      <c r="L382" s="117"/>
      <c r="M382" s="327"/>
      <c r="N382" s="117"/>
      <c r="O382" s="320"/>
      <c r="P382" s="164"/>
      <c r="Q382" s="188"/>
      <c r="R382" s="188"/>
      <c r="S382" s="20"/>
      <c r="T382" s="20"/>
      <c r="U382" s="20"/>
      <c r="V382" s="20"/>
    </row>
    <row r="383">
      <c r="A383" s="320"/>
      <c r="B383" s="164"/>
      <c r="C383" s="320"/>
      <c r="D383" s="117"/>
      <c r="E383" s="320"/>
      <c r="F383" s="164"/>
      <c r="G383" s="320"/>
      <c r="H383" s="164"/>
      <c r="I383" s="327"/>
      <c r="J383" s="117"/>
      <c r="K383" s="327"/>
      <c r="L383" s="117"/>
      <c r="M383" s="327"/>
      <c r="N383" s="117"/>
      <c r="O383" s="320"/>
      <c r="P383" s="164"/>
      <c r="Q383" s="188"/>
      <c r="R383" s="188"/>
      <c r="S383" s="20"/>
      <c r="T383" s="20"/>
      <c r="U383" s="20"/>
      <c r="V383" s="20"/>
    </row>
    <row r="384">
      <c r="A384" s="320"/>
      <c r="B384" s="164"/>
      <c r="C384" s="320"/>
      <c r="D384" s="117"/>
      <c r="E384" s="320"/>
      <c r="F384" s="164"/>
      <c r="G384" s="320"/>
      <c r="H384" s="164"/>
      <c r="I384" s="327"/>
      <c r="J384" s="117"/>
      <c r="K384" s="327"/>
      <c r="L384" s="117"/>
      <c r="M384" s="327"/>
      <c r="N384" s="117"/>
      <c r="O384" s="320"/>
      <c r="P384" s="164"/>
      <c r="Q384" s="188"/>
      <c r="R384" s="188"/>
      <c r="S384" s="20"/>
      <c r="T384" s="20"/>
      <c r="U384" s="20"/>
      <c r="V384" s="20"/>
    </row>
    <row r="385">
      <c r="A385" s="320"/>
      <c r="B385" s="164"/>
      <c r="C385" s="320"/>
      <c r="D385" s="117"/>
      <c r="E385" s="320"/>
      <c r="F385" s="164"/>
      <c r="G385" s="320"/>
      <c r="H385" s="164"/>
      <c r="I385" s="327"/>
      <c r="J385" s="117"/>
      <c r="K385" s="327"/>
      <c r="L385" s="117"/>
      <c r="M385" s="327"/>
      <c r="N385" s="117"/>
      <c r="O385" s="320"/>
      <c r="P385" s="164"/>
      <c r="Q385" s="188"/>
      <c r="R385" s="188"/>
      <c r="S385" s="20"/>
      <c r="T385" s="20"/>
      <c r="U385" s="20"/>
      <c r="V385" s="20"/>
    </row>
    <row r="386">
      <c r="A386" s="320"/>
      <c r="B386" s="164"/>
      <c r="C386" s="320"/>
      <c r="D386" s="117"/>
      <c r="E386" s="320"/>
      <c r="F386" s="164"/>
      <c r="G386" s="320"/>
      <c r="H386" s="164"/>
      <c r="I386" s="327"/>
      <c r="J386" s="117"/>
      <c r="K386" s="327"/>
      <c r="L386" s="117"/>
      <c r="M386" s="327"/>
      <c r="N386" s="117"/>
      <c r="O386" s="320"/>
      <c r="P386" s="164"/>
      <c r="Q386" s="188"/>
      <c r="R386" s="188"/>
      <c r="S386" s="20"/>
      <c r="T386" s="20"/>
      <c r="U386" s="20"/>
      <c r="V386" s="20"/>
    </row>
    <row r="387">
      <c r="A387" s="320"/>
      <c r="B387" s="164"/>
      <c r="C387" s="320"/>
      <c r="D387" s="117"/>
      <c r="E387" s="320"/>
      <c r="F387" s="164"/>
      <c r="G387" s="320"/>
      <c r="H387" s="164"/>
      <c r="I387" s="327"/>
      <c r="J387" s="117"/>
      <c r="K387" s="327"/>
      <c r="L387" s="117"/>
      <c r="M387" s="327"/>
      <c r="N387" s="117"/>
      <c r="O387" s="320"/>
      <c r="P387" s="164"/>
      <c r="Q387" s="188"/>
      <c r="R387" s="188"/>
      <c r="S387" s="20"/>
      <c r="T387" s="20"/>
      <c r="U387" s="20"/>
      <c r="V387" s="20"/>
    </row>
    <row r="388">
      <c r="A388" s="320"/>
      <c r="B388" s="164"/>
      <c r="C388" s="320"/>
      <c r="D388" s="117"/>
      <c r="E388" s="320"/>
      <c r="F388" s="164"/>
      <c r="G388" s="320"/>
      <c r="H388" s="164"/>
      <c r="I388" s="327"/>
      <c r="J388" s="117"/>
      <c r="K388" s="327"/>
      <c r="L388" s="117"/>
      <c r="M388" s="327"/>
      <c r="N388" s="117"/>
      <c r="O388" s="320"/>
      <c r="P388" s="164"/>
      <c r="Q388" s="188"/>
      <c r="R388" s="188"/>
      <c r="S388" s="20"/>
      <c r="T388" s="20"/>
      <c r="U388" s="20"/>
      <c r="V388" s="20"/>
    </row>
    <row r="389">
      <c r="A389" s="320"/>
      <c r="B389" s="164"/>
      <c r="C389" s="320"/>
      <c r="D389" s="117"/>
      <c r="E389" s="320"/>
      <c r="F389" s="164"/>
      <c r="G389" s="320"/>
      <c r="H389" s="164"/>
      <c r="I389" s="327"/>
      <c r="J389" s="117"/>
      <c r="K389" s="327"/>
      <c r="L389" s="117"/>
      <c r="M389" s="327"/>
      <c r="N389" s="117"/>
      <c r="O389" s="320"/>
      <c r="P389" s="164"/>
      <c r="Q389" s="188"/>
      <c r="R389" s="188"/>
      <c r="S389" s="20"/>
      <c r="T389" s="20"/>
      <c r="U389" s="20"/>
      <c r="V389" s="20"/>
    </row>
    <row r="390">
      <c r="A390" s="320"/>
      <c r="B390" s="164"/>
      <c r="C390" s="320"/>
      <c r="D390" s="117"/>
      <c r="E390" s="320"/>
      <c r="F390" s="164"/>
      <c r="G390" s="320"/>
      <c r="H390" s="164"/>
      <c r="I390" s="327"/>
      <c r="J390" s="117"/>
      <c r="K390" s="327"/>
      <c r="L390" s="117"/>
      <c r="M390" s="327"/>
      <c r="N390" s="117"/>
      <c r="O390" s="320"/>
      <c r="P390" s="164"/>
      <c r="Q390" s="188"/>
      <c r="R390" s="188"/>
      <c r="S390" s="20"/>
      <c r="T390" s="20"/>
      <c r="U390" s="20"/>
      <c r="V390" s="20"/>
    </row>
    <row r="391">
      <c r="A391" s="320"/>
      <c r="B391" s="164"/>
      <c r="C391" s="320"/>
      <c r="D391" s="117"/>
      <c r="E391" s="320"/>
      <c r="F391" s="164"/>
      <c r="G391" s="320"/>
      <c r="H391" s="164"/>
      <c r="I391" s="327"/>
      <c r="J391" s="117"/>
      <c r="K391" s="327"/>
      <c r="L391" s="117"/>
      <c r="M391" s="327"/>
      <c r="N391" s="117"/>
      <c r="O391" s="320"/>
      <c r="P391" s="164"/>
      <c r="Q391" s="188"/>
      <c r="R391" s="188"/>
      <c r="S391" s="20"/>
      <c r="T391" s="20"/>
      <c r="U391" s="20"/>
      <c r="V391" s="20"/>
    </row>
    <row r="392">
      <c r="A392" s="320"/>
      <c r="B392" s="164"/>
      <c r="C392" s="320"/>
      <c r="D392" s="117"/>
      <c r="E392" s="320"/>
      <c r="F392" s="164"/>
      <c r="G392" s="320"/>
      <c r="H392" s="164"/>
      <c r="I392" s="327"/>
      <c r="J392" s="117"/>
      <c r="K392" s="327"/>
      <c r="L392" s="117"/>
      <c r="M392" s="327"/>
      <c r="N392" s="117"/>
      <c r="O392" s="320"/>
      <c r="P392" s="164"/>
      <c r="Q392" s="188"/>
      <c r="R392" s="188"/>
      <c r="S392" s="20"/>
      <c r="T392" s="20"/>
      <c r="U392" s="20"/>
      <c r="V392" s="20"/>
    </row>
    <row r="393">
      <c r="A393" s="320"/>
      <c r="B393" s="164"/>
      <c r="C393" s="320"/>
      <c r="D393" s="117"/>
      <c r="E393" s="320"/>
      <c r="F393" s="164"/>
      <c r="G393" s="320"/>
      <c r="H393" s="164"/>
      <c r="I393" s="327"/>
      <c r="J393" s="117"/>
      <c r="K393" s="327"/>
      <c r="L393" s="117"/>
      <c r="M393" s="327"/>
      <c r="N393" s="117"/>
      <c r="O393" s="320"/>
      <c r="P393" s="164"/>
      <c r="Q393" s="188"/>
      <c r="R393" s="188"/>
      <c r="S393" s="20"/>
      <c r="T393" s="20"/>
      <c r="U393" s="20"/>
      <c r="V393" s="20"/>
    </row>
    <row r="394">
      <c r="A394" s="320"/>
      <c r="B394" s="164"/>
      <c r="C394" s="320"/>
      <c r="D394" s="117"/>
      <c r="E394" s="320"/>
      <c r="F394" s="164"/>
      <c r="G394" s="320"/>
      <c r="H394" s="164"/>
      <c r="I394" s="327"/>
      <c r="J394" s="117"/>
      <c r="K394" s="327"/>
      <c r="L394" s="117"/>
      <c r="M394" s="327"/>
      <c r="N394" s="117"/>
      <c r="O394" s="320"/>
      <c r="P394" s="164"/>
      <c r="Q394" s="188"/>
      <c r="R394" s="188"/>
      <c r="S394" s="20"/>
      <c r="T394" s="20"/>
      <c r="U394" s="20"/>
      <c r="V394" s="20"/>
    </row>
    <row r="395">
      <c r="A395" s="320"/>
      <c r="B395" s="164"/>
      <c r="C395" s="320"/>
      <c r="D395" s="117"/>
      <c r="E395" s="320"/>
      <c r="F395" s="164"/>
      <c r="G395" s="320"/>
      <c r="H395" s="164"/>
      <c r="I395" s="327"/>
      <c r="J395" s="117"/>
      <c r="K395" s="327"/>
      <c r="L395" s="117"/>
      <c r="M395" s="327"/>
      <c r="N395" s="117"/>
      <c r="O395" s="320"/>
      <c r="P395" s="164"/>
      <c r="Q395" s="188"/>
      <c r="R395" s="188"/>
      <c r="S395" s="20"/>
      <c r="T395" s="20"/>
      <c r="U395" s="20"/>
      <c r="V395" s="20"/>
    </row>
    <row r="396">
      <c r="A396" s="320"/>
      <c r="B396" s="164"/>
      <c r="C396" s="320"/>
      <c r="D396" s="117"/>
      <c r="E396" s="320"/>
      <c r="F396" s="164"/>
      <c r="G396" s="320"/>
      <c r="H396" s="164"/>
      <c r="I396" s="327"/>
      <c r="J396" s="117"/>
      <c r="K396" s="327"/>
      <c r="L396" s="117"/>
      <c r="M396" s="327"/>
      <c r="N396" s="117"/>
      <c r="O396" s="320"/>
      <c r="P396" s="164"/>
      <c r="Q396" s="188"/>
      <c r="R396" s="188"/>
      <c r="S396" s="20"/>
      <c r="T396" s="20"/>
      <c r="U396" s="20"/>
      <c r="V396" s="20"/>
    </row>
    <row r="397">
      <c r="A397" s="320"/>
      <c r="B397" s="164"/>
      <c r="C397" s="320"/>
      <c r="D397" s="117"/>
      <c r="E397" s="320"/>
      <c r="F397" s="164"/>
      <c r="G397" s="320"/>
      <c r="H397" s="164"/>
      <c r="I397" s="327"/>
      <c r="J397" s="117"/>
      <c r="K397" s="327"/>
      <c r="L397" s="117"/>
      <c r="M397" s="327"/>
      <c r="N397" s="117"/>
      <c r="O397" s="320"/>
      <c r="P397" s="164"/>
      <c r="Q397" s="188"/>
      <c r="R397" s="188"/>
      <c r="S397" s="20"/>
      <c r="T397" s="20"/>
      <c r="U397" s="20"/>
      <c r="V397" s="20"/>
    </row>
    <row r="398">
      <c r="A398" s="320"/>
      <c r="B398" s="164"/>
      <c r="C398" s="320"/>
      <c r="D398" s="117"/>
      <c r="E398" s="320"/>
      <c r="F398" s="164"/>
      <c r="G398" s="320"/>
      <c r="H398" s="164"/>
      <c r="I398" s="327"/>
      <c r="J398" s="117"/>
      <c r="K398" s="327"/>
      <c r="L398" s="117"/>
      <c r="M398" s="327"/>
      <c r="N398" s="117"/>
      <c r="O398" s="320"/>
      <c r="P398" s="164"/>
      <c r="Q398" s="188"/>
      <c r="R398" s="188"/>
      <c r="S398" s="20"/>
      <c r="T398" s="20"/>
      <c r="U398" s="20"/>
      <c r="V398" s="20"/>
    </row>
    <row r="399">
      <c r="A399" s="320"/>
      <c r="B399" s="164"/>
      <c r="C399" s="320"/>
      <c r="D399" s="117"/>
      <c r="E399" s="320"/>
      <c r="F399" s="164"/>
      <c r="G399" s="320"/>
      <c r="H399" s="164"/>
      <c r="I399" s="327"/>
      <c r="J399" s="117"/>
      <c r="K399" s="327"/>
      <c r="L399" s="117"/>
      <c r="M399" s="327"/>
      <c r="N399" s="117"/>
      <c r="O399" s="320"/>
      <c r="P399" s="164"/>
      <c r="Q399" s="188"/>
      <c r="R399" s="188"/>
      <c r="S399" s="20"/>
      <c r="T399" s="20"/>
      <c r="U399" s="20"/>
      <c r="V399" s="20"/>
    </row>
    <row r="400">
      <c r="A400" s="320"/>
      <c r="B400" s="164"/>
      <c r="C400" s="320"/>
      <c r="D400" s="117"/>
      <c r="E400" s="320"/>
      <c r="F400" s="164"/>
      <c r="G400" s="320"/>
      <c r="H400" s="164"/>
      <c r="I400" s="327"/>
      <c r="J400" s="117"/>
      <c r="K400" s="327"/>
      <c r="L400" s="117"/>
      <c r="M400" s="327"/>
      <c r="N400" s="117"/>
      <c r="O400" s="320"/>
      <c r="P400" s="164"/>
      <c r="Q400" s="188"/>
      <c r="R400" s="188"/>
      <c r="S400" s="20"/>
      <c r="T400" s="20"/>
      <c r="U400" s="20"/>
      <c r="V400" s="20"/>
    </row>
    <row r="401">
      <c r="A401" s="320"/>
      <c r="B401" s="164"/>
      <c r="C401" s="320"/>
      <c r="D401" s="117"/>
      <c r="E401" s="320"/>
      <c r="F401" s="164"/>
      <c r="G401" s="320"/>
      <c r="H401" s="164"/>
      <c r="I401" s="327"/>
      <c r="J401" s="117"/>
      <c r="K401" s="327"/>
      <c r="L401" s="117"/>
      <c r="M401" s="327"/>
      <c r="N401" s="117"/>
      <c r="O401" s="320"/>
      <c r="P401" s="164"/>
      <c r="Q401" s="188"/>
      <c r="R401" s="188"/>
      <c r="S401" s="20"/>
      <c r="T401" s="20"/>
      <c r="U401" s="20"/>
      <c r="V401" s="20"/>
    </row>
    <row r="402">
      <c r="A402" s="320"/>
      <c r="B402" s="164"/>
      <c r="C402" s="320"/>
      <c r="D402" s="117"/>
      <c r="E402" s="320"/>
      <c r="F402" s="164"/>
      <c r="G402" s="320"/>
      <c r="H402" s="164"/>
      <c r="I402" s="327"/>
      <c r="J402" s="117"/>
      <c r="K402" s="327"/>
      <c r="L402" s="117"/>
      <c r="M402" s="327"/>
      <c r="N402" s="117"/>
      <c r="O402" s="320"/>
      <c r="P402" s="164"/>
      <c r="Q402" s="188"/>
      <c r="R402" s="188"/>
      <c r="S402" s="20"/>
      <c r="T402" s="20"/>
      <c r="U402" s="20"/>
      <c r="V402" s="20"/>
    </row>
    <row r="403">
      <c r="A403" s="320"/>
      <c r="B403" s="164"/>
      <c r="C403" s="320"/>
      <c r="D403" s="117"/>
      <c r="E403" s="320"/>
      <c r="F403" s="164"/>
      <c r="G403" s="320"/>
      <c r="H403" s="164"/>
      <c r="I403" s="327"/>
      <c r="J403" s="117"/>
      <c r="K403" s="327"/>
      <c r="L403" s="117"/>
      <c r="M403" s="327"/>
      <c r="N403" s="117"/>
      <c r="O403" s="320"/>
      <c r="P403" s="164"/>
      <c r="Q403" s="188"/>
      <c r="R403" s="188"/>
      <c r="S403" s="20"/>
      <c r="T403" s="20"/>
      <c r="U403" s="20"/>
      <c r="V403" s="20"/>
    </row>
    <row r="404">
      <c r="A404" s="320"/>
      <c r="B404" s="164"/>
      <c r="C404" s="320"/>
      <c r="D404" s="117"/>
      <c r="E404" s="320"/>
      <c r="F404" s="164"/>
      <c r="G404" s="320"/>
      <c r="H404" s="164"/>
      <c r="I404" s="327"/>
      <c r="J404" s="117"/>
      <c r="K404" s="327"/>
      <c r="L404" s="117"/>
      <c r="M404" s="327"/>
      <c r="N404" s="117"/>
      <c r="O404" s="320"/>
      <c r="P404" s="164"/>
      <c r="Q404" s="188"/>
      <c r="R404" s="188"/>
      <c r="S404" s="20"/>
      <c r="T404" s="20"/>
      <c r="U404" s="20"/>
      <c r="V404" s="20"/>
    </row>
    <row r="405">
      <c r="A405" s="320"/>
      <c r="B405" s="164"/>
      <c r="C405" s="320"/>
      <c r="D405" s="117"/>
      <c r="E405" s="320"/>
      <c r="F405" s="164"/>
      <c r="G405" s="320"/>
      <c r="H405" s="164"/>
      <c r="I405" s="327"/>
      <c r="J405" s="117"/>
      <c r="K405" s="327"/>
      <c r="L405" s="117"/>
      <c r="M405" s="327"/>
      <c r="N405" s="117"/>
      <c r="O405" s="320"/>
      <c r="P405" s="164"/>
      <c r="Q405" s="188"/>
      <c r="R405" s="188"/>
      <c r="S405" s="20"/>
      <c r="T405" s="20"/>
      <c r="U405" s="20"/>
      <c r="V405" s="20"/>
    </row>
    <row r="406">
      <c r="A406" s="320"/>
      <c r="B406" s="164"/>
      <c r="C406" s="320"/>
      <c r="D406" s="117"/>
      <c r="E406" s="320"/>
      <c r="F406" s="164"/>
      <c r="G406" s="320"/>
      <c r="H406" s="164"/>
      <c r="I406" s="327"/>
      <c r="J406" s="117"/>
      <c r="K406" s="327"/>
      <c r="L406" s="117"/>
      <c r="M406" s="327"/>
      <c r="N406" s="117"/>
      <c r="O406" s="320"/>
      <c r="P406" s="164"/>
      <c r="Q406" s="188"/>
      <c r="R406" s="188"/>
      <c r="S406" s="20"/>
      <c r="T406" s="20"/>
      <c r="U406" s="20"/>
      <c r="V406" s="20"/>
    </row>
    <row r="407">
      <c r="A407" s="320"/>
      <c r="B407" s="164"/>
      <c r="C407" s="320"/>
      <c r="D407" s="117"/>
      <c r="E407" s="320"/>
      <c r="F407" s="164"/>
      <c r="G407" s="320"/>
      <c r="H407" s="164"/>
      <c r="I407" s="327"/>
      <c r="J407" s="117"/>
      <c r="K407" s="327"/>
      <c r="L407" s="117"/>
      <c r="M407" s="327"/>
      <c r="N407" s="117"/>
      <c r="O407" s="320"/>
      <c r="P407" s="164"/>
      <c r="Q407" s="188"/>
      <c r="R407" s="188"/>
      <c r="S407" s="20"/>
      <c r="T407" s="20"/>
      <c r="U407" s="20"/>
      <c r="V407" s="20"/>
    </row>
    <row r="408">
      <c r="A408" s="320"/>
      <c r="B408" s="164"/>
      <c r="C408" s="320"/>
      <c r="D408" s="117"/>
      <c r="E408" s="320"/>
      <c r="F408" s="164"/>
      <c r="G408" s="320"/>
      <c r="H408" s="164"/>
      <c r="I408" s="327"/>
      <c r="J408" s="117"/>
      <c r="K408" s="327"/>
      <c r="L408" s="117"/>
      <c r="M408" s="327"/>
      <c r="N408" s="117"/>
      <c r="O408" s="320"/>
      <c r="P408" s="164"/>
      <c r="Q408" s="188"/>
      <c r="R408" s="188"/>
      <c r="S408" s="20"/>
      <c r="T408" s="20"/>
      <c r="U408" s="20"/>
      <c r="V408" s="20"/>
    </row>
    <row r="409">
      <c r="A409" s="320"/>
      <c r="B409" s="164"/>
      <c r="C409" s="320"/>
      <c r="D409" s="117"/>
      <c r="E409" s="320"/>
      <c r="F409" s="164"/>
      <c r="G409" s="320"/>
      <c r="H409" s="164"/>
      <c r="I409" s="327"/>
      <c r="J409" s="117"/>
      <c r="K409" s="327"/>
      <c r="L409" s="117"/>
      <c r="M409" s="327"/>
      <c r="N409" s="117"/>
      <c r="O409" s="320"/>
      <c r="P409" s="164"/>
      <c r="Q409" s="188"/>
      <c r="R409" s="188"/>
      <c r="S409" s="20"/>
      <c r="T409" s="20"/>
      <c r="U409" s="20"/>
      <c r="V409" s="20"/>
    </row>
    <row r="410">
      <c r="A410" s="320"/>
      <c r="B410" s="164"/>
      <c r="C410" s="320"/>
      <c r="D410" s="117"/>
      <c r="E410" s="320"/>
      <c r="F410" s="164"/>
      <c r="G410" s="320"/>
      <c r="H410" s="164"/>
      <c r="I410" s="327"/>
      <c r="J410" s="117"/>
      <c r="K410" s="327"/>
      <c r="L410" s="117"/>
      <c r="M410" s="327"/>
      <c r="N410" s="117"/>
      <c r="O410" s="320"/>
      <c r="P410" s="164"/>
      <c r="Q410" s="188"/>
      <c r="R410" s="188"/>
      <c r="S410" s="20"/>
      <c r="T410" s="20"/>
      <c r="U410" s="20"/>
      <c r="V410" s="20"/>
    </row>
    <row r="411">
      <c r="A411" s="320"/>
      <c r="B411" s="164"/>
      <c r="C411" s="320"/>
      <c r="D411" s="117"/>
      <c r="E411" s="320"/>
      <c r="F411" s="164"/>
      <c r="G411" s="320"/>
      <c r="H411" s="164"/>
      <c r="I411" s="327"/>
      <c r="J411" s="117"/>
      <c r="K411" s="327"/>
      <c r="L411" s="117"/>
      <c r="M411" s="327"/>
      <c r="N411" s="117"/>
      <c r="O411" s="320"/>
      <c r="P411" s="164"/>
      <c r="Q411" s="188"/>
      <c r="R411" s="188"/>
      <c r="S411" s="20"/>
      <c r="T411" s="20"/>
      <c r="U411" s="20"/>
      <c r="V411" s="20"/>
    </row>
    <row r="412">
      <c r="A412" s="320"/>
      <c r="B412" s="164"/>
      <c r="C412" s="320"/>
      <c r="D412" s="117"/>
      <c r="E412" s="320"/>
      <c r="F412" s="164"/>
      <c r="G412" s="320"/>
      <c r="H412" s="164"/>
      <c r="I412" s="327"/>
      <c r="J412" s="117"/>
      <c r="K412" s="327"/>
      <c r="L412" s="117"/>
      <c r="M412" s="327"/>
      <c r="N412" s="117"/>
      <c r="O412" s="320"/>
      <c r="P412" s="164"/>
      <c r="Q412" s="188"/>
      <c r="R412" s="188"/>
      <c r="S412" s="20"/>
      <c r="T412" s="20"/>
      <c r="U412" s="20"/>
      <c r="V412" s="20"/>
    </row>
    <row r="413">
      <c r="A413" s="320"/>
      <c r="B413" s="164"/>
      <c r="C413" s="320"/>
      <c r="D413" s="117"/>
      <c r="E413" s="320"/>
      <c r="F413" s="164"/>
      <c r="G413" s="320"/>
      <c r="H413" s="164"/>
      <c r="I413" s="327"/>
      <c r="J413" s="117"/>
      <c r="K413" s="327"/>
      <c r="L413" s="117"/>
      <c r="M413" s="327"/>
      <c r="N413" s="117"/>
      <c r="O413" s="320"/>
      <c r="P413" s="164"/>
      <c r="Q413" s="188"/>
      <c r="R413" s="188"/>
      <c r="S413" s="20"/>
      <c r="T413" s="20"/>
      <c r="U413" s="20"/>
      <c r="V413" s="20"/>
    </row>
    <row r="414">
      <c r="A414" s="320"/>
      <c r="B414" s="164"/>
      <c r="C414" s="320"/>
      <c r="D414" s="117"/>
      <c r="E414" s="320"/>
      <c r="F414" s="164"/>
      <c r="G414" s="320"/>
      <c r="H414" s="164"/>
      <c r="I414" s="327"/>
      <c r="J414" s="117"/>
      <c r="K414" s="327"/>
      <c r="L414" s="117"/>
      <c r="M414" s="327"/>
      <c r="N414" s="117"/>
      <c r="O414" s="320"/>
      <c r="P414" s="164"/>
      <c r="Q414" s="188"/>
      <c r="R414" s="188"/>
      <c r="S414" s="20"/>
      <c r="T414" s="20"/>
      <c r="U414" s="20"/>
      <c r="V414" s="20"/>
    </row>
    <row r="415">
      <c r="A415" s="320"/>
      <c r="B415" s="164"/>
      <c r="C415" s="320"/>
      <c r="D415" s="117"/>
      <c r="E415" s="320"/>
      <c r="F415" s="164"/>
      <c r="G415" s="320"/>
      <c r="H415" s="164"/>
      <c r="I415" s="327"/>
      <c r="J415" s="117"/>
      <c r="K415" s="327"/>
      <c r="L415" s="117"/>
      <c r="M415" s="327"/>
      <c r="N415" s="117"/>
      <c r="O415" s="320"/>
      <c r="P415" s="164"/>
      <c r="Q415" s="188"/>
      <c r="R415" s="188"/>
      <c r="S415" s="20"/>
      <c r="T415" s="20"/>
      <c r="U415" s="20"/>
      <c r="V415" s="20"/>
    </row>
    <row r="416">
      <c r="A416" s="320"/>
      <c r="B416" s="164"/>
      <c r="C416" s="320"/>
      <c r="D416" s="117"/>
      <c r="E416" s="320"/>
      <c r="F416" s="164"/>
      <c r="G416" s="320"/>
      <c r="H416" s="164"/>
      <c r="I416" s="327"/>
      <c r="J416" s="117"/>
      <c r="K416" s="327"/>
      <c r="L416" s="117"/>
      <c r="M416" s="327"/>
      <c r="N416" s="117"/>
      <c r="O416" s="320"/>
      <c r="P416" s="164"/>
      <c r="Q416" s="188"/>
      <c r="R416" s="188"/>
      <c r="S416" s="20"/>
      <c r="T416" s="20"/>
      <c r="U416" s="20"/>
      <c r="V416" s="20"/>
    </row>
    <row r="417">
      <c r="A417" s="320"/>
      <c r="B417" s="164"/>
      <c r="C417" s="320"/>
      <c r="D417" s="117"/>
      <c r="E417" s="320"/>
      <c r="F417" s="164"/>
      <c r="G417" s="320"/>
      <c r="H417" s="164"/>
      <c r="I417" s="327"/>
      <c r="J417" s="117"/>
      <c r="K417" s="327"/>
      <c r="L417" s="117"/>
      <c r="M417" s="327"/>
      <c r="N417" s="117"/>
      <c r="O417" s="320"/>
      <c r="P417" s="164"/>
      <c r="Q417" s="188"/>
      <c r="R417" s="188"/>
      <c r="S417" s="20"/>
      <c r="T417" s="20"/>
      <c r="U417" s="20"/>
      <c r="V417" s="20"/>
    </row>
    <row r="418">
      <c r="A418" s="320"/>
      <c r="B418" s="164"/>
      <c r="C418" s="320"/>
      <c r="D418" s="117"/>
      <c r="E418" s="320"/>
      <c r="F418" s="164"/>
      <c r="G418" s="320"/>
      <c r="H418" s="164"/>
      <c r="I418" s="327"/>
      <c r="J418" s="117"/>
      <c r="K418" s="327"/>
      <c r="L418" s="117"/>
      <c r="M418" s="327"/>
      <c r="N418" s="117"/>
      <c r="O418" s="320"/>
      <c r="P418" s="164"/>
      <c r="Q418" s="188"/>
      <c r="R418" s="188"/>
      <c r="S418" s="20"/>
      <c r="T418" s="20"/>
      <c r="U418" s="20"/>
      <c r="V418" s="20"/>
    </row>
    <row r="419">
      <c r="A419" s="320"/>
      <c r="B419" s="164"/>
      <c r="C419" s="320"/>
      <c r="D419" s="117"/>
      <c r="E419" s="320"/>
      <c r="F419" s="164"/>
      <c r="G419" s="320"/>
      <c r="H419" s="164"/>
      <c r="I419" s="327"/>
      <c r="J419" s="117"/>
      <c r="K419" s="327"/>
      <c r="L419" s="117"/>
      <c r="M419" s="327"/>
      <c r="N419" s="117"/>
      <c r="O419" s="320"/>
      <c r="P419" s="164"/>
      <c r="Q419" s="188"/>
      <c r="R419" s="188"/>
      <c r="S419" s="20"/>
      <c r="T419" s="20"/>
      <c r="U419" s="20"/>
      <c r="V419" s="20"/>
    </row>
    <row r="420">
      <c r="A420" s="320"/>
      <c r="B420" s="164"/>
      <c r="C420" s="320"/>
      <c r="D420" s="117"/>
      <c r="E420" s="320"/>
      <c r="F420" s="164"/>
      <c r="G420" s="320"/>
      <c r="H420" s="164"/>
      <c r="I420" s="327"/>
      <c r="J420" s="117"/>
      <c r="K420" s="327"/>
      <c r="L420" s="117"/>
      <c r="M420" s="327"/>
      <c r="N420" s="117"/>
      <c r="O420" s="320"/>
      <c r="P420" s="164"/>
      <c r="Q420" s="188"/>
      <c r="R420" s="188"/>
      <c r="S420" s="20"/>
      <c r="T420" s="20"/>
      <c r="U420" s="20"/>
      <c r="V420" s="20"/>
    </row>
    <row r="421">
      <c r="A421" s="320"/>
      <c r="B421" s="164"/>
      <c r="C421" s="320"/>
      <c r="D421" s="117"/>
      <c r="E421" s="320"/>
      <c r="F421" s="164"/>
      <c r="G421" s="320"/>
      <c r="H421" s="164"/>
      <c r="I421" s="327"/>
      <c r="J421" s="117"/>
      <c r="K421" s="327"/>
      <c r="L421" s="117"/>
      <c r="M421" s="327"/>
      <c r="N421" s="117"/>
      <c r="O421" s="320"/>
      <c r="P421" s="164"/>
      <c r="Q421" s="188"/>
      <c r="R421" s="188"/>
      <c r="S421" s="20"/>
      <c r="T421" s="20"/>
      <c r="U421" s="20"/>
      <c r="V421" s="20"/>
    </row>
    <row r="422">
      <c r="A422" s="320"/>
      <c r="B422" s="164"/>
      <c r="C422" s="320"/>
      <c r="D422" s="117"/>
      <c r="E422" s="320"/>
      <c r="F422" s="164"/>
      <c r="G422" s="320"/>
      <c r="H422" s="164"/>
      <c r="I422" s="327"/>
      <c r="J422" s="117"/>
      <c r="K422" s="327"/>
      <c r="L422" s="117"/>
      <c r="M422" s="327"/>
      <c r="N422" s="117"/>
      <c r="O422" s="320"/>
      <c r="P422" s="164"/>
      <c r="Q422" s="188"/>
      <c r="R422" s="188"/>
      <c r="S422" s="20"/>
      <c r="T422" s="20"/>
      <c r="U422" s="20"/>
      <c r="V422" s="20"/>
    </row>
    <row r="423">
      <c r="A423" s="320"/>
      <c r="B423" s="164"/>
      <c r="C423" s="320"/>
      <c r="D423" s="117"/>
      <c r="E423" s="320"/>
      <c r="F423" s="164"/>
      <c r="G423" s="320"/>
      <c r="H423" s="164"/>
      <c r="I423" s="327"/>
      <c r="J423" s="117"/>
      <c r="K423" s="327"/>
      <c r="L423" s="117"/>
      <c r="M423" s="327"/>
      <c r="N423" s="117"/>
      <c r="O423" s="320"/>
      <c r="P423" s="164"/>
      <c r="Q423" s="188"/>
      <c r="R423" s="188"/>
      <c r="S423" s="20"/>
      <c r="T423" s="20"/>
      <c r="U423" s="20"/>
      <c r="V423" s="20"/>
    </row>
    <row r="424">
      <c r="A424" s="320"/>
      <c r="B424" s="164"/>
      <c r="C424" s="320"/>
      <c r="D424" s="117"/>
      <c r="E424" s="320"/>
      <c r="F424" s="164"/>
      <c r="G424" s="320"/>
      <c r="H424" s="164"/>
      <c r="I424" s="327"/>
      <c r="J424" s="117"/>
      <c r="K424" s="327"/>
      <c r="L424" s="117"/>
      <c r="M424" s="327"/>
      <c r="N424" s="117"/>
      <c r="O424" s="320"/>
      <c r="P424" s="164"/>
      <c r="Q424" s="188"/>
      <c r="R424" s="188"/>
      <c r="S424" s="20"/>
      <c r="T424" s="20"/>
      <c r="U424" s="20"/>
      <c r="V424" s="20"/>
    </row>
    <row r="425">
      <c r="A425" s="320"/>
      <c r="B425" s="164"/>
      <c r="C425" s="320"/>
      <c r="D425" s="117"/>
      <c r="E425" s="320"/>
      <c r="F425" s="164"/>
      <c r="G425" s="320"/>
      <c r="H425" s="164"/>
      <c r="I425" s="327"/>
      <c r="J425" s="117"/>
      <c r="K425" s="327"/>
      <c r="L425" s="117"/>
      <c r="M425" s="327"/>
      <c r="N425" s="117"/>
      <c r="O425" s="320"/>
      <c r="P425" s="164"/>
      <c r="Q425" s="188"/>
      <c r="R425" s="188"/>
      <c r="S425" s="20"/>
      <c r="T425" s="20"/>
      <c r="U425" s="20"/>
      <c r="V425" s="20"/>
    </row>
    <row r="426">
      <c r="A426" s="320"/>
      <c r="B426" s="164"/>
      <c r="C426" s="320"/>
      <c r="D426" s="117"/>
      <c r="E426" s="320"/>
      <c r="F426" s="164"/>
      <c r="G426" s="320"/>
      <c r="H426" s="164"/>
      <c r="I426" s="327"/>
      <c r="J426" s="117"/>
      <c r="K426" s="327"/>
      <c r="L426" s="117"/>
      <c r="M426" s="327"/>
      <c r="N426" s="117"/>
      <c r="O426" s="320"/>
      <c r="P426" s="164"/>
      <c r="Q426" s="188"/>
      <c r="R426" s="188"/>
      <c r="S426" s="20"/>
      <c r="T426" s="20"/>
      <c r="U426" s="20"/>
      <c r="V426" s="20"/>
    </row>
    <row r="427">
      <c r="A427" s="320"/>
      <c r="B427" s="164"/>
      <c r="C427" s="320"/>
      <c r="D427" s="117"/>
      <c r="E427" s="320"/>
      <c r="F427" s="164"/>
      <c r="G427" s="320"/>
      <c r="H427" s="164"/>
      <c r="I427" s="327"/>
      <c r="J427" s="117"/>
      <c r="K427" s="327"/>
      <c r="L427" s="117"/>
      <c r="M427" s="327"/>
      <c r="N427" s="117"/>
      <c r="O427" s="320"/>
      <c r="P427" s="164"/>
      <c r="Q427" s="188"/>
      <c r="R427" s="188"/>
      <c r="S427" s="20"/>
      <c r="T427" s="20"/>
      <c r="U427" s="20"/>
      <c r="V427" s="20"/>
    </row>
    <row r="428">
      <c r="A428" s="320"/>
      <c r="B428" s="164"/>
      <c r="C428" s="320"/>
      <c r="D428" s="117"/>
      <c r="E428" s="320"/>
      <c r="F428" s="164"/>
      <c r="G428" s="320"/>
      <c r="H428" s="164"/>
      <c r="I428" s="327"/>
      <c r="J428" s="117"/>
      <c r="K428" s="327"/>
      <c r="L428" s="117"/>
      <c r="M428" s="327"/>
      <c r="N428" s="117"/>
      <c r="O428" s="320"/>
      <c r="P428" s="164"/>
      <c r="Q428" s="188"/>
      <c r="R428" s="188"/>
      <c r="S428" s="20"/>
      <c r="T428" s="20"/>
      <c r="U428" s="20"/>
      <c r="V428" s="20"/>
    </row>
    <row r="429">
      <c r="A429" s="320"/>
      <c r="B429" s="164"/>
      <c r="C429" s="320"/>
      <c r="D429" s="117"/>
      <c r="E429" s="320"/>
      <c r="F429" s="164"/>
      <c r="G429" s="320"/>
      <c r="H429" s="164"/>
      <c r="I429" s="327"/>
      <c r="J429" s="117"/>
      <c r="K429" s="327"/>
      <c r="L429" s="117"/>
      <c r="M429" s="327"/>
      <c r="N429" s="117"/>
      <c r="O429" s="320"/>
      <c r="P429" s="164"/>
      <c r="Q429" s="188"/>
      <c r="R429" s="188"/>
      <c r="S429" s="20"/>
      <c r="T429" s="20"/>
      <c r="U429" s="20"/>
      <c r="V429" s="20"/>
    </row>
    <row r="430">
      <c r="A430" s="320"/>
      <c r="B430" s="164"/>
      <c r="C430" s="320"/>
      <c r="D430" s="117"/>
      <c r="E430" s="320"/>
      <c r="F430" s="164"/>
      <c r="G430" s="320"/>
      <c r="H430" s="164"/>
      <c r="I430" s="327"/>
      <c r="J430" s="117"/>
      <c r="K430" s="327"/>
      <c r="L430" s="117"/>
      <c r="M430" s="327"/>
      <c r="N430" s="117"/>
      <c r="O430" s="320"/>
      <c r="P430" s="164"/>
      <c r="Q430" s="188"/>
      <c r="R430" s="188"/>
      <c r="S430" s="20"/>
      <c r="T430" s="20"/>
      <c r="U430" s="20"/>
      <c r="V430" s="20"/>
    </row>
    <row r="431">
      <c r="A431" s="320"/>
      <c r="B431" s="164"/>
      <c r="C431" s="320"/>
      <c r="D431" s="117"/>
      <c r="E431" s="320"/>
      <c r="F431" s="164"/>
      <c r="G431" s="320"/>
      <c r="H431" s="164"/>
      <c r="I431" s="327"/>
      <c r="J431" s="117"/>
      <c r="K431" s="327"/>
      <c r="L431" s="117"/>
      <c r="M431" s="327"/>
      <c r="N431" s="117"/>
      <c r="O431" s="320"/>
      <c r="P431" s="164"/>
      <c r="Q431" s="188"/>
      <c r="R431" s="188"/>
      <c r="S431" s="20"/>
      <c r="T431" s="20"/>
      <c r="U431" s="20"/>
      <c r="V431" s="20"/>
    </row>
    <row r="432">
      <c r="A432" s="320"/>
      <c r="B432" s="164"/>
      <c r="C432" s="320"/>
      <c r="D432" s="117"/>
      <c r="E432" s="320"/>
      <c r="F432" s="164"/>
      <c r="G432" s="320"/>
      <c r="H432" s="164"/>
      <c r="I432" s="327"/>
      <c r="J432" s="117"/>
      <c r="K432" s="327"/>
      <c r="L432" s="117"/>
      <c r="M432" s="327"/>
      <c r="N432" s="117"/>
      <c r="O432" s="320"/>
      <c r="P432" s="164"/>
      <c r="Q432" s="188"/>
      <c r="R432" s="188"/>
      <c r="S432" s="20"/>
      <c r="T432" s="20"/>
      <c r="U432" s="20"/>
      <c r="V432" s="20"/>
    </row>
    <row r="433">
      <c r="A433" s="320"/>
      <c r="B433" s="164"/>
      <c r="C433" s="320"/>
      <c r="D433" s="117"/>
      <c r="E433" s="320"/>
      <c r="F433" s="164"/>
      <c r="G433" s="320"/>
      <c r="H433" s="164"/>
      <c r="I433" s="327"/>
      <c r="J433" s="117"/>
      <c r="K433" s="327"/>
      <c r="L433" s="117"/>
      <c r="M433" s="327"/>
      <c r="N433" s="117"/>
      <c r="O433" s="320"/>
      <c r="P433" s="164"/>
      <c r="Q433" s="188"/>
      <c r="R433" s="188"/>
      <c r="S433" s="20"/>
      <c r="T433" s="20"/>
      <c r="U433" s="20"/>
      <c r="V433" s="20"/>
    </row>
    <row r="434">
      <c r="A434" s="320"/>
      <c r="B434" s="164"/>
      <c r="C434" s="320"/>
      <c r="D434" s="117"/>
      <c r="E434" s="320"/>
      <c r="F434" s="164"/>
      <c r="G434" s="320"/>
      <c r="H434" s="164"/>
      <c r="I434" s="327"/>
      <c r="J434" s="117"/>
      <c r="K434" s="327"/>
      <c r="L434" s="117"/>
      <c r="M434" s="327"/>
      <c r="N434" s="117"/>
      <c r="O434" s="320"/>
      <c r="P434" s="164"/>
      <c r="Q434" s="188"/>
      <c r="R434" s="188"/>
      <c r="S434" s="20"/>
      <c r="T434" s="20"/>
      <c r="U434" s="20"/>
      <c r="V434" s="20"/>
    </row>
    <row r="435">
      <c r="A435" s="320"/>
      <c r="B435" s="164"/>
      <c r="C435" s="320"/>
      <c r="D435" s="117"/>
      <c r="E435" s="320"/>
      <c r="F435" s="164"/>
      <c r="G435" s="320"/>
      <c r="H435" s="164"/>
      <c r="I435" s="327"/>
      <c r="J435" s="117"/>
      <c r="K435" s="327"/>
      <c r="L435" s="117"/>
      <c r="M435" s="327"/>
      <c r="N435" s="117"/>
      <c r="O435" s="320"/>
      <c r="P435" s="164"/>
      <c r="Q435" s="188"/>
      <c r="R435" s="188"/>
      <c r="S435" s="20"/>
      <c r="T435" s="20"/>
      <c r="U435" s="20"/>
      <c r="V435" s="20"/>
    </row>
    <row r="436">
      <c r="A436" s="320"/>
      <c r="B436" s="164"/>
      <c r="C436" s="320"/>
      <c r="D436" s="117"/>
      <c r="E436" s="320"/>
      <c r="F436" s="164"/>
      <c r="G436" s="320"/>
      <c r="H436" s="164"/>
      <c r="I436" s="327"/>
      <c r="J436" s="117"/>
      <c r="K436" s="327"/>
      <c r="L436" s="117"/>
      <c r="M436" s="327"/>
      <c r="N436" s="117"/>
      <c r="O436" s="320"/>
      <c r="P436" s="164"/>
      <c r="Q436" s="188"/>
      <c r="R436" s="188"/>
      <c r="S436" s="20"/>
      <c r="T436" s="20"/>
      <c r="U436" s="20"/>
      <c r="V436" s="20"/>
    </row>
    <row r="437">
      <c r="A437" s="320"/>
      <c r="B437" s="164"/>
      <c r="C437" s="320"/>
      <c r="D437" s="117"/>
      <c r="E437" s="320"/>
      <c r="F437" s="164"/>
      <c r="G437" s="320"/>
      <c r="H437" s="164"/>
      <c r="I437" s="327"/>
      <c r="J437" s="117"/>
      <c r="K437" s="327"/>
      <c r="L437" s="117"/>
      <c r="M437" s="327"/>
      <c r="N437" s="117"/>
      <c r="O437" s="320"/>
      <c r="P437" s="164"/>
      <c r="Q437" s="188"/>
      <c r="R437" s="188"/>
      <c r="S437" s="20"/>
      <c r="T437" s="20"/>
      <c r="U437" s="20"/>
      <c r="V437" s="20"/>
    </row>
    <row r="438">
      <c r="A438" s="320"/>
      <c r="B438" s="164"/>
      <c r="C438" s="320"/>
      <c r="D438" s="117"/>
      <c r="E438" s="320"/>
      <c r="F438" s="164"/>
      <c r="G438" s="320"/>
      <c r="H438" s="164"/>
      <c r="I438" s="327"/>
      <c r="J438" s="117"/>
      <c r="K438" s="327"/>
      <c r="L438" s="117"/>
      <c r="M438" s="327"/>
      <c r="N438" s="117"/>
      <c r="O438" s="320"/>
      <c r="P438" s="164"/>
      <c r="Q438" s="188"/>
      <c r="R438" s="188"/>
      <c r="S438" s="20"/>
      <c r="T438" s="20"/>
      <c r="U438" s="20"/>
      <c r="V438" s="20"/>
    </row>
    <row r="439">
      <c r="A439" s="320"/>
      <c r="B439" s="164"/>
      <c r="C439" s="320"/>
      <c r="D439" s="117"/>
      <c r="E439" s="320"/>
      <c r="F439" s="164"/>
      <c r="G439" s="320"/>
      <c r="H439" s="164"/>
      <c r="I439" s="327"/>
      <c r="J439" s="117"/>
      <c r="K439" s="327"/>
      <c r="L439" s="117"/>
      <c r="M439" s="327"/>
      <c r="N439" s="117"/>
      <c r="O439" s="320"/>
      <c r="P439" s="164"/>
      <c r="Q439" s="188"/>
      <c r="R439" s="188"/>
      <c r="S439" s="20"/>
      <c r="T439" s="20"/>
      <c r="U439" s="20"/>
      <c r="V439" s="20"/>
    </row>
    <row r="440">
      <c r="A440" s="320"/>
      <c r="B440" s="164"/>
      <c r="C440" s="320"/>
      <c r="D440" s="117"/>
      <c r="E440" s="320"/>
      <c r="F440" s="164"/>
      <c r="G440" s="320"/>
      <c r="H440" s="164"/>
      <c r="I440" s="327"/>
      <c r="J440" s="117"/>
      <c r="K440" s="327"/>
      <c r="L440" s="117"/>
      <c r="M440" s="327"/>
      <c r="N440" s="117"/>
      <c r="O440" s="320"/>
      <c r="P440" s="164"/>
      <c r="Q440" s="188"/>
      <c r="R440" s="188"/>
      <c r="S440" s="20"/>
      <c r="T440" s="20"/>
      <c r="U440" s="20"/>
      <c r="V440" s="20"/>
    </row>
    <row r="441">
      <c r="A441" s="320"/>
      <c r="B441" s="164"/>
      <c r="C441" s="320"/>
      <c r="D441" s="117"/>
      <c r="E441" s="320"/>
      <c r="F441" s="164"/>
      <c r="G441" s="320"/>
      <c r="H441" s="164"/>
      <c r="I441" s="327"/>
      <c r="J441" s="117"/>
      <c r="K441" s="327"/>
      <c r="L441" s="117"/>
      <c r="M441" s="327"/>
      <c r="N441" s="117"/>
      <c r="O441" s="320"/>
      <c r="P441" s="164"/>
      <c r="Q441" s="188"/>
      <c r="R441" s="188"/>
      <c r="S441" s="20"/>
      <c r="T441" s="20"/>
      <c r="U441" s="20"/>
      <c r="V441" s="20"/>
    </row>
    <row r="442">
      <c r="A442" s="320"/>
      <c r="B442" s="164"/>
      <c r="C442" s="320"/>
      <c r="D442" s="117"/>
      <c r="E442" s="320"/>
      <c r="F442" s="164"/>
      <c r="G442" s="320"/>
      <c r="H442" s="164"/>
      <c r="I442" s="327"/>
      <c r="J442" s="117"/>
      <c r="K442" s="327"/>
      <c r="L442" s="117"/>
      <c r="M442" s="327"/>
      <c r="N442" s="117"/>
      <c r="O442" s="320"/>
      <c r="P442" s="164"/>
      <c r="Q442" s="188"/>
      <c r="R442" s="188"/>
      <c r="S442" s="20"/>
      <c r="T442" s="20"/>
      <c r="U442" s="20"/>
      <c r="V442" s="20"/>
    </row>
    <row r="443">
      <c r="A443" s="320"/>
      <c r="B443" s="164"/>
      <c r="C443" s="320"/>
      <c r="D443" s="117"/>
      <c r="E443" s="320"/>
      <c r="F443" s="164"/>
      <c r="G443" s="320"/>
      <c r="H443" s="164"/>
      <c r="I443" s="327"/>
      <c r="J443" s="117"/>
      <c r="K443" s="327"/>
      <c r="L443" s="117"/>
      <c r="M443" s="327"/>
      <c r="N443" s="117"/>
      <c r="O443" s="320"/>
      <c r="P443" s="164"/>
      <c r="Q443" s="188"/>
      <c r="R443" s="188"/>
      <c r="S443" s="20"/>
      <c r="T443" s="20"/>
      <c r="U443" s="20"/>
      <c r="V443" s="20"/>
    </row>
    <row r="444">
      <c r="A444" s="320"/>
      <c r="B444" s="164"/>
      <c r="C444" s="320"/>
      <c r="D444" s="117"/>
      <c r="E444" s="320"/>
      <c r="F444" s="164"/>
      <c r="G444" s="320"/>
      <c r="H444" s="164"/>
      <c r="I444" s="327"/>
      <c r="J444" s="117"/>
      <c r="K444" s="327"/>
      <c r="L444" s="117"/>
      <c r="M444" s="327"/>
      <c r="N444" s="117"/>
      <c r="O444" s="320"/>
      <c r="P444" s="164"/>
      <c r="Q444" s="188"/>
      <c r="R444" s="188"/>
      <c r="S444" s="20"/>
      <c r="T444" s="20"/>
      <c r="U444" s="20"/>
      <c r="V444" s="20"/>
    </row>
    <row r="445">
      <c r="A445" s="320"/>
      <c r="B445" s="164"/>
      <c r="C445" s="320"/>
      <c r="D445" s="117"/>
      <c r="E445" s="320"/>
      <c r="F445" s="164"/>
      <c r="G445" s="320"/>
      <c r="H445" s="164"/>
      <c r="I445" s="327"/>
      <c r="J445" s="117"/>
      <c r="K445" s="327"/>
      <c r="L445" s="117"/>
      <c r="M445" s="327"/>
      <c r="N445" s="117"/>
      <c r="O445" s="320"/>
      <c r="P445" s="164"/>
      <c r="Q445" s="188"/>
      <c r="R445" s="188"/>
      <c r="S445" s="20"/>
      <c r="T445" s="20"/>
      <c r="U445" s="20"/>
      <c r="V445" s="20"/>
    </row>
    <row r="446">
      <c r="A446" s="320"/>
      <c r="B446" s="164"/>
      <c r="C446" s="320"/>
      <c r="D446" s="117"/>
      <c r="E446" s="320"/>
      <c r="F446" s="164"/>
      <c r="G446" s="320"/>
      <c r="H446" s="164"/>
      <c r="I446" s="327"/>
      <c r="J446" s="117"/>
      <c r="K446" s="327"/>
      <c r="L446" s="117"/>
      <c r="M446" s="327"/>
      <c r="N446" s="117"/>
      <c r="O446" s="320"/>
      <c r="P446" s="164"/>
      <c r="Q446" s="188"/>
      <c r="R446" s="188"/>
      <c r="S446" s="20"/>
      <c r="T446" s="20"/>
      <c r="U446" s="20"/>
      <c r="V446" s="20"/>
    </row>
    <row r="447">
      <c r="A447" s="320"/>
      <c r="B447" s="164"/>
      <c r="C447" s="320"/>
      <c r="D447" s="117"/>
      <c r="E447" s="320"/>
      <c r="F447" s="164"/>
      <c r="G447" s="320"/>
      <c r="H447" s="164"/>
      <c r="I447" s="327"/>
      <c r="J447" s="117"/>
      <c r="K447" s="327"/>
      <c r="L447" s="117"/>
      <c r="M447" s="327"/>
      <c r="N447" s="117"/>
      <c r="O447" s="320"/>
      <c r="P447" s="164"/>
      <c r="Q447" s="188"/>
      <c r="R447" s="188"/>
      <c r="S447" s="20"/>
      <c r="T447" s="20"/>
      <c r="U447" s="20"/>
      <c r="V447" s="20"/>
    </row>
    <row r="448">
      <c r="A448" s="320"/>
      <c r="B448" s="164"/>
      <c r="C448" s="320"/>
      <c r="D448" s="117"/>
      <c r="E448" s="320"/>
      <c r="F448" s="164"/>
      <c r="G448" s="320"/>
      <c r="H448" s="164"/>
      <c r="I448" s="327"/>
      <c r="J448" s="117"/>
      <c r="K448" s="327"/>
      <c r="L448" s="117"/>
      <c r="M448" s="327"/>
      <c r="N448" s="117"/>
      <c r="O448" s="320"/>
      <c r="P448" s="164"/>
      <c r="Q448" s="188"/>
      <c r="R448" s="188"/>
      <c r="S448" s="20"/>
      <c r="T448" s="20"/>
      <c r="U448" s="20"/>
      <c r="V448" s="20"/>
    </row>
    <row r="449">
      <c r="A449" s="320"/>
      <c r="B449" s="164"/>
      <c r="C449" s="320"/>
      <c r="D449" s="117"/>
      <c r="E449" s="320"/>
      <c r="F449" s="164"/>
      <c r="G449" s="320"/>
      <c r="H449" s="164"/>
      <c r="I449" s="327"/>
      <c r="J449" s="117"/>
      <c r="K449" s="327"/>
      <c r="L449" s="117"/>
      <c r="M449" s="327"/>
      <c r="N449" s="117"/>
      <c r="O449" s="320"/>
      <c r="P449" s="164"/>
      <c r="Q449" s="188"/>
      <c r="R449" s="188"/>
      <c r="S449" s="20"/>
      <c r="T449" s="20"/>
      <c r="U449" s="20"/>
      <c r="V449" s="20"/>
    </row>
    <row r="450">
      <c r="A450" s="320"/>
      <c r="B450" s="164"/>
      <c r="C450" s="320"/>
      <c r="D450" s="117"/>
      <c r="E450" s="320"/>
      <c r="F450" s="164"/>
      <c r="G450" s="320"/>
      <c r="H450" s="164"/>
      <c r="I450" s="327"/>
      <c r="J450" s="117"/>
      <c r="K450" s="327"/>
      <c r="L450" s="117"/>
      <c r="M450" s="327"/>
      <c r="N450" s="117"/>
      <c r="O450" s="320"/>
      <c r="P450" s="164"/>
      <c r="Q450" s="188"/>
      <c r="R450" s="188"/>
      <c r="S450" s="20"/>
      <c r="T450" s="20"/>
      <c r="U450" s="20"/>
      <c r="V450" s="20"/>
    </row>
    <row r="451">
      <c r="A451" s="320"/>
      <c r="B451" s="164"/>
      <c r="C451" s="320"/>
      <c r="D451" s="117"/>
      <c r="E451" s="320"/>
      <c r="F451" s="164"/>
      <c r="G451" s="320"/>
      <c r="H451" s="164"/>
      <c r="I451" s="327"/>
      <c r="J451" s="117"/>
      <c r="K451" s="327"/>
      <c r="L451" s="117"/>
      <c r="M451" s="327"/>
      <c r="N451" s="117"/>
      <c r="O451" s="320"/>
      <c r="P451" s="164"/>
      <c r="Q451" s="188"/>
      <c r="R451" s="188"/>
      <c r="S451" s="20"/>
      <c r="T451" s="20"/>
      <c r="U451" s="20"/>
      <c r="V451" s="20"/>
    </row>
    <row r="452">
      <c r="A452" s="320"/>
      <c r="B452" s="164"/>
      <c r="C452" s="320"/>
      <c r="D452" s="117"/>
      <c r="E452" s="320"/>
      <c r="F452" s="164"/>
      <c r="G452" s="320"/>
      <c r="H452" s="164"/>
      <c r="I452" s="327"/>
      <c r="J452" s="117"/>
      <c r="K452" s="327"/>
      <c r="L452" s="117"/>
      <c r="M452" s="327"/>
      <c r="N452" s="117"/>
      <c r="O452" s="320"/>
      <c r="P452" s="164"/>
      <c r="Q452" s="188"/>
      <c r="R452" s="188"/>
      <c r="S452" s="20"/>
      <c r="T452" s="20"/>
      <c r="U452" s="20"/>
      <c r="V452" s="20"/>
    </row>
    <row r="453">
      <c r="A453" s="320"/>
      <c r="B453" s="164"/>
      <c r="C453" s="320"/>
      <c r="D453" s="117"/>
      <c r="E453" s="320"/>
      <c r="F453" s="164"/>
      <c r="G453" s="320"/>
      <c r="H453" s="164"/>
      <c r="I453" s="327"/>
      <c r="J453" s="117"/>
      <c r="K453" s="327"/>
      <c r="L453" s="117"/>
      <c r="M453" s="327"/>
      <c r="N453" s="117"/>
      <c r="O453" s="320"/>
      <c r="P453" s="164"/>
      <c r="Q453" s="188"/>
      <c r="R453" s="188"/>
      <c r="S453" s="20"/>
      <c r="T453" s="20"/>
      <c r="U453" s="20"/>
      <c r="V453" s="20"/>
    </row>
    <row r="454">
      <c r="A454" s="320"/>
      <c r="B454" s="164"/>
      <c r="C454" s="320"/>
      <c r="D454" s="117"/>
      <c r="E454" s="320"/>
      <c r="F454" s="164"/>
      <c r="G454" s="320"/>
      <c r="H454" s="164"/>
      <c r="I454" s="327"/>
      <c r="J454" s="117"/>
      <c r="K454" s="327"/>
      <c r="L454" s="117"/>
      <c r="M454" s="327"/>
      <c r="N454" s="117"/>
      <c r="O454" s="320"/>
      <c r="P454" s="164"/>
      <c r="Q454" s="188"/>
      <c r="R454" s="188"/>
      <c r="S454" s="20"/>
      <c r="T454" s="20"/>
      <c r="U454" s="20"/>
      <c r="V454" s="20"/>
    </row>
    <row r="455">
      <c r="A455" s="320"/>
      <c r="B455" s="164"/>
      <c r="C455" s="320"/>
      <c r="D455" s="117"/>
      <c r="E455" s="320"/>
      <c r="F455" s="164"/>
      <c r="G455" s="320"/>
      <c r="H455" s="164"/>
      <c r="I455" s="327"/>
      <c r="J455" s="117"/>
      <c r="K455" s="327"/>
      <c r="L455" s="117"/>
      <c r="M455" s="327"/>
      <c r="N455" s="117"/>
      <c r="O455" s="320"/>
      <c r="P455" s="164"/>
      <c r="Q455" s="188"/>
      <c r="R455" s="188"/>
      <c r="S455" s="20"/>
      <c r="T455" s="20"/>
      <c r="U455" s="20"/>
      <c r="V455" s="20"/>
    </row>
    <row r="456">
      <c r="A456" s="320"/>
      <c r="B456" s="164"/>
      <c r="C456" s="320"/>
      <c r="D456" s="117"/>
      <c r="E456" s="320"/>
      <c r="F456" s="164"/>
      <c r="G456" s="320"/>
      <c r="H456" s="164"/>
      <c r="I456" s="327"/>
      <c r="J456" s="117"/>
      <c r="K456" s="327"/>
      <c r="L456" s="117"/>
      <c r="M456" s="327"/>
      <c r="N456" s="117"/>
      <c r="O456" s="320"/>
      <c r="P456" s="164"/>
      <c r="Q456" s="188"/>
      <c r="R456" s="188"/>
      <c r="S456" s="20"/>
      <c r="T456" s="20"/>
      <c r="U456" s="20"/>
      <c r="V456" s="20"/>
    </row>
    <row r="457">
      <c r="A457" s="320"/>
      <c r="B457" s="164"/>
      <c r="C457" s="320"/>
      <c r="D457" s="117"/>
      <c r="E457" s="320"/>
      <c r="F457" s="164"/>
      <c r="G457" s="320"/>
      <c r="H457" s="164"/>
      <c r="I457" s="327"/>
      <c r="J457" s="117"/>
      <c r="K457" s="327"/>
      <c r="L457" s="117"/>
      <c r="M457" s="327"/>
      <c r="N457" s="117"/>
      <c r="O457" s="320"/>
      <c r="P457" s="164"/>
      <c r="Q457" s="188"/>
      <c r="R457" s="188"/>
      <c r="S457" s="20"/>
      <c r="T457" s="20"/>
      <c r="U457" s="20"/>
      <c r="V457" s="20"/>
    </row>
    <row r="458">
      <c r="A458" s="320"/>
      <c r="B458" s="164"/>
      <c r="C458" s="320"/>
      <c r="D458" s="117"/>
      <c r="E458" s="320"/>
      <c r="F458" s="164"/>
      <c r="G458" s="320"/>
      <c r="H458" s="164"/>
      <c r="I458" s="327"/>
      <c r="J458" s="117"/>
      <c r="K458" s="327"/>
      <c r="L458" s="117"/>
      <c r="M458" s="327"/>
      <c r="N458" s="117"/>
      <c r="O458" s="320"/>
      <c r="P458" s="164"/>
      <c r="Q458" s="188"/>
      <c r="R458" s="188"/>
      <c r="S458" s="20"/>
      <c r="T458" s="20"/>
      <c r="U458" s="20"/>
      <c r="V458" s="20"/>
    </row>
    <row r="459">
      <c r="A459" s="320"/>
      <c r="B459" s="164"/>
      <c r="C459" s="320"/>
      <c r="D459" s="117"/>
      <c r="E459" s="320"/>
      <c r="F459" s="164"/>
      <c r="G459" s="320"/>
      <c r="H459" s="164"/>
      <c r="I459" s="327"/>
      <c r="J459" s="117"/>
      <c r="K459" s="327"/>
      <c r="L459" s="117"/>
      <c r="M459" s="327"/>
      <c r="N459" s="117"/>
      <c r="O459" s="320"/>
      <c r="P459" s="164"/>
      <c r="Q459" s="188"/>
      <c r="R459" s="188"/>
      <c r="S459" s="20"/>
      <c r="T459" s="20"/>
      <c r="U459" s="20"/>
      <c r="V459" s="20"/>
    </row>
    <row r="460">
      <c r="A460" s="320"/>
      <c r="B460" s="164"/>
      <c r="C460" s="320"/>
      <c r="D460" s="117"/>
      <c r="E460" s="320"/>
      <c r="F460" s="164"/>
      <c r="G460" s="320"/>
      <c r="H460" s="164"/>
      <c r="I460" s="327"/>
      <c r="J460" s="117"/>
      <c r="K460" s="327"/>
      <c r="L460" s="117"/>
      <c r="M460" s="327"/>
      <c r="N460" s="117"/>
      <c r="O460" s="320"/>
      <c r="P460" s="164"/>
      <c r="Q460" s="188"/>
      <c r="R460" s="188"/>
      <c r="S460" s="20"/>
      <c r="T460" s="20"/>
      <c r="U460" s="20"/>
      <c r="V460" s="20"/>
    </row>
    <row r="461">
      <c r="A461" s="320"/>
      <c r="B461" s="164"/>
      <c r="C461" s="320"/>
      <c r="D461" s="117"/>
      <c r="E461" s="320"/>
      <c r="F461" s="164"/>
      <c r="G461" s="320"/>
      <c r="H461" s="164"/>
      <c r="I461" s="327"/>
      <c r="J461" s="117"/>
      <c r="K461" s="327"/>
      <c r="L461" s="117"/>
      <c r="M461" s="327"/>
      <c r="N461" s="117"/>
      <c r="O461" s="320"/>
      <c r="P461" s="164"/>
      <c r="Q461" s="188"/>
      <c r="R461" s="188"/>
      <c r="S461" s="20"/>
      <c r="T461" s="20"/>
      <c r="U461" s="20"/>
      <c r="V461" s="20"/>
    </row>
    <row r="462">
      <c r="A462" s="320"/>
      <c r="B462" s="164"/>
      <c r="C462" s="320"/>
      <c r="D462" s="117"/>
      <c r="E462" s="320"/>
      <c r="F462" s="164"/>
      <c r="G462" s="320"/>
      <c r="H462" s="164"/>
      <c r="I462" s="327"/>
      <c r="J462" s="117"/>
      <c r="K462" s="327"/>
      <c r="L462" s="117"/>
      <c r="M462" s="327"/>
      <c r="N462" s="117"/>
      <c r="O462" s="320"/>
      <c r="P462" s="164"/>
      <c r="Q462" s="188"/>
      <c r="R462" s="188"/>
      <c r="S462" s="20"/>
      <c r="T462" s="20"/>
      <c r="U462" s="20"/>
      <c r="V462" s="20"/>
    </row>
    <row r="463">
      <c r="A463" s="320"/>
      <c r="B463" s="164"/>
      <c r="C463" s="320"/>
      <c r="D463" s="117"/>
      <c r="E463" s="320"/>
      <c r="F463" s="164"/>
      <c r="G463" s="320"/>
      <c r="H463" s="164"/>
      <c r="I463" s="327"/>
      <c r="J463" s="117"/>
      <c r="K463" s="327"/>
      <c r="L463" s="117"/>
      <c r="M463" s="327"/>
      <c r="N463" s="117"/>
      <c r="O463" s="320"/>
      <c r="P463" s="164"/>
      <c r="Q463" s="188"/>
      <c r="R463" s="188"/>
      <c r="S463" s="20"/>
      <c r="T463" s="20"/>
      <c r="U463" s="20"/>
      <c r="V463" s="20"/>
    </row>
    <row r="464">
      <c r="A464" s="320"/>
      <c r="B464" s="164"/>
      <c r="C464" s="320"/>
      <c r="D464" s="117"/>
      <c r="E464" s="320"/>
      <c r="F464" s="164"/>
      <c r="G464" s="320"/>
      <c r="H464" s="164"/>
      <c r="I464" s="327"/>
      <c r="J464" s="117"/>
      <c r="K464" s="327"/>
      <c r="L464" s="117"/>
      <c r="M464" s="327"/>
      <c r="N464" s="117"/>
      <c r="O464" s="320"/>
      <c r="P464" s="164"/>
      <c r="Q464" s="188"/>
      <c r="R464" s="188"/>
      <c r="S464" s="20"/>
      <c r="T464" s="20"/>
      <c r="U464" s="20"/>
      <c r="V464" s="20"/>
    </row>
    <row r="465">
      <c r="A465" s="320"/>
      <c r="B465" s="164"/>
      <c r="C465" s="320"/>
      <c r="D465" s="117"/>
      <c r="E465" s="320"/>
      <c r="F465" s="164"/>
      <c r="G465" s="320"/>
      <c r="H465" s="164"/>
      <c r="I465" s="327"/>
      <c r="J465" s="117"/>
      <c r="K465" s="327"/>
      <c r="L465" s="117"/>
      <c r="M465" s="327"/>
      <c r="N465" s="117"/>
      <c r="O465" s="320"/>
      <c r="P465" s="164"/>
      <c r="Q465" s="188"/>
      <c r="R465" s="188"/>
      <c r="S465" s="20"/>
      <c r="T465" s="20"/>
      <c r="U465" s="20"/>
      <c r="V465" s="20"/>
    </row>
    <row r="466">
      <c r="A466" s="320"/>
      <c r="B466" s="164"/>
      <c r="C466" s="320"/>
      <c r="D466" s="117"/>
      <c r="E466" s="320"/>
      <c r="F466" s="164"/>
      <c r="G466" s="320"/>
      <c r="H466" s="164"/>
      <c r="I466" s="327"/>
      <c r="J466" s="117"/>
      <c r="K466" s="327"/>
      <c r="L466" s="117"/>
      <c r="M466" s="327"/>
      <c r="N466" s="117"/>
      <c r="O466" s="320"/>
      <c r="P466" s="164"/>
      <c r="Q466" s="188"/>
      <c r="R466" s="188"/>
      <c r="S466" s="20"/>
      <c r="T466" s="20"/>
      <c r="U466" s="20"/>
      <c r="V466" s="20"/>
    </row>
    <row r="467">
      <c r="A467" s="320"/>
      <c r="B467" s="164"/>
      <c r="C467" s="320"/>
      <c r="D467" s="117"/>
      <c r="E467" s="320"/>
      <c r="F467" s="164"/>
      <c r="G467" s="320"/>
      <c r="H467" s="164"/>
      <c r="I467" s="327"/>
      <c r="J467" s="117"/>
      <c r="K467" s="327"/>
      <c r="L467" s="117"/>
      <c r="M467" s="327"/>
      <c r="N467" s="117"/>
      <c r="O467" s="320"/>
      <c r="P467" s="164"/>
      <c r="Q467" s="188"/>
      <c r="R467" s="188"/>
      <c r="S467" s="20"/>
      <c r="T467" s="20"/>
      <c r="U467" s="20"/>
      <c r="V467" s="20"/>
    </row>
    <row r="468">
      <c r="A468" s="320"/>
      <c r="B468" s="164"/>
      <c r="C468" s="320"/>
      <c r="D468" s="117"/>
      <c r="E468" s="320"/>
      <c r="F468" s="164"/>
      <c r="G468" s="320"/>
      <c r="H468" s="164"/>
      <c r="I468" s="327"/>
      <c r="J468" s="117"/>
      <c r="K468" s="327"/>
      <c r="L468" s="117"/>
      <c r="M468" s="327"/>
      <c r="N468" s="117"/>
      <c r="O468" s="320"/>
      <c r="P468" s="164"/>
      <c r="Q468" s="188"/>
      <c r="R468" s="188"/>
      <c r="S468" s="20"/>
      <c r="T468" s="20"/>
      <c r="U468" s="20"/>
      <c r="V468" s="20"/>
    </row>
    <row r="469">
      <c r="A469" s="320"/>
      <c r="B469" s="164"/>
      <c r="C469" s="320"/>
      <c r="D469" s="117"/>
      <c r="E469" s="320"/>
      <c r="F469" s="164"/>
      <c r="G469" s="320"/>
      <c r="H469" s="164"/>
      <c r="I469" s="327"/>
      <c r="J469" s="117"/>
      <c r="K469" s="327"/>
      <c r="L469" s="117"/>
      <c r="M469" s="327"/>
      <c r="N469" s="117"/>
      <c r="O469" s="320"/>
      <c r="P469" s="164"/>
      <c r="Q469" s="188"/>
      <c r="R469" s="188"/>
      <c r="S469" s="20"/>
      <c r="T469" s="20"/>
      <c r="U469" s="20"/>
      <c r="V469" s="20"/>
    </row>
    <row r="470">
      <c r="A470" s="320"/>
      <c r="B470" s="164"/>
      <c r="C470" s="320"/>
      <c r="D470" s="117"/>
      <c r="E470" s="320"/>
      <c r="F470" s="164"/>
      <c r="G470" s="320"/>
      <c r="H470" s="164"/>
      <c r="I470" s="327"/>
      <c r="J470" s="117"/>
      <c r="K470" s="327"/>
      <c r="L470" s="117"/>
      <c r="M470" s="327"/>
      <c r="N470" s="117"/>
      <c r="O470" s="320"/>
      <c r="P470" s="164"/>
      <c r="Q470" s="188"/>
      <c r="R470" s="188"/>
      <c r="S470" s="20"/>
      <c r="T470" s="20"/>
      <c r="U470" s="20"/>
      <c r="V470" s="20"/>
    </row>
    <row r="471">
      <c r="A471" s="320"/>
      <c r="B471" s="164"/>
      <c r="C471" s="320"/>
      <c r="D471" s="117"/>
      <c r="E471" s="320"/>
      <c r="F471" s="164"/>
      <c r="G471" s="320"/>
      <c r="H471" s="164"/>
      <c r="I471" s="327"/>
      <c r="J471" s="117"/>
      <c r="K471" s="327"/>
      <c r="L471" s="117"/>
      <c r="M471" s="327"/>
      <c r="N471" s="117"/>
      <c r="O471" s="320"/>
      <c r="P471" s="164"/>
      <c r="Q471" s="188"/>
      <c r="R471" s="188"/>
      <c r="S471" s="20"/>
      <c r="T471" s="20"/>
      <c r="U471" s="20"/>
      <c r="V471" s="20"/>
    </row>
    <row r="472">
      <c r="A472" s="320"/>
      <c r="B472" s="164"/>
      <c r="C472" s="320"/>
      <c r="D472" s="117"/>
      <c r="E472" s="320"/>
      <c r="F472" s="164"/>
      <c r="G472" s="320"/>
      <c r="H472" s="164"/>
      <c r="I472" s="327"/>
      <c r="J472" s="117"/>
      <c r="K472" s="327"/>
      <c r="L472" s="117"/>
      <c r="M472" s="327"/>
      <c r="N472" s="117"/>
      <c r="O472" s="320"/>
      <c r="P472" s="164"/>
      <c r="Q472" s="188"/>
      <c r="R472" s="188"/>
      <c r="S472" s="20"/>
      <c r="T472" s="20"/>
      <c r="U472" s="20"/>
      <c r="V472" s="20"/>
    </row>
    <row r="473">
      <c r="A473" s="320"/>
      <c r="B473" s="164"/>
      <c r="C473" s="320"/>
      <c r="D473" s="117"/>
      <c r="E473" s="320"/>
      <c r="F473" s="164"/>
      <c r="G473" s="320"/>
      <c r="H473" s="164"/>
      <c r="I473" s="327"/>
      <c r="J473" s="117"/>
      <c r="K473" s="327"/>
      <c r="L473" s="117"/>
      <c r="M473" s="327"/>
      <c r="N473" s="117"/>
      <c r="O473" s="320"/>
      <c r="P473" s="164"/>
      <c r="Q473" s="188"/>
      <c r="R473" s="188"/>
      <c r="S473" s="20"/>
      <c r="T473" s="20"/>
      <c r="U473" s="20"/>
      <c r="V473" s="20"/>
    </row>
    <row r="474">
      <c r="A474" s="320"/>
      <c r="B474" s="164"/>
      <c r="C474" s="320"/>
      <c r="D474" s="117"/>
      <c r="E474" s="320"/>
      <c r="F474" s="164"/>
      <c r="G474" s="320"/>
      <c r="H474" s="164"/>
      <c r="I474" s="327"/>
      <c r="J474" s="117"/>
      <c r="K474" s="327"/>
      <c r="L474" s="117"/>
      <c r="M474" s="327"/>
      <c r="N474" s="117"/>
      <c r="O474" s="320"/>
      <c r="P474" s="164"/>
      <c r="Q474" s="188"/>
      <c r="R474" s="188"/>
      <c r="S474" s="20"/>
      <c r="T474" s="20"/>
      <c r="U474" s="20"/>
      <c r="V474" s="20"/>
    </row>
    <row r="475">
      <c r="A475" s="320"/>
      <c r="B475" s="164"/>
      <c r="C475" s="320"/>
      <c r="D475" s="117"/>
      <c r="E475" s="320"/>
      <c r="F475" s="164"/>
      <c r="G475" s="320"/>
      <c r="H475" s="164"/>
      <c r="I475" s="327"/>
      <c r="J475" s="117"/>
      <c r="K475" s="327"/>
      <c r="L475" s="117"/>
      <c r="M475" s="327"/>
      <c r="N475" s="117"/>
      <c r="O475" s="320"/>
      <c r="P475" s="164"/>
      <c r="Q475" s="188"/>
      <c r="R475" s="188"/>
      <c r="S475" s="20"/>
      <c r="T475" s="20"/>
      <c r="U475" s="20"/>
      <c r="V475" s="20"/>
    </row>
    <row r="476">
      <c r="A476" s="320"/>
      <c r="B476" s="164"/>
      <c r="C476" s="320"/>
      <c r="D476" s="117"/>
      <c r="E476" s="320"/>
      <c r="F476" s="164"/>
      <c r="G476" s="320"/>
      <c r="H476" s="164"/>
      <c r="I476" s="327"/>
      <c r="J476" s="117"/>
      <c r="K476" s="327"/>
      <c r="L476" s="117"/>
      <c r="M476" s="327"/>
      <c r="N476" s="117"/>
      <c r="O476" s="320"/>
      <c r="P476" s="164"/>
      <c r="Q476" s="188"/>
      <c r="R476" s="188"/>
      <c r="S476" s="20"/>
      <c r="T476" s="20"/>
      <c r="U476" s="20"/>
      <c r="V476" s="20"/>
    </row>
    <row r="477">
      <c r="A477" s="320"/>
      <c r="B477" s="164"/>
      <c r="C477" s="320"/>
      <c r="D477" s="117"/>
      <c r="E477" s="320"/>
      <c r="F477" s="164"/>
      <c r="G477" s="320"/>
      <c r="H477" s="164"/>
      <c r="I477" s="327"/>
      <c r="J477" s="117"/>
      <c r="K477" s="327"/>
      <c r="L477" s="117"/>
      <c r="M477" s="327"/>
      <c r="N477" s="117"/>
      <c r="O477" s="320"/>
      <c r="P477" s="164"/>
      <c r="Q477" s="188"/>
      <c r="R477" s="188"/>
      <c r="S477" s="20"/>
      <c r="T477" s="20"/>
      <c r="U477" s="20"/>
      <c r="V477" s="20"/>
    </row>
    <row r="478">
      <c r="A478" s="320"/>
      <c r="B478" s="164"/>
      <c r="C478" s="320"/>
      <c r="D478" s="117"/>
      <c r="E478" s="320"/>
      <c r="F478" s="164"/>
      <c r="G478" s="320"/>
      <c r="H478" s="164"/>
      <c r="I478" s="327"/>
      <c r="J478" s="117"/>
      <c r="K478" s="327"/>
      <c r="L478" s="117"/>
      <c r="M478" s="327"/>
      <c r="N478" s="117"/>
      <c r="O478" s="320"/>
      <c r="P478" s="164"/>
      <c r="Q478" s="188"/>
      <c r="R478" s="188"/>
      <c r="S478" s="20"/>
      <c r="T478" s="20"/>
      <c r="U478" s="20"/>
      <c r="V478" s="20"/>
    </row>
    <row r="479">
      <c r="A479" s="320"/>
      <c r="B479" s="164"/>
      <c r="C479" s="320"/>
      <c r="D479" s="117"/>
      <c r="E479" s="320"/>
      <c r="F479" s="164"/>
      <c r="G479" s="320"/>
      <c r="H479" s="164"/>
      <c r="I479" s="327"/>
      <c r="J479" s="117"/>
      <c r="K479" s="327"/>
      <c r="L479" s="117"/>
      <c r="M479" s="327"/>
      <c r="N479" s="117"/>
      <c r="O479" s="320"/>
      <c r="P479" s="164"/>
      <c r="Q479" s="188"/>
      <c r="R479" s="188"/>
      <c r="S479" s="20"/>
      <c r="T479" s="20"/>
      <c r="U479" s="20"/>
      <c r="V479" s="20"/>
    </row>
    <row r="480">
      <c r="A480" s="320"/>
      <c r="B480" s="164"/>
      <c r="C480" s="320"/>
      <c r="D480" s="117"/>
      <c r="E480" s="320"/>
      <c r="F480" s="164"/>
      <c r="G480" s="320"/>
      <c r="H480" s="164"/>
      <c r="I480" s="327"/>
      <c r="J480" s="117"/>
      <c r="K480" s="327"/>
      <c r="L480" s="117"/>
      <c r="M480" s="327"/>
      <c r="N480" s="117"/>
      <c r="O480" s="320"/>
      <c r="P480" s="164"/>
      <c r="Q480" s="188"/>
      <c r="R480" s="188"/>
      <c r="S480" s="20"/>
      <c r="T480" s="20"/>
      <c r="U480" s="20"/>
      <c r="V480" s="20"/>
    </row>
    <row r="481">
      <c r="A481" s="320"/>
      <c r="B481" s="164"/>
      <c r="C481" s="320"/>
      <c r="D481" s="117"/>
      <c r="E481" s="320"/>
      <c r="F481" s="164"/>
      <c r="G481" s="320"/>
      <c r="H481" s="164"/>
      <c r="I481" s="327"/>
      <c r="J481" s="117"/>
      <c r="K481" s="327"/>
      <c r="L481" s="117"/>
      <c r="M481" s="327"/>
      <c r="N481" s="117"/>
      <c r="O481" s="320"/>
      <c r="P481" s="164"/>
      <c r="Q481" s="188"/>
      <c r="R481" s="188"/>
      <c r="S481" s="20"/>
      <c r="T481" s="20"/>
      <c r="U481" s="20"/>
      <c r="V481" s="20"/>
    </row>
    <row r="482">
      <c r="A482" s="320"/>
      <c r="B482" s="164"/>
      <c r="C482" s="320"/>
      <c r="D482" s="117"/>
      <c r="E482" s="320"/>
      <c r="F482" s="164"/>
      <c r="G482" s="320"/>
      <c r="H482" s="164"/>
      <c r="I482" s="327"/>
      <c r="J482" s="117"/>
      <c r="K482" s="327"/>
      <c r="L482" s="117"/>
      <c r="M482" s="327"/>
      <c r="N482" s="117"/>
      <c r="O482" s="320"/>
      <c r="P482" s="164"/>
      <c r="Q482" s="188"/>
      <c r="R482" s="188"/>
      <c r="S482" s="20"/>
      <c r="T482" s="20"/>
      <c r="U482" s="20"/>
      <c r="V482" s="20"/>
    </row>
    <row r="483">
      <c r="A483" s="320"/>
      <c r="B483" s="164"/>
      <c r="C483" s="320"/>
      <c r="D483" s="117"/>
      <c r="E483" s="320"/>
      <c r="F483" s="164"/>
      <c r="G483" s="320"/>
      <c r="H483" s="164"/>
      <c r="I483" s="327"/>
      <c r="J483" s="117"/>
      <c r="K483" s="327"/>
      <c r="L483" s="117"/>
      <c r="M483" s="327"/>
      <c r="N483" s="117"/>
      <c r="O483" s="320"/>
      <c r="P483" s="164"/>
      <c r="Q483" s="188"/>
      <c r="R483" s="188"/>
      <c r="S483" s="20"/>
      <c r="T483" s="20"/>
      <c r="U483" s="20"/>
      <c r="V483" s="20"/>
    </row>
    <row r="484">
      <c r="A484" s="320"/>
      <c r="B484" s="164"/>
      <c r="C484" s="320"/>
      <c r="D484" s="117"/>
      <c r="E484" s="320"/>
      <c r="F484" s="164"/>
      <c r="G484" s="320"/>
      <c r="H484" s="164"/>
      <c r="I484" s="327"/>
      <c r="J484" s="117"/>
      <c r="K484" s="327"/>
      <c r="L484" s="117"/>
      <c r="M484" s="327"/>
      <c r="N484" s="117"/>
      <c r="O484" s="320"/>
      <c r="P484" s="164"/>
      <c r="Q484" s="188"/>
      <c r="R484" s="188"/>
      <c r="S484" s="20"/>
      <c r="T484" s="20"/>
      <c r="U484" s="20"/>
      <c r="V484" s="20"/>
    </row>
    <row r="485">
      <c r="A485" s="320"/>
      <c r="B485" s="164"/>
      <c r="C485" s="320"/>
      <c r="D485" s="117"/>
      <c r="E485" s="320"/>
      <c r="F485" s="164"/>
      <c r="G485" s="320"/>
      <c r="H485" s="164"/>
      <c r="I485" s="327"/>
      <c r="J485" s="117"/>
      <c r="K485" s="327"/>
      <c r="L485" s="117"/>
      <c r="M485" s="327"/>
      <c r="N485" s="117"/>
      <c r="O485" s="320"/>
      <c r="P485" s="164"/>
      <c r="Q485" s="188"/>
      <c r="R485" s="188"/>
      <c r="S485" s="20"/>
      <c r="T485" s="20"/>
      <c r="U485" s="20"/>
      <c r="V485" s="20"/>
    </row>
    <row r="486">
      <c r="A486" s="320"/>
      <c r="B486" s="164"/>
      <c r="C486" s="320"/>
      <c r="D486" s="117"/>
      <c r="E486" s="320"/>
      <c r="F486" s="164"/>
      <c r="G486" s="320"/>
      <c r="H486" s="164"/>
      <c r="I486" s="327"/>
      <c r="J486" s="117"/>
      <c r="K486" s="327"/>
      <c r="L486" s="117"/>
      <c r="M486" s="327"/>
      <c r="N486" s="117"/>
      <c r="O486" s="320"/>
      <c r="P486" s="164"/>
      <c r="Q486" s="188"/>
      <c r="R486" s="188"/>
      <c r="S486" s="20"/>
      <c r="T486" s="20"/>
      <c r="U486" s="20"/>
      <c r="V486" s="20"/>
    </row>
    <row r="487">
      <c r="A487" s="320"/>
      <c r="B487" s="164"/>
      <c r="C487" s="320"/>
      <c r="D487" s="117"/>
      <c r="E487" s="320"/>
      <c r="F487" s="164"/>
      <c r="G487" s="320"/>
      <c r="H487" s="164"/>
      <c r="I487" s="327"/>
      <c r="J487" s="117"/>
      <c r="K487" s="327"/>
      <c r="L487" s="117"/>
      <c r="M487" s="327"/>
      <c r="N487" s="117"/>
      <c r="O487" s="320"/>
      <c r="P487" s="164"/>
      <c r="Q487" s="188"/>
      <c r="R487" s="188"/>
      <c r="S487" s="20"/>
      <c r="T487" s="20"/>
      <c r="U487" s="20"/>
      <c r="V487" s="20"/>
    </row>
    <row r="488">
      <c r="A488" s="320"/>
      <c r="B488" s="164"/>
      <c r="C488" s="320"/>
      <c r="D488" s="117"/>
      <c r="E488" s="320"/>
      <c r="F488" s="164"/>
      <c r="G488" s="320"/>
      <c r="H488" s="164"/>
      <c r="I488" s="327"/>
      <c r="J488" s="117"/>
      <c r="K488" s="327"/>
      <c r="L488" s="117"/>
      <c r="M488" s="327"/>
      <c r="N488" s="117"/>
      <c r="O488" s="320"/>
      <c r="P488" s="164"/>
      <c r="Q488" s="188"/>
      <c r="R488" s="188"/>
      <c r="S488" s="20"/>
      <c r="T488" s="20"/>
      <c r="U488" s="20"/>
      <c r="V488" s="20"/>
    </row>
    <row r="489">
      <c r="A489" s="320"/>
      <c r="B489" s="164"/>
      <c r="C489" s="320"/>
      <c r="D489" s="117"/>
      <c r="E489" s="320"/>
      <c r="F489" s="164"/>
      <c r="G489" s="320"/>
      <c r="H489" s="164"/>
      <c r="I489" s="327"/>
      <c r="J489" s="117"/>
      <c r="K489" s="327"/>
      <c r="L489" s="117"/>
      <c r="M489" s="327"/>
      <c r="N489" s="117"/>
      <c r="O489" s="320"/>
      <c r="P489" s="164"/>
      <c r="Q489" s="188"/>
      <c r="R489" s="188"/>
      <c r="S489" s="20"/>
      <c r="T489" s="20"/>
      <c r="U489" s="20"/>
      <c r="V489" s="20"/>
    </row>
    <row r="490">
      <c r="A490" s="320"/>
      <c r="B490" s="164"/>
      <c r="C490" s="320"/>
      <c r="D490" s="117"/>
      <c r="E490" s="320"/>
      <c r="F490" s="164"/>
      <c r="G490" s="320"/>
      <c r="H490" s="164"/>
      <c r="I490" s="327"/>
      <c r="J490" s="117"/>
      <c r="K490" s="327"/>
      <c r="L490" s="117"/>
      <c r="M490" s="327"/>
      <c r="N490" s="117"/>
      <c r="O490" s="320"/>
      <c r="P490" s="164"/>
      <c r="Q490" s="188"/>
      <c r="R490" s="188"/>
      <c r="S490" s="20"/>
      <c r="T490" s="20"/>
      <c r="U490" s="20"/>
      <c r="V490" s="20"/>
    </row>
    <row r="491">
      <c r="A491" s="320"/>
      <c r="B491" s="164"/>
      <c r="C491" s="320"/>
      <c r="D491" s="117"/>
      <c r="E491" s="320"/>
      <c r="F491" s="164"/>
      <c r="G491" s="320"/>
      <c r="H491" s="164"/>
      <c r="I491" s="327"/>
      <c r="J491" s="117"/>
      <c r="K491" s="327"/>
      <c r="L491" s="117"/>
      <c r="M491" s="327"/>
      <c r="N491" s="117"/>
      <c r="O491" s="320"/>
      <c r="P491" s="164"/>
      <c r="Q491" s="188"/>
      <c r="R491" s="188"/>
      <c r="S491" s="20"/>
      <c r="T491" s="20"/>
      <c r="U491" s="20"/>
      <c r="V491" s="20"/>
    </row>
    <row r="492">
      <c r="A492" s="320"/>
      <c r="B492" s="164"/>
      <c r="C492" s="320"/>
      <c r="D492" s="117"/>
      <c r="E492" s="320"/>
      <c r="F492" s="164"/>
      <c r="G492" s="320"/>
      <c r="H492" s="164"/>
      <c r="I492" s="327"/>
      <c r="J492" s="117"/>
      <c r="K492" s="327"/>
      <c r="L492" s="117"/>
      <c r="M492" s="327"/>
      <c r="N492" s="117"/>
      <c r="O492" s="320"/>
      <c r="P492" s="164"/>
      <c r="Q492" s="188"/>
      <c r="R492" s="188"/>
      <c r="S492" s="20"/>
      <c r="T492" s="20"/>
      <c r="U492" s="20"/>
      <c r="V492" s="20"/>
    </row>
    <row r="493">
      <c r="A493" s="320"/>
      <c r="B493" s="164"/>
      <c r="C493" s="320"/>
      <c r="D493" s="117"/>
      <c r="E493" s="320"/>
      <c r="F493" s="164"/>
      <c r="G493" s="320"/>
      <c r="H493" s="164"/>
      <c r="I493" s="327"/>
      <c r="J493" s="117"/>
      <c r="K493" s="327"/>
      <c r="L493" s="117"/>
      <c r="M493" s="327"/>
      <c r="N493" s="117"/>
      <c r="O493" s="320"/>
      <c r="P493" s="164"/>
      <c r="Q493" s="188"/>
      <c r="R493" s="188"/>
      <c r="S493" s="20"/>
      <c r="T493" s="20"/>
      <c r="U493" s="20"/>
      <c r="V493" s="20"/>
    </row>
    <row r="494">
      <c r="A494" s="320"/>
      <c r="B494" s="164"/>
      <c r="C494" s="320"/>
      <c r="D494" s="117"/>
      <c r="E494" s="320"/>
      <c r="F494" s="164"/>
      <c r="G494" s="320"/>
      <c r="H494" s="164"/>
      <c r="I494" s="327"/>
      <c r="J494" s="117"/>
      <c r="K494" s="327"/>
      <c r="L494" s="117"/>
      <c r="M494" s="327"/>
      <c r="N494" s="117"/>
      <c r="O494" s="320"/>
      <c r="P494" s="164"/>
      <c r="Q494" s="188"/>
      <c r="R494" s="188"/>
      <c r="S494" s="20"/>
      <c r="T494" s="20"/>
      <c r="U494" s="20"/>
      <c r="V494" s="20"/>
    </row>
    <row r="495">
      <c r="A495" s="320"/>
      <c r="B495" s="164"/>
      <c r="C495" s="320"/>
      <c r="D495" s="117"/>
      <c r="E495" s="320"/>
      <c r="F495" s="164"/>
      <c r="G495" s="320"/>
      <c r="H495" s="164"/>
      <c r="I495" s="327"/>
      <c r="J495" s="117"/>
      <c r="K495" s="327"/>
      <c r="L495" s="117"/>
      <c r="M495" s="327"/>
      <c r="N495" s="117"/>
      <c r="O495" s="320"/>
      <c r="P495" s="164"/>
      <c r="Q495" s="188"/>
      <c r="R495" s="188"/>
      <c r="S495" s="20"/>
      <c r="T495" s="20"/>
      <c r="U495" s="20"/>
      <c r="V495" s="20"/>
    </row>
    <row r="496">
      <c r="A496" s="320"/>
      <c r="B496" s="164"/>
      <c r="C496" s="320"/>
      <c r="D496" s="117"/>
      <c r="E496" s="320"/>
      <c r="F496" s="164"/>
      <c r="G496" s="320"/>
      <c r="H496" s="164"/>
      <c r="I496" s="327"/>
      <c r="J496" s="117"/>
      <c r="K496" s="327"/>
      <c r="L496" s="117"/>
      <c r="M496" s="327"/>
      <c r="N496" s="117"/>
      <c r="O496" s="320"/>
      <c r="P496" s="164"/>
      <c r="Q496" s="188"/>
      <c r="R496" s="188"/>
      <c r="S496" s="20"/>
      <c r="T496" s="20"/>
      <c r="U496" s="20"/>
      <c r="V496" s="20"/>
    </row>
    <row r="497">
      <c r="A497" s="320"/>
      <c r="B497" s="164"/>
      <c r="C497" s="320"/>
      <c r="D497" s="117"/>
      <c r="E497" s="320"/>
      <c r="F497" s="164"/>
      <c r="G497" s="320"/>
      <c r="H497" s="164"/>
      <c r="I497" s="327"/>
      <c r="J497" s="117"/>
      <c r="K497" s="327"/>
      <c r="L497" s="117"/>
      <c r="M497" s="327"/>
      <c r="N497" s="117"/>
      <c r="O497" s="320"/>
      <c r="P497" s="164"/>
      <c r="Q497" s="188"/>
      <c r="R497" s="188"/>
      <c r="S497" s="20"/>
      <c r="T497" s="20"/>
      <c r="U497" s="20"/>
      <c r="V497" s="20"/>
    </row>
    <row r="498">
      <c r="A498" s="320"/>
      <c r="B498" s="164"/>
      <c r="C498" s="320"/>
      <c r="D498" s="117"/>
      <c r="E498" s="320"/>
      <c r="F498" s="164"/>
      <c r="G498" s="320"/>
      <c r="H498" s="164"/>
      <c r="I498" s="327"/>
      <c r="J498" s="117"/>
      <c r="K498" s="327"/>
      <c r="L498" s="117"/>
      <c r="M498" s="327"/>
      <c r="N498" s="117"/>
      <c r="O498" s="320"/>
      <c r="P498" s="164"/>
      <c r="Q498" s="188"/>
      <c r="R498" s="188"/>
      <c r="S498" s="20"/>
      <c r="T498" s="20"/>
      <c r="U498" s="20"/>
      <c r="V498" s="20"/>
    </row>
    <row r="499">
      <c r="A499" s="320"/>
      <c r="B499" s="164"/>
      <c r="C499" s="320"/>
      <c r="D499" s="117"/>
      <c r="E499" s="320"/>
      <c r="F499" s="164"/>
      <c r="G499" s="320"/>
      <c r="H499" s="164"/>
      <c r="I499" s="327"/>
      <c r="J499" s="117"/>
      <c r="K499" s="327"/>
      <c r="L499" s="117"/>
      <c r="M499" s="327"/>
      <c r="N499" s="117"/>
      <c r="O499" s="320"/>
      <c r="P499" s="164"/>
      <c r="Q499" s="188"/>
      <c r="R499" s="188"/>
      <c r="S499" s="20"/>
      <c r="T499" s="20"/>
      <c r="U499" s="20"/>
      <c r="V499" s="20"/>
    </row>
    <row r="500">
      <c r="A500" s="320"/>
      <c r="B500" s="164"/>
      <c r="C500" s="320"/>
      <c r="D500" s="117"/>
      <c r="E500" s="320"/>
      <c r="F500" s="164"/>
      <c r="G500" s="320"/>
      <c r="H500" s="164"/>
      <c r="I500" s="327"/>
      <c r="J500" s="117"/>
      <c r="K500" s="327"/>
      <c r="L500" s="117"/>
      <c r="M500" s="327"/>
      <c r="N500" s="117"/>
      <c r="O500" s="320"/>
      <c r="P500" s="164"/>
      <c r="Q500" s="188"/>
      <c r="R500" s="188"/>
      <c r="S500" s="20"/>
      <c r="T500" s="20"/>
      <c r="U500" s="20"/>
      <c r="V500" s="20"/>
    </row>
    <row r="501">
      <c r="A501" s="320"/>
      <c r="B501" s="164"/>
      <c r="C501" s="320"/>
      <c r="D501" s="117"/>
      <c r="E501" s="320"/>
      <c r="F501" s="164"/>
      <c r="G501" s="320"/>
      <c r="H501" s="164"/>
      <c r="I501" s="327"/>
      <c r="J501" s="117"/>
      <c r="K501" s="327"/>
      <c r="L501" s="117"/>
      <c r="M501" s="327"/>
      <c r="N501" s="117"/>
      <c r="O501" s="320"/>
      <c r="P501" s="164"/>
      <c r="Q501" s="188"/>
      <c r="R501" s="188"/>
      <c r="S501" s="20"/>
      <c r="T501" s="20"/>
      <c r="U501" s="20"/>
      <c r="V501" s="20"/>
    </row>
    <row r="502">
      <c r="A502" s="320"/>
      <c r="B502" s="164"/>
      <c r="C502" s="320"/>
      <c r="D502" s="117"/>
      <c r="E502" s="320"/>
      <c r="F502" s="164"/>
      <c r="G502" s="320"/>
      <c r="H502" s="164"/>
      <c r="I502" s="327"/>
      <c r="J502" s="117"/>
      <c r="K502" s="327"/>
      <c r="L502" s="117"/>
      <c r="M502" s="327"/>
      <c r="N502" s="117"/>
      <c r="O502" s="320"/>
      <c r="P502" s="164"/>
      <c r="Q502" s="188"/>
      <c r="R502" s="188"/>
      <c r="S502" s="20"/>
      <c r="T502" s="20"/>
      <c r="U502" s="20"/>
      <c r="V502" s="20"/>
    </row>
    <row r="503">
      <c r="A503" s="320"/>
      <c r="B503" s="164"/>
      <c r="C503" s="320"/>
      <c r="D503" s="117"/>
      <c r="E503" s="320"/>
      <c r="F503" s="164"/>
      <c r="G503" s="320"/>
      <c r="H503" s="164"/>
      <c r="I503" s="327"/>
      <c r="J503" s="117"/>
      <c r="K503" s="327"/>
      <c r="L503" s="117"/>
      <c r="M503" s="327"/>
      <c r="N503" s="117"/>
      <c r="O503" s="320"/>
      <c r="P503" s="164"/>
      <c r="Q503" s="188"/>
      <c r="R503" s="188"/>
      <c r="S503" s="20"/>
      <c r="T503" s="20"/>
      <c r="U503" s="20"/>
      <c r="V503" s="20"/>
    </row>
    <row r="504">
      <c r="A504" s="320"/>
      <c r="B504" s="164"/>
      <c r="C504" s="320"/>
      <c r="D504" s="117"/>
      <c r="E504" s="320"/>
      <c r="F504" s="164"/>
      <c r="G504" s="320"/>
      <c r="H504" s="164"/>
      <c r="I504" s="327"/>
      <c r="J504" s="117"/>
      <c r="K504" s="327"/>
      <c r="L504" s="117"/>
      <c r="M504" s="327"/>
      <c r="N504" s="117"/>
      <c r="O504" s="320"/>
      <c r="P504" s="164"/>
      <c r="Q504" s="188"/>
      <c r="R504" s="188"/>
      <c r="S504" s="20"/>
      <c r="T504" s="20"/>
      <c r="U504" s="20"/>
      <c r="V504" s="20"/>
    </row>
    <row r="505">
      <c r="A505" s="320"/>
      <c r="B505" s="164"/>
      <c r="C505" s="320"/>
      <c r="D505" s="117"/>
      <c r="E505" s="320"/>
      <c r="F505" s="164"/>
      <c r="G505" s="320"/>
      <c r="H505" s="164"/>
      <c r="I505" s="327"/>
      <c r="J505" s="117"/>
      <c r="K505" s="327"/>
      <c r="L505" s="117"/>
      <c r="M505" s="327"/>
      <c r="N505" s="117"/>
      <c r="O505" s="320"/>
      <c r="P505" s="164"/>
      <c r="Q505" s="188"/>
      <c r="R505" s="188"/>
      <c r="S505" s="20"/>
      <c r="T505" s="20"/>
      <c r="U505" s="20"/>
      <c r="V505" s="20"/>
    </row>
    <row r="506">
      <c r="A506" s="320"/>
      <c r="B506" s="164"/>
      <c r="C506" s="320"/>
      <c r="D506" s="117"/>
      <c r="E506" s="320"/>
      <c r="F506" s="164"/>
      <c r="G506" s="320"/>
      <c r="H506" s="164"/>
      <c r="I506" s="327"/>
      <c r="J506" s="117"/>
      <c r="K506" s="327"/>
      <c r="L506" s="117"/>
      <c r="M506" s="327"/>
      <c r="N506" s="117"/>
      <c r="O506" s="320"/>
      <c r="P506" s="164"/>
      <c r="Q506" s="188"/>
      <c r="R506" s="188"/>
      <c r="S506" s="20"/>
      <c r="T506" s="20"/>
      <c r="U506" s="20"/>
      <c r="V506" s="20"/>
    </row>
    <row r="507">
      <c r="A507" s="320"/>
      <c r="B507" s="164"/>
      <c r="C507" s="320"/>
      <c r="D507" s="117"/>
      <c r="E507" s="320"/>
      <c r="F507" s="164"/>
      <c r="G507" s="320"/>
      <c r="H507" s="164"/>
      <c r="I507" s="327"/>
      <c r="J507" s="117"/>
      <c r="K507" s="327"/>
      <c r="L507" s="117"/>
      <c r="M507" s="327"/>
      <c r="N507" s="117"/>
      <c r="O507" s="320"/>
      <c r="P507" s="164"/>
      <c r="Q507" s="188"/>
      <c r="R507" s="188"/>
      <c r="S507" s="20"/>
      <c r="T507" s="20"/>
      <c r="U507" s="20"/>
      <c r="V507" s="20"/>
    </row>
    <row r="508">
      <c r="A508" s="320"/>
      <c r="B508" s="164"/>
      <c r="C508" s="320"/>
      <c r="D508" s="117"/>
      <c r="E508" s="320"/>
      <c r="F508" s="164"/>
      <c r="G508" s="320"/>
      <c r="H508" s="164"/>
      <c r="I508" s="327"/>
      <c r="J508" s="117"/>
      <c r="K508" s="327"/>
      <c r="L508" s="117"/>
      <c r="M508" s="327"/>
      <c r="N508" s="117"/>
      <c r="O508" s="320"/>
      <c r="P508" s="164"/>
      <c r="Q508" s="188"/>
      <c r="R508" s="188"/>
      <c r="S508" s="20"/>
      <c r="T508" s="20"/>
      <c r="U508" s="20"/>
      <c r="V508" s="20"/>
    </row>
    <row r="509">
      <c r="A509" s="320"/>
      <c r="B509" s="164"/>
      <c r="C509" s="320"/>
      <c r="D509" s="117"/>
      <c r="E509" s="320"/>
      <c r="F509" s="164"/>
      <c r="G509" s="320"/>
      <c r="H509" s="164"/>
      <c r="I509" s="327"/>
      <c r="J509" s="117"/>
      <c r="K509" s="327"/>
      <c r="L509" s="117"/>
      <c r="M509" s="327"/>
      <c r="N509" s="117"/>
      <c r="O509" s="320"/>
      <c r="P509" s="164"/>
      <c r="Q509" s="188"/>
      <c r="R509" s="188"/>
      <c r="S509" s="20"/>
      <c r="T509" s="20"/>
      <c r="U509" s="20"/>
      <c r="V509" s="20"/>
    </row>
    <row r="510">
      <c r="A510" s="320"/>
      <c r="B510" s="164"/>
      <c r="C510" s="320"/>
      <c r="D510" s="117"/>
      <c r="E510" s="320"/>
      <c r="F510" s="164"/>
      <c r="G510" s="320"/>
      <c r="H510" s="164"/>
      <c r="I510" s="327"/>
      <c r="J510" s="117"/>
      <c r="K510" s="327"/>
      <c r="L510" s="117"/>
      <c r="M510" s="327"/>
      <c r="N510" s="117"/>
      <c r="O510" s="320"/>
      <c r="P510" s="164"/>
      <c r="Q510" s="188"/>
      <c r="R510" s="188"/>
      <c r="S510" s="20"/>
      <c r="T510" s="20"/>
      <c r="U510" s="20"/>
      <c r="V510" s="20"/>
    </row>
    <row r="511">
      <c r="A511" s="320"/>
      <c r="B511" s="164"/>
      <c r="C511" s="320"/>
      <c r="D511" s="117"/>
      <c r="E511" s="320"/>
      <c r="F511" s="164"/>
      <c r="G511" s="320"/>
      <c r="H511" s="164"/>
      <c r="I511" s="327"/>
      <c r="J511" s="117"/>
      <c r="K511" s="327"/>
      <c r="L511" s="117"/>
      <c r="M511" s="327"/>
      <c r="N511" s="117"/>
      <c r="O511" s="320"/>
      <c r="P511" s="164"/>
      <c r="Q511" s="188"/>
      <c r="R511" s="188"/>
      <c r="S511" s="20"/>
      <c r="T511" s="20"/>
      <c r="U511" s="20"/>
      <c r="V511" s="20"/>
    </row>
    <row r="512">
      <c r="A512" s="320"/>
      <c r="B512" s="164"/>
      <c r="C512" s="320"/>
      <c r="D512" s="117"/>
      <c r="E512" s="320"/>
      <c r="F512" s="164"/>
      <c r="G512" s="320"/>
      <c r="H512" s="164"/>
      <c r="I512" s="327"/>
      <c r="J512" s="117"/>
      <c r="K512" s="327"/>
      <c r="L512" s="117"/>
      <c r="M512" s="327"/>
      <c r="N512" s="117"/>
      <c r="O512" s="320"/>
      <c r="P512" s="164"/>
      <c r="Q512" s="188"/>
      <c r="R512" s="188"/>
      <c r="S512" s="20"/>
      <c r="T512" s="20"/>
      <c r="U512" s="20"/>
      <c r="V512" s="20"/>
    </row>
    <row r="513">
      <c r="A513" s="320"/>
      <c r="B513" s="164"/>
      <c r="C513" s="320"/>
      <c r="D513" s="117"/>
      <c r="E513" s="320"/>
      <c r="F513" s="164"/>
      <c r="G513" s="320"/>
      <c r="H513" s="164"/>
      <c r="I513" s="327"/>
      <c r="J513" s="117"/>
      <c r="K513" s="327"/>
      <c r="L513" s="117"/>
      <c r="M513" s="327"/>
      <c r="N513" s="117"/>
      <c r="O513" s="320"/>
      <c r="P513" s="164"/>
      <c r="Q513" s="188"/>
      <c r="R513" s="188"/>
      <c r="S513" s="20"/>
      <c r="T513" s="20"/>
      <c r="U513" s="20"/>
      <c r="V513" s="20"/>
    </row>
    <row r="514">
      <c r="A514" s="320"/>
      <c r="B514" s="164"/>
      <c r="C514" s="320"/>
      <c r="D514" s="117"/>
      <c r="E514" s="320"/>
      <c r="F514" s="164"/>
      <c r="G514" s="320"/>
      <c r="H514" s="164"/>
      <c r="I514" s="327"/>
      <c r="J514" s="117"/>
      <c r="K514" s="327"/>
      <c r="L514" s="117"/>
      <c r="M514" s="327"/>
      <c r="N514" s="117"/>
      <c r="O514" s="320"/>
      <c r="P514" s="164"/>
      <c r="Q514" s="188"/>
      <c r="R514" s="188"/>
      <c r="S514" s="20"/>
      <c r="T514" s="20"/>
      <c r="U514" s="20"/>
      <c r="V514" s="20"/>
    </row>
    <row r="515">
      <c r="A515" s="320"/>
      <c r="B515" s="164"/>
      <c r="C515" s="320"/>
      <c r="D515" s="117"/>
      <c r="E515" s="320"/>
      <c r="F515" s="164"/>
      <c r="G515" s="320"/>
      <c r="H515" s="164"/>
      <c r="I515" s="327"/>
      <c r="J515" s="117"/>
      <c r="K515" s="327"/>
      <c r="L515" s="117"/>
      <c r="M515" s="327"/>
      <c r="N515" s="117"/>
      <c r="O515" s="320"/>
      <c r="P515" s="164"/>
      <c r="Q515" s="188"/>
      <c r="R515" s="188"/>
      <c r="S515" s="20"/>
      <c r="T515" s="20"/>
      <c r="U515" s="20"/>
      <c r="V515" s="20"/>
    </row>
    <row r="516">
      <c r="A516" s="320"/>
      <c r="B516" s="164"/>
      <c r="C516" s="320"/>
      <c r="D516" s="117"/>
      <c r="E516" s="320"/>
      <c r="F516" s="164"/>
      <c r="G516" s="320"/>
      <c r="H516" s="164"/>
      <c r="I516" s="327"/>
      <c r="J516" s="117"/>
      <c r="K516" s="327"/>
      <c r="L516" s="117"/>
      <c r="M516" s="327"/>
      <c r="N516" s="117"/>
      <c r="O516" s="320"/>
      <c r="P516" s="164"/>
      <c r="Q516" s="188"/>
      <c r="R516" s="188"/>
      <c r="S516" s="20"/>
      <c r="T516" s="20"/>
      <c r="U516" s="20"/>
      <c r="V516" s="20"/>
    </row>
    <row r="517">
      <c r="A517" s="320"/>
      <c r="B517" s="164"/>
      <c r="C517" s="320"/>
      <c r="D517" s="117"/>
      <c r="E517" s="320"/>
      <c r="F517" s="164"/>
      <c r="G517" s="320"/>
      <c r="H517" s="164"/>
      <c r="I517" s="327"/>
      <c r="J517" s="117"/>
      <c r="K517" s="327"/>
      <c r="L517" s="117"/>
      <c r="M517" s="327"/>
      <c r="N517" s="117"/>
      <c r="O517" s="320"/>
      <c r="P517" s="164"/>
      <c r="Q517" s="188"/>
      <c r="R517" s="188"/>
      <c r="S517" s="20"/>
      <c r="T517" s="20"/>
      <c r="U517" s="20"/>
      <c r="V517" s="20"/>
    </row>
    <row r="518">
      <c r="A518" s="320"/>
      <c r="B518" s="164"/>
      <c r="C518" s="320"/>
      <c r="D518" s="117"/>
      <c r="E518" s="320"/>
      <c r="F518" s="164"/>
      <c r="G518" s="320"/>
      <c r="H518" s="164"/>
      <c r="I518" s="327"/>
      <c r="J518" s="117"/>
      <c r="K518" s="327"/>
      <c r="L518" s="117"/>
      <c r="M518" s="327"/>
      <c r="N518" s="117"/>
      <c r="O518" s="320"/>
      <c r="P518" s="164"/>
      <c r="Q518" s="188"/>
      <c r="R518" s="188"/>
      <c r="S518" s="20"/>
      <c r="T518" s="20"/>
      <c r="U518" s="20"/>
      <c r="V518" s="20"/>
    </row>
    <row r="519">
      <c r="A519" s="320"/>
      <c r="B519" s="164"/>
      <c r="C519" s="320"/>
      <c r="D519" s="117"/>
      <c r="E519" s="320"/>
      <c r="F519" s="164"/>
      <c r="G519" s="320"/>
      <c r="H519" s="164"/>
      <c r="I519" s="327"/>
      <c r="J519" s="117"/>
      <c r="K519" s="327"/>
      <c r="L519" s="117"/>
      <c r="M519" s="327"/>
      <c r="N519" s="117"/>
      <c r="O519" s="320"/>
      <c r="P519" s="164"/>
      <c r="Q519" s="188"/>
      <c r="R519" s="188"/>
      <c r="S519" s="20"/>
      <c r="T519" s="20"/>
      <c r="U519" s="20"/>
      <c r="V519" s="20"/>
    </row>
    <row r="520">
      <c r="A520" s="320"/>
      <c r="B520" s="164"/>
      <c r="C520" s="320"/>
      <c r="D520" s="117"/>
      <c r="E520" s="320"/>
      <c r="F520" s="164"/>
      <c r="G520" s="320"/>
      <c r="H520" s="164"/>
      <c r="I520" s="327"/>
      <c r="J520" s="117"/>
      <c r="K520" s="327"/>
      <c r="L520" s="117"/>
      <c r="M520" s="327"/>
      <c r="N520" s="117"/>
      <c r="O520" s="320"/>
      <c r="P520" s="164"/>
      <c r="Q520" s="188"/>
      <c r="R520" s="188"/>
      <c r="S520" s="20"/>
      <c r="T520" s="20"/>
      <c r="U520" s="20"/>
      <c r="V520" s="20"/>
    </row>
    <row r="521">
      <c r="A521" s="320"/>
      <c r="B521" s="164"/>
      <c r="C521" s="320"/>
      <c r="D521" s="117"/>
      <c r="E521" s="320"/>
      <c r="F521" s="164"/>
      <c r="G521" s="320"/>
      <c r="H521" s="164"/>
      <c r="I521" s="327"/>
      <c r="J521" s="117"/>
      <c r="K521" s="327"/>
      <c r="L521" s="117"/>
      <c r="M521" s="327"/>
      <c r="N521" s="117"/>
      <c r="O521" s="320"/>
      <c r="P521" s="164"/>
      <c r="Q521" s="188"/>
      <c r="R521" s="188"/>
      <c r="S521" s="20"/>
      <c r="T521" s="20"/>
      <c r="U521" s="20"/>
      <c r="V521" s="20"/>
    </row>
    <row r="522">
      <c r="A522" s="320"/>
      <c r="B522" s="164"/>
      <c r="C522" s="320"/>
      <c r="D522" s="117"/>
      <c r="E522" s="320"/>
      <c r="F522" s="164"/>
      <c r="G522" s="320"/>
      <c r="H522" s="164"/>
      <c r="I522" s="327"/>
      <c r="J522" s="117"/>
      <c r="K522" s="327"/>
      <c r="L522" s="117"/>
      <c r="M522" s="327"/>
      <c r="N522" s="117"/>
      <c r="O522" s="320"/>
      <c r="P522" s="164"/>
      <c r="Q522" s="188"/>
      <c r="R522" s="188"/>
      <c r="S522" s="20"/>
      <c r="T522" s="20"/>
      <c r="U522" s="20"/>
      <c r="V522" s="20"/>
    </row>
    <row r="523">
      <c r="A523" s="320"/>
      <c r="B523" s="164"/>
      <c r="C523" s="320"/>
      <c r="D523" s="117"/>
      <c r="E523" s="320"/>
      <c r="F523" s="164"/>
      <c r="G523" s="320"/>
      <c r="H523" s="164"/>
      <c r="I523" s="327"/>
      <c r="J523" s="117"/>
      <c r="K523" s="327"/>
      <c r="L523" s="117"/>
      <c r="M523" s="327"/>
      <c r="N523" s="117"/>
      <c r="O523" s="320"/>
      <c r="P523" s="164"/>
      <c r="Q523" s="188"/>
      <c r="R523" s="188"/>
      <c r="S523" s="20"/>
      <c r="T523" s="20"/>
      <c r="U523" s="20"/>
      <c r="V523" s="20"/>
    </row>
    <row r="524">
      <c r="A524" s="320"/>
      <c r="B524" s="164"/>
      <c r="C524" s="320"/>
      <c r="D524" s="117"/>
      <c r="E524" s="320"/>
      <c r="F524" s="164"/>
      <c r="G524" s="320"/>
      <c r="H524" s="164"/>
      <c r="I524" s="327"/>
      <c r="J524" s="117"/>
      <c r="K524" s="327"/>
      <c r="L524" s="117"/>
      <c r="M524" s="327"/>
      <c r="N524" s="117"/>
      <c r="O524" s="320"/>
      <c r="P524" s="164"/>
      <c r="Q524" s="188"/>
      <c r="R524" s="188"/>
      <c r="S524" s="20"/>
      <c r="T524" s="20"/>
      <c r="U524" s="20"/>
      <c r="V524" s="20"/>
    </row>
    <row r="525">
      <c r="A525" s="320"/>
      <c r="B525" s="164"/>
      <c r="C525" s="320"/>
      <c r="D525" s="117"/>
      <c r="E525" s="320"/>
      <c r="F525" s="164"/>
      <c r="G525" s="320"/>
      <c r="H525" s="164"/>
      <c r="I525" s="327"/>
      <c r="J525" s="117"/>
      <c r="K525" s="327"/>
      <c r="L525" s="117"/>
      <c r="M525" s="327"/>
      <c r="N525" s="117"/>
      <c r="O525" s="320"/>
      <c r="P525" s="164"/>
      <c r="Q525" s="188"/>
      <c r="R525" s="188"/>
      <c r="S525" s="20"/>
      <c r="T525" s="20"/>
      <c r="U525" s="20"/>
      <c r="V525" s="20"/>
    </row>
    <row r="526">
      <c r="A526" s="320"/>
      <c r="B526" s="164"/>
      <c r="C526" s="320"/>
      <c r="D526" s="117"/>
      <c r="E526" s="320"/>
      <c r="F526" s="164"/>
      <c r="G526" s="320"/>
      <c r="H526" s="164"/>
      <c r="I526" s="327"/>
      <c r="J526" s="117"/>
      <c r="K526" s="327"/>
      <c r="L526" s="117"/>
      <c r="M526" s="327"/>
      <c r="N526" s="117"/>
      <c r="O526" s="320"/>
      <c r="P526" s="164"/>
      <c r="Q526" s="188"/>
      <c r="R526" s="188"/>
      <c r="S526" s="20"/>
      <c r="T526" s="20"/>
      <c r="U526" s="20"/>
      <c r="V526" s="20"/>
    </row>
    <row r="527">
      <c r="A527" s="320"/>
      <c r="B527" s="164"/>
      <c r="C527" s="320"/>
      <c r="D527" s="117"/>
      <c r="E527" s="320"/>
      <c r="F527" s="164"/>
      <c r="G527" s="320"/>
      <c r="H527" s="164"/>
      <c r="I527" s="327"/>
      <c r="J527" s="117"/>
      <c r="K527" s="327"/>
      <c r="L527" s="117"/>
      <c r="M527" s="327"/>
      <c r="N527" s="117"/>
      <c r="O527" s="320"/>
      <c r="P527" s="164"/>
      <c r="Q527" s="188"/>
      <c r="R527" s="188"/>
      <c r="S527" s="20"/>
      <c r="T527" s="20"/>
      <c r="U527" s="20"/>
      <c r="V527" s="20"/>
    </row>
    <row r="528">
      <c r="A528" s="320"/>
      <c r="B528" s="164"/>
      <c r="C528" s="320"/>
      <c r="D528" s="117"/>
      <c r="E528" s="320"/>
      <c r="F528" s="164"/>
      <c r="G528" s="320"/>
      <c r="H528" s="164"/>
      <c r="I528" s="327"/>
      <c r="J528" s="117"/>
      <c r="K528" s="327"/>
      <c r="L528" s="117"/>
      <c r="M528" s="327"/>
      <c r="N528" s="117"/>
      <c r="O528" s="320"/>
      <c r="P528" s="164"/>
      <c r="Q528" s="188"/>
      <c r="R528" s="188"/>
      <c r="S528" s="20"/>
      <c r="T528" s="20"/>
      <c r="U528" s="20"/>
      <c r="V528" s="20"/>
    </row>
    <row r="529">
      <c r="A529" s="320"/>
      <c r="B529" s="164"/>
      <c r="C529" s="320"/>
      <c r="D529" s="117"/>
      <c r="E529" s="320"/>
      <c r="F529" s="164"/>
      <c r="G529" s="320"/>
      <c r="H529" s="164"/>
      <c r="I529" s="327"/>
      <c r="J529" s="117"/>
      <c r="K529" s="327"/>
      <c r="L529" s="117"/>
      <c r="M529" s="327"/>
      <c r="N529" s="117"/>
      <c r="O529" s="320"/>
      <c r="P529" s="164"/>
      <c r="Q529" s="188"/>
      <c r="R529" s="188"/>
      <c r="S529" s="20"/>
      <c r="T529" s="20"/>
      <c r="U529" s="20"/>
      <c r="V529" s="20"/>
    </row>
    <row r="530">
      <c r="A530" s="320"/>
      <c r="B530" s="164"/>
      <c r="C530" s="320"/>
      <c r="D530" s="117"/>
      <c r="E530" s="320"/>
      <c r="F530" s="164"/>
      <c r="G530" s="320"/>
      <c r="H530" s="164"/>
      <c r="I530" s="327"/>
      <c r="J530" s="117"/>
      <c r="K530" s="327"/>
      <c r="L530" s="117"/>
      <c r="M530" s="327"/>
      <c r="N530" s="117"/>
      <c r="O530" s="320"/>
      <c r="P530" s="164"/>
      <c r="Q530" s="188"/>
      <c r="R530" s="188"/>
      <c r="S530" s="20"/>
      <c r="T530" s="20"/>
      <c r="U530" s="20"/>
      <c r="V530" s="20"/>
    </row>
    <row r="531">
      <c r="A531" s="320"/>
      <c r="B531" s="164"/>
      <c r="C531" s="320"/>
      <c r="D531" s="117"/>
      <c r="E531" s="320"/>
      <c r="F531" s="164"/>
      <c r="G531" s="320"/>
      <c r="H531" s="164"/>
      <c r="I531" s="327"/>
      <c r="J531" s="117"/>
      <c r="K531" s="327"/>
      <c r="L531" s="117"/>
      <c r="M531" s="327"/>
      <c r="N531" s="117"/>
      <c r="O531" s="320"/>
      <c r="P531" s="164"/>
      <c r="Q531" s="188"/>
      <c r="R531" s="188"/>
      <c r="S531" s="20"/>
      <c r="T531" s="20"/>
      <c r="U531" s="20"/>
      <c r="V531" s="20"/>
    </row>
    <row r="532">
      <c r="A532" s="320"/>
      <c r="B532" s="164"/>
      <c r="C532" s="320"/>
      <c r="D532" s="117"/>
      <c r="E532" s="320"/>
      <c r="F532" s="164"/>
      <c r="G532" s="320"/>
      <c r="H532" s="164"/>
      <c r="I532" s="327"/>
      <c r="J532" s="117"/>
      <c r="K532" s="327"/>
      <c r="L532" s="117"/>
      <c r="M532" s="327"/>
      <c r="N532" s="117"/>
      <c r="O532" s="320"/>
      <c r="P532" s="164"/>
      <c r="Q532" s="188"/>
      <c r="R532" s="188"/>
      <c r="S532" s="20"/>
      <c r="T532" s="20"/>
      <c r="U532" s="20"/>
      <c r="V532" s="20"/>
    </row>
    <row r="533">
      <c r="A533" s="320"/>
      <c r="B533" s="164"/>
      <c r="C533" s="320"/>
      <c r="D533" s="117"/>
      <c r="E533" s="320"/>
      <c r="F533" s="164"/>
      <c r="G533" s="320"/>
      <c r="H533" s="164"/>
      <c r="I533" s="327"/>
      <c r="J533" s="117"/>
      <c r="K533" s="327"/>
      <c r="L533" s="117"/>
      <c r="M533" s="327"/>
      <c r="N533" s="117"/>
      <c r="O533" s="320"/>
      <c r="P533" s="164"/>
      <c r="Q533" s="188"/>
      <c r="R533" s="188"/>
      <c r="S533" s="20"/>
      <c r="T533" s="20"/>
      <c r="U533" s="20"/>
      <c r="V533" s="20"/>
    </row>
    <row r="534">
      <c r="A534" s="320"/>
      <c r="B534" s="164"/>
      <c r="C534" s="320"/>
      <c r="D534" s="117"/>
      <c r="E534" s="320"/>
      <c r="F534" s="164"/>
      <c r="G534" s="320"/>
      <c r="H534" s="164"/>
      <c r="I534" s="327"/>
      <c r="J534" s="117"/>
      <c r="K534" s="327"/>
      <c r="L534" s="117"/>
      <c r="M534" s="327"/>
      <c r="N534" s="117"/>
      <c r="O534" s="320"/>
      <c r="P534" s="164"/>
      <c r="Q534" s="188"/>
      <c r="R534" s="188"/>
      <c r="S534" s="20"/>
      <c r="T534" s="20"/>
      <c r="U534" s="20"/>
      <c r="V534" s="20"/>
    </row>
    <row r="535">
      <c r="A535" s="320"/>
      <c r="B535" s="164"/>
      <c r="C535" s="320"/>
      <c r="D535" s="117"/>
      <c r="E535" s="320"/>
      <c r="F535" s="164"/>
      <c r="G535" s="320"/>
      <c r="H535" s="164"/>
      <c r="I535" s="327"/>
      <c r="J535" s="117"/>
      <c r="K535" s="327"/>
      <c r="L535" s="117"/>
      <c r="M535" s="327"/>
      <c r="N535" s="117"/>
      <c r="O535" s="320"/>
      <c r="P535" s="164"/>
      <c r="Q535" s="188"/>
      <c r="R535" s="188"/>
      <c r="S535" s="20"/>
      <c r="T535" s="20"/>
      <c r="U535" s="20"/>
      <c r="V535" s="20"/>
    </row>
    <row r="536">
      <c r="A536" s="320"/>
      <c r="B536" s="164"/>
      <c r="C536" s="320"/>
      <c r="D536" s="117"/>
      <c r="E536" s="320"/>
      <c r="F536" s="164"/>
      <c r="G536" s="320"/>
      <c r="H536" s="164"/>
      <c r="I536" s="327"/>
      <c r="J536" s="117"/>
      <c r="K536" s="327"/>
      <c r="L536" s="117"/>
      <c r="M536" s="327"/>
      <c r="N536" s="117"/>
      <c r="O536" s="320"/>
      <c r="P536" s="164"/>
      <c r="Q536" s="188"/>
      <c r="R536" s="188"/>
      <c r="S536" s="20"/>
      <c r="T536" s="20"/>
      <c r="U536" s="20"/>
      <c r="V536" s="20"/>
    </row>
    <row r="537">
      <c r="A537" s="320"/>
      <c r="B537" s="164"/>
      <c r="C537" s="320"/>
      <c r="D537" s="117"/>
      <c r="E537" s="320"/>
      <c r="F537" s="164"/>
      <c r="G537" s="320"/>
      <c r="H537" s="164"/>
      <c r="I537" s="327"/>
      <c r="J537" s="117"/>
      <c r="K537" s="327"/>
      <c r="L537" s="117"/>
      <c r="M537" s="327"/>
      <c r="N537" s="117"/>
      <c r="O537" s="320"/>
      <c r="P537" s="164"/>
      <c r="Q537" s="188"/>
      <c r="R537" s="188"/>
      <c r="S537" s="20"/>
      <c r="T537" s="20"/>
      <c r="U537" s="20"/>
      <c r="V537" s="20"/>
    </row>
    <row r="538">
      <c r="A538" s="320"/>
      <c r="B538" s="164"/>
      <c r="C538" s="320"/>
      <c r="D538" s="117"/>
      <c r="E538" s="320"/>
      <c r="F538" s="164"/>
      <c r="G538" s="320"/>
      <c r="H538" s="164"/>
      <c r="I538" s="327"/>
      <c r="J538" s="117"/>
      <c r="K538" s="327"/>
      <c r="L538" s="117"/>
      <c r="M538" s="327"/>
      <c r="N538" s="117"/>
      <c r="O538" s="320"/>
      <c r="P538" s="164"/>
      <c r="Q538" s="188"/>
      <c r="R538" s="188"/>
      <c r="S538" s="20"/>
      <c r="T538" s="20"/>
      <c r="U538" s="20"/>
      <c r="V538" s="20"/>
    </row>
    <row r="539">
      <c r="A539" s="320"/>
      <c r="B539" s="164"/>
      <c r="C539" s="320"/>
      <c r="D539" s="117"/>
      <c r="E539" s="320"/>
      <c r="F539" s="164"/>
      <c r="G539" s="320"/>
      <c r="H539" s="164"/>
      <c r="I539" s="327"/>
      <c r="J539" s="117"/>
      <c r="K539" s="327"/>
      <c r="L539" s="117"/>
      <c r="M539" s="327"/>
      <c r="N539" s="117"/>
      <c r="O539" s="320"/>
      <c r="P539" s="164"/>
      <c r="Q539" s="188"/>
      <c r="R539" s="188"/>
      <c r="S539" s="20"/>
      <c r="T539" s="20"/>
      <c r="U539" s="20"/>
      <c r="V539" s="20"/>
    </row>
    <row r="540">
      <c r="A540" s="320"/>
      <c r="B540" s="164"/>
      <c r="C540" s="320"/>
      <c r="D540" s="117"/>
      <c r="E540" s="320"/>
      <c r="F540" s="164"/>
      <c r="G540" s="320"/>
      <c r="H540" s="164"/>
      <c r="I540" s="327"/>
      <c r="J540" s="117"/>
      <c r="K540" s="327"/>
      <c r="L540" s="117"/>
      <c r="M540" s="327"/>
      <c r="N540" s="117"/>
      <c r="O540" s="320"/>
      <c r="P540" s="164"/>
      <c r="Q540" s="188"/>
      <c r="R540" s="188"/>
      <c r="S540" s="20"/>
      <c r="T540" s="20"/>
      <c r="U540" s="20"/>
      <c r="V540" s="20"/>
    </row>
    <row r="541">
      <c r="A541" s="320"/>
      <c r="B541" s="164"/>
      <c r="C541" s="320"/>
      <c r="D541" s="117"/>
      <c r="E541" s="320"/>
      <c r="F541" s="164"/>
      <c r="G541" s="320"/>
      <c r="H541" s="164"/>
      <c r="I541" s="327"/>
      <c r="J541" s="117"/>
      <c r="K541" s="327"/>
      <c r="L541" s="117"/>
      <c r="M541" s="327"/>
      <c r="N541" s="117"/>
      <c r="O541" s="320"/>
      <c r="P541" s="164"/>
      <c r="Q541" s="188"/>
      <c r="R541" s="188"/>
      <c r="S541" s="20"/>
      <c r="T541" s="20"/>
      <c r="U541" s="20"/>
      <c r="V541" s="20"/>
    </row>
    <row r="542">
      <c r="A542" s="320"/>
      <c r="B542" s="164"/>
      <c r="C542" s="320"/>
      <c r="D542" s="117"/>
      <c r="E542" s="320"/>
      <c r="F542" s="164"/>
      <c r="G542" s="320"/>
      <c r="H542" s="164"/>
      <c r="I542" s="327"/>
      <c r="J542" s="117"/>
      <c r="K542" s="327"/>
      <c r="L542" s="117"/>
      <c r="M542" s="327"/>
      <c r="N542" s="117"/>
      <c r="O542" s="320"/>
      <c r="P542" s="164"/>
      <c r="Q542" s="188"/>
      <c r="R542" s="188"/>
      <c r="S542" s="20"/>
      <c r="T542" s="20"/>
      <c r="U542" s="20"/>
      <c r="V542" s="20"/>
    </row>
    <row r="543">
      <c r="A543" s="320"/>
      <c r="B543" s="164"/>
      <c r="C543" s="320"/>
      <c r="D543" s="117"/>
      <c r="E543" s="320"/>
      <c r="F543" s="164"/>
      <c r="G543" s="320"/>
      <c r="H543" s="164"/>
      <c r="I543" s="327"/>
      <c r="J543" s="117"/>
      <c r="K543" s="327"/>
      <c r="L543" s="117"/>
      <c r="M543" s="327"/>
      <c r="N543" s="117"/>
      <c r="O543" s="320"/>
      <c r="P543" s="164"/>
      <c r="Q543" s="188"/>
      <c r="R543" s="188"/>
      <c r="S543" s="20"/>
      <c r="T543" s="20"/>
      <c r="U543" s="20"/>
      <c r="V543" s="20"/>
    </row>
    <row r="544">
      <c r="A544" s="320"/>
      <c r="B544" s="164"/>
      <c r="C544" s="320"/>
      <c r="D544" s="117"/>
      <c r="E544" s="320"/>
      <c r="F544" s="164"/>
      <c r="G544" s="320"/>
      <c r="H544" s="164"/>
      <c r="I544" s="327"/>
      <c r="J544" s="117"/>
      <c r="K544" s="327"/>
      <c r="L544" s="117"/>
      <c r="M544" s="327"/>
      <c r="N544" s="117"/>
      <c r="O544" s="320"/>
      <c r="P544" s="164"/>
      <c r="Q544" s="188"/>
      <c r="R544" s="188"/>
      <c r="S544" s="20"/>
      <c r="T544" s="20"/>
      <c r="U544" s="20"/>
      <c r="V544" s="20"/>
    </row>
    <row r="545">
      <c r="A545" s="320"/>
      <c r="B545" s="164"/>
      <c r="C545" s="320"/>
      <c r="D545" s="117"/>
      <c r="E545" s="320"/>
      <c r="F545" s="164"/>
      <c r="G545" s="320"/>
      <c r="H545" s="164"/>
      <c r="I545" s="327"/>
      <c r="J545" s="117"/>
      <c r="K545" s="327"/>
      <c r="L545" s="117"/>
      <c r="M545" s="327"/>
      <c r="N545" s="117"/>
      <c r="O545" s="320"/>
      <c r="P545" s="164"/>
      <c r="Q545" s="188"/>
      <c r="R545" s="188"/>
      <c r="S545" s="20"/>
      <c r="T545" s="20"/>
      <c r="U545" s="20"/>
      <c r="V545" s="20"/>
    </row>
    <row r="546">
      <c r="A546" s="320"/>
      <c r="B546" s="164"/>
      <c r="C546" s="320"/>
      <c r="D546" s="117"/>
      <c r="E546" s="320"/>
      <c r="F546" s="164"/>
      <c r="G546" s="320"/>
      <c r="H546" s="164"/>
      <c r="I546" s="327"/>
      <c r="J546" s="117"/>
      <c r="K546" s="327"/>
      <c r="L546" s="117"/>
      <c r="M546" s="327"/>
      <c r="N546" s="117"/>
      <c r="O546" s="320"/>
      <c r="P546" s="164"/>
      <c r="Q546" s="188"/>
      <c r="R546" s="188"/>
      <c r="S546" s="20"/>
      <c r="T546" s="20"/>
      <c r="U546" s="20"/>
      <c r="V546" s="20"/>
    </row>
    <row r="547">
      <c r="A547" s="320"/>
      <c r="B547" s="164"/>
      <c r="C547" s="320"/>
      <c r="D547" s="117"/>
      <c r="E547" s="320"/>
      <c r="F547" s="164"/>
      <c r="G547" s="320"/>
      <c r="H547" s="164"/>
      <c r="I547" s="327"/>
      <c r="J547" s="117"/>
      <c r="K547" s="327"/>
      <c r="L547" s="117"/>
      <c r="M547" s="327"/>
      <c r="N547" s="117"/>
      <c r="O547" s="320"/>
      <c r="P547" s="164"/>
      <c r="Q547" s="188"/>
      <c r="R547" s="188"/>
      <c r="S547" s="20"/>
      <c r="T547" s="20"/>
      <c r="U547" s="20"/>
      <c r="V547" s="20"/>
    </row>
    <row r="548">
      <c r="A548" s="320"/>
      <c r="B548" s="164"/>
      <c r="C548" s="320"/>
      <c r="D548" s="117"/>
      <c r="E548" s="320"/>
      <c r="F548" s="164"/>
      <c r="G548" s="320"/>
      <c r="H548" s="164"/>
      <c r="I548" s="327"/>
      <c r="J548" s="117"/>
      <c r="K548" s="327"/>
      <c r="L548" s="117"/>
      <c r="M548" s="327"/>
      <c r="N548" s="117"/>
      <c r="O548" s="320"/>
      <c r="P548" s="164"/>
      <c r="Q548" s="188"/>
      <c r="R548" s="188"/>
      <c r="S548" s="20"/>
      <c r="T548" s="20"/>
      <c r="U548" s="20"/>
      <c r="V548" s="20"/>
    </row>
    <row r="549">
      <c r="A549" s="320"/>
      <c r="B549" s="164"/>
      <c r="C549" s="320"/>
      <c r="D549" s="117"/>
      <c r="E549" s="320"/>
      <c r="F549" s="164"/>
      <c r="G549" s="320"/>
      <c r="H549" s="164"/>
      <c r="I549" s="327"/>
      <c r="J549" s="117"/>
      <c r="K549" s="327"/>
      <c r="L549" s="117"/>
      <c r="M549" s="327"/>
      <c r="N549" s="117"/>
      <c r="O549" s="320"/>
      <c r="P549" s="164"/>
      <c r="Q549" s="188"/>
      <c r="R549" s="188"/>
      <c r="S549" s="20"/>
      <c r="T549" s="20"/>
      <c r="U549" s="20"/>
      <c r="V549" s="20"/>
    </row>
    <row r="550">
      <c r="A550" s="320"/>
      <c r="B550" s="164"/>
      <c r="C550" s="320"/>
      <c r="D550" s="117"/>
      <c r="E550" s="320"/>
      <c r="F550" s="164"/>
      <c r="G550" s="320"/>
      <c r="H550" s="164"/>
      <c r="I550" s="327"/>
      <c r="J550" s="117"/>
      <c r="K550" s="327"/>
      <c r="L550" s="117"/>
      <c r="M550" s="327"/>
      <c r="N550" s="117"/>
      <c r="O550" s="320"/>
      <c r="P550" s="164"/>
      <c r="Q550" s="188"/>
      <c r="R550" s="188"/>
      <c r="S550" s="20"/>
      <c r="T550" s="20"/>
      <c r="U550" s="20"/>
      <c r="V550" s="20"/>
    </row>
    <row r="551">
      <c r="A551" s="320"/>
      <c r="B551" s="164"/>
      <c r="C551" s="320"/>
      <c r="D551" s="117"/>
      <c r="E551" s="320"/>
      <c r="F551" s="164"/>
      <c r="G551" s="320"/>
      <c r="H551" s="164"/>
      <c r="I551" s="327"/>
      <c r="J551" s="117"/>
      <c r="K551" s="327"/>
      <c r="L551" s="117"/>
      <c r="M551" s="327"/>
      <c r="N551" s="117"/>
      <c r="O551" s="320"/>
      <c r="P551" s="164"/>
      <c r="Q551" s="188"/>
      <c r="R551" s="188"/>
      <c r="S551" s="20"/>
      <c r="T551" s="20"/>
      <c r="U551" s="20"/>
      <c r="V551" s="20"/>
    </row>
    <row r="552">
      <c r="A552" s="320"/>
      <c r="B552" s="164"/>
      <c r="C552" s="320"/>
      <c r="D552" s="117"/>
      <c r="E552" s="320"/>
      <c r="F552" s="164"/>
      <c r="G552" s="320"/>
      <c r="H552" s="164"/>
      <c r="I552" s="327"/>
      <c r="J552" s="117"/>
      <c r="K552" s="327"/>
      <c r="L552" s="117"/>
      <c r="M552" s="327"/>
      <c r="N552" s="117"/>
      <c r="O552" s="320"/>
      <c r="P552" s="164"/>
      <c r="Q552" s="188"/>
      <c r="R552" s="188"/>
      <c r="S552" s="20"/>
      <c r="T552" s="20"/>
      <c r="U552" s="20"/>
      <c r="V552" s="20"/>
    </row>
    <row r="553">
      <c r="A553" s="320"/>
      <c r="B553" s="164"/>
      <c r="C553" s="320"/>
      <c r="D553" s="117"/>
      <c r="E553" s="320"/>
      <c r="F553" s="164"/>
      <c r="G553" s="320"/>
      <c r="H553" s="164"/>
      <c r="I553" s="327"/>
      <c r="J553" s="117"/>
      <c r="K553" s="327"/>
      <c r="L553" s="117"/>
      <c r="M553" s="327"/>
      <c r="N553" s="117"/>
      <c r="O553" s="320"/>
      <c r="P553" s="164"/>
      <c r="Q553" s="188"/>
      <c r="R553" s="188"/>
      <c r="S553" s="20"/>
      <c r="T553" s="20"/>
      <c r="U553" s="20"/>
      <c r="V553" s="20"/>
    </row>
    <row r="554">
      <c r="A554" s="320"/>
      <c r="B554" s="164"/>
      <c r="C554" s="320"/>
      <c r="D554" s="117"/>
      <c r="E554" s="320"/>
      <c r="F554" s="164"/>
      <c r="G554" s="320"/>
      <c r="H554" s="164"/>
      <c r="I554" s="327"/>
      <c r="J554" s="117"/>
      <c r="K554" s="327"/>
      <c r="L554" s="117"/>
      <c r="M554" s="327"/>
      <c r="N554" s="117"/>
      <c r="O554" s="320"/>
      <c r="P554" s="164"/>
      <c r="Q554" s="188"/>
      <c r="R554" s="188"/>
      <c r="S554" s="20"/>
      <c r="T554" s="20"/>
      <c r="U554" s="20"/>
      <c r="V554" s="20"/>
    </row>
    <row r="555">
      <c r="A555" s="320"/>
      <c r="B555" s="164"/>
      <c r="C555" s="320"/>
      <c r="D555" s="117"/>
      <c r="E555" s="320"/>
      <c r="F555" s="164"/>
      <c r="G555" s="320"/>
      <c r="H555" s="164"/>
      <c r="I555" s="327"/>
      <c r="J555" s="117"/>
      <c r="K555" s="327"/>
      <c r="L555" s="117"/>
      <c r="M555" s="327"/>
      <c r="N555" s="117"/>
      <c r="O555" s="320"/>
      <c r="P555" s="164"/>
      <c r="Q555" s="188"/>
      <c r="R555" s="188"/>
      <c r="S555" s="20"/>
      <c r="T555" s="20"/>
      <c r="U555" s="20"/>
      <c r="V555" s="20"/>
    </row>
    <row r="556">
      <c r="A556" s="320"/>
      <c r="B556" s="164"/>
      <c r="C556" s="320"/>
      <c r="D556" s="117"/>
      <c r="E556" s="320"/>
      <c r="F556" s="164"/>
      <c r="G556" s="320"/>
      <c r="H556" s="164"/>
      <c r="I556" s="327"/>
      <c r="J556" s="117"/>
      <c r="K556" s="327"/>
      <c r="L556" s="117"/>
      <c r="M556" s="327"/>
      <c r="N556" s="117"/>
      <c r="O556" s="320"/>
      <c r="P556" s="164"/>
      <c r="Q556" s="188"/>
      <c r="R556" s="188"/>
      <c r="S556" s="20"/>
      <c r="T556" s="20"/>
      <c r="U556" s="20"/>
      <c r="V556" s="20"/>
    </row>
    <row r="557">
      <c r="A557" s="320"/>
      <c r="B557" s="164"/>
      <c r="C557" s="320"/>
      <c r="D557" s="117"/>
      <c r="E557" s="320"/>
      <c r="F557" s="164"/>
      <c r="G557" s="320"/>
      <c r="H557" s="164"/>
      <c r="I557" s="327"/>
      <c r="J557" s="117"/>
      <c r="K557" s="327"/>
      <c r="L557" s="117"/>
      <c r="M557" s="327"/>
      <c r="N557" s="117"/>
      <c r="O557" s="320"/>
      <c r="P557" s="164"/>
      <c r="Q557" s="188"/>
      <c r="R557" s="188"/>
      <c r="S557" s="20"/>
      <c r="T557" s="20"/>
      <c r="U557" s="20"/>
      <c r="V557" s="20"/>
    </row>
    <row r="558">
      <c r="A558" s="320"/>
      <c r="B558" s="164"/>
      <c r="C558" s="320"/>
      <c r="D558" s="117"/>
      <c r="E558" s="320"/>
      <c r="F558" s="164"/>
      <c r="G558" s="320"/>
      <c r="H558" s="164"/>
      <c r="I558" s="327"/>
      <c r="J558" s="117"/>
      <c r="K558" s="327"/>
      <c r="L558" s="117"/>
      <c r="M558" s="327"/>
      <c r="N558" s="117"/>
      <c r="O558" s="320"/>
      <c r="P558" s="164"/>
      <c r="Q558" s="188"/>
      <c r="R558" s="188"/>
      <c r="S558" s="20"/>
      <c r="T558" s="20"/>
      <c r="U558" s="20"/>
      <c r="V558" s="20"/>
    </row>
    <row r="559">
      <c r="A559" s="320"/>
      <c r="B559" s="164"/>
      <c r="C559" s="320"/>
      <c r="D559" s="117"/>
      <c r="E559" s="320"/>
      <c r="F559" s="164"/>
      <c r="G559" s="320"/>
      <c r="H559" s="164"/>
      <c r="I559" s="327"/>
      <c r="J559" s="117"/>
      <c r="K559" s="327"/>
      <c r="L559" s="117"/>
      <c r="M559" s="327"/>
      <c r="N559" s="117"/>
      <c r="O559" s="320"/>
      <c r="P559" s="164"/>
      <c r="Q559" s="188"/>
      <c r="R559" s="188"/>
      <c r="S559" s="20"/>
      <c r="T559" s="20"/>
      <c r="U559" s="20"/>
      <c r="V559" s="20"/>
    </row>
    <row r="560">
      <c r="A560" s="320"/>
      <c r="B560" s="164"/>
      <c r="C560" s="320"/>
      <c r="D560" s="117"/>
      <c r="E560" s="320"/>
      <c r="F560" s="164"/>
      <c r="G560" s="320"/>
      <c r="H560" s="164"/>
      <c r="I560" s="327"/>
      <c r="J560" s="117"/>
      <c r="K560" s="327"/>
      <c r="L560" s="117"/>
      <c r="M560" s="327"/>
      <c r="N560" s="117"/>
      <c r="O560" s="320"/>
      <c r="P560" s="164"/>
      <c r="Q560" s="188"/>
      <c r="R560" s="188"/>
      <c r="S560" s="20"/>
      <c r="T560" s="20"/>
      <c r="U560" s="20"/>
      <c r="V560" s="20"/>
    </row>
    <row r="561">
      <c r="A561" s="320"/>
      <c r="B561" s="164"/>
      <c r="C561" s="320"/>
      <c r="D561" s="117"/>
      <c r="E561" s="320"/>
      <c r="F561" s="164"/>
      <c r="G561" s="320"/>
      <c r="H561" s="164"/>
      <c r="I561" s="327"/>
      <c r="J561" s="117"/>
      <c r="K561" s="327"/>
      <c r="L561" s="117"/>
      <c r="M561" s="327"/>
      <c r="N561" s="117"/>
      <c r="O561" s="320"/>
      <c r="P561" s="164"/>
      <c r="Q561" s="188"/>
      <c r="R561" s="188"/>
      <c r="S561" s="20"/>
      <c r="T561" s="20"/>
      <c r="U561" s="20"/>
      <c r="V561" s="20"/>
    </row>
    <row r="562">
      <c r="A562" s="320"/>
      <c r="B562" s="164"/>
      <c r="C562" s="320"/>
      <c r="D562" s="117"/>
      <c r="E562" s="320"/>
      <c r="F562" s="164"/>
      <c r="G562" s="320"/>
      <c r="H562" s="164"/>
      <c r="I562" s="327"/>
      <c r="J562" s="117"/>
      <c r="K562" s="327"/>
      <c r="L562" s="117"/>
      <c r="M562" s="327"/>
      <c r="N562" s="117"/>
      <c r="O562" s="320"/>
      <c r="P562" s="164"/>
      <c r="Q562" s="188"/>
      <c r="R562" s="188"/>
      <c r="S562" s="20"/>
      <c r="T562" s="20"/>
      <c r="U562" s="20"/>
      <c r="V562" s="20"/>
    </row>
    <row r="563">
      <c r="A563" s="320"/>
      <c r="B563" s="164"/>
      <c r="C563" s="320"/>
      <c r="D563" s="117"/>
      <c r="E563" s="320"/>
      <c r="F563" s="164"/>
      <c r="G563" s="320"/>
      <c r="H563" s="164"/>
      <c r="I563" s="327"/>
      <c r="J563" s="117"/>
      <c r="K563" s="327"/>
      <c r="L563" s="117"/>
      <c r="M563" s="327"/>
      <c r="N563" s="117"/>
      <c r="O563" s="320"/>
      <c r="P563" s="164"/>
      <c r="Q563" s="188"/>
      <c r="R563" s="188"/>
      <c r="S563" s="20"/>
      <c r="T563" s="20"/>
      <c r="U563" s="20"/>
      <c r="V563" s="20"/>
    </row>
    <row r="564">
      <c r="A564" s="320"/>
      <c r="B564" s="164"/>
      <c r="C564" s="320"/>
      <c r="D564" s="117"/>
      <c r="E564" s="320"/>
      <c r="F564" s="164"/>
      <c r="G564" s="320"/>
      <c r="H564" s="164"/>
      <c r="I564" s="327"/>
      <c r="J564" s="117"/>
      <c r="K564" s="327"/>
      <c r="L564" s="117"/>
      <c r="M564" s="327"/>
      <c r="N564" s="117"/>
      <c r="O564" s="320"/>
      <c r="P564" s="164"/>
      <c r="Q564" s="188"/>
      <c r="R564" s="188"/>
      <c r="S564" s="20"/>
      <c r="T564" s="20"/>
      <c r="U564" s="20"/>
      <c r="V564" s="20"/>
    </row>
    <row r="565">
      <c r="A565" s="320"/>
      <c r="B565" s="164"/>
      <c r="C565" s="320"/>
      <c r="D565" s="117"/>
      <c r="E565" s="320"/>
      <c r="F565" s="164"/>
      <c r="G565" s="320"/>
      <c r="H565" s="164"/>
      <c r="I565" s="327"/>
      <c r="J565" s="117"/>
      <c r="K565" s="327"/>
      <c r="L565" s="117"/>
      <c r="M565" s="327"/>
      <c r="N565" s="117"/>
      <c r="O565" s="320"/>
      <c r="P565" s="164"/>
      <c r="Q565" s="188"/>
      <c r="R565" s="188"/>
      <c r="S565" s="20"/>
      <c r="T565" s="20"/>
      <c r="U565" s="20"/>
      <c r="V565" s="20"/>
    </row>
    <row r="566">
      <c r="A566" s="320"/>
      <c r="B566" s="164"/>
      <c r="C566" s="320"/>
      <c r="D566" s="117"/>
      <c r="E566" s="320"/>
      <c r="F566" s="164"/>
      <c r="G566" s="320"/>
      <c r="H566" s="164"/>
      <c r="I566" s="327"/>
      <c r="J566" s="117"/>
      <c r="K566" s="327"/>
      <c r="L566" s="117"/>
      <c r="M566" s="327"/>
      <c r="N566" s="117"/>
      <c r="O566" s="320"/>
      <c r="P566" s="164"/>
      <c r="Q566" s="188"/>
      <c r="R566" s="188"/>
      <c r="S566" s="20"/>
      <c r="T566" s="20"/>
      <c r="U566" s="20"/>
      <c r="V566" s="20"/>
    </row>
    <row r="567">
      <c r="A567" s="320"/>
      <c r="B567" s="164"/>
      <c r="C567" s="320"/>
      <c r="D567" s="117"/>
      <c r="E567" s="320"/>
      <c r="F567" s="164"/>
      <c r="G567" s="320"/>
      <c r="H567" s="164"/>
      <c r="I567" s="327"/>
      <c r="J567" s="117"/>
      <c r="K567" s="327"/>
      <c r="L567" s="117"/>
      <c r="M567" s="327"/>
      <c r="N567" s="117"/>
      <c r="O567" s="320"/>
      <c r="P567" s="164"/>
      <c r="Q567" s="188"/>
      <c r="R567" s="188"/>
      <c r="S567" s="20"/>
      <c r="T567" s="20"/>
      <c r="U567" s="20"/>
      <c r="V567" s="20"/>
    </row>
    <row r="568">
      <c r="A568" s="320"/>
      <c r="B568" s="164"/>
      <c r="C568" s="320"/>
      <c r="D568" s="117"/>
      <c r="E568" s="320"/>
      <c r="F568" s="164"/>
      <c r="G568" s="320"/>
      <c r="H568" s="164"/>
      <c r="I568" s="327"/>
      <c r="J568" s="117"/>
      <c r="K568" s="327"/>
      <c r="L568" s="117"/>
      <c r="M568" s="327"/>
      <c r="N568" s="117"/>
      <c r="O568" s="320"/>
      <c r="P568" s="164"/>
      <c r="Q568" s="188"/>
      <c r="R568" s="188"/>
      <c r="S568" s="20"/>
      <c r="T568" s="20"/>
      <c r="U568" s="20"/>
      <c r="V568" s="20"/>
    </row>
    <row r="569">
      <c r="A569" s="320"/>
      <c r="B569" s="164"/>
      <c r="C569" s="320"/>
      <c r="D569" s="117"/>
      <c r="E569" s="320"/>
      <c r="F569" s="164"/>
      <c r="G569" s="320"/>
      <c r="H569" s="164"/>
      <c r="I569" s="327"/>
      <c r="J569" s="117"/>
      <c r="K569" s="327"/>
      <c r="L569" s="117"/>
      <c r="M569" s="327"/>
      <c r="N569" s="117"/>
      <c r="O569" s="320"/>
      <c r="P569" s="164"/>
      <c r="Q569" s="188"/>
      <c r="R569" s="188"/>
      <c r="S569" s="20"/>
      <c r="T569" s="20"/>
      <c r="U569" s="20"/>
      <c r="V569" s="20"/>
    </row>
    <row r="570">
      <c r="A570" s="320"/>
      <c r="B570" s="164"/>
      <c r="C570" s="320"/>
      <c r="D570" s="117"/>
      <c r="E570" s="320"/>
      <c r="F570" s="164"/>
      <c r="G570" s="320"/>
      <c r="H570" s="164"/>
      <c r="I570" s="327"/>
      <c r="J570" s="117"/>
      <c r="K570" s="327"/>
      <c r="L570" s="117"/>
      <c r="M570" s="327"/>
      <c r="N570" s="117"/>
      <c r="O570" s="320"/>
      <c r="P570" s="164"/>
      <c r="Q570" s="188"/>
      <c r="R570" s="188"/>
      <c r="S570" s="20"/>
      <c r="T570" s="20"/>
      <c r="U570" s="20"/>
      <c r="V570" s="20"/>
    </row>
    <row r="571">
      <c r="A571" s="320"/>
      <c r="B571" s="164"/>
      <c r="C571" s="320"/>
      <c r="D571" s="117"/>
      <c r="E571" s="320"/>
      <c r="F571" s="164"/>
      <c r="G571" s="320"/>
      <c r="H571" s="164"/>
      <c r="I571" s="327"/>
      <c r="J571" s="117"/>
      <c r="K571" s="327"/>
      <c r="L571" s="117"/>
      <c r="M571" s="327"/>
      <c r="N571" s="117"/>
      <c r="O571" s="320"/>
      <c r="P571" s="164"/>
      <c r="Q571" s="188"/>
      <c r="R571" s="188"/>
      <c r="S571" s="20"/>
      <c r="T571" s="20"/>
      <c r="U571" s="20"/>
      <c r="V571" s="20"/>
    </row>
    <row r="572">
      <c r="A572" s="320"/>
      <c r="B572" s="164"/>
      <c r="C572" s="320"/>
      <c r="D572" s="117"/>
      <c r="E572" s="320"/>
      <c r="F572" s="164"/>
      <c r="G572" s="320"/>
      <c r="H572" s="164"/>
      <c r="I572" s="327"/>
      <c r="J572" s="117"/>
      <c r="K572" s="327"/>
      <c r="L572" s="117"/>
      <c r="M572" s="327"/>
      <c r="N572" s="117"/>
      <c r="O572" s="320"/>
      <c r="P572" s="164"/>
      <c r="Q572" s="188"/>
      <c r="R572" s="188"/>
      <c r="S572" s="20"/>
      <c r="T572" s="20"/>
      <c r="U572" s="20"/>
      <c r="V572" s="20"/>
    </row>
    <row r="573">
      <c r="A573" s="320"/>
      <c r="B573" s="164"/>
      <c r="C573" s="320"/>
      <c r="D573" s="117"/>
      <c r="E573" s="320"/>
      <c r="F573" s="164"/>
      <c r="G573" s="320"/>
      <c r="H573" s="164"/>
      <c r="I573" s="327"/>
      <c r="J573" s="117"/>
      <c r="K573" s="327"/>
      <c r="L573" s="117"/>
      <c r="M573" s="327"/>
      <c r="N573" s="117"/>
      <c r="O573" s="320"/>
      <c r="P573" s="164"/>
      <c r="Q573" s="188"/>
      <c r="R573" s="188"/>
      <c r="S573" s="20"/>
      <c r="T573" s="20"/>
      <c r="U573" s="20"/>
      <c r="V573" s="20"/>
    </row>
    <row r="574">
      <c r="A574" s="320"/>
      <c r="B574" s="164"/>
      <c r="C574" s="320"/>
      <c r="D574" s="117"/>
      <c r="E574" s="320"/>
      <c r="F574" s="164"/>
      <c r="G574" s="320"/>
      <c r="H574" s="164"/>
      <c r="I574" s="327"/>
      <c r="J574" s="117"/>
      <c r="K574" s="327"/>
      <c r="L574" s="117"/>
      <c r="M574" s="327"/>
      <c r="N574" s="117"/>
      <c r="O574" s="320"/>
      <c r="P574" s="164"/>
      <c r="Q574" s="188"/>
      <c r="R574" s="188"/>
      <c r="S574" s="20"/>
      <c r="T574" s="20"/>
      <c r="U574" s="20"/>
      <c r="V574" s="20"/>
    </row>
    <row r="575">
      <c r="A575" s="320"/>
      <c r="B575" s="164"/>
      <c r="C575" s="320"/>
      <c r="D575" s="117"/>
      <c r="E575" s="320"/>
      <c r="F575" s="164"/>
      <c r="G575" s="320"/>
      <c r="H575" s="164"/>
      <c r="I575" s="327"/>
      <c r="J575" s="117"/>
      <c r="K575" s="327"/>
      <c r="L575" s="117"/>
      <c r="M575" s="327"/>
      <c r="N575" s="117"/>
      <c r="O575" s="320"/>
      <c r="P575" s="164"/>
      <c r="Q575" s="188"/>
      <c r="R575" s="188"/>
      <c r="S575" s="20"/>
      <c r="T575" s="20"/>
      <c r="U575" s="20"/>
      <c r="V575" s="20"/>
    </row>
    <row r="576">
      <c r="A576" s="320"/>
      <c r="B576" s="164"/>
      <c r="C576" s="320"/>
      <c r="D576" s="117"/>
      <c r="E576" s="320"/>
      <c r="F576" s="164"/>
      <c r="G576" s="320"/>
      <c r="H576" s="164"/>
      <c r="I576" s="327"/>
      <c r="J576" s="117"/>
      <c r="K576" s="327"/>
      <c r="L576" s="117"/>
      <c r="M576" s="327"/>
      <c r="N576" s="117"/>
      <c r="O576" s="320"/>
      <c r="P576" s="164"/>
      <c r="Q576" s="188"/>
      <c r="R576" s="188"/>
      <c r="S576" s="20"/>
      <c r="T576" s="20"/>
      <c r="U576" s="20"/>
      <c r="V576" s="20"/>
    </row>
    <row r="577">
      <c r="A577" s="320"/>
      <c r="B577" s="164"/>
      <c r="C577" s="320"/>
      <c r="D577" s="117"/>
      <c r="E577" s="320"/>
      <c r="F577" s="164"/>
      <c r="G577" s="320"/>
      <c r="H577" s="164"/>
      <c r="I577" s="327"/>
      <c r="J577" s="117"/>
      <c r="K577" s="327"/>
      <c r="L577" s="117"/>
      <c r="M577" s="327"/>
      <c r="N577" s="117"/>
      <c r="O577" s="320"/>
      <c r="P577" s="164"/>
      <c r="Q577" s="188"/>
      <c r="R577" s="188"/>
      <c r="S577" s="20"/>
      <c r="T577" s="20"/>
      <c r="U577" s="20"/>
      <c r="V577" s="20"/>
    </row>
    <row r="578">
      <c r="A578" s="320"/>
      <c r="B578" s="164"/>
      <c r="C578" s="320"/>
      <c r="D578" s="117"/>
      <c r="E578" s="320"/>
      <c r="F578" s="164"/>
      <c r="G578" s="320"/>
      <c r="H578" s="164"/>
      <c r="I578" s="327"/>
      <c r="J578" s="117"/>
      <c r="K578" s="327"/>
      <c r="L578" s="117"/>
      <c r="M578" s="327"/>
      <c r="N578" s="117"/>
      <c r="O578" s="320"/>
      <c r="P578" s="164"/>
      <c r="Q578" s="188"/>
      <c r="R578" s="188"/>
      <c r="S578" s="20"/>
      <c r="T578" s="20"/>
      <c r="U578" s="20"/>
      <c r="V578" s="20"/>
    </row>
    <row r="579">
      <c r="A579" s="320"/>
      <c r="B579" s="164"/>
      <c r="C579" s="320"/>
      <c r="D579" s="117"/>
      <c r="E579" s="320"/>
      <c r="F579" s="164"/>
      <c r="G579" s="320"/>
      <c r="H579" s="164"/>
      <c r="I579" s="327"/>
      <c r="J579" s="117"/>
      <c r="K579" s="327"/>
      <c r="L579" s="117"/>
      <c r="M579" s="327"/>
      <c r="N579" s="117"/>
      <c r="O579" s="320"/>
      <c r="P579" s="164"/>
      <c r="Q579" s="188"/>
      <c r="R579" s="188"/>
      <c r="S579" s="20"/>
      <c r="T579" s="20"/>
      <c r="U579" s="20"/>
      <c r="V579" s="20"/>
    </row>
    <row r="580">
      <c r="A580" s="320"/>
      <c r="B580" s="164"/>
      <c r="C580" s="320"/>
      <c r="D580" s="117"/>
      <c r="E580" s="320"/>
      <c r="F580" s="164"/>
      <c r="G580" s="320"/>
      <c r="H580" s="164"/>
      <c r="I580" s="327"/>
      <c r="J580" s="117"/>
      <c r="K580" s="327"/>
      <c r="L580" s="117"/>
      <c r="M580" s="327"/>
      <c r="N580" s="117"/>
      <c r="O580" s="320"/>
      <c r="P580" s="164"/>
      <c r="Q580" s="188"/>
      <c r="R580" s="188"/>
      <c r="S580" s="20"/>
      <c r="T580" s="20"/>
      <c r="U580" s="20"/>
      <c r="V580" s="20"/>
    </row>
    <row r="581">
      <c r="A581" s="320"/>
      <c r="B581" s="164"/>
      <c r="C581" s="320"/>
      <c r="D581" s="117"/>
      <c r="E581" s="320"/>
      <c r="F581" s="164"/>
      <c r="G581" s="320"/>
      <c r="H581" s="164"/>
      <c r="I581" s="327"/>
      <c r="J581" s="117"/>
      <c r="K581" s="327"/>
      <c r="L581" s="117"/>
      <c r="M581" s="327"/>
      <c r="N581" s="117"/>
      <c r="O581" s="320"/>
      <c r="P581" s="164"/>
      <c r="Q581" s="188"/>
      <c r="R581" s="188"/>
      <c r="S581" s="20"/>
      <c r="T581" s="20"/>
      <c r="U581" s="20"/>
      <c r="V581" s="20"/>
    </row>
    <row r="582">
      <c r="A582" s="320"/>
      <c r="B582" s="164"/>
      <c r="C582" s="320"/>
      <c r="D582" s="117"/>
      <c r="E582" s="320"/>
      <c r="F582" s="164"/>
      <c r="G582" s="320"/>
      <c r="H582" s="164"/>
      <c r="I582" s="327"/>
      <c r="J582" s="117"/>
      <c r="K582" s="327"/>
      <c r="L582" s="117"/>
      <c r="M582" s="327"/>
      <c r="N582" s="117"/>
      <c r="O582" s="320"/>
      <c r="P582" s="164"/>
      <c r="Q582" s="188"/>
      <c r="R582" s="188"/>
      <c r="S582" s="20"/>
      <c r="T582" s="20"/>
      <c r="U582" s="20"/>
      <c r="V582" s="20"/>
    </row>
    <row r="583">
      <c r="A583" s="320"/>
      <c r="B583" s="164"/>
      <c r="C583" s="320"/>
      <c r="D583" s="117"/>
      <c r="E583" s="320"/>
      <c r="F583" s="164"/>
      <c r="G583" s="320"/>
      <c r="H583" s="164"/>
      <c r="I583" s="327"/>
      <c r="J583" s="117"/>
      <c r="K583" s="327"/>
      <c r="L583" s="117"/>
      <c r="M583" s="327"/>
      <c r="N583" s="117"/>
      <c r="O583" s="320"/>
      <c r="P583" s="164"/>
      <c r="Q583" s="188"/>
      <c r="R583" s="188"/>
      <c r="S583" s="20"/>
      <c r="T583" s="20"/>
      <c r="U583" s="20"/>
      <c r="V583" s="20"/>
    </row>
    <row r="584">
      <c r="A584" s="320"/>
      <c r="B584" s="164"/>
      <c r="C584" s="320"/>
      <c r="D584" s="117"/>
      <c r="E584" s="320"/>
      <c r="F584" s="164"/>
      <c r="G584" s="320"/>
      <c r="H584" s="164"/>
      <c r="I584" s="327"/>
      <c r="J584" s="117"/>
      <c r="K584" s="327"/>
      <c r="L584" s="117"/>
      <c r="M584" s="327"/>
      <c r="N584" s="117"/>
      <c r="O584" s="320"/>
      <c r="P584" s="164"/>
      <c r="Q584" s="188"/>
      <c r="R584" s="188"/>
      <c r="S584" s="20"/>
      <c r="T584" s="20"/>
      <c r="U584" s="20"/>
      <c r="V584" s="20"/>
    </row>
    <row r="585">
      <c r="A585" s="320"/>
      <c r="B585" s="164"/>
      <c r="C585" s="320"/>
      <c r="D585" s="117"/>
      <c r="E585" s="320"/>
      <c r="F585" s="164"/>
      <c r="G585" s="320"/>
      <c r="H585" s="164"/>
      <c r="I585" s="327"/>
      <c r="J585" s="117"/>
      <c r="K585" s="327"/>
      <c r="L585" s="117"/>
      <c r="M585" s="327"/>
      <c r="N585" s="117"/>
      <c r="O585" s="320"/>
      <c r="P585" s="164"/>
      <c r="Q585" s="188"/>
      <c r="R585" s="188"/>
      <c r="S585" s="20"/>
      <c r="T585" s="20"/>
      <c r="U585" s="20"/>
      <c r="V585" s="20"/>
    </row>
    <row r="586">
      <c r="A586" s="320"/>
      <c r="B586" s="164"/>
      <c r="C586" s="320"/>
      <c r="D586" s="117"/>
      <c r="E586" s="320"/>
      <c r="F586" s="164"/>
      <c r="G586" s="320"/>
      <c r="H586" s="164"/>
      <c r="I586" s="327"/>
      <c r="J586" s="117"/>
      <c r="K586" s="327"/>
      <c r="L586" s="117"/>
      <c r="M586" s="327"/>
      <c r="N586" s="117"/>
      <c r="O586" s="320"/>
      <c r="P586" s="164"/>
      <c r="Q586" s="188"/>
      <c r="R586" s="188"/>
      <c r="S586" s="20"/>
      <c r="T586" s="20"/>
      <c r="U586" s="20"/>
      <c r="V586" s="20"/>
    </row>
    <row r="587">
      <c r="A587" s="320"/>
      <c r="B587" s="164"/>
      <c r="C587" s="320"/>
      <c r="D587" s="117"/>
      <c r="E587" s="320"/>
      <c r="F587" s="164"/>
      <c r="G587" s="320"/>
      <c r="H587" s="164"/>
      <c r="I587" s="327"/>
      <c r="J587" s="117"/>
      <c r="K587" s="327"/>
      <c r="L587" s="117"/>
      <c r="M587" s="327"/>
      <c r="N587" s="117"/>
      <c r="O587" s="320"/>
      <c r="P587" s="164"/>
      <c r="Q587" s="188"/>
      <c r="R587" s="188"/>
      <c r="S587" s="20"/>
      <c r="T587" s="20"/>
      <c r="U587" s="20"/>
      <c r="V587" s="20"/>
    </row>
    <row r="588">
      <c r="A588" s="320"/>
      <c r="B588" s="164"/>
      <c r="C588" s="320"/>
      <c r="D588" s="117"/>
      <c r="E588" s="320"/>
      <c r="F588" s="164"/>
      <c r="G588" s="320"/>
      <c r="H588" s="164"/>
      <c r="I588" s="327"/>
      <c r="J588" s="117"/>
      <c r="K588" s="327"/>
      <c r="L588" s="117"/>
      <c r="M588" s="327"/>
      <c r="N588" s="117"/>
      <c r="O588" s="320"/>
      <c r="P588" s="164"/>
      <c r="Q588" s="188"/>
      <c r="R588" s="188"/>
      <c r="S588" s="20"/>
      <c r="T588" s="20"/>
      <c r="U588" s="20"/>
      <c r="V588" s="20"/>
    </row>
    <row r="589">
      <c r="A589" s="320"/>
      <c r="B589" s="164"/>
      <c r="C589" s="320"/>
      <c r="D589" s="117"/>
      <c r="E589" s="320"/>
      <c r="F589" s="164"/>
      <c r="G589" s="320"/>
      <c r="H589" s="164"/>
      <c r="I589" s="327"/>
      <c r="J589" s="117"/>
      <c r="K589" s="327"/>
      <c r="L589" s="117"/>
      <c r="M589" s="327"/>
      <c r="N589" s="117"/>
      <c r="O589" s="320"/>
      <c r="P589" s="164"/>
      <c r="Q589" s="188"/>
      <c r="R589" s="188"/>
      <c r="S589" s="20"/>
      <c r="T589" s="20"/>
      <c r="U589" s="20"/>
      <c r="V589" s="20"/>
    </row>
    <row r="590">
      <c r="A590" s="320"/>
      <c r="B590" s="164"/>
      <c r="C590" s="320"/>
      <c r="D590" s="117"/>
      <c r="E590" s="320"/>
      <c r="F590" s="164"/>
      <c r="G590" s="320"/>
      <c r="H590" s="164"/>
      <c r="I590" s="327"/>
      <c r="J590" s="117"/>
      <c r="K590" s="327"/>
      <c r="L590" s="117"/>
      <c r="M590" s="327"/>
      <c r="N590" s="117"/>
      <c r="O590" s="320"/>
      <c r="P590" s="164"/>
      <c r="Q590" s="188"/>
      <c r="R590" s="188"/>
      <c r="S590" s="20"/>
      <c r="T590" s="20"/>
      <c r="U590" s="20"/>
      <c r="V590" s="20"/>
    </row>
    <row r="591">
      <c r="A591" s="320"/>
      <c r="B591" s="164"/>
      <c r="C591" s="320"/>
      <c r="D591" s="117"/>
      <c r="E591" s="320"/>
      <c r="F591" s="164"/>
      <c r="G591" s="320"/>
      <c r="H591" s="164"/>
      <c r="I591" s="327"/>
      <c r="J591" s="117"/>
      <c r="K591" s="327"/>
      <c r="L591" s="117"/>
      <c r="M591" s="327"/>
      <c r="N591" s="117"/>
      <c r="O591" s="320"/>
      <c r="P591" s="164"/>
      <c r="Q591" s="188"/>
      <c r="R591" s="188"/>
      <c r="S591" s="20"/>
      <c r="T591" s="20"/>
      <c r="U591" s="20"/>
      <c r="V591" s="20"/>
    </row>
    <row r="592">
      <c r="A592" s="320"/>
      <c r="B592" s="164"/>
      <c r="C592" s="320"/>
      <c r="D592" s="117"/>
      <c r="E592" s="320"/>
      <c r="F592" s="164"/>
      <c r="G592" s="320"/>
      <c r="H592" s="164"/>
      <c r="I592" s="327"/>
      <c r="J592" s="117"/>
      <c r="K592" s="327"/>
      <c r="L592" s="117"/>
      <c r="M592" s="327"/>
      <c r="N592" s="117"/>
      <c r="O592" s="320"/>
      <c r="P592" s="164"/>
      <c r="Q592" s="188"/>
      <c r="R592" s="188"/>
      <c r="S592" s="20"/>
      <c r="T592" s="20"/>
      <c r="U592" s="20"/>
      <c r="V592" s="20"/>
    </row>
    <row r="593">
      <c r="A593" s="320"/>
      <c r="B593" s="164"/>
      <c r="C593" s="320"/>
      <c r="D593" s="117"/>
      <c r="E593" s="320"/>
      <c r="F593" s="164"/>
      <c r="G593" s="320"/>
      <c r="H593" s="164"/>
      <c r="I593" s="327"/>
      <c r="J593" s="117"/>
      <c r="K593" s="327"/>
      <c r="L593" s="117"/>
      <c r="M593" s="327"/>
      <c r="N593" s="117"/>
      <c r="O593" s="320"/>
      <c r="P593" s="164"/>
      <c r="Q593" s="188"/>
      <c r="R593" s="188"/>
      <c r="S593" s="20"/>
      <c r="T593" s="20"/>
      <c r="U593" s="20"/>
      <c r="V593" s="20"/>
    </row>
    <row r="594">
      <c r="A594" s="320"/>
      <c r="B594" s="164"/>
      <c r="C594" s="320"/>
      <c r="D594" s="117"/>
      <c r="E594" s="320"/>
      <c r="F594" s="164"/>
      <c r="G594" s="320"/>
      <c r="H594" s="164"/>
      <c r="I594" s="327"/>
      <c r="J594" s="117"/>
      <c r="K594" s="327"/>
      <c r="L594" s="117"/>
      <c r="M594" s="327"/>
      <c r="N594" s="117"/>
      <c r="O594" s="320"/>
      <c r="P594" s="164"/>
      <c r="Q594" s="188"/>
      <c r="R594" s="188"/>
      <c r="S594" s="20"/>
      <c r="T594" s="20"/>
      <c r="U594" s="20"/>
      <c r="V594" s="20"/>
    </row>
    <row r="595">
      <c r="A595" s="320"/>
      <c r="B595" s="164"/>
      <c r="C595" s="320"/>
      <c r="D595" s="117"/>
      <c r="E595" s="320"/>
      <c r="F595" s="164"/>
      <c r="G595" s="320"/>
      <c r="H595" s="164"/>
      <c r="I595" s="327"/>
      <c r="J595" s="117"/>
      <c r="K595" s="327"/>
      <c r="L595" s="117"/>
      <c r="M595" s="327"/>
      <c r="N595" s="117"/>
      <c r="O595" s="320"/>
      <c r="P595" s="164"/>
      <c r="Q595" s="188"/>
      <c r="R595" s="188"/>
      <c r="S595" s="20"/>
      <c r="T595" s="20"/>
      <c r="U595" s="20"/>
      <c r="V595" s="20"/>
    </row>
    <row r="596">
      <c r="A596" s="320"/>
      <c r="B596" s="164"/>
      <c r="C596" s="320"/>
      <c r="D596" s="117"/>
      <c r="E596" s="320"/>
      <c r="F596" s="164"/>
      <c r="G596" s="320"/>
      <c r="H596" s="164"/>
      <c r="I596" s="327"/>
      <c r="J596" s="117"/>
      <c r="K596" s="327"/>
      <c r="L596" s="117"/>
      <c r="M596" s="327"/>
      <c r="N596" s="117"/>
      <c r="O596" s="320"/>
      <c r="P596" s="164"/>
      <c r="Q596" s="188"/>
      <c r="R596" s="188"/>
      <c r="S596" s="20"/>
      <c r="T596" s="20"/>
      <c r="U596" s="20"/>
      <c r="V596" s="20"/>
    </row>
    <row r="597">
      <c r="A597" s="320"/>
      <c r="B597" s="164"/>
      <c r="C597" s="320"/>
      <c r="D597" s="117"/>
      <c r="E597" s="320"/>
      <c r="F597" s="164"/>
      <c r="G597" s="320"/>
      <c r="H597" s="164"/>
      <c r="I597" s="327"/>
      <c r="J597" s="117"/>
      <c r="K597" s="327"/>
      <c r="L597" s="117"/>
      <c r="M597" s="327"/>
      <c r="N597" s="117"/>
      <c r="O597" s="320"/>
      <c r="P597" s="164"/>
      <c r="Q597" s="188"/>
      <c r="R597" s="188"/>
      <c r="S597" s="20"/>
      <c r="T597" s="20"/>
      <c r="U597" s="20"/>
      <c r="V597" s="20"/>
    </row>
    <row r="598">
      <c r="A598" s="320"/>
      <c r="B598" s="164"/>
      <c r="C598" s="320"/>
      <c r="D598" s="117"/>
      <c r="E598" s="320"/>
      <c r="F598" s="164"/>
      <c r="G598" s="320"/>
      <c r="H598" s="164"/>
      <c r="I598" s="327"/>
      <c r="J598" s="117"/>
      <c r="K598" s="327"/>
      <c r="L598" s="117"/>
      <c r="M598" s="327"/>
      <c r="N598" s="117"/>
      <c r="O598" s="320"/>
      <c r="P598" s="164"/>
      <c r="Q598" s="188"/>
      <c r="R598" s="188"/>
      <c r="S598" s="20"/>
      <c r="T598" s="20"/>
      <c r="U598" s="20"/>
      <c r="V598" s="20"/>
    </row>
    <row r="599">
      <c r="A599" s="320"/>
      <c r="B599" s="164"/>
      <c r="C599" s="320"/>
      <c r="D599" s="117"/>
      <c r="E599" s="320"/>
      <c r="F599" s="164"/>
      <c r="G599" s="320"/>
      <c r="H599" s="164"/>
      <c r="I599" s="327"/>
      <c r="J599" s="117"/>
      <c r="K599" s="327"/>
      <c r="L599" s="117"/>
      <c r="M599" s="327"/>
      <c r="N599" s="117"/>
      <c r="O599" s="320"/>
      <c r="P599" s="164"/>
      <c r="Q599" s="188"/>
      <c r="R599" s="188"/>
      <c r="S599" s="20"/>
      <c r="T599" s="20"/>
      <c r="U599" s="20"/>
      <c r="V599" s="20"/>
    </row>
    <row r="600">
      <c r="A600" s="320"/>
      <c r="B600" s="164"/>
      <c r="C600" s="320"/>
      <c r="D600" s="117"/>
      <c r="E600" s="320"/>
      <c r="F600" s="164"/>
      <c r="G600" s="320"/>
      <c r="H600" s="164"/>
      <c r="I600" s="327"/>
      <c r="J600" s="117"/>
      <c r="K600" s="327"/>
      <c r="L600" s="117"/>
      <c r="M600" s="327"/>
      <c r="N600" s="117"/>
      <c r="O600" s="320"/>
      <c r="P600" s="164"/>
      <c r="Q600" s="188"/>
      <c r="R600" s="188"/>
      <c r="S600" s="20"/>
      <c r="T600" s="20"/>
      <c r="U600" s="20"/>
      <c r="V600" s="20"/>
    </row>
    <row r="601">
      <c r="A601" s="320"/>
      <c r="B601" s="164"/>
      <c r="C601" s="320"/>
      <c r="D601" s="117"/>
      <c r="E601" s="320"/>
      <c r="F601" s="164"/>
      <c r="G601" s="320"/>
      <c r="H601" s="164"/>
      <c r="I601" s="327"/>
      <c r="J601" s="117"/>
      <c r="K601" s="327"/>
      <c r="L601" s="117"/>
      <c r="M601" s="327"/>
      <c r="N601" s="117"/>
      <c r="O601" s="320"/>
      <c r="P601" s="164"/>
      <c r="Q601" s="188"/>
      <c r="R601" s="188"/>
      <c r="S601" s="20"/>
      <c r="T601" s="20"/>
      <c r="U601" s="20"/>
      <c r="V601" s="20"/>
    </row>
    <row r="602">
      <c r="A602" s="320"/>
      <c r="B602" s="164"/>
      <c r="C602" s="320"/>
      <c r="D602" s="117"/>
      <c r="E602" s="320"/>
      <c r="F602" s="164"/>
      <c r="G602" s="320"/>
      <c r="H602" s="164"/>
      <c r="I602" s="327"/>
      <c r="J602" s="117"/>
      <c r="K602" s="327"/>
      <c r="L602" s="117"/>
      <c r="M602" s="327"/>
      <c r="N602" s="117"/>
      <c r="O602" s="320"/>
      <c r="P602" s="164"/>
      <c r="Q602" s="188"/>
      <c r="R602" s="188"/>
      <c r="S602" s="20"/>
      <c r="T602" s="20"/>
      <c r="U602" s="20"/>
      <c r="V602" s="20"/>
    </row>
    <row r="603">
      <c r="A603" s="320"/>
      <c r="B603" s="164"/>
      <c r="C603" s="320"/>
      <c r="D603" s="117"/>
      <c r="E603" s="320"/>
      <c r="F603" s="164"/>
      <c r="G603" s="320"/>
      <c r="H603" s="164"/>
      <c r="I603" s="327"/>
      <c r="J603" s="117"/>
      <c r="K603" s="327"/>
      <c r="L603" s="117"/>
      <c r="M603" s="327"/>
      <c r="N603" s="117"/>
      <c r="O603" s="320"/>
      <c r="P603" s="164"/>
      <c r="Q603" s="188"/>
      <c r="R603" s="188"/>
      <c r="S603" s="20"/>
      <c r="T603" s="20"/>
      <c r="U603" s="20"/>
      <c r="V603" s="20"/>
    </row>
    <row r="604">
      <c r="A604" s="320"/>
      <c r="B604" s="164"/>
      <c r="C604" s="320"/>
      <c r="D604" s="117"/>
      <c r="E604" s="320"/>
      <c r="F604" s="164"/>
      <c r="G604" s="320"/>
      <c r="H604" s="164"/>
      <c r="I604" s="327"/>
      <c r="J604" s="117"/>
      <c r="K604" s="327"/>
      <c r="L604" s="117"/>
      <c r="M604" s="327"/>
      <c r="N604" s="117"/>
      <c r="O604" s="320"/>
      <c r="P604" s="164"/>
      <c r="Q604" s="188"/>
      <c r="R604" s="188"/>
      <c r="S604" s="20"/>
      <c r="T604" s="20"/>
      <c r="U604" s="20"/>
      <c r="V604" s="20"/>
    </row>
    <row r="605">
      <c r="A605" s="320"/>
      <c r="B605" s="164"/>
      <c r="C605" s="320"/>
      <c r="D605" s="117"/>
      <c r="E605" s="320"/>
      <c r="F605" s="164"/>
      <c r="G605" s="320"/>
      <c r="H605" s="164"/>
      <c r="I605" s="327"/>
      <c r="J605" s="117"/>
      <c r="K605" s="327"/>
      <c r="L605" s="117"/>
      <c r="M605" s="327"/>
      <c r="N605" s="117"/>
      <c r="O605" s="320"/>
      <c r="P605" s="164"/>
      <c r="Q605" s="188"/>
      <c r="R605" s="188"/>
      <c r="S605" s="20"/>
      <c r="T605" s="20"/>
      <c r="U605" s="20"/>
      <c r="V605" s="20"/>
    </row>
    <row r="606">
      <c r="A606" s="320"/>
      <c r="B606" s="164"/>
      <c r="C606" s="320"/>
      <c r="D606" s="117"/>
      <c r="E606" s="320"/>
      <c r="F606" s="164"/>
      <c r="G606" s="320"/>
      <c r="H606" s="164"/>
      <c r="I606" s="327"/>
      <c r="J606" s="117"/>
      <c r="K606" s="327"/>
      <c r="L606" s="117"/>
      <c r="M606" s="327"/>
      <c r="N606" s="117"/>
      <c r="O606" s="320"/>
      <c r="P606" s="164"/>
      <c r="Q606" s="188"/>
      <c r="R606" s="188"/>
      <c r="S606" s="20"/>
      <c r="T606" s="20"/>
      <c r="U606" s="20"/>
      <c r="V606" s="20"/>
    </row>
    <row r="607">
      <c r="A607" s="320"/>
      <c r="B607" s="164"/>
      <c r="C607" s="320"/>
      <c r="D607" s="117"/>
      <c r="E607" s="320"/>
      <c r="F607" s="164"/>
      <c r="G607" s="320"/>
      <c r="H607" s="164"/>
      <c r="I607" s="327"/>
      <c r="J607" s="117"/>
      <c r="K607" s="327"/>
      <c r="L607" s="117"/>
      <c r="M607" s="327"/>
      <c r="N607" s="117"/>
      <c r="O607" s="320"/>
      <c r="P607" s="164"/>
      <c r="Q607" s="188"/>
      <c r="R607" s="188"/>
      <c r="S607" s="20"/>
      <c r="T607" s="20"/>
      <c r="U607" s="20"/>
      <c r="V607" s="20"/>
    </row>
    <row r="608">
      <c r="A608" s="320"/>
      <c r="B608" s="164"/>
      <c r="C608" s="320"/>
      <c r="D608" s="117"/>
      <c r="E608" s="320"/>
      <c r="F608" s="164"/>
      <c r="G608" s="320"/>
      <c r="H608" s="164"/>
      <c r="I608" s="327"/>
      <c r="J608" s="117"/>
      <c r="K608" s="327"/>
      <c r="L608" s="117"/>
      <c r="M608" s="327"/>
      <c r="N608" s="117"/>
      <c r="O608" s="320"/>
      <c r="P608" s="164"/>
      <c r="Q608" s="188"/>
      <c r="R608" s="188"/>
      <c r="S608" s="20"/>
      <c r="T608" s="20"/>
      <c r="U608" s="20"/>
      <c r="V608" s="20"/>
    </row>
    <row r="609">
      <c r="A609" s="320"/>
      <c r="B609" s="164"/>
      <c r="C609" s="320"/>
      <c r="D609" s="117"/>
      <c r="E609" s="320"/>
      <c r="F609" s="164"/>
      <c r="G609" s="320"/>
      <c r="H609" s="164"/>
      <c r="I609" s="327"/>
      <c r="J609" s="117"/>
      <c r="K609" s="327"/>
      <c r="L609" s="117"/>
      <c r="M609" s="327"/>
      <c r="N609" s="117"/>
      <c r="O609" s="320"/>
      <c r="P609" s="164"/>
      <c r="Q609" s="188"/>
      <c r="R609" s="188"/>
      <c r="S609" s="20"/>
      <c r="T609" s="20"/>
      <c r="U609" s="20"/>
      <c r="V609" s="20"/>
    </row>
    <row r="610">
      <c r="A610" s="320"/>
      <c r="B610" s="164"/>
      <c r="C610" s="320"/>
      <c r="D610" s="117"/>
      <c r="E610" s="320"/>
      <c r="F610" s="164"/>
      <c r="G610" s="320"/>
      <c r="H610" s="164"/>
      <c r="I610" s="327"/>
      <c r="J610" s="117"/>
      <c r="K610" s="327"/>
      <c r="L610" s="117"/>
      <c r="M610" s="327"/>
      <c r="N610" s="117"/>
      <c r="O610" s="320"/>
      <c r="P610" s="164"/>
      <c r="Q610" s="188"/>
      <c r="R610" s="188"/>
      <c r="S610" s="20"/>
      <c r="T610" s="20"/>
      <c r="U610" s="20"/>
      <c r="V610" s="20"/>
    </row>
    <row r="611">
      <c r="A611" s="320"/>
      <c r="B611" s="164"/>
      <c r="C611" s="320"/>
      <c r="D611" s="117"/>
      <c r="E611" s="320"/>
      <c r="F611" s="164"/>
      <c r="G611" s="320"/>
      <c r="H611" s="164"/>
      <c r="I611" s="327"/>
      <c r="J611" s="117"/>
      <c r="K611" s="327"/>
      <c r="L611" s="117"/>
      <c r="M611" s="327"/>
      <c r="N611" s="117"/>
      <c r="O611" s="320"/>
      <c r="P611" s="164"/>
      <c r="Q611" s="188"/>
      <c r="R611" s="188"/>
      <c r="S611" s="20"/>
      <c r="T611" s="20"/>
      <c r="U611" s="20"/>
      <c r="V611" s="20"/>
    </row>
    <row r="612">
      <c r="A612" s="320"/>
      <c r="B612" s="164"/>
      <c r="C612" s="320"/>
      <c r="D612" s="117"/>
      <c r="E612" s="320"/>
      <c r="F612" s="164"/>
      <c r="G612" s="320"/>
      <c r="H612" s="164"/>
      <c r="I612" s="327"/>
      <c r="J612" s="117"/>
      <c r="K612" s="327"/>
      <c r="L612" s="117"/>
      <c r="M612" s="327"/>
      <c r="N612" s="117"/>
      <c r="O612" s="320"/>
      <c r="P612" s="164"/>
      <c r="Q612" s="188"/>
      <c r="R612" s="188"/>
      <c r="S612" s="20"/>
      <c r="T612" s="20"/>
      <c r="U612" s="20"/>
      <c r="V612" s="20"/>
    </row>
    <row r="613">
      <c r="A613" s="320"/>
      <c r="B613" s="164"/>
      <c r="C613" s="320"/>
      <c r="D613" s="117"/>
      <c r="E613" s="320"/>
      <c r="F613" s="164"/>
      <c r="G613" s="320"/>
      <c r="H613" s="164"/>
      <c r="I613" s="327"/>
      <c r="J613" s="117"/>
      <c r="K613" s="327"/>
      <c r="L613" s="117"/>
      <c r="M613" s="327"/>
      <c r="N613" s="117"/>
      <c r="O613" s="320"/>
      <c r="P613" s="164"/>
      <c r="Q613" s="188"/>
      <c r="R613" s="188"/>
      <c r="S613" s="20"/>
      <c r="T613" s="20"/>
      <c r="U613" s="20"/>
      <c r="V613" s="20"/>
    </row>
    <row r="614">
      <c r="A614" s="320"/>
      <c r="B614" s="164"/>
      <c r="C614" s="320"/>
      <c r="D614" s="117"/>
      <c r="E614" s="320"/>
      <c r="F614" s="164"/>
      <c r="G614" s="320"/>
      <c r="H614" s="164"/>
      <c r="I614" s="327"/>
      <c r="J614" s="117"/>
      <c r="K614" s="327"/>
      <c r="L614" s="117"/>
      <c r="M614" s="327"/>
      <c r="N614" s="117"/>
      <c r="O614" s="320"/>
      <c r="P614" s="164"/>
      <c r="Q614" s="188"/>
      <c r="R614" s="188"/>
      <c r="S614" s="20"/>
      <c r="T614" s="20"/>
      <c r="U614" s="20"/>
      <c r="V614" s="20"/>
    </row>
    <row r="615">
      <c r="A615" s="320"/>
      <c r="B615" s="164"/>
      <c r="C615" s="320"/>
      <c r="D615" s="117"/>
      <c r="E615" s="320"/>
      <c r="F615" s="164"/>
      <c r="G615" s="320"/>
      <c r="H615" s="164"/>
      <c r="I615" s="327"/>
      <c r="J615" s="117"/>
      <c r="K615" s="327"/>
      <c r="L615" s="117"/>
      <c r="M615" s="327"/>
      <c r="N615" s="117"/>
      <c r="O615" s="320"/>
      <c r="P615" s="164"/>
      <c r="Q615" s="188"/>
      <c r="R615" s="188"/>
      <c r="S615" s="20"/>
      <c r="T615" s="20"/>
      <c r="U615" s="20"/>
      <c r="V615" s="20"/>
    </row>
    <row r="616">
      <c r="A616" s="320"/>
      <c r="B616" s="164"/>
      <c r="C616" s="320"/>
      <c r="D616" s="117"/>
      <c r="E616" s="320"/>
      <c r="F616" s="164"/>
      <c r="G616" s="320"/>
      <c r="H616" s="164"/>
      <c r="I616" s="327"/>
      <c r="J616" s="117"/>
      <c r="K616" s="327"/>
      <c r="L616" s="117"/>
      <c r="M616" s="327"/>
      <c r="N616" s="117"/>
      <c r="O616" s="320"/>
      <c r="P616" s="164"/>
      <c r="Q616" s="188"/>
      <c r="R616" s="188"/>
      <c r="S616" s="20"/>
      <c r="T616" s="20"/>
      <c r="U616" s="20"/>
      <c r="V616" s="20"/>
    </row>
    <row r="617">
      <c r="A617" s="320"/>
      <c r="B617" s="164"/>
      <c r="C617" s="320"/>
      <c r="D617" s="117"/>
      <c r="E617" s="320"/>
      <c r="F617" s="164"/>
      <c r="G617" s="320"/>
      <c r="H617" s="164"/>
      <c r="I617" s="327"/>
      <c r="J617" s="117"/>
      <c r="K617" s="327"/>
      <c r="L617" s="117"/>
      <c r="M617" s="327"/>
      <c r="N617" s="117"/>
      <c r="O617" s="320"/>
      <c r="P617" s="164"/>
      <c r="Q617" s="188"/>
      <c r="R617" s="188"/>
      <c r="S617" s="20"/>
      <c r="T617" s="20"/>
      <c r="U617" s="20"/>
      <c r="V617" s="20"/>
    </row>
    <row r="618">
      <c r="A618" s="320"/>
      <c r="B618" s="164"/>
      <c r="C618" s="320"/>
      <c r="D618" s="117"/>
      <c r="E618" s="320"/>
      <c r="F618" s="164"/>
      <c r="G618" s="320"/>
      <c r="H618" s="164"/>
      <c r="I618" s="327"/>
      <c r="J618" s="117"/>
      <c r="K618" s="327"/>
      <c r="L618" s="117"/>
      <c r="M618" s="327"/>
      <c r="N618" s="117"/>
      <c r="O618" s="320"/>
      <c r="P618" s="164"/>
      <c r="Q618" s="188"/>
      <c r="R618" s="188"/>
      <c r="S618" s="20"/>
      <c r="T618" s="20"/>
      <c r="U618" s="20"/>
      <c r="V618" s="20"/>
    </row>
    <row r="619">
      <c r="A619" s="320"/>
      <c r="B619" s="164"/>
      <c r="C619" s="320"/>
      <c r="D619" s="117"/>
      <c r="E619" s="320"/>
      <c r="F619" s="164"/>
      <c r="G619" s="320"/>
      <c r="H619" s="164"/>
      <c r="I619" s="327"/>
      <c r="J619" s="117"/>
      <c r="K619" s="327"/>
      <c r="L619" s="117"/>
      <c r="M619" s="327"/>
      <c r="N619" s="117"/>
      <c r="O619" s="320"/>
      <c r="P619" s="164"/>
      <c r="Q619" s="188"/>
      <c r="R619" s="188"/>
      <c r="S619" s="20"/>
      <c r="T619" s="20"/>
      <c r="U619" s="20"/>
      <c r="V619" s="20"/>
    </row>
    <row r="620">
      <c r="A620" s="320"/>
      <c r="B620" s="164"/>
      <c r="C620" s="320"/>
      <c r="D620" s="117"/>
      <c r="E620" s="320"/>
      <c r="F620" s="164"/>
      <c r="G620" s="320"/>
      <c r="H620" s="164"/>
      <c r="I620" s="327"/>
      <c r="J620" s="117"/>
      <c r="K620" s="327"/>
      <c r="L620" s="117"/>
      <c r="M620" s="327"/>
      <c r="N620" s="117"/>
      <c r="O620" s="320"/>
      <c r="P620" s="164"/>
      <c r="Q620" s="188"/>
      <c r="R620" s="188"/>
      <c r="S620" s="20"/>
      <c r="T620" s="20"/>
      <c r="U620" s="20"/>
      <c r="V620" s="20"/>
    </row>
    <row r="621">
      <c r="A621" s="320"/>
      <c r="B621" s="164"/>
      <c r="C621" s="320"/>
      <c r="D621" s="117"/>
      <c r="E621" s="320"/>
      <c r="F621" s="164"/>
      <c r="G621" s="320"/>
      <c r="H621" s="164"/>
      <c r="I621" s="327"/>
      <c r="J621" s="117"/>
      <c r="K621" s="327"/>
      <c r="L621" s="117"/>
      <c r="M621" s="327"/>
      <c r="N621" s="117"/>
      <c r="O621" s="320"/>
      <c r="P621" s="164"/>
      <c r="Q621" s="188"/>
      <c r="R621" s="188"/>
      <c r="S621" s="20"/>
      <c r="T621" s="20"/>
      <c r="U621" s="20"/>
      <c r="V621" s="20"/>
    </row>
    <row r="622">
      <c r="A622" s="320"/>
      <c r="B622" s="164"/>
      <c r="C622" s="320"/>
      <c r="D622" s="117"/>
      <c r="E622" s="320"/>
      <c r="F622" s="164"/>
      <c r="G622" s="320"/>
      <c r="H622" s="164"/>
      <c r="I622" s="327"/>
      <c r="J622" s="117"/>
      <c r="K622" s="327"/>
      <c r="L622" s="117"/>
      <c r="M622" s="327"/>
      <c r="N622" s="117"/>
      <c r="O622" s="320"/>
      <c r="P622" s="164"/>
      <c r="Q622" s="188"/>
      <c r="R622" s="188"/>
      <c r="S622" s="20"/>
      <c r="T622" s="20"/>
      <c r="U622" s="20"/>
      <c r="V622" s="20"/>
    </row>
    <row r="623">
      <c r="A623" s="320"/>
      <c r="B623" s="164"/>
      <c r="C623" s="320"/>
      <c r="D623" s="117"/>
      <c r="E623" s="320"/>
      <c r="F623" s="164"/>
      <c r="G623" s="320"/>
      <c r="H623" s="164"/>
      <c r="I623" s="327"/>
      <c r="J623" s="117"/>
      <c r="K623" s="327"/>
      <c r="L623" s="117"/>
      <c r="M623" s="327"/>
      <c r="N623" s="117"/>
      <c r="O623" s="320"/>
      <c r="P623" s="164"/>
      <c r="Q623" s="188"/>
      <c r="R623" s="188"/>
      <c r="S623" s="20"/>
      <c r="T623" s="20"/>
      <c r="U623" s="20"/>
      <c r="V623" s="20"/>
    </row>
    <row r="624">
      <c r="A624" s="320"/>
      <c r="B624" s="164"/>
      <c r="C624" s="320"/>
      <c r="D624" s="117"/>
      <c r="E624" s="320"/>
      <c r="F624" s="164"/>
      <c r="G624" s="320"/>
      <c r="H624" s="164"/>
      <c r="I624" s="327"/>
      <c r="J624" s="117"/>
      <c r="K624" s="327"/>
      <c r="L624" s="117"/>
      <c r="M624" s="327"/>
      <c r="N624" s="117"/>
      <c r="O624" s="320"/>
      <c r="P624" s="164"/>
      <c r="Q624" s="188"/>
      <c r="R624" s="188"/>
      <c r="S624" s="20"/>
      <c r="T624" s="20"/>
      <c r="U624" s="20"/>
      <c r="V624" s="20"/>
    </row>
    <row r="625">
      <c r="A625" s="320"/>
      <c r="B625" s="164"/>
      <c r="C625" s="320"/>
      <c r="D625" s="117"/>
      <c r="E625" s="320"/>
      <c r="F625" s="164"/>
      <c r="G625" s="320"/>
      <c r="H625" s="164"/>
      <c r="I625" s="327"/>
      <c r="J625" s="117"/>
      <c r="K625" s="327"/>
      <c r="L625" s="117"/>
      <c r="M625" s="327"/>
      <c r="N625" s="117"/>
      <c r="O625" s="320"/>
      <c r="P625" s="164"/>
      <c r="Q625" s="188"/>
      <c r="R625" s="188"/>
      <c r="S625" s="20"/>
      <c r="T625" s="20"/>
      <c r="U625" s="20"/>
      <c r="V625" s="20"/>
    </row>
    <row r="626">
      <c r="A626" s="320"/>
      <c r="B626" s="164"/>
      <c r="C626" s="320"/>
      <c r="D626" s="117"/>
      <c r="E626" s="320"/>
      <c r="F626" s="164"/>
      <c r="G626" s="320"/>
      <c r="H626" s="164"/>
      <c r="I626" s="327"/>
      <c r="J626" s="117"/>
      <c r="K626" s="327"/>
      <c r="L626" s="117"/>
      <c r="M626" s="327"/>
      <c r="N626" s="117"/>
      <c r="O626" s="320"/>
      <c r="P626" s="164"/>
      <c r="Q626" s="188"/>
      <c r="R626" s="188"/>
      <c r="S626" s="20"/>
      <c r="T626" s="20"/>
      <c r="U626" s="20"/>
      <c r="V626" s="20"/>
    </row>
    <row r="627">
      <c r="A627" s="320"/>
      <c r="B627" s="164"/>
      <c r="C627" s="320"/>
      <c r="D627" s="117"/>
      <c r="E627" s="320"/>
      <c r="F627" s="164"/>
      <c r="G627" s="320"/>
      <c r="H627" s="164"/>
      <c r="I627" s="327"/>
      <c r="J627" s="117"/>
      <c r="K627" s="327"/>
      <c r="L627" s="117"/>
      <c r="M627" s="327"/>
      <c r="N627" s="117"/>
      <c r="O627" s="320"/>
      <c r="P627" s="164"/>
      <c r="Q627" s="188"/>
      <c r="R627" s="188"/>
      <c r="S627" s="20"/>
      <c r="T627" s="20"/>
      <c r="U627" s="20"/>
      <c r="V627" s="20"/>
    </row>
    <row r="628">
      <c r="A628" s="320"/>
      <c r="B628" s="164"/>
      <c r="C628" s="320"/>
      <c r="D628" s="117"/>
      <c r="E628" s="320"/>
      <c r="F628" s="164"/>
      <c r="G628" s="320"/>
      <c r="H628" s="164"/>
      <c r="I628" s="327"/>
      <c r="J628" s="117"/>
      <c r="K628" s="327"/>
      <c r="L628" s="117"/>
      <c r="M628" s="327"/>
      <c r="N628" s="117"/>
      <c r="O628" s="320"/>
      <c r="P628" s="164"/>
      <c r="Q628" s="188"/>
      <c r="R628" s="188"/>
      <c r="S628" s="20"/>
      <c r="T628" s="20"/>
      <c r="U628" s="20"/>
      <c r="V628" s="20"/>
    </row>
    <row r="629">
      <c r="A629" s="320"/>
      <c r="B629" s="164"/>
      <c r="C629" s="320"/>
      <c r="D629" s="117"/>
      <c r="E629" s="320"/>
      <c r="F629" s="164"/>
      <c r="G629" s="320"/>
      <c r="H629" s="164"/>
      <c r="I629" s="327"/>
      <c r="J629" s="117"/>
      <c r="K629" s="327"/>
      <c r="L629" s="117"/>
      <c r="M629" s="327"/>
      <c r="N629" s="117"/>
      <c r="O629" s="320"/>
      <c r="P629" s="164"/>
      <c r="Q629" s="188"/>
      <c r="R629" s="188"/>
      <c r="S629" s="20"/>
      <c r="T629" s="20"/>
      <c r="U629" s="20"/>
      <c r="V629" s="20"/>
    </row>
    <row r="630">
      <c r="A630" s="320"/>
      <c r="B630" s="164"/>
      <c r="C630" s="320"/>
      <c r="D630" s="117"/>
      <c r="E630" s="320"/>
      <c r="F630" s="164"/>
      <c r="G630" s="320"/>
      <c r="H630" s="164"/>
      <c r="I630" s="327"/>
      <c r="J630" s="117"/>
      <c r="K630" s="327"/>
      <c r="L630" s="117"/>
      <c r="M630" s="327"/>
      <c r="N630" s="117"/>
      <c r="O630" s="320"/>
      <c r="P630" s="164"/>
      <c r="Q630" s="188"/>
      <c r="R630" s="188"/>
      <c r="S630" s="20"/>
      <c r="T630" s="20"/>
      <c r="U630" s="20"/>
      <c r="V630" s="20"/>
    </row>
    <row r="631">
      <c r="A631" s="320"/>
      <c r="B631" s="164"/>
      <c r="C631" s="320"/>
      <c r="D631" s="117"/>
      <c r="E631" s="320"/>
      <c r="F631" s="164"/>
      <c r="G631" s="320"/>
      <c r="H631" s="164"/>
      <c r="I631" s="327"/>
      <c r="J631" s="117"/>
      <c r="K631" s="327"/>
      <c r="L631" s="117"/>
      <c r="M631" s="327"/>
      <c r="N631" s="117"/>
      <c r="O631" s="320"/>
      <c r="P631" s="164"/>
      <c r="Q631" s="188"/>
      <c r="R631" s="188"/>
      <c r="S631" s="20"/>
      <c r="T631" s="20"/>
      <c r="U631" s="20"/>
      <c r="V631" s="20"/>
    </row>
    <row r="632">
      <c r="A632" s="320"/>
      <c r="B632" s="164"/>
      <c r="C632" s="320"/>
      <c r="D632" s="117"/>
      <c r="E632" s="320"/>
      <c r="F632" s="164"/>
      <c r="G632" s="320"/>
      <c r="H632" s="164"/>
      <c r="I632" s="327"/>
      <c r="J632" s="117"/>
      <c r="K632" s="327"/>
      <c r="L632" s="117"/>
      <c r="M632" s="327"/>
      <c r="N632" s="117"/>
      <c r="O632" s="320"/>
      <c r="P632" s="164"/>
      <c r="Q632" s="188"/>
      <c r="R632" s="188"/>
      <c r="S632" s="20"/>
      <c r="T632" s="20"/>
      <c r="U632" s="20"/>
      <c r="V632" s="20"/>
    </row>
    <row r="633">
      <c r="A633" s="320"/>
      <c r="B633" s="164"/>
      <c r="C633" s="320"/>
      <c r="D633" s="117"/>
      <c r="E633" s="320"/>
      <c r="F633" s="164"/>
      <c r="G633" s="320"/>
      <c r="H633" s="164"/>
      <c r="I633" s="327"/>
      <c r="J633" s="117"/>
      <c r="K633" s="327"/>
      <c r="L633" s="117"/>
      <c r="M633" s="327"/>
      <c r="N633" s="117"/>
      <c r="O633" s="320"/>
      <c r="P633" s="164"/>
      <c r="Q633" s="188"/>
      <c r="R633" s="188"/>
      <c r="S633" s="20"/>
      <c r="T633" s="20"/>
      <c r="U633" s="20"/>
      <c r="V633" s="20"/>
    </row>
    <row r="634">
      <c r="A634" s="320"/>
      <c r="B634" s="164"/>
      <c r="C634" s="320"/>
      <c r="D634" s="117"/>
      <c r="E634" s="320"/>
      <c r="F634" s="164"/>
      <c r="G634" s="320"/>
      <c r="H634" s="164"/>
      <c r="I634" s="327"/>
      <c r="J634" s="117"/>
      <c r="K634" s="327"/>
      <c r="L634" s="117"/>
      <c r="M634" s="327"/>
      <c r="N634" s="117"/>
      <c r="O634" s="320"/>
      <c r="P634" s="164"/>
      <c r="Q634" s="188"/>
      <c r="R634" s="188"/>
      <c r="S634" s="20"/>
      <c r="T634" s="20"/>
      <c r="U634" s="20"/>
      <c r="V634" s="20"/>
    </row>
    <row r="635">
      <c r="A635" s="320"/>
      <c r="B635" s="164"/>
      <c r="C635" s="320"/>
      <c r="D635" s="117"/>
      <c r="E635" s="320"/>
      <c r="F635" s="164"/>
      <c r="G635" s="320"/>
      <c r="H635" s="164"/>
      <c r="I635" s="327"/>
      <c r="J635" s="117"/>
      <c r="K635" s="327"/>
      <c r="L635" s="117"/>
      <c r="M635" s="327"/>
      <c r="N635" s="117"/>
      <c r="O635" s="320"/>
      <c r="P635" s="164"/>
      <c r="Q635" s="188"/>
      <c r="R635" s="188"/>
      <c r="S635" s="20"/>
      <c r="T635" s="20"/>
      <c r="U635" s="20"/>
      <c r="V635" s="20"/>
    </row>
    <row r="636">
      <c r="A636" s="320"/>
      <c r="B636" s="164"/>
      <c r="C636" s="320"/>
      <c r="D636" s="117"/>
      <c r="E636" s="320"/>
      <c r="F636" s="164"/>
      <c r="G636" s="320"/>
      <c r="H636" s="164"/>
      <c r="I636" s="327"/>
      <c r="J636" s="117"/>
      <c r="K636" s="327"/>
      <c r="L636" s="117"/>
      <c r="M636" s="327"/>
      <c r="N636" s="117"/>
      <c r="O636" s="320"/>
      <c r="P636" s="164"/>
      <c r="Q636" s="188"/>
      <c r="R636" s="188"/>
      <c r="S636" s="20"/>
      <c r="T636" s="20"/>
      <c r="U636" s="20"/>
      <c r="V636" s="20"/>
    </row>
    <row r="637">
      <c r="A637" s="320"/>
      <c r="B637" s="164"/>
      <c r="C637" s="320"/>
      <c r="D637" s="117"/>
      <c r="E637" s="320"/>
      <c r="F637" s="164"/>
      <c r="G637" s="320"/>
      <c r="H637" s="164"/>
      <c r="I637" s="327"/>
      <c r="J637" s="117"/>
      <c r="K637" s="327"/>
      <c r="L637" s="117"/>
      <c r="M637" s="327"/>
      <c r="N637" s="117"/>
      <c r="O637" s="320"/>
      <c r="P637" s="164"/>
      <c r="Q637" s="188"/>
      <c r="R637" s="188"/>
      <c r="S637" s="20"/>
      <c r="T637" s="20"/>
      <c r="U637" s="20"/>
      <c r="V637" s="20"/>
    </row>
    <row r="638">
      <c r="A638" s="320"/>
      <c r="B638" s="164"/>
      <c r="C638" s="320"/>
      <c r="D638" s="117"/>
      <c r="E638" s="320"/>
      <c r="F638" s="164"/>
      <c r="G638" s="320"/>
      <c r="H638" s="164"/>
      <c r="I638" s="327"/>
      <c r="J638" s="117"/>
      <c r="K638" s="327"/>
      <c r="L638" s="117"/>
      <c r="M638" s="327"/>
      <c r="N638" s="117"/>
      <c r="O638" s="320"/>
      <c r="P638" s="164"/>
      <c r="Q638" s="188"/>
      <c r="R638" s="188"/>
      <c r="S638" s="20"/>
      <c r="T638" s="20"/>
      <c r="U638" s="20"/>
      <c r="V638" s="20"/>
    </row>
    <row r="639">
      <c r="A639" s="320"/>
      <c r="B639" s="164"/>
      <c r="C639" s="320"/>
      <c r="D639" s="117"/>
      <c r="E639" s="320"/>
      <c r="F639" s="164"/>
      <c r="G639" s="320"/>
      <c r="H639" s="164"/>
      <c r="I639" s="327"/>
      <c r="J639" s="117"/>
      <c r="K639" s="327"/>
      <c r="L639" s="117"/>
      <c r="M639" s="327"/>
      <c r="N639" s="117"/>
      <c r="O639" s="320"/>
      <c r="P639" s="164"/>
      <c r="Q639" s="188"/>
      <c r="R639" s="188"/>
      <c r="S639" s="20"/>
      <c r="T639" s="20"/>
      <c r="U639" s="20"/>
      <c r="V639" s="20"/>
    </row>
    <row r="640">
      <c r="A640" s="320"/>
      <c r="B640" s="164"/>
      <c r="C640" s="320"/>
      <c r="D640" s="117"/>
      <c r="E640" s="320"/>
      <c r="F640" s="164"/>
      <c r="G640" s="320"/>
      <c r="H640" s="164"/>
      <c r="I640" s="327"/>
      <c r="J640" s="117"/>
      <c r="K640" s="327"/>
      <c r="L640" s="117"/>
      <c r="M640" s="327"/>
      <c r="N640" s="117"/>
      <c r="O640" s="320"/>
      <c r="P640" s="164"/>
      <c r="Q640" s="188"/>
      <c r="R640" s="188"/>
      <c r="S640" s="20"/>
      <c r="T640" s="20"/>
      <c r="U640" s="20"/>
      <c r="V640" s="20"/>
    </row>
    <row r="641">
      <c r="A641" s="320"/>
      <c r="B641" s="164"/>
      <c r="C641" s="320"/>
      <c r="D641" s="117"/>
      <c r="E641" s="320"/>
      <c r="F641" s="164"/>
      <c r="G641" s="320"/>
      <c r="H641" s="164"/>
      <c r="I641" s="327"/>
      <c r="J641" s="117"/>
      <c r="K641" s="327"/>
      <c r="L641" s="117"/>
      <c r="M641" s="327"/>
      <c r="N641" s="117"/>
      <c r="O641" s="320"/>
      <c r="P641" s="164"/>
      <c r="Q641" s="188"/>
      <c r="R641" s="188"/>
      <c r="S641" s="20"/>
      <c r="T641" s="20"/>
      <c r="U641" s="20"/>
      <c r="V641" s="20"/>
    </row>
    <row r="642">
      <c r="A642" s="320"/>
      <c r="B642" s="164"/>
      <c r="C642" s="320"/>
      <c r="D642" s="117"/>
      <c r="E642" s="320"/>
      <c r="F642" s="164"/>
      <c r="G642" s="320"/>
      <c r="H642" s="164"/>
      <c r="I642" s="327"/>
      <c r="J642" s="117"/>
      <c r="K642" s="327"/>
      <c r="L642" s="117"/>
      <c r="M642" s="327"/>
      <c r="N642" s="117"/>
      <c r="O642" s="320"/>
      <c r="P642" s="164"/>
      <c r="Q642" s="188"/>
      <c r="R642" s="188"/>
      <c r="S642" s="20"/>
      <c r="T642" s="20"/>
      <c r="U642" s="20"/>
      <c r="V642" s="20"/>
    </row>
    <row r="643">
      <c r="A643" s="320"/>
      <c r="B643" s="164"/>
      <c r="C643" s="320"/>
      <c r="D643" s="117"/>
      <c r="E643" s="320"/>
      <c r="F643" s="164"/>
      <c r="G643" s="320"/>
      <c r="H643" s="164"/>
      <c r="I643" s="327"/>
      <c r="J643" s="117"/>
      <c r="K643" s="327"/>
      <c r="L643" s="117"/>
      <c r="M643" s="327"/>
      <c r="N643" s="117"/>
      <c r="O643" s="320"/>
      <c r="P643" s="164"/>
      <c r="Q643" s="188"/>
      <c r="R643" s="188"/>
      <c r="S643" s="20"/>
      <c r="T643" s="20"/>
      <c r="U643" s="20"/>
      <c r="V643" s="20"/>
    </row>
    <row r="644">
      <c r="A644" s="320"/>
      <c r="B644" s="164"/>
      <c r="C644" s="320"/>
      <c r="D644" s="117"/>
      <c r="E644" s="320"/>
      <c r="F644" s="164"/>
      <c r="G644" s="320"/>
      <c r="H644" s="164"/>
      <c r="I644" s="327"/>
      <c r="J644" s="117"/>
      <c r="K644" s="327"/>
      <c r="L644" s="117"/>
      <c r="M644" s="327"/>
      <c r="N644" s="117"/>
      <c r="O644" s="320"/>
      <c r="P644" s="164"/>
      <c r="Q644" s="188"/>
      <c r="R644" s="188"/>
      <c r="S644" s="20"/>
      <c r="T644" s="20"/>
      <c r="U644" s="20"/>
      <c r="V644" s="20"/>
    </row>
    <row r="645">
      <c r="A645" s="320"/>
      <c r="B645" s="164"/>
      <c r="C645" s="320"/>
      <c r="D645" s="117"/>
      <c r="E645" s="320"/>
      <c r="F645" s="164"/>
      <c r="G645" s="320"/>
      <c r="H645" s="164"/>
      <c r="I645" s="327"/>
      <c r="J645" s="117"/>
      <c r="K645" s="327"/>
      <c r="L645" s="117"/>
      <c r="M645" s="327"/>
      <c r="N645" s="117"/>
      <c r="O645" s="320"/>
      <c r="P645" s="164"/>
      <c r="Q645" s="188"/>
      <c r="R645" s="188"/>
      <c r="S645" s="20"/>
      <c r="T645" s="20"/>
      <c r="U645" s="20"/>
      <c r="V645" s="20"/>
    </row>
    <row r="646">
      <c r="A646" s="320"/>
      <c r="B646" s="164"/>
      <c r="C646" s="320"/>
      <c r="D646" s="117"/>
      <c r="E646" s="320"/>
      <c r="F646" s="164"/>
      <c r="G646" s="320"/>
      <c r="H646" s="164"/>
      <c r="I646" s="327"/>
      <c r="J646" s="117"/>
      <c r="K646" s="327"/>
      <c r="L646" s="117"/>
      <c r="M646" s="327"/>
      <c r="N646" s="117"/>
      <c r="O646" s="320"/>
      <c r="P646" s="164"/>
      <c r="Q646" s="188"/>
      <c r="R646" s="188"/>
      <c r="S646" s="20"/>
      <c r="T646" s="20"/>
      <c r="U646" s="20"/>
      <c r="V646" s="20"/>
    </row>
    <row r="647">
      <c r="A647" s="320"/>
      <c r="B647" s="164"/>
      <c r="C647" s="320"/>
      <c r="D647" s="117"/>
      <c r="E647" s="320"/>
      <c r="F647" s="164"/>
      <c r="G647" s="320"/>
      <c r="H647" s="164"/>
      <c r="I647" s="327"/>
      <c r="J647" s="117"/>
      <c r="K647" s="327"/>
      <c r="L647" s="117"/>
      <c r="M647" s="327"/>
      <c r="N647" s="117"/>
      <c r="O647" s="320"/>
      <c r="P647" s="164"/>
      <c r="Q647" s="188"/>
      <c r="R647" s="188"/>
      <c r="S647" s="20"/>
      <c r="T647" s="20"/>
      <c r="U647" s="20"/>
      <c r="V647" s="20"/>
    </row>
    <row r="648">
      <c r="A648" s="320"/>
      <c r="B648" s="164"/>
      <c r="C648" s="320"/>
      <c r="D648" s="117"/>
      <c r="E648" s="320"/>
      <c r="F648" s="164"/>
      <c r="G648" s="320"/>
      <c r="H648" s="164"/>
      <c r="I648" s="327"/>
      <c r="J648" s="117"/>
      <c r="K648" s="327"/>
      <c r="L648" s="117"/>
      <c r="M648" s="327"/>
      <c r="N648" s="117"/>
      <c r="O648" s="320"/>
      <c r="P648" s="164"/>
      <c r="Q648" s="188"/>
      <c r="R648" s="188"/>
      <c r="S648" s="20"/>
      <c r="T648" s="20"/>
      <c r="U648" s="20"/>
      <c r="V648" s="20"/>
    </row>
    <row r="649">
      <c r="A649" s="320"/>
      <c r="B649" s="164"/>
      <c r="C649" s="320"/>
      <c r="D649" s="117"/>
      <c r="E649" s="320"/>
      <c r="F649" s="164"/>
      <c r="G649" s="320"/>
      <c r="H649" s="164"/>
      <c r="I649" s="327"/>
      <c r="J649" s="117"/>
      <c r="K649" s="327"/>
      <c r="L649" s="117"/>
      <c r="M649" s="327"/>
      <c r="N649" s="117"/>
      <c r="O649" s="320"/>
      <c r="P649" s="164"/>
      <c r="Q649" s="188"/>
      <c r="R649" s="188"/>
      <c r="S649" s="20"/>
      <c r="T649" s="20"/>
      <c r="U649" s="20"/>
      <c r="V649" s="20"/>
    </row>
    <row r="650">
      <c r="A650" s="320"/>
      <c r="B650" s="164"/>
      <c r="C650" s="320"/>
      <c r="D650" s="117"/>
      <c r="E650" s="320"/>
      <c r="F650" s="164"/>
      <c r="G650" s="320"/>
      <c r="H650" s="164"/>
      <c r="I650" s="327"/>
      <c r="J650" s="117"/>
      <c r="K650" s="327"/>
      <c r="L650" s="117"/>
      <c r="M650" s="327"/>
      <c r="N650" s="117"/>
      <c r="O650" s="320"/>
      <c r="P650" s="164"/>
      <c r="Q650" s="188"/>
      <c r="R650" s="188"/>
      <c r="S650" s="20"/>
      <c r="T650" s="20"/>
      <c r="U650" s="20"/>
      <c r="V650" s="20"/>
    </row>
    <row r="651">
      <c r="A651" s="320"/>
      <c r="B651" s="164"/>
      <c r="C651" s="320"/>
      <c r="D651" s="117"/>
      <c r="E651" s="320"/>
      <c r="F651" s="164"/>
      <c r="G651" s="320"/>
      <c r="H651" s="164"/>
      <c r="I651" s="327"/>
      <c r="J651" s="117"/>
      <c r="K651" s="327"/>
      <c r="L651" s="117"/>
      <c r="M651" s="327"/>
      <c r="N651" s="117"/>
      <c r="O651" s="320"/>
      <c r="P651" s="164"/>
      <c r="Q651" s="188"/>
      <c r="R651" s="188"/>
      <c r="S651" s="20"/>
      <c r="T651" s="20"/>
      <c r="U651" s="20"/>
      <c r="V651" s="20"/>
    </row>
    <row r="652">
      <c r="A652" s="320"/>
      <c r="B652" s="164"/>
      <c r="C652" s="320"/>
      <c r="D652" s="117"/>
      <c r="E652" s="320"/>
      <c r="F652" s="164"/>
      <c r="G652" s="320"/>
      <c r="H652" s="164"/>
      <c r="I652" s="327"/>
      <c r="J652" s="117"/>
      <c r="K652" s="327"/>
      <c r="L652" s="117"/>
      <c r="M652" s="327"/>
      <c r="N652" s="117"/>
      <c r="O652" s="320"/>
      <c r="P652" s="164"/>
      <c r="Q652" s="188"/>
      <c r="R652" s="188"/>
      <c r="S652" s="20"/>
      <c r="T652" s="20"/>
      <c r="U652" s="20"/>
      <c r="V652" s="20"/>
    </row>
    <row r="653">
      <c r="A653" s="320"/>
      <c r="B653" s="164"/>
      <c r="C653" s="320"/>
      <c r="D653" s="117"/>
      <c r="E653" s="320"/>
      <c r="F653" s="164"/>
      <c r="G653" s="320"/>
      <c r="H653" s="164"/>
      <c r="I653" s="327"/>
      <c r="J653" s="117"/>
      <c r="K653" s="327"/>
      <c r="L653" s="117"/>
      <c r="M653" s="327"/>
      <c r="N653" s="117"/>
      <c r="O653" s="320"/>
      <c r="P653" s="164"/>
      <c r="Q653" s="188"/>
      <c r="R653" s="188"/>
      <c r="S653" s="20"/>
      <c r="T653" s="20"/>
      <c r="U653" s="20"/>
      <c r="V653" s="20"/>
    </row>
    <row r="654">
      <c r="A654" s="320"/>
      <c r="B654" s="164"/>
      <c r="C654" s="320"/>
      <c r="D654" s="117"/>
      <c r="E654" s="320"/>
      <c r="F654" s="164"/>
      <c r="G654" s="320"/>
      <c r="H654" s="164"/>
      <c r="I654" s="327"/>
      <c r="J654" s="117"/>
      <c r="K654" s="327"/>
      <c r="L654" s="117"/>
      <c r="M654" s="327"/>
      <c r="N654" s="117"/>
      <c r="O654" s="320"/>
      <c r="P654" s="164"/>
      <c r="Q654" s="188"/>
      <c r="R654" s="188"/>
      <c r="S654" s="20"/>
      <c r="T654" s="20"/>
      <c r="U654" s="20"/>
      <c r="V654" s="20"/>
    </row>
    <row r="655">
      <c r="A655" s="320"/>
      <c r="B655" s="164"/>
      <c r="C655" s="320"/>
      <c r="D655" s="117"/>
      <c r="E655" s="320"/>
      <c r="F655" s="164"/>
      <c r="G655" s="320"/>
      <c r="H655" s="164"/>
      <c r="I655" s="327"/>
      <c r="J655" s="117"/>
      <c r="K655" s="327"/>
      <c r="L655" s="117"/>
      <c r="M655" s="327"/>
      <c r="N655" s="117"/>
      <c r="O655" s="320"/>
      <c r="P655" s="164"/>
      <c r="Q655" s="188"/>
      <c r="R655" s="188"/>
      <c r="S655" s="20"/>
      <c r="T655" s="20"/>
      <c r="U655" s="20"/>
      <c r="V655" s="20"/>
    </row>
    <row r="656">
      <c r="A656" s="320"/>
      <c r="B656" s="164"/>
      <c r="C656" s="320"/>
      <c r="D656" s="117"/>
      <c r="E656" s="320"/>
      <c r="F656" s="164"/>
      <c r="G656" s="320"/>
      <c r="H656" s="164"/>
      <c r="I656" s="327"/>
      <c r="J656" s="117"/>
      <c r="K656" s="327"/>
      <c r="L656" s="117"/>
      <c r="M656" s="327"/>
      <c r="N656" s="117"/>
      <c r="O656" s="320"/>
      <c r="P656" s="164"/>
      <c r="Q656" s="188"/>
      <c r="R656" s="188"/>
      <c r="S656" s="20"/>
      <c r="T656" s="20"/>
      <c r="U656" s="20"/>
      <c r="V656" s="20"/>
    </row>
    <row r="657">
      <c r="A657" s="320"/>
      <c r="B657" s="164"/>
      <c r="C657" s="320"/>
      <c r="D657" s="117"/>
      <c r="E657" s="320"/>
      <c r="F657" s="164"/>
      <c r="G657" s="320"/>
      <c r="H657" s="164"/>
      <c r="I657" s="327"/>
      <c r="J657" s="117"/>
      <c r="K657" s="327"/>
      <c r="L657" s="117"/>
      <c r="M657" s="327"/>
      <c r="N657" s="117"/>
      <c r="O657" s="320"/>
      <c r="P657" s="164"/>
      <c r="Q657" s="188"/>
      <c r="R657" s="188"/>
      <c r="S657" s="20"/>
      <c r="T657" s="20"/>
      <c r="U657" s="20"/>
      <c r="V657" s="20"/>
    </row>
    <row r="658">
      <c r="A658" s="320"/>
      <c r="B658" s="164"/>
      <c r="C658" s="320"/>
      <c r="D658" s="117"/>
      <c r="E658" s="320"/>
      <c r="F658" s="164"/>
      <c r="G658" s="320"/>
      <c r="H658" s="164"/>
      <c r="I658" s="327"/>
      <c r="J658" s="117"/>
      <c r="K658" s="327"/>
      <c r="L658" s="117"/>
      <c r="M658" s="327"/>
      <c r="N658" s="117"/>
      <c r="O658" s="320"/>
      <c r="P658" s="164"/>
      <c r="Q658" s="188"/>
      <c r="R658" s="188"/>
      <c r="S658" s="20"/>
      <c r="T658" s="20"/>
      <c r="U658" s="20"/>
      <c r="V658" s="20"/>
    </row>
    <row r="659">
      <c r="A659" s="320"/>
      <c r="B659" s="164"/>
      <c r="C659" s="320"/>
      <c r="D659" s="117"/>
      <c r="E659" s="320"/>
      <c r="F659" s="164"/>
      <c r="G659" s="320"/>
      <c r="H659" s="164"/>
      <c r="I659" s="327"/>
      <c r="J659" s="117"/>
      <c r="K659" s="327"/>
      <c r="L659" s="117"/>
      <c r="M659" s="327"/>
      <c r="N659" s="117"/>
      <c r="O659" s="320"/>
      <c r="P659" s="164"/>
      <c r="Q659" s="188"/>
      <c r="R659" s="188"/>
      <c r="S659" s="20"/>
      <c r="T659" s="20"/>
      <c r="U659" s="20"/>
      <c r="V659" s="20"/>
    </row>
    <row r="660">
      <c r="A660" s="320"/>
      <c r="B660" s="164"/>
      <c r="C660" s="320"/>
      <c r="D660" s="117"/>
      <c r="E660" s="320"/>
      <c r="F660" s="164"/>
      <c r="G660" s="320"/>
      <c r="H660" s="164"/>
      <c r="I660" s="327"/>
      <c r="J660" s="117"/>
      <c r="K660" s="327"/>
      <c r="L660" s="117"/>
      <c r="M660" s="327"/>
      <c r="N660" s="117"/>
      <c r="O660" s="320"/>
      <c r="P660" s="164"/>
      <c r="Q660" s="188"/>
      <c r="R660" s="188"/>
      <c r="S660" s="20"/>
      <c r="T660" s="20"/>
      <c r="U660" s="20"/>
      <c r="V660" s="20"/>
    </row>
    <row r="661">
      <c r="A661" s="320"/>
      <c r="B661" s="164"/>
      <c r="C661" s="320"/>
      <c r="D661" s="117"/>
      <c r="E661" s="320"/>
      <c r="F661" s="164"/>
      <c r="G661" s="320"/>
      <c r="H661" s="164"/>
      <c r="I661" s="327"/>
      <c r="J661" s="117"/>
      <c r="K661" s="327"/>
      <c r="L661" s="117"/>
      <c r="M661" s="327"/>
      <c r="N661" s="117"/>
      <c r="O661" s="320"/>
      <c r="P661" s="164"/>
      <c r="Q661" s="188"/>
      <c r="R661" s="188"/>
      <c r="S661" s="20"/>
      <c r="T661" s="20"/>
      <c r="U661" s="20"/>
      <c r="V661" s="20"/>
    </row>
    <row r="662">
      <c r="A662" s="320"/>
      <c r="B662" s="164"/>
      <c r="C662" s="320"/>
      <c r="D662" s="117"/>
      <c r="E662" s="320"/>
      <c r="F662" s="164"/>
      <c r="G662" s="320"/>
      <c r="H662" s="164"/>
      <c r="I662" s="327"/>
      <c r="J662" s="117"/>
      <c r="K662" s="327"/>
      <c r="L662" s="117"/>
      <c r="M662" s="327"/>
      <c r="N662" s="117"/>
      <c r="O662" s="320"/>
      <c r="P662" s="164"/>
      <c r="Q662" s="188"/>
      <c r="R662" s="188"/>
      <c r="S662" s="20"/>
      <c r="T662" s="20"/>
      <c r="U662" s="20"/>
      <c r="V662" s="20"/>
    </row>
    <row r="663">
      <c r="A663" s="320"/>
      <c r="B663" s="164"/>
      <c r="C663" s="320"/>
      <c r="D663" s="117"/>
      <c r="E663" s="320"/>
      <c r="F663" s="164"/>
      <c r="G663" s="320"/>
      <c r="H663" s="164"/>
      <c r="I663" s="327"/>
      <c r="J663" s="117"/>
      <c r="K663" s="327"/>
      <c r="L663" s="117"/>
      <c r="M663" s="327"/>
      <c r="N663" s="117"/>
      <c r="O663" s="320"/>
      <c r="P663" s="164"/>
      <c r="Q663" s="188"/>
      <c r="R663" s="188"/>
      <c r="S663" s="20"/>
      <c r="T663" s="20"/>
      <c r="U663" s="20"/>
      <c r="V663" s="20"/>
    </row>
    <row r="664">
      <c r="A664" s="320"/>
      <c r="B664" s="164"/>
      <c r="C664" s="320"/>
      <c r="D664" s="117"/>
      <c r="E664" s="320"/>
      <c r="F664" s="164"/>
      <c r="G664" s="320"/>
      <c r="H664" s="164"/>
      <c r="I664" s="327"/>
      <c r="J664" s="117"/>
      <c r="K664" s="327"/>
      <c r="L664" s="117"/>
      <c r="M664" s="327"/>
      <c r="N664" s="117"/>
      <c r="O664" s="320"/>
      <c r="P664" s="164"/>
      <c r="Q664" s="188"/>
      <c r="R664" s="188"/>
      <c r="S664" s="20"/>
      <c r="T664" s="20"/>
      <c r="U664" s="20"/>
      <c r="V664" s="20"/>
    </row>
    <row r="665">
      <c r="A665" s="320"/>
      <c r="B665" s="164"/>
      <c r="C665" s="320"/>
      <c r="D665" s="117"/>
      <c r="E665" s="320"/>
      <c r="F665" s="164"/>
      <c r="G665" s="320"/>
      <c r="H665" s="164"/>
      <c r="I665" s="327"/>
      <c r="J665" s="117"/>
      <c r="K665" s="327"/>
      <c r="L665" s="117"/>
      <c r="M665" s="327"/>
      <c r="N665" s="117"/>
      <c r="O665" s="320"/>
      <c r="P665" s="164"/>
      <c r="Q665" s="188"/>
      <c r="R665" s="188"/>
      <c r="S665" s="20"/>
      <c r="T665" s="20"/>
      <c r="U665" s="20"/>
      <c r="V665" s="20"/>
    </row>
    <row r="666">
      <c r="A666" s="320"/>
      <c r="B666" s="164"/>
      <c r="C666" s="320"/>
      <c r="D666" s="117"/>
      <c r="E666" s="320"/>
      <c r="F666" s="164"/>
      <c r="G666" s="320"/>
      <c r="H666" s="164"/>
      <c r="I666" s="327"/>
      <c r="J666" s="117"/>
      <c r="K666" s="327"/>
      <c r="L666" s="117"/>
      <c r="M666" s="327"/>
      <c r="N666" s="117"/>
      <c r="O666" s="320"/>
      <c r="P666" s="164"/>
      <c r="Q666" s="188"/>
      <c r="R666" s="188"/>
      <c r="S666" s="20"/>
      <c r="T666" s="20"/>
      <c r="U666" s="20"/>
      <c r="V666" s="20"/>
    </row>
    <row r="667">
      <c r="A667" s="320"/>
      <c r="B667" s="164"/>
      <c r="C667" s="320"/>
      <c r="D667" s="117"/>
      <c r="E667" s="320"/>
      <c r="F667" s="164"/>
      <c r="G667" s="320"/>
      <c r="H667" s="164"/>
      <c r="I667" s="327"/>
      <c r="J667" s="117"/>
      <c r="K667" s="327"/>
      <c r="L667" s="117"/>
      <c r="M667" s="327"/>
      <c r="N667" s="117"/>
      <c r="O667" s="320"/>
      <c r="P667" s="164"/>
      <c r="Q667" s="188"/>
      <c r="R667" s="188"/>
      <c r="S667" s="20"/>
      <c r="T667" s="20"/>
      <c r="U667" s="20"/>
      <c r="V667" s="20"/>
    </row>
    <row r="668">
      <c r="A668" s="320"/>
      <c r="B668" s="164"/>
      <c r="C668" s="320"/>
      <c r="D668" s="117"/>
      <c r="E668" s="320"/>
      <c r="F668" s="164"/>
      <c r="G668" s="320"/>
      <c r="H668" s="164"/>
      <c r="I668" s="327"/>
      <c r="J668" s="117"/>
      <c r="K668" s="327"/>
      <c r="L668" s="117"/>
      <c r="M668" s="327"/>
      <c r="N668" s="117"/>
      <c r="O668" s="320"/>
      <c r="P668" s="164"/>
      <c r="Q668" s="188"/>
      <c r="R668" s="188"/>
      <c r="S668" s="20"/>
      <c r="T668" s="20"/>
      <c r="U668" s="20"/>
      <c r="V668" s="20"/>
    </row>
    <row r="669">
      <c r="A669" s="320"/>
      <c r="B669" s="164"/>
      <c r="C669" s="320"/>
      <c r="D669" s="117"/>
      <c r="E669" s="320"/>
      <c r="F669" s="164"/>
      <c r="G669" s="320"/>
      <c r="H669" s="164"/>
      <c r="I669" s="327"/>
      <c r="J669" s="117"/>
      <c r="K669" s="327"/>
      <c r="L669" s="117"/>
      <c r="M669" s="327"/>
      <c r="N669" s="117"/>
      <c r="O669" s="320"/>
      <c r="P669" s="164"/>
      <c r="Q669" s="188"/>
      <c r="R669" s="188"/>
      <c r="S669" s="20"/>
      <c r="T669" s="20"/>
      <c r="U669" s="20"/>
      <c r="V669" s="20"/>
    </row>
    <row r="670">
      <c r="A670" s="320"/>
      <c r="B670" s="164"/>
      <c r="C670" s="320"/>
      <c r="D670" s="117"/>
      <c r="E670" s="320"/>
      <c r="F670" s="164"/>
      <c r="G670" s="320"/>
      <c r="H670" s="164"/>
      <c r="I670" s="327"/>
      <c r="J670" s="117"/>
      <c r="K670" s="327"/>
      <c r="L670" s="117"/>
      <c r="M670" s="327"/>
      <c r="N670" s="117"/>
      <c r="O670" s="320"/>
      <c r="P670" s="164"/>
      <c r="Q670" s="188"/>
      <c r="R670" s="188"/>
      <c r="S670" s="20"/>
      <c r="T670" s="20"/>
      <c r="U670" s="20"/>
      <c r="V670" s="20"/>
    </row>
    <row r="671">
      <c r="A671" s="320"/>
      <c r="B671" s="164"/>
      <c r="C671" s="320"/>
      <c r="D671" s="117"/>
      <c r="E671" s="320"/>
      <c r="F671" s="164"/>
      <c r="G671" s="320"/>
      <c r="H671" s="164"/>
      <c r="I671" s="327"/>
      <c r="J671" s="117"/>
      <c r="K671" s="327"/>
      <c r="L671" s="117"/>
      <c r="M671" s="327"/>
      <c r="N671" s="117"/>
      <c r="O671" s="320"/>
      <c r="P671" s="164"/>
      <c r="Q671" s="188"/>
      <c r="R671" s="188"/>
      <c r="S671" s="20"/>
      <c r="T671" s="20"/>
      <c r="U671" s="20"/>
      <c r="V671" s="20"/>
    </row>
    <row r="672">
      <c r="A672" s="320"/>
      <c r="B672" s="164"/>
      <c r="C672" s="320"/>
      <c r="D672" s="117"/>
      <c r="E672" s="320"/>
      <c r="F672" s="164"/>
      <c r="G672" s="320"/>
      <c r="H672" s="164"/>
      <c r="I672" s="327"/>
      <c r="J672" s="117"/>
      <c r="K672" s="327"/>
      <c r="L672" s="117"/>
      <c r="M672" s="327"/>
      <c r="N672" s="117"/>
      <c r="O672" s="320"/>
      <c r="P672" s="164"/>
      <c r="Q672" s="188"/>
      <c r="R672" s="188"/>
      <c r="S672" s="20"/>
      <c r="T672" s="20"/>
      <c r="U672" s="20"/>
      <c r="V672" s="20"/>
    </row>
    <row r="673">
      <c r="A673" s="320"/>
      <c r="B673" s="164"/>
      <c r="C673" s="320"/>
      <c r="D673" s="117"/>
      <c r="E673" s="320"/>
      <c r="F673" s="164"/>
      <c r="G673" s="320"/>
      <c r="H673" s="164"/>
      <c r="I673" s="327"/>
      <c r="J673" s="117"/>
      <c r="K673" s="327"/>
      <c r="L673" s="117"/>
      <c r="M673" s="327"/>
      <c r="N673" s="117"/>
      <c r="O673" s="320"/>
      <c r="P673" s="164"/>
      <c r="Q673" s="188"/>
      <c r="R673" s="188"/>
      <c r="S673" s="20"/>
      <c r="T673" s="20"/>
      <c r="U673" s="20"/>
      <c r="V673" s="20"/>
    </row>
    <row r="674">
      <c r="A674" s="320"/>
      <c r="B674" s="164"/>
      <c r="C674" s="320"/>
      <c r="D674" s="117"/>
      <c r="E674" s="320"/>
      <c r="F674" s="164"/>
      <c r="G674" s="320"/>
      <c r="H674" s="164"/>
      <c r="I674" s="327"/>
      <c r="J674" s="117"/>
      <c r="K674" s="327"/>
      <c r="L674" s="117"/>
      <c r="M674" s="327"/>
      <c r="N674" s="117"/>
      <c r="O674" s="320"/>
      <c r="P674" s="164"/>
      <c r="Q674" s="188"/>
      <c r="R674" s="188"/>
      <c r="S674" s="20"/>
      <c r="T674" s="20"/>
      <c r="U674" s="20"/>
      <c r="V674" s="20"/>
    </row>
    <row r="675">
      <c r="A675" s="320"/>
      <c r="B675" s="164"/>
      <c r="C675" s="320"/>
      <c r="D675" s="117"/>
      <c r="E675" s="320"/>
      <c r="F675" s="164"/>
      <c r="G675" s="320"/>
      <c r="H675" s="164"/>
      <c r="I675" s="327"/>
      <c r="J675" s="117"/>
      <c r="K675" s="327"/>
      <c r="L675" s="117"/>
      <c r="M675" s="327"/>
      <c r="N675" s="117"/>
      <c r="O675" s="320"/>
      <c r="P675" s="164"/>
      <c r="Q675" s="188"/>
      <c r="R675" s="188"/>
      <c r="S675" s="20"/>
      <c r="T675" s="20"/>
      <c r="U675" s="20"/>
      <c r="V675" s="20"/>
    </row>
    <row r="676">
      <c r="A676" s="320"/>
      <c r="B676" s="164"/>
      <c r="C676" s="320"/>
      <c r="D676" s="117"/>
      <c r="E676" s="320"/>
      <c r="F676" s="164"/>
      <c r="G676" s="320"/>
      <c r="H676" s="164"/>
      <c r="I676" s="327"/>
      <c r="J676" s="117"/>
      <c r="K676" s="327"/>
      <c r="L676" s="117"/>
      <c r="M676" s="327"/>
      <c r="N676" s="117"/>
      <c r="O676" s="320"/>
      <c r="P676" s="164"/>
      <c r="Q676" s="188"/>
      <c r="R676" s="188"/>
      <c r="S676" s="20"/>
      <c r="T676" s="20"/>
      <c r="U676" s="20"/>
      <c r="V676" s="20"/>
    </row>
    <row r="677">
      <c r="A677" s="320"/>
      <c r="B677" s="164"/>
      <c r="C677" s="320"/>
      <c r="D677" s="117"/>
      <c r="E677" s="320"/>
      <c r="F677" s="164"/>
      <c r="G677" s="320"/>
      <c r="H677" s="164"/>
      <c r="I677" s="327"/>
      <c r="J677" s="117"/>
      <c r="K677" s="327"/>
      <c r="L677" s="117"/>
      <c r="M677" s="327"/>
      <c r="N677" s="117"/>
      <c r="O677" s="320"/>
      <c r="P677" s="164"/>
      <c r="Q677" s="188"/>
      <c r="R677" s="188"/>
      <c r="S677" s="20"/>
      <c r="T677" s="20"/>
      <c r="U677" s="20"/>
      <c r="V677" s="20"/>
    </row>
    <row r="678">
      <c r="A678" s="320"/>
      <c r="B678" s="164"/>
      <c r="C678" s="320"/>
      <c r="D678" s="117"/>
      <c r="E678" s="320"/>
      <c r="F678" s="164"/>
      <c r="G678" s="320"/>
      <c r="H678" s="164"/>
      <c r="I678" s="327"/>
      <c r="J678" s="117"/>
      <c r="K678" s="327"/>
      <c r="L678" s="117"/>
      <c r="M678" s="327"/>
      <c r="N678" s="117"/>
      <c r="O678" s="320"/>
      <c r="P678" s="164"/>
      <c r="Q678" s="188"/>
      <c r="R678" s="188"/>
      <c r="S678" s="20"/>
      <c r="T678" s="20"/>
      <c r="U678" s="20"/>
      <c r="V678" s="20"/>
    </row>
    <row r="679">
      <c r="A679" s="320"/>
      <c r="B679" s="164"/>
      <c r="C679" s="320"/>
      <c r="D679" s="117"/>
      <c r="E679" s="320"/>
      <c r="F679" s="164"/>
      <c r="G679" s="320"/>
      <c r="H679" s="164"/>
      <c r="I679" s="327"/>
      <c r="J679" s="117"/>
      <c r="K679" s="327"/>
      <c r="L679" s="117"/>
      <c r="M679" s="327"/>
      <c r="N679" s="117"/>
      <c r="O679" s="320"/>
      <c r="P679" s="164"/>
      <c r="Q679" s="188"/>
      <c r="R679" s="188"/>
      <c r="S679" s="20"/>
      <c r="T679" s="20"/>
      <c r="U679" s="20"/>
      <c r="V679" s="20"/>
    </row>
    <row r="680">
      <c r="A680" s="320"/>
      <c r="B680" s="164"/>
      <c r="C680" s="320"/>
      <c r="D680" s="117"/>
      <c r="E680" s="320"/>
      <c r="F680" s="164"/>
      <c r="G680" s="320"/>
      <c r="H680" s="164"/>
      <c r="I680" s="327"/>
      <c r="J680" s="117"/>
      <c r="K680" s="327"/>
      <c r="L680" s="117"/>
      <c r="M680" s="327"/>
      <c r="N680" s="117"/>
      <c r="O680" s="320"/>
      <c r="P680" s="164"/>
      <c r="Q680" s="188"/>
      <c r="R680" s="188"/>
      <c r="S680" s="20"/>
      <c r="T680" s="20"/>
      <c r="U680" s="20"/>
      <c r="V680" s="20"/>
    </row>
    <row r="681">
      <c r="A681" s="320"/>
      <c r="B681" s="164"/>
      <c r="C681" s="320"/>
      <c r="D681" s="117"/>
      <c r="E681" s="320"/>
      <c r="F681" s="164"/>
      <c r="G681" s="320"/>
      <c r="H681" s="164"/>
      <c r="I681" s="327"/>
      <c r="J681" s="117"/>
      <c r="K681" s="327"/>
      <c r="L681" s="117"/>
      <c r="M681" s="327"/>
      <c r="N681" s="117"/>
      <c r="O681" s="320"/>
      <c r="P681" s="164"/>
      <c r="Q681" s="188"/>
      <c r="R681" s="188"/>
      <c r="S681" s="20"/>
      <c r="T681" s="20"/>
      <c r="U681" s="20"/>
      <c r="V681" s="20"/>
    </row>
    <row r="682">
      <c r="A682" s="320"/>
      <c r="B682" s="164"/>
      <c r="C682" s="320"/>
      <c r="D682" s="117"/>
      <c r="E682" s="320"/>
      <c r="F682" s="164"/>
      <c r="G682" s="320"/>
      <c r="H682" s="164"/>
      <c r="I682" s="327"/>
      <c r="J682" s="117"/>
      <c r="K682" s="327"/>
      <c r="L682" s="117"/>
      <c r="M682" s="327"/>
      <c r="N682" s="117"/>
      <c r="O682" s="320"/>
      <c r="P682" s="164"/>
      <c r="Q682" s="188"/>
      <c r="R682" s="188"/>
      <c r="S682" s="20"/>
      <c r="T682" s="20"/>
      <c r="U682" s="20"/>
      <c r="V682" s="20"/>
    </row>
    <row r="683">
      <c r="A683" s="320"/>
      <c r="B683" s="164"/>
      <c r="C683" s="320"/>
      <c r="D683" s="117"/>
      <c r="E683" s="320"/>
      <c r="F683" s="164"/>
      <c r="G683" s="320"/>
      <c r="H683" s="164"/>
      <c r="I683" s="327"/>
      <c r="J683" s="117"/>
      <c r="K683" s="327"/>
      <c r="L683" s="117"/>
      <c r="M683" s="327"/>
      <c r="N683" s="117"/>
      <c r="O683" s="320"/>
      <c r="P683" s="164"/>
      <c r="Q683" s="188"/>
      <c r="R683" s="188"/>
      <c r="S683" s="20"/>
      <c r="T683" s="20"/>
      <c r="U683" s="20"/>
      <c r="V683" s="20"/>
    </row>
    <row r="684">
      <c r="A684" s="320"/>
      <c r="B684" s="164"/>
      <c r="C684" s="320"/>
      <c r="D684" s="117"/>
      <c r="E684" s="320"/>
      <c r="F684" s="164"/>
      <c r="G684" s="320"/>
      <c r="H684" s="164"/>
      <c r="I684" s="327"/>
      <c r="J684" s="117"/>
      <c r="K684" s="327"/>
      <c r="L684" s="117"/>
      <c r="M684" s="327"/>
      <c r="N684" s="117"/>
      <c r="O684" s="320"/>
      <c r="P684" s="164"/>
      <c r="Q684" s="188"/>
      <c r="R684" s="188"/>
      <c r="S684" s="20"/>
      <c r="T684" s="20"/>
      <c r="U684" s="20"/>
      <c r="V684" s="20"/>
    </row>
    <row r="685">
      <c r="A685" s="320"/>
      <c r="B685" s="164"/>
      <c r="C685" s="320"/>
      <c r="D685" s="117"/>
      <c r="E685" s="320"/>
      <c r="F685" s="164"/>
      <c r="G685" s="320"/>
      <c r="H685" s="164"/>
      <c r="I685" s="327"/>
      <c r="J685" s="117"/>
      <c r="K685" s="327"/>
      <c r="L685" s="117"/>
      <c r="M685" s="327"/>
      <c r="N685" s="117"/>
      <c r="O685" s="320"/>
      <c r="P685" s="164"/>
      <c r="Q685" s="188"/>
      <c r="R685" s="188"/>
      <c r="S685" s="20"/>
      <c r="T685" s="20"/>
      <c r="U685" s="20"/>
      <c r="V685" s="20"/>
    </row>
    <row r="686">
      <c r="A686" s="320"/>
      <c r="B686" s="164"/>
      <c r="C686" s="320"/>
      <c r="D686" s="117"/>
      <c r="E686" s="320"/>
      <c r="F686" s="164"/>
      <c r="G686" s="320"/>
      <c r="H686" s="164"/>
      <c r="I686" s="327"/>
      <c r="J686" s="117"/>
      <c r="K686" s="327"/>
      <c r="L686" s="117"/>
      <c r="M686" s="327"/>
      <c r="N686" s="117"/>
      <c r="O686" s="320"/>
      <c r="P686" s="164"/>
      <c r="Q686" s="188"/>
      <c r="R686" s="188"/>
      <c r="S686" s="20"/>
      <c r="T686" s="20"/>
      <c r="U686" s="20"/>
      <c r="V686" s="20"/>
    </row>
    <row r="687">
      <c r="A687" s="320"/>
      <c r="B687" s="164"/>
      <c r="C687" s="320"/>
      <c r="D687" s="117"/>
      <c r="E687" s="320"/>
      <c r="F687" s="164"/>
      <c r="G687" s="320"/>
      <c r="H687" s="164"/>
      <c r="I687" s="327"/>
      <c r="J687" s="117"/>
      <c r="K687" s="327"/>
      <c r="L687" s="117"/>
      <c r="M687" s="327"/>
      <c r="N687" s="117"/>
      <c r="O687" s="320"/>
      <c r="P687" s="164"/>
      <c r="Q687" s="188"/>
      <c r="R687" s="188"/>
      <c r="S687" s="20"/>
      <c r="T687" s="20"/>
      <c r="U687" s="20"/>
      <c r="V687" s="20"/>
    </row>
    <row r="688">
      <c r="A688" s="320"/>
      <c r="B688" s="164"/>
      <c r="C688" s="320"/>
      <c r="D688" s="117"/>
      <c r="E688" s="320"/>
      <c r="F688" s="164"/>
      <c r="G688" s="320"/>
      <c r="H688" s="164"/>
      <c r="I688" s="327"/>
      <c r="J688" s="117"/>
      <c r="K688" s="327"/>
      <c r="L688" s="117"/>
      <c r="M688" s="327"/>
      <c r="N688" s="117"/>
      <c r="O688" s="320"/>
      <c r="P688" s="164"/>
      <c r="Q688" s="188"/>
      <c r="R688" s="188"/>
      <c r="S688" s="20"/>
      <c r="T688" s="20"/>
      <c r="U688" s="20"/>
      <c r="V688" s="20"/>
    </row>
    <row r="689">
      <c r="A689" s="320"/>
      <c r="B689" s="164"/>
      <c r="C689" s="320"/>
      <c r="D689" s="117"/>
      <c r="E689" s="320"/>
      <c r="F689" s="164"/>
      <c r="G689" s="320"/>
      <c r="H689" s="164"/>
      <c r="I689" s="327"/>
      <c r="J689" s="117"/>
      <c r="K689" s="327"/>
      <c r="L689" s="117"/>
      <c r="M689" s="327"/>
      <c r="N689" s="117"/>
      <c r="O689" s="320"/>
      <c r="P689" s="164"/>
      <c r="Q689" s="188"/>
      <c r="R689" s="188"/>
      <c r="S689" s="20"/>
      <c r="T689" s="20"/>
      <c r="U689" s="20"/>
      <c r="V689" s="20"/>
    </row>
    <row r="690">
      <c r="A690" s="320"/>
      <c r="B690" s="164"/>
      <c r="C690" s="320"/>
      <c r="D690" s="117"/>
      <c r="E690" s="320"/>
      <c r="F690" s="164"/>
      <c r="G690" s="320"/>
      <c r="H690" s="164"/>
      <c r="I690" s="327"/>
      <c r="J690" s="117"/>
      <c r="K690" s="327"/>
      <c r="L690" s="117"/>
      <c r="M690" s="327"/>
      <c r="N690" s="117"/>
      <c r="O690" s="320"/>
      <c r="P690" s="164"/>
      <c r="Q690" s="188"/>
      <c r="R690" s="188"/>
      <c r="S690" s="20"/>
      <c r="T690" s="20"/>
      <c r="U690" s="20"/>
      <c r="V690" s="20"/>
    </row>
    <row r="691">
      <c r="A691" s="320"/>
      <c r="B691" s="164"/>
      <c r="C691" s="320"/>
      <c r="D691" s="117"/>
      <c r="E691" s="320"/>
      <c r="F691" s="164"/>
      <c r="G691" s="320"/>
      <c r="H691" s="164"/>
      <c r="I691" s="327"/>
      <c r="J691" s="117"/>
      <c r="K691" s="327"/>
      <c r="L691" s="117"/>
      <c r="M691" s="327"/>
      <c r="N691" s="117"/>
      <c r="O691" s="320"/>
      <c r="P691" s="164"/>
      <c r="Q691" s="188"/>
      <c r="R691" s="188"/>
      <c r="S691" s="20"/>
      <c r="T691" s="20"/>
      <c r="U691" s="20"/>
      <c r="V691" s="20"/>
    </row>
    <row r="692">
      <c r="A692" s="320"/>
      <c r="B692" s="164"/>
      <c r="C692" s="320"/>
      <c r="D692" s="117"/>
      <c r="E692" s="320"/>
      <c r="F692" s="164"/>
      <c r="G692" s="320"/>
      <c r="H692" s="164"/>
      <c r="I692" s="327"/>
      <c r="J692" s="117"/>
      <c r="K692" s="327"/>
      <c r="L692" s="117"/>
      <c r="M692" s="327"/>
      <c r="N692" s="117"/>
      <c r="O692" s="320"/>
      <c r="P692" s="164"/>
      <c r="Q692" s="188"/>
      <c r="R692" s="188"/>
      <c r="S692" s="20"/>
      <c r="T692" s="20"/>
      <c r="U692" s="20"/>
      <c r="V692" s="20"/>
    </row>
    <row r="693">
      <c r="A693" s="320"/>
      <c r="B693" s="164"/>
      <c r="C693" s="320"/>
      <c r="D693" s="117"/>
      <c r="E693" s="320"/>
      <c r="F693" s="164"/>
      <c r="G693" s="320"/>
      <c r="H693" s="164"/>
      <c r="I693" s="327"/>
      <c r="J693" s="117"/>
      <c r="K693" s="327"/>
      <c r="L693" s="117"/>
      <c r="M693" s="327"/>
      <c r="N693" s="117"/>
      <c r="O693" s="320"/>
      <c r="P693" s="164"/>
      <c r="Q693" s="188"/>
      <c r="R693" s="188"/>
      <c r="S693" s="20"/>
      <c r="T693" s="20"/>
      <c r="U693" s="20"/>
      <c r="V693" s="20"/>
    </row>
    <row r="694">
      <c r="A694" s="320"/>
      <c r="B694" s="164"/>
      <c r="C694" s="320"/>
      <c r="D694" s="117"/>
      <c r="E694" s="320"/>
      <c r="F694" s="164"/>
      <c r="G694" s="320"/>
      <c r="H694" s="164"/>
      <c r="I694" s="327"/>
      <c r="J694" s="117"/>
      <c r="K694" s="327"/>
      <c r="L694" s="117"/>
      <c r="M694" s="327"/>
      <c r="N694" s="117"/>
      <c r="O694" s="320"/>
      <c r="P694" s="164"/>
      <c r="Q694" s="188"/>
      <c r="R694" s="188"/>
      <c r="S694" s="20"/>
      <c r="T694" s="20"/>
      <c r="U694" s="20"/>
      <c r="V694" s="20"/>
    </row>
    <row r="695">
      <c r="A695" s="320"/>
      <c r="B695" s="164"/>
      <c r="C695" s="320"/>
      <c r="D695" s="117"/>
      <c r="E695" s="320"/>
      <c r="F695" s="164"/>
      <c r="G695" s="320"/>
      <c r="H695" s="164"/>
      <c r="I695" s="327"/>
      <c r="J695" s="117"/>
      <c r="K695" s="327"/>
      <c r="L695" s="117"/>
      <c r="M695" s="327"/>
      <c r="N695" s="117"/>
      <c r="O695" s="320"/>
      <c r="P695" s="164"/>
      <c r="Q695" s="188"/>
      <c r="R695" s="188"/>
      <c r="S695" s="20"/>
      <c r="T695" s="20"/>
      <c r="U695" s="20"/>
      <c r="V695" s="20"/>
    </row>
    <row r="696">
      <c r="A696" s="320"/>
      <c r="B696" s="164"/>
      <c r="C696" s="320"/>
      <c r="D696" s="117"/>
      <c r="E696" s="320"/>
      <c r="F696" s="164"/>
      <c r="G696" s="320"/>
      <c r="H696" s="164"/>
      <c r="I696" s="327"/>
      <c r="J696" s="117"/>
      <c r="K696" s="327"/>
      <c r="L696" s="117"/>
      <c r="M696" s="327"/>
      <c r="N696" s="117"/>
      <c r="O696" s="320"/>
      <c r="P696" s="164"/>
      <c r="Q696" s="188"/>
      <c r="R696" s="188"/>
      <c r="S696" s="20"/>
      <c r="T696" s="20"/>
      <c r="U696" s="20"/>
      <c r="V696" s="20"/>
    </row>
    <row r="697">
      <c r="A697" s="320"/>
      <c r="B697" s="164"/>
      <c r="C697" s="320"/>
      <c r="D697" s="117"/>
      <c r="E697" s="320"/>
      <c r="F697" s="164"/>
      <c r="G697" s="320"/>
      <c r="H697" s="164"/>
      <c r="I697" s="327"/>
      <c r="J697" s="117"/>
      <c r="K697" s="327"/>
      <c r="L697" s="117"/>
      <c r="M697" s="327"/>
      <c r="N697" s="117"/>
      <c r="O697" s="320"/>
      <c r="P697" s="164"/>
      <c r="Q697" s="188"/>
      <c r="R697" s="188"/>
      <c r="S697" s="20"/>
      <c r="T697" s="20"/>
      <c r="U697" s="20"/>
      <c r="V697" s="20"/>
    </row>
    <row r="698">
      <c r="A698" s="320"/>
      <c r="B698" s="164"/>
      <c r="C698" s="320"/>
      <c r="D698" s="117"/>
      <c r="E698" s="320"/>
      <c r="F698" s="164"/>
      <c r="G698" s="320"/>
      <c r="H698" s="164"/>
      <c r="I698" s="327"/>
      <c r="J698" s="117"/>
      <c r="K698" s="327"/>
      <c r="L698" s="117"/>
      <c r="M698" s="327"/>
      <c r="N698" s="117"/>
      <c r="O698" s="320"/>
      <c r="P698" s="164"/>
      <c r="Q698" s="188"/>
      <c r="R698" s="188"/>
      <c r="S698" s="20"/>
      <c r="T698" s="20"/>
      <c r="U698" s="20"/>
      <c r="V698" s="20"/>
    </row>
    <row r="699">
      <c r="A699" s="320"/>
      <c r="B699" s="164"/>
      <c r="C699" s="320"/>
      <c r="D699" s="117"/>
      <c r="E699" s="320"/>
      <c r="F699" s="164"/>
      <c r="G699" s="320"/>
      <c r="H699" s="164"/>
      <c r="I699" s="327"/>
      <c r="J699" s="117"/>
      <c r="K699" s="327"/>
      <c r="L699" s="117"/>
      <c r="M699" s="327"/>
      <c r="N699" s="117"/>
      <c r="O699" s="320"/>
      <c r="P699" s="164"/>
      <c r="Q699" s="188"/>
      <c r="R699" s="188"/>
      <c r="S699" s="20"/>
      <c r="T699" s="20"/>
      <c r="U699" s="20"/>
      <c r="V699" s="20"/>
    </row>
    <row r="700">
      <c r="A700" s="320"/>
      <c r="B700" s="164"/>
      <c r="C700" s="320"/>
      <c r="D700" s="117"/>
      <c r="E700" s="320"/>
      <c r="F700" s="164"/>
      <c r="G700" s="320"/>
      <c r="H700" s="164"/>
      <c r="I700" s="327"/>
      <c r="J700" s="117"/>
      <c r="K700" s="327"/>
      <c r="L700" s="117"/>
      <c r="M700" s="327"/>
      <c r="N700" s="117"/>
      <c r="O700" s="320"/>
      <c r="P700" s="164"/>
      <c r="Q700" s="188"/>
      <c r="R700" s="188"/>
      <c r="S700" s="20"/>
      <c r="T700" s="20"/>
      <c r="U700" s="20"/>
      <c r="V700" s="20"/>
    </row>
    <row r="701">
      <c r="A701" s="320"/>
      <c r="B701" s="164"/>
      <c r="C701" s="320"/>
      <c r="D701" s="117"/>
      <c r="E701" s="320"/>
      <c r="F701" s="164"/>
      <c r="G701" s="320"/>
      <c r="H701" s="164"/>
      <c r="I701" s="327"/>
      <c r="J701" s="117"/>
      <c r="K701" s="327"/>
      <c r="L701" s="117"/>
      <c r="M701" s="327"/>
      <c r="N701" s="117"/>
      <c r="O701" s="320"/>
      <c r="P701" s="164"/>
      <c r="Q701" s="188"/>
      <c r="R701" s="188"/>
      <c r="S701" s="20"/>
      <c r="T701" s="20"/>
      <c r="U701" s="20"/>
      <c r="V701" s="20"/>
    </row>
    <row r="702">
      <c r="A702" s="320"/>
      <c r="B702" s="164"/>
      <c r="C702" s="320"/>
      <c r="D702" s="117"/>
      <c r="E702" s="320"/>
      <c r="F702" s="164"/>
      <c r="G702" s="320"/>
      <c r="H702" s="164"/>
      <c r="I702" s="327"/>
      <c r="J702" s="117"/>
      <c r="K702" s="327"/>
      <c r="L702" s="117"/>
      <c r="M702" s="327"/>
      <c r="N702" s="117"/>
      <c r="O702" s="320"/>
      <c r="P702" s="164"/>
      <c r="Q702" s="188"/>
      <c r="R702" s="188"/>
      <c r="S702" s="20"/>
      <c r="T702" s="20"/>
      <c r="U702" s="20"/>
      <c r="V702" s="20"/>
    </row>
    <row r="703">
      <c r="A703" s="320"/>
      <c r="B703" s="164"/>
      <c r="C703" s="320"/>
      <c r="D703" s="117"/>
      <c r="E703" s="320"/>
      <c r="F703" s="164"/>
      <c r="G703" s="320"/>
      <c r="H703" s="164"/>
      <c r="I703" s="327"/>
      <c r="J703" s="117"/>
      <c r="K703" s="327"/>
      <c r="L703" s="117"/>
      <c r="M703" s="327"/>
      <c r="N703" s="117"/>
      <c r="O703" s="320"/>
      <c r="P703" s="164"/>
      <c r="Q703" s="188"/>
      <c r="R703" s="188"/>
      <c r="S703" s="20"/>
      <c r="T703" s="20"/>
      <c r="U703" s="20"/>
      <c r="V703" s="20"/>
    </row>
    <row r="704">
      <c r="A704" s="320"/>
      <c r="B704" s="164"/>
      <c r="C704" s="320"/>
      <c r="D704" s="117"/>
      <c r="E704" s="320"/>
      <c r="F704" s="164"/>
      <c r="G704" s="320"/>
      <c r="H704" s="164"/>
      <c r="I704" s="327"/>
      <c r="J704" s="117"/>
      <c r="K704" s="327"/>
      <c r="L704" s="117"/>
      <c r="M704" s="327"/>
      <c r="N704" s="117"/>
      <c r="O704" s="320"/>
      <c r="P704" s="164"/>
      <c r="Q704" s="188"/>
      <c r="R704" s="188"/>
      <c r="S704" s="20"/>
      <c r="T704" s="20"/>
      <c r="U704" s="20"/>
      <c r="V704" s="20"/>
    </row>
    <row r="705">
      <c r="A705" s="320"/>
      <c r="B705" s="164"/>
      <c r="C705" s="320"/>
      <c r="D705" s="117"/>
      <c r="E705" s="320"/>
      <c r="F705" s="164"/>
      <c r="G705" s="320"/>
      <c r="H705" s="164"/>
      <c r="I705" s="327"/>
      <c r="J705" s="117"/>
      <c r="K705" s="327"/>
      <c r="L705" s="117"/>
      <c r="M705" s="327"/>
      <c r="N705" s="117"/>
      <c r="O705" s="320"/>
      <c r="P705" s="164"/>
      <c r="Q705" s="188"/>
      <c r="R705" s="188"/>
      <c r="S705" s="20"/>
      <c r="T705" s="20"/>
      <c r="U705" s="20"/>
      <c r="V705" s="20"/>
    </row>
    <row r="706">
      <c r="A706" s="320"/>
      <c r="B706" s="164"/>
      <c r="C706" s="320"/>
      <c r="D706" s="117"/>
      <c r="E706" s="320"/>
      <c r="F706" s="164"/>
      <c r="G706" s="320"/>
      <c r="H706" s="164"/>
      <c r="I706" s="327"/>
      <c r="J706" s="117"/>
      <c r="K706" s="327"/>
      <c r="L706" s="117"/>
      <c r="M706" s="327"/>
      <c r="N706" s="117"/>
      <c r="O706" s="320"/>
      <c r="P706" s="164"/>
      <c r="Q706" s="188"/>
      <c r="R706" s="188"/>
      <c r="S706" s="20"/>
      <c r="T706" s="20"/>
      <c r="U706" s="20"/>
      <c r="V706" s="20"/>
    </row>
    <row r="707">
      <c r="A707" s="320"/>
      <c r="B707" s="164"/>
      <c r="C707" s="320"/>
      <c r="D707" s="117"/>
      <c r="E707" s="320"/>
      <c r="F707" s="164"/>
      <c r="G707" s="320"/>
      <c r="H707" s="164"/>
      <c r="I707" s="327"/>
      <c r="J707" s="117"/>
      <c r="K707" s="327"/>
      <c r="L707" s="117"/>
      <c r="M707" s="327"/>
      <c r="N707" s="117"/>
      <c r="O707" s="320"/>
      <c r="P707" s="164"/>
      <c r="Q707" s="188"/>
      <c r="R707" s="188"/>
      <c r="S707" s="20"/>
      <c r="T707" s="20"/>
      <c r="U707" s="20"/>
      <c r="V707" s="20"/>
    </row>
    <row r="708">
      <c r="A708" s="320"/>
      <c r="B708" s="164"/>
      <c r="C708" s="320"/>
      <c r="D708" s="117"/>
      <c r="E708" s="320"/>
      <c r="F708" s="164"/>
      <c r="G708" s="320"/>
      <c r="H708" s="164"/>
      <c r="I708" s="327"/>
      <c r="J708" s="117"/>
      <c r="K708" s="327"/>
      <c r="L708" s="117"/>
      <c r="M708" s="327"/>
      <c r="N708" s="117"/>
      <c r="O708" s="320"/>
      <c r="P708" s="164"/>
      <c r="Q708" s="188"/>
      <c r="R708" s="188"/>
      <c r="S708" s="20"/>
      <c r="T708" s="20"/>
      <c r="U708" s="20"/>
      <c r="V708" s="20"/>
    </row>
    <row r="709">
      <c r="A709" s="320"/>
      <c r="B709" s="164"/>
      <c r="C709" s="320"/>
      <c r="D709" s="117"/>
      <c r="E709" s="320"/>
      <c r="F709" s="164"/>
      <c r="G709" s="320"/>
      <c r="H709" s="164"/>
      <c r="I709" s="327"/>
      <c r="J709" s="117"/>
      <c r="K709" s="327"/>
      <c r="L709" s="117"/>
      <c r="M709" s="327"/>
      <c r="N709" s="117"/>
      <c r="O709" s="320"/>
      <c r="P709" s="164"/>
      <c r="Q709" s="188"/>
      <c r="R709" s="188"/>
      <c r="S709" s="20"/>
      <c r="T709" s="20"/>
      <c r="U709" s="20"/>
      <c r="V709" s="20"/>
    </row>
    <row r="710">
      <c r="A710" s="320"/>
      <c r="B710" s="164"/>
      <c r="C710" s="320"/>
      <c r="D710" s="117"/>
      <c r="E710" s="320"/>
      <c r="F710" s="164"/>
      <c r="G710" s="320"/>
      <c r="H710" s="164"/>
      <c r="I710" s="327"/>
      <c r="J710" s="117"/>
      <c r="K710" s="327"/>
      <c r="L710" s="117"/>
      <c r="M710" s="327"/>
      <c r="N710" s="117"/>
      <c r="O710" s="320"/>
      <c r="P710" s="164"/>
      <c r="Q710" s="188"/>
      <c r="R710" s="188"/>
      <c r="S710" s="20"/>
      <c r="T710" s="20"/>
      <c r="U710" s="20"/>
      <c r="V710" s="20"/>
    </row>
    <row r="711">
      <c r="A711" s="320"/>
      <c r="B711" s="164"/>
      <c r="C711" s="320"/>
      <c r="D711" s="117"/>
      <c r="E711" s="320"/>
      <c r="F711" s="164"/>
      <c r="G711" s="320"/>
      <c r="H711" s="164"/>
      <c r="I711" s="327"/>
      <c r="J711" s="117"/>
      <c r="K711" s="327"/>
      <c r="L711" s="117"/>
      <c r="M711" s="327"/>
      <c r="N711" s="117"/>
      <c r="O711" s="320"/>
      <c r="P711" s="164"/>
      <c r="Q711" s="188"/>
      <c r="R711" s="188"/>
      <c r="S711" s="20"/>
      <c r="T711" s="20"/>
      <c r="U711" s="20"/>
      <c r="V711" s="20"/>
    </row>
    <row r="712">
      <c r="A712" s="320"/>
      <c r="B712" s="164"/>
      <c r="C712" s="320"/>
      <c r="D712" s="117"/>
      <c r="E712" s="320"/>
      <c r="F712" s="164"/>
      <c r="G712" s="320"/>
      <c r="H712" s="164"/>
      <c r="I712" s="327"/>
      <c r="J712" s="117"/>
      <c r="K712" s="327"/>
      <c r="L712" s="117"/>
      <c r="M712" s="327"/>
      <c r="N712" s="117"/>
      <c r="O712" s="320"/>
      <c r="P712" s="164"/>
      <c r="Q712" s="188"/>
      <c r="R712" s="188"/>
      <c r="S712" s="20"/>
      <c r="T712" s="20"/>
      <c r="U712" s="20"/>
      <c r="V712" s="20"/>
    </row>
    <row r="713">
      <c r="A713" s="320"/>
      <c r="B713" s="164"/>
      <c r="C713" s="320"/>
      <c r="D713" s="117"/>
      <c r="E713" s="320"/>
      <c r="F713" s="164"/>
      <c r="G713" s="320"/>
      <c r="H713" s="164"/>
      <c r="I713" s="327"/>
      <c r="J713" s="117"/>
      <c r="K713" s="327"/>
      <c r="L713" s="117"/>
      <c r="M713" s="327"/>
      <c r="N713" s="117"/>
      <c r="O713" s="320"/>
      <c r="P713" s="164"/>
      <c r="Q713" s="188"/>
      <c r="R713" s="188"/>
      <c r="S713" s="20"/>
      <c r="T713" s="20"/>
      <c r="U713" s="20"/>
      <c r="V713" s="20"/>
    </row>
    <row r="714">
      <c r="A714" s="320"/>
      <c r="B714" s="164"/>
      <c r="C714" s="320"/>
      <c r="D714" s="117"/>
      <c r="E714" s="320"/>
      <c r="F714" s="164"/>
      <c r="G714" s="320"/>
      <c r="H714" s="164"/>
      <c r="I714" s="327"/>
      <c r="J714" s="117"/>
      <c r="K714" s="327"/>
      <c r="L714" s="117"/>
      <c r="M714" s="327"/>
      <c r="N714" s="117"/>
      <c r="O714" s="320"/>
      <c r="P714" s="164"/>
      <c r="Q714" s="188"/>
      <c r="R714" s="188"/>
      <c r="S714" s="20"/>
      <c r="T714" s="20"/>
      <c r="U714" s="20"/>
      <c r="V714" s="20"/>
    </row>
    <row r="715">
      <c r="A715" s="320"/>
      <c r="B715" s="164"/>
      <c r="C715" s="320"/>
      <c r="D715" s="117"/>
      <c r="E715" s="320"/>
      <c r="F715" s="164"/>
      <c r="G715" s="320"/>
      <c r="H715" s="164"/>
      <c r="I715" s="327"/>
      <c r="J715" s="117"/>
      <c r="K715" s="327"/>
      <c r="L715" s="117"/>
      <c r="M715" s="327"/>
      <c r="N715" s="117"/>
      <c r="O715" s="320"/>
      <c r="P715" s="164"/>
      <c r="Q715" s="188"/>
      <c r="R715" s="188"/>
      <c r="S715" s="20"/>
      <c r="T715" s="20"/>
      <c r="U715" s="20"/>
      <c r="V715" s="20"/>
    </row>
    <row r="716">
      <c r="A716" s="320"/>
      <c r="B716" s="164"/>
      <c r="C716" s="320"/>
      <c r="D716" s="117"/>
      <c r="E716" s="320"/>
      <c r="F716" s="164"/>
      <c r="G716" s="320"/>
      <c r="H716" s="164"/>
      <c r="I716" s="327"/>
      <c r="J716" s="117"/>
      <c r="K716" s="327"/>
      <c r="L716" s="117"/>
      <c r="M716" s="327"/>
      <c r="N716" s="117"/>
      <c r="O716" s="320"/>
      <c r="P716" s="164"/>
      <c r="Q716" s="188"/>
      <c r="R716" s="188"/>
      <c r="S716" s="20"/>
      <c r="T716" s="20"/>
      <c r="U716" s="20"/>
      <c r="V716" s="20"/>
    </row>
    <row r="717">
      <c r="A717" s="320"/>
      <c r="B717" s="164"/>
      <c r="C717" s="320"/>
      <c r="D717" s="117"/>
      <c r="E717" s="320"/>
      <c r="F717" s="164"/>
      <c r="G717" s="320"/>
      <c r="H717" s="164"/>
      <c r="I717" s="327"/>
      <c r="J717" s="117"/>
      <c r="K717" s="327"/>
      <c r="L717" s="117"/>
      <c r="M717" s="327"/>
      <c r="N717" s="117"/>
      <c r="O717" s="320"/>
      <c r="P717" s="164"/>
      <c r="Q717" s="188"/>
      <c r="R717" s="188"/>
      <c r="S717" s="20"/>
      <c r="T717" s="20"/>
      <c r="U717" s="20"/>
      <c r="V717" s="20"/>
    </row>
    <row r="718">
      <c r="A718" s="320"/>
      <c r="B718" s="164"/>
      <c r="C718" s="320"/>
      <c r="D718" s="117"/>
      <c r="E718" s="320"/>
      <c r="F718" s="164"/>
      <c r="G718" s="320"/>
      <c r="H718" s="164"/>
      <c r="I718" s="327"/>
      <c r="J718" s="117"/>
      <c r="K718" s="327"/>
      <c r="L718" s="117"/>
      <c r="M718" s="327"/>
      <c r="N718" s="117"/>
      <c r="O718" s="320"/>
      <c r="P718" s="164"/>
      <c r="Q718" s="188"/>
      <c r="R718" s="188"/>
      <c r="S718" s="20"/>
      <c r="T718" s="20"/>
      <c r="U718" s="20"/>
      <c r="V718" s="20"/>
    </row>
    <row r="719">
      <c r="A719" s="320"/>
      <c r="B719" s="164"/>
      <c r="C719" s="320"/>
      <c r="D719" s="117"/>
      <c r="E719" s="320"/>
      <c r="F719" s="164"/>
      <c r="G719" s="320"/>
      <c r="H719" s="164"/>
      <c r="I719" s="327"/>
      <c r="J719" s="117"/>
      <c r="K719" s="327"/>
      <c r="L719" s="117"/>
      <c r="M719" s="327"/>
      <c r="N719" s="117"/>
      <c r="O719" s="320"/>
      <c r="P719" s="164"/>
      <c r="Q719" s="188"/>
      <c r="R719" s="188"/>
      <c r="S719" s="20"/>
      <c r="T719" s="20"/>
      <c r="U719" s="20"/>
      <c r="V719" s="20"/>
    </row>
    <row r="720">
      <c r="A720" s="320"/>
      <c r="B720" s="164"/>
      <c r="C720" s="320"/>
      <c r="D720" s="117"/>
      <c r="E720" s="320"/>
      <c r="F720" s="164"/>
      <c r="G720" s="320"/>
      <c r="H720" s="164"/>
      <c r="I720" s="327"/>
      <c r="J720" s="117"/>
      <c r="K720" s="327"/>
      <c r="L720" s="117"/>
      <c r="M720" s="327"/>
      <c r="N720" s="117"/>
      <c r="O720" s="320"/>
      <c r="P720" s="164"/>
      <c r="Q720" s="188"/>
      <c r="R720" s="188"/>
      <c r="S720" s="20"/>
      <c r="T720" s="20"/>
      <c r="U720" s="20"/>
      <c r="V720" s="20"/>
    </row>
    <row r="721">
      <c r="A721" s="320"/>
      <c r="B721" s="164"/>
      <c r="C721" s="320"/>
      <c r="D721" s="117"/>
      <c r="E721" s="320"/>
      <c r="F721" s="164"/>
      <c r="G721" s="320"/>
      <c r="H721" s="164"/>
      <c r="I721" s="327"/>
      <c r="J721" s="117"/>
      <c r="K721" s="327"/>
      <c r="L721" s="117"/>
      <c r="M721" s="327"/>
      <c r="N721" s="117"/>
      <c r="O721" s="320"/>
      <c r="P721" s="164"/>
      <c r="Q721" s="188"/>
      <c r="R721" s="188"/>
      <c r="S721" s="20"/>
      <c r="T721" s="20"/>
      <c r="U721" s="20"/>
      <c r="V721" s="20"/>
    </row>
    <row r="722">
      <c r="A722" s="320"/>
      <c r="B722" s="164"/>
      <c r="C722" s="320"/>
      <c r="D722" s="117"/>
      <c r="E722" s="320"/>
      <c r="F722" s="164"/>
      <c r="G722" s="320"/>
      <c r="H722" s="164"/>
      <c r="I722" s="327"/>
      <c r="J722" s="117"/>
      <c r="K722" s="327"/>
      <c r="L722" s="117"/>
      <c r="M722" s="327"/>
      <c r="N722" s="117"/>
      <c r="O722" s="320"/>
      <c r="P722" s="164"/>
      <c r="Q722" s="188"/>
      <c r="R722" s="188"/>
      <c r="S722" s="20"/>
      <c r="T722" s="20"/>
      <c r="U722" s="20"/>
      <c r="V722" s="20"/>
    </row>
    <row r="723">
      <c r="A723" s="320"/>
      <c r="B723" s="164"/>
      <c r="C723" s="320"/>
      <c r="D723" s="117"/>
      <c r="E723" s="320"/>
      <c r="F723" s="164"/>
      <c r="G723" s="320"/>
      <c r="H723" s="164"/>
      <c r="I723" s="327"/>
      <c r="J723" s="117"/>
      <c r="K723" s="327"/>
      <c r="L723" s="117"/>
      <c r="M723" s="327"/>
      <c r="N723" s="117"/>
      <c r="O723" s="320"/>
      <c r="P723" s="164"/>
      <c r="Q723" s="188"/>
      <c r="R723" s="188"/>
      <c r="S723" s="20"/>
      <c r="T723" s="20"/>
      <c r="U723" s="20"/>
      <c r="V723" s="20"/>
    </row>
    <row r="724">
      <c r="A724" s="320"/>
      <c r="B724" s="164"/>
      <c r="C724" s="320"/>
      <c r="D724" s="117"/>
      <c r="E724" s="320"/>
      <c r="F724" s="164"/>
      <c r="G724" s="320"/>
      <c r="H724" s="164"/>
      <c r="I724" s="327"/>
      <c r="J724" s="117"/>
      <c r="K724" s="327"/>
      <c r="L724" s="117"/>
      <c r="M724" s="327"/>
      <c r="N724" s="117"/>
      <c r="O724" s="320"/>
      <c r="P724" s="164"/>
      <c r="Q724" s="188"/>
      <c r="R724" s="188"/>
      <c r="S724" s="20"/>
      <c r="T724" s="20"/>
      <c r="U724" s="20"/>
      <c r="V724" s="20"/>
    </row>
    <row r="725">
      <c r="A725" s="320"/>
      <c r="B725" s="164"/>
      <c r="C725" s="320"/>
      <c r="D725" s="117"/>
      <c r="E725" s="320"/>
      <c r="F725" s="164"/>
      <c r="G725" s="320"/>
      <c r="H725" s="164"/>
      <c r="I725" s="327"/>
      <c r="J725" s="117"/>
      <c r="K725" s="327"/>
      <c r="L725" s="117"/>
      <c r="M725" s="327"/>
      <c r="N725" s="117"/>
      <c r="O725" s="320"/>
      <c r="P725" s="164"/>
      <c r="Q725" s="188"/>
      <c r="R725" s="188"/>
      <c r="S725" s="20"/>
      <c r="T725" s="20"/>
      <c r="U725" s="20"/>
      <c r="V725" s="20"/>
    </row>
    <row r="726">
      <c r="A726" s="320"/>
      <c r="B726" s="164"/>
      <c r="C726" s="320"/>
      <c r="D726" s="117"/>
      <c r="E726" s="320"/>
      <c r="F726" s="164"/>
      <c r="G726" s="320"/>
      <c r="H726" s="164"/>
      <c r="I726" s="327"/>
      <c r="J726" s="117"/>
      <c r="K726" s="327"/>
      <c r="L726" s="117"/>
      <c r="M726" s="327"/>
      <c r="N726" s="117"/>
      <c r="O726" s="320"/>
      <c r="P726" s="164"/>
      <c r="Q726" s="188"/>
      <c r="R726" s="188"/>
      <c r="S726" s="20"/>
      <c r="T726" s="20"/>
      <c r="U726" s="20"/>
      <c r="V726" s="20"/>
    </row>
    <row r="727">
      <c r="A727" s="320"/>
      <c r="B727" s="164"/>
      <c r="C727" s="320"/>
      <c r="D727" s="117"/>
      <c r="E727" s="320"/>
      <c r="F727" s="164"/>
      <c r="G727" s="320"/>
      <c r="H727" s="164"/>
      <c r="I727" s="327"/>
      <c r="J727" s="117"/>
      <c r="K727" s="327"/>
      <c r="L727" s="117"/>
      <c r="M727" s="327"/>
      <c r="N727" s="117"/>
      <c r="O727" s="320"/>
      <c r="P727" s="164"/>
      <c r="Q727" s="188"/>
      <c r="R727" s="188"/>
      <c r="S727" s="20"/>
      <c r="T727" s="20"/>
      <c r="U727" s="20"/>
      <c r="V727" s="20"/>
    </row>
    <row r="728">
      <c r="A728" s="320"/>
      <c r="B728" s="164"/>
      <c r="C728" s="320"/>
      <c r="D728" s="117"/>
      <c r="E728" s="320"/>
      <c r="F728" s="164"/>
      <c r="G728" s="320"/>
      <c r="H728" s="164"/>
      <c r="I728" s="327"/>
      <c r="J728" s="117"/>
      <c r="K728" s="327"/>
      <c r="L728" s="117"/>
      <c r="M728" s="327"/>
      <c r="N728" s="117"/>
      <c r="O728" s="320"/>
      <c r="P728" s="164"/>
      <c r="Q728" s="188"/>
      <c r="R728" s="188"/>
      <c r="S728" s="20"/>
      <c r="T728" s="20"/>
      <c r="U728" s="20"/>
      <c r="V728" s="20"/>
    </row>
    <row r="729">
      <c r="A729" s="320"/>
      <c r="B729" s="164"/>
      <c r="C729" s="320"/>
      <c r="D729" s="117"/>
      <c r="E729" s="320"/>
      <c r="F729" s="164"/>
      <c r="G729" s="320"/>
      <c r="H729" s="164"/>
      <c r="I729" s="327"/>
      <c r="J729" s="117"/>
      <c r="K729" s="327"/>
      <c r="L729" s="117"/>
      <c r="M729" s="327"/>
      <c r="N729" s="117"/>
      <c r="O729" s="320"/>
      <c r="P729" s="164"/>
      <c r="Q729" s="188"/>
      <c r="R729" s="188"/>
      <c r="S729" s="20"/>
      <c r="T729" s="20"/>
      <c r="U729" s="20"/>
      <c r="V729" s="20"/>
    </row>
    <row r="730">
      <c r="A730" s="320"/>
      <c r="B730" s="164"/>
      <c r="C730" s="320"/>
      <c r="D730" s="117"/>
      <c r="E730" s="320"/>
      <c r="F730" s="164"/>
      <c r="G730" s="320"/>
      <c r="H730" s="164"/>
      <c r="I730" s="327"/>
      <c r="J730" s="117"/>
      <c r="K730" s="327"/>
      <c r="L730" s="117"/>
      <c r="M730" s="327"/>
      <c r="N730" s="117"/>
      <c r="O730" s="320"/>
      <c r="P730" s="164"/>
      <c r="Q730" s="188"/>
      <c r="R730" s="188"/>
      <c r="S730" s="20"/>
      <c r="T730" s="20"/>
      <c r="U730" s="20"/>
      <c r="V730" s="20"/>
    </row>
    <row r="731">
      <c r="A731" s="320"/>
      <c r="B731" s="164"/>
      <c r="C731" s="320"/>
      <c r="D731" s="117"/>
      <c r="E731" s="320"/>
      <c r="F731" s="164"/>
      <c r="G731" s="320"/>
      <c r="H731" s="164"/>
      <c r="I731" s="327"/>
      <c r="J731" s="117"/>
      <c r="K731" s="327"/>
      <c r="L731" s="117"/>
      <c r="M731" s="327"/>
      <c r="N731" s="117"/>
      <c r="O731" s="320"/>
      <c r="P731" s="164"/>
      <c r="Q731" s="188"/>
      <c r="R731" s="188"/>
      <c r="S731" s="20"/>
      <c r="T731" s="20"/>
      <c r="U731" s="20"/>
      <c r="V731" s="20"/>
    </row>
    <row r="732">
      <c r="A732" s="320"/>
      <c r="B732" s="164"/>
      <c r="C732" s="320"/>
      <c r="D732" s="117"/>
      <c r="E732" s="320"/>
      <c r="F732" s="164"/>
      <c r="G732" s="320"/>
      <c r="H732" s="164"/>
      <c r="I732" s="327"/>
      <c r="J732" s="117"/>
      <c r="K732" s="327"/>
      <c r="L732" s="117"/>
      <c r="M732" s="327"/>
      <c r="N732" s="117"/>
      <c r="O732" s="320"/>
      <c r="P732" s="164"/>
      <c r="Q732" s="188"/>
      <c r="R732" s="188"/>
      <c r="S732" s="20"/>
      <c r="T732" s="20"/>
      <c r="U732" s="20"/>
      <c r="V732" s="20"/>
    </row>
    <row r="733">
      <c r="A733" s="320"/>
      <c r="B733" s="164"/>
      <c r="C733" s="320"/>
      <c r="D733" s="117"/>
      <c r="E733" s="320"/>
      <c r="F733" s="164"/>
      <c r="G733" s="320"/>
      <c r="H733" s="164"/>
      <c r="I733" s="327"/>
      <c r="J733" s="117"/>
      <c r="K733" s="327"/>
      <c r="L733" s="117"/>
      <c r="M733" s="327"/>
      <c r="N733" s="117"/>
      <c r="O733" s="320"/>
      <c r="P733" s="164"/>
      <c r="Q733" s="188"/>
      <c r="R733" s="188"/>
      <c r="S733" s="20"/>
      <c r="T733" s="20"/>
      <c r="U733" s="20"/>
      <c r="V733" s="20"/>
    </row>
    <row r="734">
      <c r="A734" s="320"/>
      <c r="B734" s="164"/>
      <c r="C734" s="320"/>
      <c r="D734" s="117"/>
      <c r="E734" s="320"/>
      <c r="F734" s="164"/>
      <c r="G734" s="320"/>
      <c r="H734" s="164"/>
      <c r="I734" s="327"/>
      <c r="J734" s="117"/>
      <c r="K734" s="327"/>
      <c r="L734" s="117"/>
      <c r="M734" s="327"/>
      <c r="N734" s="117"/>
      <c r="O734" s="320"/>
      <c r="P734" s="164"/>
      <c r="Q734" s="188"/>
      <c r="R734" s="188"/>
      <c r="S734" s="20"/>
      <c r="T734" s="20"/>
      <c r="U734" s="20"/>
      <c r="V734" s="20"/>
    </row>
    <row r="735">
      <c r="A735" s="320"/>
      <c r="B735" s="164"/>
      <c r="C735" s="320"/>
      <c r="D735" s="117"/>
      <c r="E735" s="320"/>
      <c r="F735" s="164"/>
      <c r="G735" s="320"/>
      <c r="H735" s="164"/>
      <c r="I735" s="327"/>
      <c r="J735" s="117"/>
      <c r="K735" s="327"/>
      <c r="L735" s="117"/>
      <c r="M735" s="327"/>
      <c r="N735" s="117"/>
      <c r="O735" s="320"/>
      <c r="P735" s="164"/>
      <c r="Q735" s="188"/>
      <c r="R735" s="188"/>
      <c r="S735" s="20"/>
      <c r="T735" s="20"/>
      <c r="U735" s="20"/>
      <c r="V735" s="20"/>
    </row>
    <row r="736">
      <c r="A736" s="320"/>
      <c r="B736" s="164"/>
      <c r="C736" s="320"/>
      <c r="D736" s="117"/>
      <c r="E736" s="320"/>
      <c r="F736" s="164"/>
      <c r="G736" s="320"/>
      <c r="H736" s="164"/>
      <c r="I736" s="327"/>
      <c r="J736" s="117"/>
      <c r="K736" s="327"/>
      <c r="L736" s="117"/>
      <c r="M736" s="327"/>
      <c r="N736" s="117"/>
      <c r="O736" s="320"/>
      <c r="P736" s="164"/>
      <c r="Q736" s="188"/>
      <c r="R736" s="188"/>
      <c r="S736" s="20"/>
      <c r="T736" s="20"/>
      <c r="U736" s="20"/>
      <c r="V736" s="20"/>
    </row>
    <row r="737">
      <c r="A737" s="320"/>
      <c r="B737" s="164"/>
      <c r="C737" s="320"/>
      <c r="D737" s="117"/>
      <c r="E737" s="320"/>
      <c r="F737" s="164"/>
      <c r="G737" s="320"/>
      <c r="H737" s="164"/>
      <c r="I737" s="327"/>
      <c r="J737" s="117"/>
      <c r="K737" s="327"/>
      <c r="L737" s="117"/>
      <c r="M737" s="327"/>
      <c r="N737" s="117"/>
      <c r="O737" s="320"/>
      <c r="P737" s="164"/>
      <c r="Q737" s="188"/>
      <c r="R737" s="188"/>
      <c r="S737" s="20"/>
      <c r="T737" s="20"/>
      <c r="U737" s="20"/>
      <c r="V737" s="20"/>
    </row>
    <row r="738">
      <c r="A738" s="320"/>
      <c r="B738" s="164"/>
      <c r="C738" s="320"/>
      <c r="D738" s="117"/>
      <c r="E738" s="320"/>
      <c r="F738" s="164"/>
      <c r="G738" s="320"/>
      <c r="H738" s="164"/>
      <c r="I738" s="327"/>
      <c r="J738" s="117"/>
      <c r="K738" s="327"/>
      <c r="L738" s="117"/>
      <c r="M738" s="327"/>
      <c r="N738" s="117"/>
      <c r="O738" s="320"/>
      <c r="P738" s="164"/>
      <c r="Q738" s="188"/>
      <c r="R738" s="188"/>
      <c r="S738" s="20"/>
      <c r="T738" s="20"/>
      <c r="U738" s="20"/>
      <c r="V738" s="20"/>
    </row>
    <row r="739">
      <c r="A739" s="320"/>
      <c r="B739" s="164"/>
      <c r="C739" s="320"/>
      <c r="D739" s="117"/>
      <c r="E739" s="320"/>
      <c r="F739" s="164"/>
      <c r="G739" s="320"/>
      <c r="H739" s="164"/>
      <c r="I739" s="327"/>
      <c r="J739" s="117"/>
      <c r="K739" s="327"/>
      <c r="L739" s="117"/>
      <c r="M739" s="327"/>
      <c r="N739" s="117"/>
      <c r="O739" s="320"/>
      <c r="P739" s="164"/>
      <c r="Q739" s="188"/>
      <c r="R739" s="188"/>
      <c r="S739" s="20"/>
      <c r="T739" s="20"/>
      <c r="U739" s="20"/>
      <c r="V739" s="20"/>
    </row>
    <row r="740">
      <c r="A740" s="320"/>
      <c r="B740" s="164"/>
      <c r="C740" s="320"/>
      <c r="D740" s="117"/>
      <c r="E740" s="320"/>
      <c r="F740" s="164"/>
      <c r="G740" s="320"/>
      <c r="H740" s="164"/>
      <c r="I740" s="327"/>
      <c r="J740" s="117"/>
      <c r="K740" s="327"/>
      <c r="L740" s="117"/>
      <c r="M740" s="327"/>
      <c r="N740" s="117"/>
      <c r="O740" s="320"/>
      <c r="P740" s="164"/>
      <c r="Q740" s="188"/>
      <c r="R740" s="188"/>
      <c r="S740" s="20"/>
      <c r="T740" s="20"/>
      <c r="U740" s="20"/>
      <c r="V740" s="20"/>
    </row>
    <row r="741">
      <c r="A741" s="320"/>
      <c r="B741" s="164"/>
      <c r="C741" s="320"/>
      <c r="D741" s="117"/>
      <c r="E741" s="320"/>
      <c r="F741" s="164"/>
      <c r="G741" s="320"/>
      <c r="H741" s="164"/>
      <c r="I741" s="327"/>
      <c r="J741" s="117"/>
      <c r="K741" s="327"/>
      <c r="L741" s="117"/>
      <c r="M741" s="327"/>
      <c r="N741" s="117"/>
      <c r="O741" s="320"/>
      <c r="P741" s="164"/>
      <c r="Q741" s="188"/>
      <c r="R741" s="188"/>
      <c r="S741" s="20"/>
      <c r="T741" s="20"/>
      <c r="U741" s="20"/>
      <c r="V741" s="20"/>
    </row>
    <row r="742">
      <c r="A742" s="320"/>
      <c r="B742" s="164"/>
      <c r="C742" s="320"/>
      <c r="D742" s="117"/>
      <c r="E742" s="320"/>
      <c r="F742" s="164"/>
      <c r="G742" s="320"/>
      <c r="H742" s="164"/>
      <c r="I742" s="327"/>
      <c r="J742" s="117"/>
      <c r="K742" s="327"/>
      <c r="L742" s="117"/>
      <c r="M742" s="327"/>
      <c r="N742" s="117"/>
      <c r="O742" s="320"/>
      <c r="P742" s="164"/>
      <c r="Q742" s="188"/>
      <c r="R742" s="188"/>
      <c r="S742" s="20"/>
      <c r="T742" s="20"/>
      <c r="U742" s="20"/>
      <c r="V742" s="20"/>
    </row>
    <row r="743">
      <c r="A743" s="320"/>
      <c r="B743" s="164"/>
      <c r="C743" s="320"/>
      <c r="D743" s="117"/>
      <c r="E743" s="320"/>
      <c r="F743" s="164"/>
      <c r="G743" s="320"/>
      <c r="H743" s="164"/>
      <c r="I743" s="327"/>
      <c r="J743" s="117"/>
      <c r="K743" s="327"/>
      <c r="L743" s="117"/>
      <c r="M743" s="327"/>
      <c r="N743" s="117"/>
      <c r="O743" s="320"/>
      <c r="P743" s="164"/>
      <c r="Q743" s="188"/>
      <c r="R743" s="188"/>
      <c r="S743" s="20"/>
      <c r="T743" s="20"/>
      <c r="U743" s="20"/>
      <c r="V743" s="20"/>
    </row>
    <row r="744">
      <c r="A744" s="320"/>
      <c r="B744" s="164"/>
      <c r="C744" s="320"/>
      <c r="D744" s="117"/>
      <c r="E744" s="320"/>
      <c r="F744" s="164"/>
      <c r="G744" s="320"/>
      <c r="H744" s="164"/>
      <c r="I744" s="327"/>
      <c r="J744" s="117"/>
      <c r="K744" s="327"/>
      <c r="L744" s="117"/>
      <c r="M744" s="327"/>
      <c r="N744" s="117"/>
      <c r="O744" s="320"/>
      <c r="P744" s="164"/>
      <c r="Q744" s="188"/>
      <c r="R744" s="188"/>
      <c r="S744" s="20"/>
      <c r="T744" s="20"/>
      <c r="U744" s="20"/>
      <c r="V744" s="20"/>
    </row>
    <row r="745">
      <c r="A745" s="320"/>
      <c r="B745" s="164"/>
      <c r="C745" s="320"/>
      <c r="D745" s="117"/>
      <c r="E745" s="320"/>
      <c r="F745" s="164"/>
      <c r="G745" s="320"/>
      <c r="H745" s="164"/>
      <c r="I745" s="327"/>
      <c r="J745" s="117"/>
      <c r="K745" s="327"/>
      <c r="L745" s="117"/>
      <c r="M745" s="327"/>
      <c r="N745" s="117"/>
      <c r="O745" s="320"/>
      <c r="P745" s="164"/>
      <c r="Q745" s="188"/>
      <c r="R745" s="188"/>
      <c r="S745" s="20"/>
      <c r="T745" s="20"/>
      <c r="U745" s="20"/>
      <c r="V745" s="20"/>
    </row>
    <row r="746">
      <c r="A746" s="320"/>
      <c r="B746" s="164"/>
      <c r="C746" s="320"/>
      <c r="D746" s="117"/>
      <c r="E746" s="320"/>
      <c r="F746" s="164"/>
      <c r="G746" s="320"/>
      <c r="H746" s="164"/>
      <c r="I746" s="327"/>
      <c r="J746" s="117"/>
      <c r="K746" s="327"/>
      <c r="L746" s="117"/>
      <c r="M746" s="327"/>
      <c r="N746" s="117"/>
      <c r="O746" s="320"/>
      <c r="P746" s="164"/>
      <c r="Q746" s="188"/>
      <c r="R746" s="188"/>
      <c r="S746" s="20"/>
      <c r="T746" s="20"/>
      <c r="U746" s="20"/>
      <c r="V746" s="20"/>
    </row>
    <row r="747">
      <c r="A747" s="320"/>
      <c r="B747" s="164"/>
      <c r="C747" s="320"/>
      <c r="D747" s="117"/>
      <c r="E747" s="320"/>
      <c r="F747" s="164"/>
      <c r="G747" s="320"/>
      <c r="H747" s="164"/>
      <c r="I747" s="327"/>
      <c r="J747" s="117"/>
      <c r="K747" s="327"/>
      <c r="L747" s="117"/>
      <c r="M747" s="327"/>
      <c r="N747" s="117"/>
      <c r="O747" s="320"/>
      <c r="P747" s="164"/>
      <c r="Q747" s="188"/>
      <c r="R747" s="188"/>
      <c r="S747" s="20"/>
      <c r="T747" s="20"/>
      <c r="U747" s="20"/>
      <c r="V747" s="20"/>
    </row>
    <row r="748">
      <c r="A748" s="320"/>
      <c r="B748" s="164"/>
      <c r="C748" s="320"/>
      <c r="D748" s="117"/>
      <c r="E748" s="320"/>
      <c r="F748" s="164"/>
      <c r="G748" s="320"/>
      <c r="H748" s="164"/>
      <c r="I748" s="327"/>
      <c r="J748" s="117"/>
      <c r="K748" s="327"/>
      <c r="L748" s="117"/>
      <c r="M748" s="327"/>
      <c r="N748" s="117"/>
      <c r="O748" s="320"/>
      <c r="P748" s="164"/>
      <c r="Q748" s="188"/>
      <c r="R748" s="188"/>
      <c r="S748" s="20"/>
      <c r="T748" s="20"/>
      <c r="U748" s="20"/>
      <c r="V748" s="20"/>
    </row>
    <row r="749">
      <c r="A749" s="320"/>
      <c r="B749" s="164"/>
      <c r="C749" s="320"/>
      <c r="D749" s="117"/>
      <c r="E749" s="320"/>
      <c r="F749" s="164"/>
      <c r="G749" s="320"/>
      <c r="H749" s="164"/>
      <c r="I749" s="327"/>
      <c r="J749" s="117"/>
      <c r="K749" s="327"/>
      <c r="L749" s="117"/>
      <c r="M749" s="327"/>
      <c r="N749" s="117"/>
      <c r="O749" s="320"/>
      <c r="P749" s="164"/>
      <c r="Q749" s="188"/>
      <c r="R749" s="188"/>
      <c r="S749" s="20"/>
      <c r="T749" s="20"/>
      <c r="U749" s="20"/>
      <c r="V749" s="20"/>
    </row>
    <row r="750">
      <c r="A750" s="320"/>
      <c r="B750" s="164"/>
      <c r="C750" s="320"/>
      <c r="D750" s="117"/>
      <c r="E750" s="320"/>
      <c r="F750" s="164"/>
      <c r="G750" s="320"/>
      <c r="H750" s="164"/>
      <c r="I750" s="327"/>
      <c r="J750" s="117"/>
      <c r="K750" s="327"/>
      <c r="L750" s="117"/>
      <c r="M750" s="327"/>
      <c r="N750" s="117"/>
      <c r="O750" s="320"/>
      <c r="P750" s="164"/>
      <c r="Q750" s="188"/>
      <c r="R750" s="188"/>
      <c r="S750" s="20"/>
      <c r="T750" s="20"/>
      <c r="U750" s="20"/>
      <c r="V750" s="20"/>
    </row>
    <row r="751">
      <c r="A751" s="320"/>
      <c r="B751" s="164"/>
      <c r="C751" s="320"/>
      <c r="D751" s="117"/>
      <c r="E751" s="320"/>
      <c r="F751" s="164"/>
      <c r="G751" s="320"/>
      <c r="H751" s="164"/>
      <c r="I751" s="327"/>
      <c r="J751" s="117"/>
      <c r="K751" s="327"/>
      <c r="L751" s="117"/>
      <c r="M751" s="327"/>
      <c r="N751" s="117"/>
      <c r="O751" s="320"/>
      <c r="P751" s="164"/>
      <c r="Q751" s="188"/>
      <c r="R751" s="188"/>
      <c r="S751" s="20"/>
      <c r="T751" s="20"/>
      <c r="U751" s="20"/>
      <c r="V751" s="20"/>
    </row>
    <row r="752">
      <c r="A752" s="320"/>
      <c r="B752" s="164"/>
      <c r="C752" s="320"/>
      <c r="D752" s="117"/>
      <c r="E752" s="320"/>
      <c r="F752" s="164"/>
      <c r="G752" s="320"/>
      <c r="H752" s="164"/>
      <c r="I752" s="327"/>
      <c r="J752" s="117"/>
      <c r="K752" s="327"/>
      <c r="L752" s="117"/>
      <c r="M752" s="327"/>
      <c r="N752" s="117"/>
      <c r="O752" s="320"/>
      <c r="P752" s="164"/>
      <c r="Q752" s="188"/>
      <c r="R752" s="188"/>
      <c r="S752" s="20"/>
      <c r="T752" s="20"/>
      <c r="U752" s="20"/>
      <c r="V752" s="20"/>
    </row>
    <row r="753">
      <c r="A753" s="320"/>
      <c r="B753" s="164"/>
      <c r="C753" s="320"/>
      <c r="D753" s="117"/>
      <c r="E753" s="320"/>
      <c r="F753" s="164"/>
      <c r="G753" s="320"/>
      <c r="H753" s="164"/>
      <c r="I753" s="327"/>
      <c r="J753" s="117"/>
      <c r="K753" s="327"/>
      <c r="L753" s="117"/>
      <c r="M753" s="327"/>
      <c r="N753" s="117"/>
      <c r="O753" s="320"/>
      <c r="P753" s="164"/>
      <c r="Q753" s="188"/>
      <c r="R753" s="188"/>
      <c r="S753" s="20"/>
      <c r="T753" s="20"/>
      <c r="U753" s="20"/>
      <c r="V753" s="20"/>
    </row>
    <row r="754">
      <c r="A754" s="320"/>
      <c r="B754" s="164"/>
      <c r="C754" s="320"/>
      <c r="D754" s="117"/>
      <c r="E754" s="320"/>
      <c r="F754" s="164"/>
      <c r="G754" s="320"/>
      <c r="H754" s="164"/>
      <c r="I754" s="327"/>
      <c r="J754" s="117"/>
      <c r="K754" s="327"/>
      <c r="L754" s="117"/>
      <c r="M754" s="327"/>
      <c r="N754" s="117"/>
      <c r="O754" s="320"/>
      <c r="P754" s="164"/>
      <c r="Q754" s="188"/>
      <c r="R754" s="188"/>
      <c r="S754" s="20"/>
      <c r="T754" s="20"/>
      <c r="U754" s="20"/>
      <c r="V754" s="20"/>
    </row>
    <row r="755">
      <c r="A755" s="320"/>
      <c r="B755" s="164"/>
      <c r="C755" s="320"/>
      <c r="D755" s="117"/>
      <c r="E755" s="320"/>
      <c r="F755" s="164"/>
      <c r="G755" s="320"/>
      <c r="H755" s="164"/>
      <c r="I755" s="327"/>
      <c r="J755" s="117"/>
      <c r="K755" s="327"/>
      <c r="L755" s="117"/>
      <c r="M755" s="327"/>
      <c r="N755" s="117"/>
      <c r="O755" s="320"/>
      <c r="P755" s="164"/>
      <c r="Q755" s="188"/>
      <c r="R755" s="188"/>
      <c r="S755" s="20"/>
      <c r="T755" s="20"/>
      <c r="U755" s="20"/>
      <c r="V755" s="20"/>
    </row>
    <row r="756">
      <c r="A756" s="320"/>
      <c r="B756" s="164"/>
      <c r="C756" s="320"/>
      <c r="D756" s="117"/>
      <c r="E756" s="320"/>
      <c r="F756" s="164"/>
      <c r="G756" s="320"/>
      <c r="H756" s="164"/>
      <c r="I756" s="327"/>
      <c r="J756" s="117"/>
      <c r="K756" s="327"/>
      <c r="L756" s="117"/>
      <c r="M756" s="327"/>
      <c r="N756" s="117"/>
      <c r="O756" s="320"/>
      <c r="P756" s="164"/>
      <c r="Q756" s="188"/>
      <c r="R756" s="188"/>
      <c r="S756" s="20"/>
      <c r="T756" s="20"/>
      <c r="U756" s="20"/>
      <c r="V756" s="20"/>
    </row>
    <row r="757">
      <c r="A757" s="320"/>
      <c r="B757" s="164"/>
      <c r="C757" s="320"/>
      <c r="D757" s="117"/>
      <c r="E757" s="320"/>
      <c r="F757" s="164"/>
      <c r="G757" s="320"/>
      <c r="H757" s="164"/>
      <c r="I757" s="327"/>
      <c r="J757" s="117"/>
      <c r="K757" s="327"/>
      <c r="L757" s="117"/>
      <c r="M757" s="327"/>
      <c r="N757" s="117"/>
      <c r="O757" s="320"/>
      <c r="P757" s="164"/>
      <c r="Q757" s="188"/>
      <c r="R757" s="188"/>
      <c r="S757" s="20"/>
      <c r="T757" s="20"/>
      <c r="U757" s="20"/>
      <c r="V757" s="20"/>
    </row>
    <row r="758">
      <c r="A758" s="320"/>
      <c r="B758" s="164"/>
      <c r="C758" s="320"/>
      <c r="D758" s="117"/>
      <c r="E758" s="320"/>
      <c r="F758" s="164"/>
      <c r="G758" s="320"/>
      <c r="H758" s="164"/>
      <c r="I758" s="327"/>
      <c r="J758" s="117"/>
      <c r="K758" s="327"/>
      <c r="L758" s="117"/>
      <c r="M758" s="327"/>
      <c r="N758" s="117"/>
      <c r="O758" s="320"/>
      <c r="P758" s="164"/>
      <c r="Q758" s="188"/>
      <c r="R758" s="188"/>
      <c r="S758" s="20"/>
      <c r="T758" s="20"/>
      <c r="U758" s="20"/>
      <c r="V758" s="20"/>
    </row>
    <row r="759">
      <c r="A759" s="320"/>
      <c r="B759" s="164"/>
      <c r="C759" s="320"/>
      <c r="D759" s="117"/>
      <c r="E759" s="320"/>
      <c r="F759" s="164"/>
      <c r="G759" s="320"/>
      <c r="H759" s="164"/>
      <c r="I759" s="327"/>
      <c r="J759" s="117"/>
      <c r="K759" s="327"/>
      <c r="L759" s="117"/>
      <c r="M759" s="327"/>
      <c r="N759" s="117"/>
      <c r="O759" s="320"/>
      <c r="P759" s="164"/>
      <c r="Q759" s="188"/>
      <c r="R759" s="188"/>
      <c r="S759" s="20"/>
      <c r="T759" s="20"/>
      <c r="U759" s="20"/>
      <c r="V759" s="20"/>
    </row>
    <row r="760">
      <c r="A760" s="320"/>
      <c r="B760" s="164"/>
      <c r="C760" s="320"/>
      <c r="D760" s="117"/>
      <c r="E760" s="320"/>
      <c r="F760" s="164"/>
      <c r="G760" s="320"/>
      <c r="H760" s="164"/>
      <c r="I760" s="327"/>
      <c r="J760" s="117"/>
      <c r="K760" s="327"/>
      <c r="L760" s="117"/>
      <c r="M760" s="327"/>
      <c r="N760" s="117"/>
      <c r="O760" s="320"/>
      <c r="P760" s="164"/>
      <c r="Q760" s="188"/>
      <c r="R760" s="188"/>
      <c r="S760" s="20"/>
      <c r="T760" s="20"/>
      <c r="U760" s="20"/>
      <c r="V760" s="20"/>
    </row>
    <row r="761">
      <c r="A761" s="320"/>
      <c r="B761" s="164"/>
      <c r="C761" s="320"/>
      <c r="D761" s="117"/>
      <c r="E761" s="320"/>
      <c r="F761" s="164"/>
      <c r="G761" s="320"/>
      <c r="H761" s="164"/>
      <c r="I761" s="327"/>
      <c r="J761" s="117"/>
      <c r="K761" s="327"/>
      <c r="L761" s="117"/>
      <c r="M761" s="327"/>
      <c r="N761" s="117"/>
      <c r="O761" s="320"/>
      <c r="P761" s="164"/>
      <c r="Q761" s="188"/>
      <c r="R761" s="188"/>
      <c r="S761" s="20"/>
      <c r="T761" s="20"/>
      <c r="U761" s="20"/>
      <c r="V761" s="20"/>
    </row>
    <row r="762">
      <c r="A762" s="320"/>
      <c r="B762" s="164"/>
      <c r="C762" s="320"/>
      <c r="D762" s="117"/>
      <c r="E762" s="320"/>
      <c r="F762" s="164"/>
      <c r="G762" s="320"/>
      <c r="H762" s="164"/>
      <c r="I762" s="327"/>
      <c r="J762" s="117"/>
      <c r="K762" s="327"/>
      <c r="L762" s="117"/>
      <c r="M762" s="327"/>
      <c r="N762" s="117"/>
      <c r="O762" s="320"/>
      <c r="P762" s="164"/>
      <c r="Q762" s="188"/>
      <c r="R762" s="188"/>
      <c r="S762" s="20"/>
      <c r="T762" s="20"/>
      <c r="U762" s="20"/>
      <c r="V762" s="20"/>
    </row>
    <row r="763">
      <c r="A763" s="320"/>
      <c r="B763" s="164"/>
      <c r="C763" s="320"/>
      <c r="D763" s="117"/>
      <c r="E763" s="320"/>
      <c r="F763" s="164"/>
      <c r="G763" s="320"/>
      <c r="H763" s="164"/>
      <c r="I763" s="327"/>
      <c r="J763" s="117"/>
      <c r="K763" s="327"/>
      <c r="L763" s="117"/>
      <c r="M763" s="327"/>
      <c r="N763" s="117"/>
      <c r="O763" s="320"/>
      <c r="P763" s="164"/>
      <c r="Q763" s="188"/>
      <c r="R763" s="188"/>
      <c r="S763" s="20"/>
      <c r="T763" s="20"/>
      <c r="U763" s="20"/>
      <c r="V763" s="20"/>
    </row>
    <row r="764">
      <c r="A764" s="320"/>
      <c r="B764" s="164"/>
      <c r="C764" s="320"/>
      <c r="D764" s="117"/>
      <c r="E764" s="320"/>
      <c r="F764" s="164"/>
      <c r="G764" s="320"/>
      <c r="H764" s="164"/>
      <c r="I764" s="327"/>
      <c r="J764" s="117"/>
      <c r="K764" s="327"/>
      <c r="L764" s="117"/>
      <c r="M764" s="327"/>
      <c r="N764" s="117"/>
      <c r="O764" s="320"/>
      <c r="P764" s="164"/>
      <c r="Q764" s="188"/>
      <c r="R764" s="188"/>
      <c r="S764" s="20"/>
      <c r="T764" s="20"/>
      <c r="U764" s="20"/>
      <c r="V764" s="20"/>
    </row>
    <row r="765">
      <c r="A765" s="320"/>
      <c r="B765" s="164"/>
      <c r="C765" s="320"/>
      <c r="D765" s="117"/>
      <c r="E765" s="320"/>
      <c r="F765" s="164"/>
      <c r="G765" s="320"/>
      <c r="H765" s="164"/>
      <c r="I765" s="327"/>
      <c r="J765" s="117"/>
      <c r="K765" s="327"/>
      <c r="L765" s="117"/>
      <c r="M765" s="327"/>
      <c r="N765" s="117"/>
      <c r="O765" s="320"/>
      <c r="P765" s="164"/>
      <c r="Q765" s="188"/>
      <c r="R765" s="188"/>
      <c r="S765" s="20"/>
      <c r="T765" s="20"/>
      <c r="U765" s="20"/>
      <c r="V765" s="20"/>
    </row>
    <row r="766">
      <c r="A766" s="320"/>
      <c r="B766" s="164"/>
      <c r="C766" s="320"/>
      <c r="D766" s="117"/>
      <c r="E766" s="320"/>
      <c r="F766" s="164"/>
      <c r="G766" s="320"/>
      <c r="H766" s="164"/>
      <c r="I766" s="327"/>
      <c r="J766" s="117"/>
      <c r="K766" s="327"/>
      <c r="L766" s="117"/>
      <c r="M766" s="327"/>
      <c r="N766" s="117"/>
      <c r="O766" s="320"/>
      <c r="P766" s="164"/>
      <c r="Q766" s="188"/>
      <c r="R766" s="188"/>
      <c r="S766" s="20"/>
      <c r="T766" s="20"/>
      <c r="U766" s="20"/>
      <c r="V766" s="20"/>
    </row>
    <row r="767">
      <c r="A767" s="320"/>
      <c r="B767" s="164"/>
      <c r="C767" s="320"/>
      <c r="D767" s="117"/>
      <c r="E767" s="320"/>
      <c r="F767" s="164"/>
      <c r="G767" s="320"/>
      <c r="H767" s="164"/>
      <c r="I767" s="327"/>
      <c r="J767" s="117"/>
      <c r="K767" s="327"/>
      <c r="L767" s="117"/>
      <c r="M767" s="327"/>
      <c r="N767" s="117"/>
      <c r="O767" s="320"/>
      <c r="P767" s="164"/>
      <c r="Q767" s="188"/>
      <c r="R767" s="188"/>
      <c r="S767" s="20"/>
      <c r="T767" s="20"/>
      <c r="U767" s="20"/>
      <c r="V767" s="20"/>
    </row>
    <row r="768">
      <c r="A768" s="320"/>
      <c r="B768" s="164"/>
      <c r="C768" s="320"/>
      <c r="D768" s="117"/>
      <c r="E768" s="320"/>
      <c r="F768" s="164"/>
      <c r="G768" s="320"/>
      <c r="H768" s="164"/>
      <c r="I768" s="327"/>
      <c r="J768" s="117"/>
      <c r="K768" s="327"/>
      <c r="L768" s="117"/>
      <c r="M768" s="327"/>
      <c r="N768" s="117"/>
      <c r="O768" s="320"/>
      <c r="P768" s="164"/>
      <c r="Q768" s="188"/>
      <c r="R768" s="188"/>
      <c r="S768" s="20"/>
      <c r="T768" s="20"/>
      <c r="U768" s="20"/>
      <c r="V768" s="20"/>
    </row>
    <row r="769">
      <c r="A769" s="320"/>
      <c r="B769" s="164"/>
      <c r="C769" s="320"/>
      <c r="D769" s="117"/>
      <c r="E769" s="320"/>
      <c r="F769" s="164"/>
      <c r="G769" s="320"/>
      <c r="H769" s="164"/>
      <c r="I769" s="327"/>
      <c r="J769" s="117"/>
      <c r="K769" s="327"/>
      <c r="L769" s="117"/>
      <c r="M769" s="327"/>
      <c r="N769" s="117"/>
      <c r="O769" s="320"/>
      <c r="P769" s="164"/>
      <c r="Q769" s="188"/>
      <c r="R769" s="188"/>
      <c r="S769" s="20"/>
      <c r="T769" s="20"/>
      <c r="U769" s="20"/>
      <c r="V769" s="20"/>
    </row>
    <row r="770">
      <c r="A770" s="320"/>
      <c r="B770" s="164"/>
      <c r="C770" s="320"/>
      <c r="D770" s="117"/>
      <c r="E770" s="320"/>
      <c r="F770" s="164"/>
      <c r="G770" s="320"/>
      <c r="H770" s="164"/>
      <c r="I770" s="327"/>
      <c r="J770" s="117"/>
      <c r="K770" s="327"/>
      <c r="L770" s="117"/>
      <c r="M770" s="327"/>
      <c r="N770" s="117"/>
      <c r="O770" s="320"/>
      <c r="P770" s="164"/>
      <c r="Q770" s="188"/>
      <c r="R770" s="188"/>
      <c r="S770" s="20"/>
      <c r="T770" s="20"/>
      <c r="U770" s="20"/>
      <c r="V770" s="20"/>
    </row>
    <row r="771">
      <c r="A771" s="320"/>
      <c r="B771" s="164"/>
      <c r="C771" s="320"/>
      <c r="D771" s="117"/>
      <c r="E771" s="320"/>
      <c r="F771" s="164"/>
      <c r="G771" s="320"/>
      <c r="H771" s="164"/>
      <c r="I771" s="327"/>
      <c r="J771" s="117"/>
      <c r="K771" s="327"/>
      <c r="L771" s="117"/>
      <c r="M771" s="327"/>
      <c r="N771" s="117"/>
      <c r="O771" s="320"/>
      <c r="P771" s="164"/>
      <c r="Q771" s="188"/>
      <c r="R771" s="188"/>
      <c r="S771" s="20"/>
      <c r="T771" s="20"/>
      <c r="U771" s="20"/>
      <c r="V771" s="20"/>
    </row>
    <row r="772">
      <c r="A772" s="320"/>
      <c r="B772" s="164"/>
      <c r="C772" s="320"/>
      <c r="D772" s="117"/>
      <c r="E772" s="320"/>
      <c r="F772" s="164"/>
      <c r="G772" s="320"/>
      <c r="H772" s="164"/>
      <c r="I772" s="327"/>
      <c r="J772" s="117"/>
      <c r="K772" s="327"/>
      <c r="L772" s="117"/>
      <c r="M772" s="327"/>
      <c r="N772" s="117"/>
      <c r="O772" s="320"/>
      <c r="P772" s="164"/>
      <c r="Q772" s="188"/>
      <c r="R772" s="188"/>
      <c r="S772" s="20"/>
      <c r="T772" s="20"/>
      <c r="U772" s="20"/>
      <c r="V772" s="20"/>
    </row>
    <row r="773">
      <c r="A773" s="320"/>
      <c r="B773" s="164"/>
      <c r="C773" s="320"/>
      <c r="D773" s="117"/>
      <c r="E773" s="320"/>
      <c r="F773" s="164"/>
      <c r="G773" s="320"/>
      <c r="H773" s="164"/>
      <c r="I773" s="327"/>
      <c r="J773" s="117"/>
      <c r="K773" s="327"/>
      <c r="L773" s="117"/>
      <c r="M773" s="327"/>
      <c r="N773" s="117"/>
      <c r="O773" s="320"/>
      <c r="P773" s="164"/>
      <c r="Q773" s="188"/>
      <c r="R773" s="188"/>
      <c r="S773" s="20"/>
      <c r="T773" s="20"/>
      <c r="U773" s="20"/>
      <c r="V773" s="20"/>
    </row>
    <row r="774">
      <c r="A774" s="320"/>
      <c r="B774" s="164"/>
      <c r="C774" s="320"/>
      <c r="D774" s="117"/>
      <c r="E774" s="320"/>
      <c r="F774" s="164"/>
      <c r="G774" s="320"/>
      <c r="H774" s="164"/>
      <c r="I774" s="327"/>
      <c r="J774" s="117"/>
      <c r="K774" s="327"/>
      <c r="L774" s="117"/>
      <c r="M774" s="327"/>
      <c r="N774" s="117"/>
      <c r="O774" s="320"/>
      <c r="P774" s="164"/>
      <c r="Q774" s="188"/>
      <c r="R774" s="188"/>
      <c r="S774" s="20"/>
      <c r="T774" s="20"/>
      <c r="U774" s="20"/>
      <c r="V774" s="20"/>
    </row>
    <row r="775">
      <c r="A775" s="320"/>
      <c r="B775" s="164"/>
      <c r="C775" s="320"/>
      <c r="D775" s="117"/>
      <c r="E775" s="320"/>
      <c r="F775" s="164"/>
      <c r="G775" s="320"/>
      <c r="H775" s="164"/>
      <c r="I775" s="327"/>
      <c r="J775" s="117"/>
      <c r="K775" s="327"/>
      <c r="L775" s="117"/>
      <c r="M775" s="327"/>
      <c r="N775" s="117"/>
      <c r="O775" s="320"/>
      <c r="P775" s="164"/>
      <c r="Q775" s="188"/>
      <c r="R775" s="188"/>
      <c r="S775" s="20"/>
      <c r="T775" s="20"/>
      <c r="U775" s="20"/>
      <c r="V775" s="20"/>
    </row>
    <row r="776">
      <c r="A776" s="320"/>
      <c r="B776" s="164"/>
      <c r="C776" s="320"/>
      <c r="D776" s="117"/>
      <c r="E776" s="320"/>
      <c r="F776" s="164"/>
      <c r="G776" s="320"/>
      <c r="H776" s="164"/>
      <c r="I776" s="327"/>
      <c r="J776" s="117"/>
      <c r="K776" s="327"/>
      <c r="L776" s="117"/>
      <c r="M776" s="327"/>
      <c r="N776" s="117"/>
      <c r="O776" s="320"/>
      <c r="P776" s="164"/>
      <c r="Q776" s="188"/>
      <c r="R776" s="188"/>
      <c r="S776" s="20"/>
      <c r="T776" s="20"/>
      <c r="U776" s="20"/>
      <c r="V776" s="20"/>
    </row>
    <row r="777">
      <c r="A777" s="320"/>
      <c r="B777" s="164"/>
      <c r="C777" s="320"/>
      <c r="D777" s="117"/>
      <c r="E777" s="320"/>
      <c r="F777" s="164"/>
      <c r="G777" s="320"/>
      <c r="H777" s="164"/>
      <c r="I777" s="327"/>
      <c r="J777" s="117"/>
      <c r="K777" s="327"/>
      <c r="L777" s="117"/>
      <c r="M777" s="327"/>
      <c r="N777" s="117"/>
      <c r="O777" s="320"/>
      <c r="P777" s="164"/>
      <c r="Q777" s="188"/>
      <c r="R777" s="188"/>
      <c r="S777" s="20"/>
      <c r="T777" s="20"/>
      <c r="U777" s="20"/>
      <c r="V777" s="20"/>
    </row>
    <row r="778">
      <c r="A778" s="320"/>
      <c r="B778" s="164"/>
      <c r="C778" s="320"/>
      <c r="D778" s="117"/>
      <c r="E778" s="320"/>
      <c r="F778" s="164"/>
      <c r="G778" s="320"/>
      <c r="H778" s="164"/>
      <c r="I778" s="327"/>
      <c r="J778" s="117"/>
      <c r="K778" s="327"/>
      <c r="L778" s="117"/>
      <c r="M778" s="327"/>
      <c r="N778" s="117"/>
      <c r="O778" s="320"/>
      <c r="P778" s="164"/>
      <c r="Q778" s="188"/>
      <c r="R778" s="188"/>
      <c r="S778" s="20"/>
      <c r="T778" s="20"/>
      <c r="U778" s="20"/>
      <c r="V778" s="20"/>
    </row>
    <row r="779">
      <c r="A779" s="320"/>
      <c r="B779" s="164"/>
      <c r="C779" s="320"/>
      <c r="D779" s="117"/>
      <c r="E779" s="320"/>
      <c r="F779" s="164"/>
      <c r="G779" s="320"/>
      <c r="H779" s="164"/>
      <c r="I779" s="327"/>
      <c r="J779" s="117"/>
      <c r="K779" s="327"/>
      <c r="L779" s="117"/>
      <c r="M779" s="327"/>
      <c r="N779" s="117"/>
      <c r="O779" s="320"/>
      <c r="P779" s="164"/>
      <c r="Q779" s="188"/>
      <c r="R779" s="188"/>
      <c r="S779" s="20"/>
      <c r="T779" s="20"/>
      <c r="U779" s="20"/>
      <c r="V779" s="20"/>
    </row>
    <row r="780">
      <c r="A780" s="320"/>
      <c r="B780" s="164"/>
      <c r="C780" s="320"/>
      <c r="D780" s="117"/>
      <c r="E780" s="320"/>
      <c r="F780" s="164"/>
      <c r="G780" s="320"/>
      <c r="H780" s="164"/>
      <c r="I780" s="327"/>
      <c r="J780" s="117"/>
      <c r="K780" s="327"/>
      <c r="L780" s="117"/>
      <c r="M780" s="327"/>
      <c r="N780" s="117"/>
      <c r="O780" s="320"/>
      <c r="P780" s="164"/>
      <c r="Q780" s="188"/>
      <c r="R780" s="188"/>
      <c r="S780" s="20"/>
      <c r="T780" s="20"/>
      <c r="U780" s="20"/>
      <c r="V780" s="20"/>
    </row>
    <row r="781">
      <c r="A781" s="320"/>
      <c r="B781" s="164"/>
      <c r="C781" s="320"/>
      <c r="D781" s="117"/>
      <c r="E781" s="320"/>
      <c r="F781" s="164"/>
      <c r="G781" s="320"/>
      <c r="H781" s="164"/>
      <c r="I781" s="327"/>
      <c r="J781" s="117"/>
      <c r="K781" s="327"/>
      <c r="L781" s="117"/>
      <c r="M781" s="327"/>
      <c r="N781" s="117"/>
      <c r="O781" s="320"/>
      <c r="P781" s="164"/>
      <c r="Q781" s="188"/>
      <c r="R781" s="188"/>
      <c r="S781" s="20"/>
      <c r="T781" s="20"/>
      <c r="U781" s="20"/>
      <c r="V781" s="20"/>
    </row>
    <row r="782">
      <c r="A782" s="320"/>
      <c r="B782" s="164"/>
      <c r="C782" s="320"/>
      <c r="D782" s="117"/>
      <c r="E782" s="320"/>
      <c r="F782" s="164"/>
      <c r="G782" s="320"/>
      <c r="H782" s="164"/>
      <c r="I782" s="327"/>
      <c r="J782" s="117"/>
      <c r="K782" s="327"/>
      <c r="L782" s="117"/>
      <c r="M782" s="327"/>
      <c r="N782" s="117"/>
      <c r="O782" s="320"/>
      <c r="P782" s="164"/>
      <c r="Q782" s="188"/>
      <c r="R782" s="188"/>
      <c r="S782" s="20"/>
      <c r="T782" s="20"/>
      <c r="U782" s="20"/>
      <c r="V782" s="20"/>
    </row>
    <row r="783">
      <c r="A783" s="320"/>
      <c r="B783" s="164"/>
      <c r="C783" s="320"/>
      <c r="D783" s="117"/>
      <c r="E783" s="320"/>
      <c r="F783" s="164"/>
      <c r="G783" s="320"/>
      <c r="H783" s="164"/>
      <c r="I783" s="327"/>
      <c r="J783" s="117"/>
      <c r="K783" s="327"/>
      <c r="L783" s="117"/>
      <c r="M783" s="327"/>
      <c r="N783" s="117"/>
      <c r="O783" s="320"/>
      <c r="P783" s="164"/>
      <c r="Q783" s="188"/>
      <c r="R783" s="188"/>
      <c r="S783" s="20"/>
      <c r="T783" s="20"/>
      <c r="U783" s="20"/>
      <c r="V783" s="20"/>
    </row>
    <row r="784">
      <c r="A784" s="320"/>
      <c r="B784" s="164"/>
      <c r="C784" s="320"/>
      <c r="D784" s="117"/>
      <c r="E784" s="320"/>
      <c r="F784" s="164"/>
      <c r="G784" s="320"/>
      <c r="H784" s="164"/>
      <c r="I784" s="327"/>
      <c r="J784" s="117"/>
      <c r="K784" s="327"/>
      <c r="L784" s="117"/>
      <c r="M784" s="327"/>
      <c r="N784" s="117"/>
      <c r="O784" s="320"/>
      <c r="P784" s="164"/>
      <c r="Q784" s="188"/>
      <c r="R784" s="188"/>
      <c r="S784" s="20"/>
      <c r="T784" s="20"/>
      <c r="U784" s="20"/>
      <c r="V784" s="20"/>
    </row>
    <row r="785">
      <c r="A785" s="320"/>
      <c r="B785" s="164"/>
      <c r="C785" s="320"/>
      <c r="D785" s="117"/>
      <c r="E785" s="320"/>
      <c r="F785" s="164"/>
      <c r="G785" s="320"/>
      <c r="H785" s="164"/>
      <c r="I785" s="327"/>
      <c r="J785" s="117"/>
      <c r="K785" s="327"/>
      <c r="L785" s="117"/>
      <c r="M785" s="327"/>
      <c r="N785" s="117"/>
      <c r="O785" s="320"/>
      <c r="P785" s="164"/>
      <c r="Q785" s="188"/>
      <c r="R785" s="188"/>
      <c r="S785" s="20"/>
      <c r="T785" s="20"/>
      <c r="U785" s="20"/>
      <c r="V785" s="20"/>
    </row>
    <row r="786">
      <c r="A786" s="320"/>
      <c r="B786" s="164"/>
      <c r="C786" s="320"/>
      <c r="D786" s="117"/>
      <c r="E786" s="320"/>
      <c r="F786" s="164"/>
      <c r="G786" s="320"/>
      <c r="H786" s="164"/>
      <c r="I786" s="327"/>
      <c r="J786" s="117"/>
      <c r="K786" s="327"/>
      <c r="L786" s="117"/>
      <c r="M786" s="327"/>
      <c r="N786" s="117"/>
      <c r="O786" s="320"/>
      <c r="P786" s="164"/>
      <c r="Q786" s="188"/>
      <c r="R786" s="188"/>
      <c r="S786" s="20"/>
      <c r="T786" s="20"/>
      <c r="U786" s="20"/>
      <c r="V786" s="20"/>
    </row>
    <row r="787">
      <c r="A787" s="320"/>
      <c r="B787" s="164"/>
      <c r="C787" s="320"/>
      <c r="D787" s="117"/>
      <c r="E787" s="320"/>
      <c r="F787" s="164"/>
      <c r="G787" s="320"/>
      <c r="H787" s="164"/>
      <c r="I787" s="327"/>
      <c r="J787" s="117"/>
      <c r="K787" s="327"/>
      <c r="L787" s="117"/>
      <c r="M787" s="327"/>
      <c r="N787" s="117"/>
      <c r="O787" s="320"/>
      <c r="P787" s="164"/>
      <c r="Q787" s="188"/>
      <c r="R787" s="188"/>
      <c r="S787" s="20"/>
      <c r="T787" s="20"/>
      <c r="U787" s="20"/>
      <c r="V787" s="20"/>
    </row>
    <row r="788">
      <c r="A788" s="320"/>
      <c r="B788" s="164"/>
      <c r="C788" s="320"/>
      <c r="D788" s="117"/>
      <c r="E788" s="320"/>
      <c r="F788" s="164"/>
      <c r="G788" s="320"/>
      <c r="H788" s="164"/>
      <c r="I788" s="327"/>
      <c r="J788" s="117"/>
      <c r="K788" s="327"/>
      <c r="L788" s="117"/>
      <c r="M788" s="327"/>
      <c r="N788" s="117"/>
      <c r="O788" s="320"/>
      <c r="P788" s="164"/>
      <c r="Q788" s="188"/>
      <c r="R788" s="188"/>
      <c r="S788" s="20"/>
      <c r="T788" s="20"/>
      <c r="U788" s="20"/>
      <c r="V788" s="20"/>
    </row>
    <row r="789">
      <c r="A789" s="320"/>
      <c r="B789" s="164"/>
      <c r="C789" s="320"/>
      <c r="D789" s="117"/>
      <c r="E789" s="320"/>
      <c r="F789" s="164"/>
      <c r="G789" s="320"/>
      <c r="H789" s="164"/>
      <c r="I789" s="327"/>
      <c r="J789" s="117"/>
      <c r="K789" s="327"/>
      <c r="L789" s="117"/>
      <c r="M789" s="327"/>
      <c r="N789" s="117"/>
      <c r="O789" s="320"/>
      <c r="P789" s="164"/>
      <c r="Q789" s="188"/>
      <c r="R789" s="188"/>
      <c r="S789" s="20"/>
      <c r="T789" s="20"/>
      <c r="U789" s="20"/>
      <c r="V789" s="20"/>
    </row>
    <row r="790">
      <c r="A790" s="320"/>
      <c r="B790" s="164"/>
      <c r="C790" s="320"/>
      <c r="D790" s="117"/>
      <c r="E790" s="320"/>
      <c r="F790" s="164"/>
      <c r="G790" s="320"/>
      <c r="H790" s="164"/>
      <c r="I790" s="327"/>
      <c r="J790" s="117"/>
      <c r="K790" s="327"/>
      <c r="L790" s="117"/>
      <c r="M790" s="327"/>
      <c r="N790" s="117"/>
      <c r="O790" s="320"/>
      <c r="P790" s="164"/>
      <c r="Q790" s="188"/>
      <c r="R790" s="188"/>
      <c r="S790" s="20"/>
      <c r="T790" s="20"/>
      <c r="U790" s="20"/>
      <c r="V790" s="20"/>
    </row>
    <row r="791">
      <c r="A791" s="320"/>
      <c r="B791" s="164"/>
      <c r="C791" s="320"/>
      <c r="D791" s="117"/>
      <c r="E791" s="320"/>
      <c r="F791" s="164"/>
      <c r="G791" s="320"/>
      <c r="H791" s="164"/>
      <c r="I791" s="327"/>
      <c r="J791" s="117"/>
      <c r="K791" s="327"/>
      <c r="L791" s="117"/>
      <c r="M791" s="327"/>
      <c r="N791" s="117"/>
      <c r="O791" s="320"/>
      <c r="P791" s="164"/>
      <c r="Q791" s="188"/>
      <c r="R791" s="188"/>
      <c r="S791" s="20"/>
      <c r="T791" s="20"/>
      <c r="U791" s="20"/>
      <c r="V791" s="20"/>
    </row>
    <row r="792">
      <c r="A792" s="320"/>
      <c r="B792" s="164"/>
      <c r="C792" s="320"/>
      <c r="D792" s="117"/>
      <c r="E792" s="320"/>
      <c r="F792" s="164"/>
      <c r="G792" s="320"/>
      <c r="H792" s="164"/>
      <c r="I792" s="327"/>
      <c r="J792" s="117"/>
      <c r="K792" s="327"/>
      <c r="L792" s="117"/>
      <c r="M792" s="327"/>
      <c r="N792" s="117"/>
      <c r="O792" s="320"/>
      <c r="P792" s="164"/>
      <c r="Q792" s="188"/>
      <c r="R792" s="188"/>
      <c r="S792" s="20"/>
      <c r="T792" s="20"/>
      <c r="U792" s="20"/>
      <c r="V792" s="20"/>
    </row>
    <row r="793">
      <c r="A793" s="320"/>
      <c r="B793" s="164"/>
      <c r="C793" s="320"/>
      <c r="D793" s="117"/>
      <c r="E793" s="320"/>
      <c r="F793" s="164"/>
      <c r="G793" s="320"/>
      <c r="H793" s="164"/>
      <c r="I793" s="327"/>
      <c r="J793" s="117"/>
      <c r="K793" s="327"/>
      <c r="L793" s="117"/>
      <c r="M793" s="327"/>
      <c r="N793" s="117"/>
      <c r="O793" s="320"/>
      <c r="P793" s="164"/>
      <c r="Q793" s="188"/>
      <c r="R793" s="188"/>
      <c r="S793" s="20"/>
      <c r="T793" s="20"/>
      <c r="U793" s="20"/>
      <c r="V793" s="20"/>
    </row>
    <row r="794">
      <c r="A794" s="320"/>
      <c r="B794" s="164"/>
      <c r="C794" s="320"/>
      <c r="D794" s="117"/>
      <c r="E794" s="320"/>
      <c r="F794" s="164"/>
      <c r="G794" s="320"/>
      <c r="H794" s="164"/>
      <c r="I794" s="327"/>
      <c r="J794" s="117"/>
      <c r="K794" s="327"/>
      <c r="L794" s="117"/>
      <c r="M794" s="327"/>
      <c r="N794" s="117"/>
      <c r="O794" s="320"/>
      <c r="P794" s="164"/>
      <c r="Q794" s="188"/>
      <c r="R794" s="188"/>
      <c r="S794" s="20"/>
      <c r="T794" s="20"/>
      <c r="U794" s="20"/>
      <c r="V794" s="20"/>
    </row>
    <row r="795">
      <c r="A795" s="320"/>
      <c r="B795" s="164"/>
      <c r="C795" s="320"/>
      <c r="D795" s="117"/>
      <c r="E795" s="320"/>
      <c r="F795" s="164"/>
      <c r="G795" s="320"/>
      <c r="H795" s="164"/>
      <c r="I795" s="327"/>
      <c r="J795" s="117"/>
      <c r="K795" s="327"/>
      <c r="L795" s="117"/>
      <c r="M795" s="327"/>
      <c r="N795" s="117"/>
      <c r="O795" s="320"/>
      <c r="P795" s="164"/>
      <c r="Q795" s="188"/>
      <c r="R795" s="188"/>
      <c r="S795" s="20"/>
      <c r="T795" s="20"/>
      <c r="U795" s="20"/>
      <c r="V795" s="20"/>
    </row>
    <row r="796">
      <c r="A796" s="320"/>
      <c r="B796" s="164"/>
      <c r="C796" s="320"/>
      <c r="D796" s="117"/>
      <c r="E796" s="320"/>
      <c r="F796" s="164"/>
      <c r="G796" s="320"/>
      <c r="H796" s="164"/>
      <c r="I796" s="327"/>
      <c r="J796" s="117"/>
      <c r="K796" s="327"/>
      <c r="L796" s="117"/>
      <c r="M796" s="327"/>
      <c r="N796" s="117"/>
      <c r="O796" s="320"/>
      <c r="P796" s="164"/>
      <c r="Q796" s="188"/>
      <c r="R796" s="188"/>
      <c r="S796" s="20"/>
      <c r="T796" s="20"/>
      <c r="U796" s="20"/>
      <c r="V796" s="20"/>
    </row>
    <row r="797">
      <c r="A797" s="320"/>
      <c r="B797" s="164"/>
      <c r="C797" s="320"/>
      <c r="D797" s="117"/>
      <c r="E797" s="320"/>
      <c r="F797" s="164"/>
      <c r="G797" s="320"/>
      <c r="H797" s="164"/>
      <c r="I797" s="327"/>
      <c r="J797" s="117"/>
      <c r="K797" s="327"/>
      <c r="L797" s="117"/>
      <c r="M797" s="327"/>
      <c r="N797" s="117"/>
      <c r="O797" s="320"/>
      <c r="P797" s="164"/>
      <c r="Q797" s="188"/>
      <c r="R797" s="188"/>
      <c r="S797" s="20"/>
      <c r="T797" s="20"/>
      <c r="U797" s="20"/>
      <c r="V797" s="20"/>
    </row>
    <row r="798">
      <c r="A798" s="320"/>
      <c r="B798" s="164"/>
      <c r="C798" s="320"/>
      <c r="D798" s="117"/>
      <c r="E798" s="320"/>
      <c r="F798" s="164"/>
      <c r="G798" s="320"/>
      <c r="H798" s="164"/>
      <c r="I798" s="327"/>
      <c r="J798" s="117"/>
      <c r="K798" s="327"/>
      <c r="L798" s="117"/>
      <c r="M798" s="327"/>
      <c r="N798" s="117"/>
      <c r="O798" s="320"/>
      <c r="P798" s="164"/>
      <c r="Q798" s="188"/>
      <c r="R798" s="188"/>
      <c r="S798" s="20"/>
      <c r="T798" s="20"/>
      <c r="U798" s="20"/>
      <c r="V798" s="20"/>
    </row>
    <row r="799">
      <c r="A799" s="320"/>
      <c r="B799" s="164"/>
      <c r="C799" s="320"/>
      <c r="D799" s="117"/>
      <c r="E799" s="320"/>
      <c r="F799" s="164"/>
      <c r="G799" s="320"/>
      <c r="H799" s="164"/>
      <c r="I799" s="327"/>
      <c r="J799" s="117"/>
      <c r="K799" s="327"/>
      <c r="L799" s="117"/>
      <c r="M799" s="327"/>
      <c r="N799" s="117"/>
      <c r="O799" s="320"/>
      <c r="P799" s="164"/>
      <c r="Q799" s="188"/>
      <c r="R799" s="188"/>
      <c r="S799" s="20"/>
      <c r="T799" s="20"/>
      <c r="U799" s="20"/>
      <c r="V799" s="20"/>
    </row>
    <row r="800">
      <c r="A800" s="320"/>
      <c r="B800" s="164"/>
      <c r="C800" s="320"/>
      <c r="D800" s="117"/>
      <c r="E800" s="320"/>
      <c r="F800" s="164"/>
      <c r="G800" s="320"/>
      <c r="H800" s="164"/>
      <c r="I800" s="327"/>
      <c r="J800" s="117"/>
      <c r="K800" s="327"/>
      <c r="L800" s="117"/>
      <c r="M800" s="327"/>
      <c r="N800" s="117"/>
      <c r="O800" s="320"/>
      <c r="P800" s="164"/>
      <c r="Q800" s="188"/>
      <c r="R800" s="188"/>
      <c r="S800" s="20"/>
      <c r="T800" s="20"/>
      <c r="U800" s="20"/>
      <c r="V800" s="20"/>
    </row>
    <row r="801">
      <c r="A801" s="320"/>
      <c r="B801" s="164"/>
      <c r="C801" s="320"/>
      <c r="D801" s="117"/>
      <c r="E801" s="320"/>
      <c r="F801" s="164"/>
      <c r="G801" s="320"/>
      <c r="H801" s="164"/>
      <c r="I801" s="327"/>
      <c r="J801" s="117"/>
      <c r="K801" s="327"/>
      <c r="L801" s="117"/>
      <c r="M801" s="327"/>
      <c r="N801" s="117"/>
      <c r="O801" s="320"/>
      <c r="P801" s="164"/>
      <c r="Q801" s="188"/>
      <c r="R801" s="188"/>
      <c r="S801" s="20"/>
      <c r="T801" s="20"/>
      <c r="U801" s="20"/>
      <c r="V801" s="20"/>
    </row>
    <row r="802">
      <c r="A802" s="320"/>
      <c r="B802" s="164"/>
      <c r="C802" s="320"/>
      <c r="D802" s="117"/>
      <c r="E802" s="320"/>
      <c r="F802" s="164"/>
      <c r="G802" s="320"/>
      <c r="H802" s="164"/>
      <c r="I802" s="327"/>
      <c r="J802" s="117"/>
      <c r="K802" s="327"/>
      <c r="L802" s="117"/>
      <c r="M802" s="327"/>
      <c r="N802" s="117"/>
      <c r="O802" s="320"/>
      <c r="P802" s="164"/>
      <c r="Q802" s="188"/>
      <c r="R802" s="188"/>
      <c r="S802" s="20"/>
      <c r="T802" s="20"/>
      <c r="U802" s="20"/>
      <c r="V802" s="20"/>
    </row>
    <row r="803">
      <c r="A803" s="320"/>
      <c r="B803" s="164"/>
      <c r="C803" s="320"/>
      <c r="D803" s="117"/>
      <c r="E803" s="320"/>
      <c r="F803" s="164"/>
      <c r="G803" s="320"/>
      <c r="H803" s="164"/>
      <c r="I803" s="327"/>
      <c r="J803" s="117"/>
      <c r="K803" s="327"/>
      <c r="L803" s="117"/>
      <c r="M803" s="327"/>
      <c r="N803" s="117"/>
      <c r="O803" s="320"/>
      <c r="P803" s="164"/>
      <c r="Q803" s="188"/>
      <c r="R803" s="188"/>
      <c r="S803" s="20"/>
      <c r="T803" s="20"/>
      <c r="U803" s="20"/>
      <c r="V803" s="20"/>
    </row>
    <row r="804">
      <c r="A804" s="320"/>
      <c r="B804" s="164"/>
      <c r="C804" s="320"/>
      <c r="D804" s="117"/>
      <c r="E804" s="320"/>
      <c r="F804" s="164"/>
      <c r="G804" s="320"/>
      <c r="H804" s="164"/>
      <c r="I804" s="327"/>
      <c r="J804" s="117"/>
      <c r="K804" s="327"/>
      <c r="L804" s="117"/>
      <c r="M804" s="327"/>
      <c r="N804" s="117"/>
      <c r="O804" s="320"/>
      <c r="P804" s="164"/>
      <c r="Q804" s="188"/>
      <c r="R804" s="188"/>
      <c r="S804" s="20"/>
      <c r="T804" s="20"/>
      <c r="U804" s="20"/>
      <c r="V804" s="20"/>
    </row>
    <row r="805">
      <c r="A805" s="320"/>
      <c r="B805" s="164"/>
      <c r="C805" s="320"/>
      <c r="D805" s="117"/>
      <c r="E805" s="320"/>
      <c r="F805" s="164"/>
      <c r="G805" s="320"/>
      <c r="H805" s="164"/>
      <c r="I805" s="327"/>
      <c r="J805" s="117"/>
      <c r="K805" s="327"/>
      <c r="L805" s="117"/>
      <c r="M805" s="327"/>
      <c r="N805" s="117"/>
      <c r="O805" s="320"/>
      <c r="P805" s="164"/>
      <c r="Q805" s="188"/>
      <c r="R805" s="188"/>
      <c r="S805" s="20"/>
      <c r="T805" s="20"/>
      <c r="U805" s="20"/>
      <c r="V805" s="20"/>
    </row>
    <row r="806">
      <c r="A806" s="320"/>
      <c r="B806" s="164"/>
      <c r="C806" s="320"/>
      <c r="D806" s="117"/>
      <c r="E806" s="320"/>
      <c r="F806" s="164"/>
      <c r="G806" s="320"/>
      <c r="H806" s="164"/>
      <c r="I806" s="327"/>
      <c r="J806" s="117"/>
      <c r="K806" s="327"/>
      <c r="L806" s="117"/>
      <c r="M806" s="327"/>
      <c r="N806" s="117"/>
      <c r="O806" s="320"/>
      <c r="P806" s="164"/>
      <c r="Q806" s="188"/>
      <c r="R806" s="188"/>
      <c r="S806" s="20"/>
      <c r="T806" s="20"/>
      <c r="U806" s="20"/>
      <c r="V806" s="20"/>
    </row>
    <row r="807">
      <c r="A807" s="320"/>
      <c r="B807" s="164"/>
      <c r="C807" s="320"/>
      <c r="D807" s="117"/>
      <c r="E807" s="320"/>
      <c r="F807" s="164"/>
      <c r="G807" s="320"/>
      <c r="H807" s="164"/>
      <c r="I807" s="327"/>
      <c r="J807" s="117"/>
      <c r="K807" s="327"/>
      <c r="L807" s="117"/>
      <c r="M807" s="327"/>
      <c r="N807" s="117"/>
      <c r="O807" s="320"/>
      <c r="P807" s="164"/>
      <c r="Q807" s="188"/>
      <c r="R807" s="188"/>
      <c r="S807" s="20"/>
      <c r="T807" s="20"/>
      <c r="U807" s="20"/>
      <c r="V807" s="20"/>
    </row>
    <row r="808">
      <c r="A808" s="320"/>
      <c r="B808" s="164"/>
      <c r="C808" s="320"/>
      <c r="D808" s="117"/>
      <c r="E808" s="320"/>
      <c r="F808" s="164"/>
      <c r="G808" s="320"/>
      <c r="H808" s="164"/>
      <c r="I808" s="327"/>
      <c r="J808" s="117"/>
      <c r="K808" s="327"/>
      <c r="L808" s="117"/>
      <c r="M808" s="327"/>
      <c r="N808" s="117"/>
      <c r="O808" s="320"/>
      <c r="P808" s="164"/>
      <c r="Q808" s="188"/>
      <c r="R808" s="188"/>
      <c r="S808" s="20"/>
      <c r="T808" s="20"/>
      <c r="U808" s="20"/>
      <c r="V808" s="20"/>
    </row>
    <row r="809">
      <c r="A809" s="320"/>
      <c r="B809" s="164"/>
      <c r="C809" s="320"/>
      <c r="D809" s="117"/>
      <c r="E809" s="320"/>
      <c r="F809" s="164"/>
      <c r="G809" s="320"/>
      <c r="H809" s="164"/>
      <c r="I809" s="327"/>
      <c r="J809" s="117"/>
      <c r="K809" s="327"/>
      <c r="L809" s="117"/>
      <c r="M809" s="327"/>
      <c r="N809" s="117"/>
      <c r="O809" s="320"/>
      <c r="P809" s="164"/>
      <c r="Q809" s="188"/>
      <c r="R809" s="188"/>
      <c r="S809" s="20"/>
      <c r="T809" s="20"/>
      <c r="U809" s="20"/>
      <c r="V809" s="20"/>
    </row>
    <row r="810">
      <c r="A810" s="320"/>
      <c r="B810" s="164"/>
      <c r="C810" s="320"/>
      <c r="D810" s="117"/>
      <c r="E810" s="320"/>
      <c r="F810" s="164"/>
      <c r="G810" s="320"/>
      <c r="H810" s="164"/>
      <c r="I810" s="327"/>
      <c r="J810" s="117"/>
      <c r="K810" s="327"/>
      <c r="L810" s="117"/>
      <c r="M810" s="327"/>
      <c r="N810" s="117"/>
      <c r="O810" s="320"/>
      <c r="P810" s="164"/>
      <c r="Q810" s="188"/>
      <c r="R810" s="188"/>
      <c r="S810" s="20"/>
      <c r="T810" s="20"/>
      <c r="U810" s="20"/>
      <c r="V810" s="20"/>
    </row>
    <row r="811">
      <c r="A811" s="320"/>
      <c r="B811" s="164"/>
      <c r="C811" s="320"/>
      <c r="D811" s="117"/>
      <c r="E811" s="320"/>
      <c r="F811" s="164"/>
      <c r="G811" s="320"/>
      <c r="H811" s="164"/>
      <c r="I811" s="327"/>
      <c r="J811" s="117"/>
      <c r="K811" s="327"/>
      <c r="L811" s="117"/>
      <c r="M811" s="327"/>
      <c r="N811" s="117"/>
      <c r="O811" s="320"/>
      <c r="P811" s="164"/>
      <c r="Q811" s="188"/>
      <c r="R811" s="188"/>
      <c r="S811" s="20"/>
      <c r="T811" s="20"/>
      <c r="U811" s="20"/>
      <c r="V811" s="20"/>
    </row>
    <row r="812">
      <c r="A812" s="320"/>
      <c r="B812" s="164"/>
      <c r="C812" s="320"/>
      <c r="D812" s="117"/>
      <c r="E812" s="320"/>
      <c r="F812" s="164"/>
      <c r="G812" s="320"/>
      <c r="H812" s="164"/>
      <c r="I812" s="327"/>
      <c r="J812" s="117"/>
      <c r="K812" s="327"/>
      <c r="L812" s="117"/>
      <c r="M812" s="327"/>
      <c r="N812" s="117"/>
      <c r="O812" s="320"/>
      <c r="P812" s="164"/>
      <c r="Q812" s="188"/>
      <c r="R812" s="188"/>
      <c r="S812" s="20"/>
      <c r="T812" s="20"/>
      <c r="U812" s="20"/>
      <c r="V812" s="20"/>
    </row>
    <row r="813">
      <c r="A813" s="320"/>
      <c r="B813" s="164"/>
      <c r="C813" s="320"/>
      <c r="D813" s="117"/>
      <c r="E813" s="320"/>
      <c r="F813" s="164"/>
      <c r="G813" s="320"/>
      <c r="H813" s="164"/>
      <c r="I813" s="327"/>
      <c r="J813" s="117"/>
      <c r="K813" s="327"/>
      <c r="L813" s="117"/>
      <c r="M813" s="327"/>
      <c r="N813" s="117"/>
      <c r="O813" s="320"/>
      <c r="P813" s="164"/>
      <c r="Q813" s="188"/>
      <c r="R813" s="188"/>
      <c r="S813" s="20"/>
      <c r="T813" s="20"/>
      <c r="U813" s="20"/>
      <c r="V813" s="20"/>
    </row>
    <row r="814">
      <c r="A814" s="320"/>
      <c r="B814" s="164"/>
      <c r="C814" s="320"/>
      <c r="D814" s="117"/>
      <c r="E814" s="320"/>
      <c r="F814" s="164"/>
      <c r="G814" s="320"/>
      <c r="H814" s="164"/>
      <c r="I814" s="327"/>
      <c r="J814" s="117"/>
      <c r="K814" s="327"/>
      <c r="L814" s="117"/>
      <c r="M814" s="327"/>
      <c r="N814" s="117"/>
      <c r="O814" s="320"/>
      <c r="P814" s="164"/>
      <c r="Q814" s="188"/>
      <c r="R814" s="188"/>
      <c r="S814" s="20"/>
      <c r="T814" s="20"/>
      <c r="U814" s="20"/>
      <c r="V814" s="20"/>
    </row>
    <row r="815">
      <c r="A815" s="320"/>
      <c r="B815" s="164"/>
      <c r="C815" s="320"/>
      <c r="D815" s="117"/>
      <c r="E815" s="320"/>
      <c r="F815" s="164"/>
      <c r="G815" s="320"/>
      <c r="H815" s="164"/>
      <c r="I815" s="327"/>
      <c r="J815" s="117"/>
      <c r="K815" s="327"/>
      <c r="L815" s="117"/>
      <c r="M815" s="327"/>
      <c r="N815" s="117"/>
      <c r="O815" s="320"/>
      <c r="P815" s="164"/>
      <c r="Q815" s="188"/>
      <c r="R815" s="188"/>
      <c r="S815" s="20"/>
      <c r="T815" s="20"/>
      <c r="U815" s="20"/>
      <c r="V815" s="20"/>
    </row>
    <row r="816">
      <c r="A816" s="320"/>
      <c r="B816" s="164"/>
      <c r="C816" s="320"/>
      <c r="D816" s="117"/>
      <c r="E816" s="320"/>
      <c r="F816" s="164"/>
      <c r="G816" s="320"/>
      <c r="H816" s="164"/>
      <c r="I816" s="327"/>
      <c r="J816" s="117"/>
      <c r="K816" s="327"/>
      <c r="L816" s="117"/>
      <c r="M816" s="327"/>
      <c r="N816" s="117"/>
      <c r="O816" s="320"/>
      <c r="P816" s="164"/>
      <c r="Q816" s="188"/>
      <c r="R816" s="188"/>
      <c r="S816" s="20"/>
      <c r="T816" s="20"/>
      <c r="U816" s="20"/>
      <c r="V816" s="20"/>
    </row>
    <row r="817">
      <c r="A817" s="320"/>
      <c r="B817" s="164"/>
      <c r="C817" s="320"/>
      <c r="D817" s="117"/>
      <c r="E817" s="320"/>
      <c r="F817" s="164"/>
      <c r="G817" s="320"/>
      <c r="H817" s="164"/>
      <c r="I817" s="327"/>
      <c r="J817" s="117"/>
      <c r="K817" s="327"/>
      <c r="L817" s="117"/>
      <c r="M817" s="327"/>
      <c r="N817" s="117"/>
      <c r="O817" s="320"/>
      <c r="P817" s="164"/>
      <c r="Q817" s="188"/>
      <c r="R817" s="188"/>
      <c r="S817" s="20"/>
      <c r="T817" s="20"/>
      <c r="U817" s="20"/>
      <c r="V817" s="20"/>
    </row>
    <row r="818">
      <c r="A818" s="320"/>
      <c r="B818" s="164"/>
      <c r="C818" s="320"/>
      <c r="D818" s="117"/>
      <c r="E818" s="320"/>
      <c r="F818" s="164"/>
      <c r="G818" s="320"/>
      <c r="H818" s="164"/>
      <c r="I818" s="327"/>
      <c r="J818" s="117"/>
      <c r="K818" s="327"/>
      <c r="L818" s="117"/>
      <c r="M818" s="327"/>
      <c r="N818" s="117"/>
      <c r="O818" s="320"/>
      <c r="P818" s="164"/>
      <c r="Q818" s="188"/>
      <c r="R818" s="188"/>
      <c r="S818" s="20"/>
      <c r="T818" s="20"/>
      <c r="U818" s="20"/>
      <c r="V818" s="20"/>
    </row>
    <row r="819">
      <c r="A819" s="320"/>
      <c r="B819" s="164"/>
      <c r="C819" s="320"/>
      <c r="D819" s="117"/>
      <c r="E819" s="320"/>
      <c r="F819" s="164"/>
      <c r="G819" s="320"/>
      <c r="H819" s="164"/>
      <c r="I819" s="327"/>
      <c r="J819" s="117"/>
      <c r="K819" s="327"/>
      <c r="L819" s="117"/>
      <c r="M819" s="327"/>
      <c r="N819" s="117"/>
      <c r="O819" s="320"/>
      <c r="P819" s="164"/>
      <c r="Q819" s="188"/>
      <c r="R819" s="188"/>
      <c r="S819" s="20"/>
      <c r="T819" s="20"/>
      <c r="U819" s="20"/>
      <c r="V819" s="20"/>
    </row>
    <row r="820">
      <c r="A820" s="320"/>
      <c r="B820" s="164"/>
      <c r="C820" s="320"/>
      <c r="D820" s="117"/>
      <c r="E820" s="320"/>
      <c r="F820" s="164"/>
      <c r="G820" s="320"/>
      <c r="H820" s="164"/>
      <c r="I820" s="327"/>
      <c r="J820" s="117"/>
      <c r="K820" s="327"/>
      <c r="L820" s="117"/>
      <c r="M820" s="327"/>
      <c r="N820" s="117"/>
      <c r="O820" s="320"/>
      <c r="P820" s="164"/>
      <c r="Q820" s="188"/>
      <c r="R820" s="188"/>
      <c r="S820" s="20"/>
      <c r="T820" s="20"/>
      <c r="U820" s="20"/>
      <c r="V820" s="20"/>
    </row>
    <row r="821">
      <c r="A821" s="320"/>
      <c r="B821" s="164"/>
      <c r="C821" s="320"/>
      <c r="D821" s="117"/>
      <c r="E821" s="320"/>
      <c r="F821" s="164"/>
      <c r="G821" s="320"/>
      <c r="H821" s="164"/>
      <c r="I821" s="327"/>
      <c r="J821" s="117"/>
      <c r="K821" s="327"/>
      <c r="L821" s="117"/>
      <c r="M821" s="327"/>
      <c r="N821" s="117"/>
      <c r="O821" s="320"/>
      <c r="P821" s="164"/>
      <c r="Q821" s="188"/>
      <c r="R821" s="188"/>
      <c r="S821" s="20"/>
      <c r="T821" s="20"/>
      <c r="U821" s="20"/>
      <c r="V821" s="20"/>
    </row>
    <row r="822">
      <c r="A822" s="320"/>
      <c r="B822" s="164"/>
      <c r="C822" s="320"/>
      <c r="D822" s="117"/>
      <c r="E822" s="320"/>
      <c r="F822" s="164"/>
      <c r="G822" s="320"/>
      <c r="H822" s="164"/>
      <c r="I822" s="327"/>
      <c r="J822" s="117"/>
      <c r="K822" s="327"/>
      <c r="L822" s="117"/>
      <c r="M822" s="327"/>
      <c r="N822" s="117"/>
      <c r="O822" s="320"/>
      <c r="P822" s="164"/>
      <c r="Q822" s="188"/>
      <c r="R822" s="188"/>
      <c r="S822" s="20"/>
      <c r="T822" s="20"/>
      <c r="U822" s="20"/>
      <c r="V822" s="20"/>
    </row>
    <row r="823">
      <c r="A823" s="320"/>
      <c r="B823" s="164"/>
      <c r="C823" s="320"/>
      <c r="D823" s="117"/>
      <c r="E823" s="320"/>
      <c r="F823" s="164"/>
      <c r="G823" s="320"/>
      <c r="H823" s="164"/>
      <c r="I823" s="327"/>
      <c r="J823" s="117"/>
      <c r="K823" s="327"/>
      <c r="L823" s="117"/>
      <c r="M823" s="327"/>
      <c r="N823" s="117"/>
      <c r="O823" s="320"/>
      <c r="P823" s="164"/>
      <c r="Q823" s="188"/>
      <c r="R823" s="188"/>
      <c r="S823" s="20"/>
      <c r="T823" s="20"/>
      <c r="U823" s="20"/>
      <c r="V823" s="20"/>
    </row>
    <row r="824">
      <c r="A824" s="320"/>
      <c r="B824" s="164"/>
      <c r="C824" s="320"/>
      <c r="D824" s="117"/>
      <c r="E824" s="320"/>
      <c r="F824" s="164"/>
      <c r="G824" s="320"/>
      <c r="H824" s="164"/>
      <c r="I824" s="327"/>
      <c r="J824" s="117"/>
      <c r="K824" s="327"/>
      <c r="L824" s="117"/>
      <c r="M824" s="327"/>
      <c r="N824" s="117"/>
      <c r="O824" s="320"/>
      <c r="P824" s="164"/>
      <c r="Q824" s="188"/>
      <c r="R824" s="188"/>
      <c r="S824" s="20"/>
      <c r="T824" s="20"/>
      <c r="U824" s="20"/>
      <c r="V824" s="20"/>
    </row>
    <row r="825">
      <c r="A825" s="320"/>
      <c r="B825" s="164"/>
      <c r="C825" s="320"/>
      <c r="D825" s="117"/>
      <c r="E825" s="320"/>
      <c r="F825" s="164"/>
      <c r="G825" s="320"/>
      <c r="H825" s="164"/>
      <c r="I825" s="327"/>
      <c r="J825" s="117"/>
      <c r="K825" s="327"/>
      <c r="L825" s="117"/>
      <c r="M825" s="327"/>
      <c r="N825" s="117"/>
      <c r="O825" s="320"/>
      <c r="P825" s="164"/>
      <c r="Q825" s="188"/>
      <c r="R825" s="188"/>
      <c r="S825" s="20"/>
      <c r="T825" s="20"/>
      <c r="U825" s="20"/>
      <c r="V825" s="20"/>
    </row>
    <row r="826">
      <c r="A826" s="320"/>
      <c r="B826" s="164"/>
      <c r="C826" s="320"/>
      <c r="D826" s="117"/>
      <c r="E826" s="320"/>
      <c r="F826" s="164"/>
      <c r="G826" s="320"/>
      <c r="H826" s="164"/>
      <c r="I826" s="327"/>
      <c r="J826" s="117"/>
      <c r="K826" s="327"/>
      <c r="L826" s="117"/>
      <c r="M826" s="327"/>
      <c r="N826" s="117"/>
      <c r="O826" s="320"/>
      <c r="P826" s="164"/>
      <c r="Q826" s="188"/>
      <c r="R826" s="188"/>
      <c r="S826" s="20"/>
      <c r="T826" s="20"/>
      <c r="U826" s="20"/>
      <c r="V826" s="20"/>
    </row>
    <row r="827">
      <c r="A827" s="320"/>
      <c r="B827" s="164"/>
      <c r="C827" s="320"/>
      <c r="D827" s="117"/>
      <c r="E827" s="320"/>
      <c r="F827" s="164"/>
      <c r="G827" s="320"/>
      <c r="H827" s="164"/>
      <c r="I827" s="327"/>
      <c r="J827" s="117"/>
      <c r="K827" s="327"/>
      <c r="L827" s="117"/>
      <c r="M827" s="327"/>
      <c r="N827" s="117"/>
      <c r="O827" s="320"/>
      <c r="P827" s="164"/>
      <c r="Q827" s="188"/>
      <c r="R827" s="188"/>
      <c r="S827" s="20"/>
      <c r="T827" s="20"/>
      <c r="U827" s="20"/>
      <c r="V827" s="20"/>
    </row>
    <row r="828">
      <c r="A828" s="320"/>
      <c r="B828" s="164"/>
      <c r="C828" s="320"/>
      <c r="D828" s="117"/>
      <c r="E828" s="320"/>
      <c r="F828" s="164"/>
      <c r="G828" s="320"/>
      <c r="H828" s="164"/>
      <c r="I828" s="327"/>
      <c r="J828" s="117"/>
      <c r="K828" s="327"/>
      <c r="L828" s="117"/>
      <c r="M828" s="327"/>
      <c r="N828" s="117"/>
      <c r="O828" s="320"/>
      <c r="P828" s="164"/>
      <c r="Q828" s="188"/>
      <c r="R828" s="188"/>
      <c r="S828" s="20"/>
      <c r="T828" s="20"/>
      <c r="U828" s="20"/>
      <c r="V828" s="20"/>
    </row>
    <row r="829">
      <c r="A829" s="320"/>
      <c r="B829" s="164"/>
      <c r="C829" s="320"/>
      <c r="D829" s="117"/>
      <c r="E829" s="320"/>
      <c r="F829" s="164"/>
      <c r="G829" s="320"/>
      <c r="H829" s="164"/>
      <c r="I829" s="327"/>
      <c r="J829" s="117"/>
      <c r="K829" s="327"/>
      <c r="L829" s="117"/>
      <c r="M829" s="327"/>
      <c r="N829" s="117"/>
      <c r="O829" s="320"/>
      <c r="P829" s="164"/>
      <c r="Q829" s="188"/>
      <c r="R829" s="188"/>
      <c r="S829" s="20"/>
      <c r="T829" s="20"/>
      <c r="U829" s="20"/>
      <c r="V829" s="20"/>
    </row>
    <row r="830">
      <c r="A830" s="320"/>
      <c r="B830" s="164"/>
      <c r="C830" s="320"/>
      <c r="D830" s="117"/>
      <c r="E830" s="320"/>
      <c r="F830" s="164"/>
      <c r="G830" s="320"/>
      <c r="H830" s="164"/>
      <c r="I830" s="327"/>
      <c r="J830" s="117"/>
      <c r="K830" s="327"/>
      <c r="L830" s="117"/>
      <c r="M830" s="327"/>
      <c r="N830" s="117"/>
      <c r="O830" s="320"/>
      <c r="P830" s="164"/>
      <c r="Q830" s="188"/>
      <c r="R830" s="188"/>
      <c r="S830" s="20"/>
      <c r="T830" s="20"/>
      <c r="U830" s="20"/>
      <c r="V830" s="20"/>
    </row>
    <row r="831">
      <c r="A831" s="320"/>
      <c r="B831" s="164"/>
      <c r="C831" s="320"/>
      <c r="D831" s="117"/>
      <c r="E831" s="320"/>
      <c r="F831" s="164"/>
      <c r="G831" s="320"/>
      <c r="H831" s="164"/>
      <c r="I831" s="327"/>
      <c r="J831" s="117"/>
      <c r="K831" s="327"/>
      <c r="L831" s="117"/>
      <c r="M831" s="327"/>
      <c r="N831" s="117"/>
      <c r="O831" s="320"/>
      <c r="P831" s="164"/>
      <c r="Q831" s="188"/>
      <c r="R831" s="188"/>
      <c r="S831" s="20"/>
      <c r="T831" s="20"/>
      <c r="U831" s="20"/>
      <c r="V831" s="20"/>
    </row>
    <row r="832">
      <c r="A832" s="320"/>
      <c r="B832" s="164"/>
      <c r="C832" s="320"/>
      <c r="D832" s="117"/>
      <c r="E832" s="320"/>
      <c r="F832" s="164"/>
      <c r="G832" s="320"/>
      <c r="H832" s="164"/>
      <c r="I832" s="327"/>
      <c r="J832" s="117"/>
      <c r="K832" s="327"/>
      <c r="L832" s="117"/>
      <c r="M832" s="327"/>
      <c r="N832" s="117"/>
      <c r="O832" s="320"/>
      <c r="P832" s="164"/>
      <c r="Q832" s="188"/>
      <c r="R832" s="188"/>
      <c r="S832" s="20"/>
      <c r="T832" s="20"/>
      <c r="U832" s="20"/>
      <c r="V832" s="20"/>
    </row>
    <row r="833">
      <c r="A833" s="320"/>
      <c r="B833" s="164"/>
      <c r="C833" s="320"/>
      <c r="D833" s="117"/>
      <c r="E833" s="320"/>
      <c r="F833" s="164"/>
      <c r="G833" s="320"/>
      <c r="H833" s="164"/>
      <c r="I833" s="327"/>
      <c r="J833" s="117"/>
      <c r="K833" s="327"/>
      <c r="L833" s="117"/>
      <c r="M833" s="327"/>
      <c r="N833" s="117"/>
      <c r="O833" s="320"/>
      <c r="P833" s="164"/>
      <c r="Q833" s="188"/>
      <c r="R833" s="188"/>
      <c r="S833" s="20"/>
      <c r="T833" s="20"/>
      <c r="U833" s="20"/>
      <c r="V833" s="20"/>
    </row>
    <row r="834">
      <c r="A834" s="320"/>
      <c r="B834" s="164"/>
      <c r="C834" s="320"/>
      <c r="D834" s="117"/>
      <c r="E834" s="320"/>
      <c r="F834" s="164"/>
      <c r="G834" s="320"/>
      <c r="H834" s="164"/>
      <c r="I834" s="327"/>
      <c r="J834" s="117"/>
      <c r="K834" s="327"/>
      <c r="L834" s="117"/>
      <c r="M834" s="327"/>
      <c r="N834" s="117"/>
      <c r="O834" s="320"/>
      <c r="P834" s="164"/>
      <c r="Q834" s="188"/>
      <c r="R834" s="188"/>
      <c r="S834" s="20"/>
      <c r="T834" s="20"/>
      <c r="U834" s="20"/>
      <c r="V834" s="20"/>
    </row>
    <row r="835">
      <c r="A835" s="320"/>
      <c r="B835" s="164"/>
      <c r="C835" s="320"/>
      <c r="D835" s="117"/>
      <c r="E835" s="320"/>
      <c r="F835" s="164"/>
      <c r="G835" s="320"/>
      <c r="H835" s="164"/>
      <c r="I835" s="327"/>
      <c r="J835" s="117"/>
      <c r="K835" s="327"/>
      <c r="L835" s="117"/>
      <c r="M835" s="327"/>
      <c r="N835" s="117"/>
      <c r="O835" s="320"/>
      <c r="P835" s="164"/>
      <c r="Q835" s="188"/>
      <c r="R835" s="188"/>
      <c r="S835" s="20"/>
      <c r="T835" s="20"/>
      <c r="U835" s="20"/>
      <c r="V835" s="20"/>
    </row>
    <row r="836">
      <c r="A836" s="320"/>
      <c r="B836" s="164"/>
      <c r="C836" s="320"/>
      <c r="D836" s="117"/>
      <c r="E836" s="320"/>
      <c r="F836" s="164"/>
      <c r="G836" s="320"/>
      <c r="H836" s="164"/>
      <c r="I836" s="327"/>
      <c r="J836" s="117"/>
      <c r="K836" s="327"/>
      <c r="L836" s="117"/>
      <c r="M836" s="327"/>
      <c r="N836" s="117"/>
      <c r="O836" s="320"/>
      <c r="P836" s="164"/>
      <c r="Q836" s="188"/>
      <c r="R836" s="188"/>
      <c r="S836" s="20"/>
      <c r="T836" s="20"/>
      <c r="U836" s="20"/>
      <c r="V836" s="20"/>
    </row>
    <row r="837">
      <c r="A837" s="320"/>
      <c r="B837" s="164"/>
      <c r="C837" s="320"/>
      <c r="D837" s="117"/>
      <c r="E837" s="320"/>
      <c r="F837" s="164"/>
      <c r="G837" s="320"/>
      <c r="H837" s="164"/>
      <c r="I837" s="327"/>
      <c r="J837" s="117"/>
      <c r="K837" s="327"/>
      <c r="L837" s="117"/>
      <c r="M837" s="327"/>
      <c r="N837" s="117"/>
      <c r="O837" s="320"/>
      <c r="P837" s="164"/>
      <c r="Q837" s="188"/>
      <c r="R837" s="188"/>
      <c r="S837" s="20"/>
      <c r="T837" s="20"/>
      <c r="U837" s="20"/>
      <c r="V837" s="20"/>
    </row>
    <row r="838">
      <c r="A838" s="320"/>
      <c r="B838" s="164"/>
      <c r="C838" s="320"/>
      <c r="D838" s="117"/>
      <c r="E838" s="320"/>
      <c r="F838" s="164"/>
      <c r="G838" s="320"/>
      <c r="H838" s="164"/>
      <c r="I838" s="327"/>
      <c r="J838" s="117"/>
      <c r="K838" s="327"/>
      <c r="L838" s="117"/>
      <c r="M838" s="327"/>
      <c r="N838" s="117"/>
      <c r="O838" s="320"/>
      <c r="P838" s="164"/>
      <c r="Q838" s="188"/>
      <c r="R838" s="188"/>
      <c r="S838" s="20"/>
      <c r="T838" s="20"/>
      <c r="U838" s="20"/>
      <c r="V838" s="20"/>
    </row>
    <row r="839">
      <c r="A839" s="320"/>
      <c r="B839" s="164"/>
      <c r="C839" s="320"/>
      <c r="D839" s="117"/>
      <c r="E839" s="320"/>
      <c r="F839" s="164"/>
      <c r="G839" s="320"/>
      <c r="H839" s="164"/>
      <c r="I839" s="327"/>
      <c r="J839" s="117"/>
      <c r="K839" s="327"/>
      <c r="L839" s="117"/>
      <c r="M839" s="327"/>
      <c r="N839" s="117"/>
      <c r="O839" s="320"/>
      <c r="P839" s="164"/>
      <c r="Q839" s="188"/>
      <c r="R839" s="188"/>
      <c r="S839" s="20"/>
      <c r="T839" s="20"/>
      <c r="U839" s="20"/>
      <c r="V839" s="20"/>
    </row>
    <row r="840">
      <c r="A840" s="320"/>
      <c r="B840" s="164"/>
      <c r="C840" s="320"/>
      <c r="D840" s="117"/>
      <c r="E840" s="320"/>
      <c r="F840" s="164"/>
      <c r="G840" s="320"/>
      <c r="H840" s="164"/>
      <c r="I840" s="327"/>
      <c r="J840" s="117"/>
      <c r="K840" s="327"/>
      <c r="L840" s="117"/>
      <c r="M840" s="327"/>
      <c r="N840" s="117"/>
      <c r="O840" s="320"/>
      <c r="P840" s="164"/>
      <c r="Q840" s="188"/>
      <c r="R840" s="188"/>
      <c r="S840" s="20"/>
      <c r="T840" s="20"/>
      <c r="U840" s="20"/>
      <c r="V840" s="20"/>
    </row>
    <row r="841">
      <c r="A841" s="320"/>
      <c r="B841" s="164"/>
      <c r="C841" s="320"/>
      <c r="D841" s="117"/>
      <c r="E841" s="320"/>
      <c r="F841" s="164"/>
      <c r="G841" s="320"/>
      <c r="H841" s="164"/>
      <c r="I841" s="327"/>
      <c r="J841" s="117"/>
      <c r="K841" s="327"/>
      <c r="L841" s="117"/>
      <c r="M841" s="327"/>
      <c r="N841" s="117"/>
      <c r="O841" s="320"/>
      <c r="P841" s="164"/>
      <c r="Q841" s="188"/>
      <c r="R841" s="188"/>
      <c r="S841" s="20"/>
      <c r="T841" s="20"/>
      <c r="U841" s="20"/>
      <c r="V841" s="20"/>
    </row>
    <row r="842">
      <c r="A842" s="320"/>
      <c r="B842" s="164"/>
      <c r="C842" s="320"/>
      <c r="D842" s="117"/>
      <c r="E842" s="320"/>
      <c r="F842" s="164"/>
      <c r="G842" s="320"/>
      <c r="H842" s="164"/>
      <c r="I842" s="327"/>
      <c r="J842" s="117"/>
      <c r="K842" s="327"/>
      <c r="L842" s="117"/>
      <c r="M842" s="327"/>
      <c r="N842" s="117"/>
      <c r="O842" s="320"/>
      <c r="P842" s="164"/>
      <c r="Q842" s="188"/>
      <c r="R842" s="188"/>
      <c r="S842" s="20"/>
      <c r="T842" s="20"/>
      <c r="U842" s="20"/>
      <c r="V842" s="20"/>
    </row>
    <row r="843">
      <c r="A843" s="320"/>
      <c r="B843" s="164"/>
      <c r="C843" s="320"/>
      <c r="D843" s="117"/>
      <c r="E843" s="320"/>
      <c r="F843" s="164"/>
      <c r="G843" s="320"/>
      <c r="H843" s="164"/>
      <c r="I843" s="327"/>
      <c r="J843" s="117"/>
      <c r="K843" s="327"/>
      <c r="L843" s="117"/>
      <c r="M843" s="327"/>
      <c r="N843" s="117"/>
      <c r="O843" s="320"/>
      <c r="P843" s="164"/>
      <c r="Q843" s="188"/>
      <c r="R843" s="188"/>
      <c r="S843" s="20"/>
      <c r="T843" s="20"/>
      <c r="U843" s="20"/>
      <c r="V843" s="20"/>
    </row>
    <row r="844">
      <c r="A844" s="320"/>
      <c r="B844" s="164"/>
      <c r="C844" s="320"/>
      <c r="D844" s="117"/>
      <c r="E844" s="320"/>
      <c r="F844" s="164"/>
      <c r="G844" s="320"/>
      <c r="H844" s="164"/>
      <c r="I844" s="327"/>
      <c r="J844" s="117"/>
      <c r="K844" s="327"/>
      <c r="L844" s="117"/>
      <c r="M844" s="327"/>
      <c r="N844" s="117"/>
      <c r="O844" s="320"/>
      <c r="P844" s="164"/>
      <c r="Q844" s="188"/>
      <c r="R844" s="188"/>
      <c r="S844" s="20"/>
      <c r="T844" s="20"/>
      <c r="U844" s="20"/>
      <c r="V844" s="20"/>
    </row>
    <row r="845">
      <c r="A845" s="320"/>
      <c r="B845" s="164"/>
      <c r="C845" s="320"/>
      <c r="D845" s="117"/>
      <c r="E845" s="320"/>
      <c r="F845" s="164"/>
      <c r="G845" s="320"/>
      <c r="H845" s="164"/>
      <c r="I845" s="327"/>
      <c r="J845" s="117"/>
      <c r="K845" s="327"/>
      <c r="L845" s="117"/>
      <c r="M845" s="327"/>
      <c r="N845" s="117"/>
      <c r="O845" s="320"/>
      <c r="P845" s="164"/>
      <c r="Q845" s="188"/>
      <c r="R845" s="188"/>
      <c r="S845" s="20"/>
      <c r="T845" s="20"/>
      <c r="U845" s="20"/>
      <c r="V845" s="20"/>
    </row>
    <row r="846">
      <c r="A846" s="320"/>
      <c r="B846" s="164"/>
      <c r="C846" s="320"/>
      <c r="D846" s="117"/>
      <c r="E846" s="320"/>
      <c r="F846" s="164"/>
      <c r="G846" s="320"/>
      <c r="H846" s="164"/>
      <c r="I846" s="327"/>
      <c r="J846" s="117"/>
      <c r="K846" s="327"/>
      <c r="L846" s="117"/>
      <c r="M846" s="327"/>
      <c r="N846" s="117"/>
      <c r="O846" s="320"/>
      <c r="P846" s="164"/>
      <c r="Q846" s="188"/>
      <c r="R846" s="188"/>
      <c r="S846" s="20"/>
      <c r="T846" s="20"/>
      <c r="U846" s="20"/>
      <c r="V846" s="20"/>
    </row>
    <row r="847">
      <c r="A847" s="320"/>
      <c r="B847" s="164"/>
      <c r="C847" s="320"/>
      <c r="D847" s="117"/>
      <c r="E847" s="320"/>
      <c r="F847" s="164"/>
      <c r="G847" s="320"/>
      <c r="H847" s="164"/>
      <c r="I847" s="327"/>
      <c r="J847" s="117"/>
      <c r="K847" s="327"/>
      <c r="L847" s="117"/>
      <c r="M847" s="327"/>
      <c r="N847" s="117"/>
      <c r="O847" s="320"/>
      <c r="P847" s="164"/>
      <c r="Q847" s="188"/>
      <c r="R847" s="188"/>
      <c r="S847" s="20"/>
      <c r="T847" s="20"/>
      <c r="U847" s="20"/>
      <c r="V847" s="20"/>
    </row>
    <row r="848">
      <c r="A848" s="320"/>
      <c r="B848" s="164"/>
      <c r="C848" s="320"/>
      <c r="D848" s="117"/>
      <c r="E848" s="320"/>
      <c r="F848" s="164"/>
      <c r="G848" s="320"/>
      <c r="H848" s="164"/>
      <c r="I848" s="327"/>
      <c r="J848" s="117"/>
      <c r="K848" s="327"/>
      <c r="L848" s="117"/>
      <c r="M848" s="327"/>
      <c r="N848" s="117"/>
      <c r="O848" s="320"/>
      <c r="P848" s="164"/>
      <c r="Q848" s="188"/>
      <c r="R848" s="188"/>
      <c r="S848" s="20"/>
      <c r="T848" s="20"/>
      <c r="U848" s="20"/>
      <c r="V848" s="20"/>
    </row>
    <row r="849">
      <c r="A849" s="320"/>
      <c r="B849" s="164"/>
      <c r="C849" s="320"/>
      <c r="D849" s="117"/>
      <c r="E849" s="320"/>
      <c r="F849" s="164"/>
      <c r="G849" s="320"/>
      <c r="H849" s="164"/>
      <c r="I849" s="327"/>
      <c r="J849" s="117"/>
      <c r="K849" s="327"/>
      <c r="L849" s="117"/>
      <c r="M849" s="327"/>
      <c r="N849" s="117"/>
      <c r="O849" s="320"/>
      <c r="P849" s="164"/>
      <c r="Q849" s="188"/>
      <c r="R849" s="188"/>
      <c r="S849" s="20"/>
      <c r="T849" s="20"/>
      <c r="U849" s="20"/>
      <c r="V849" s="20"/>
    </row>
    <row r="850">
      <c r="A850" s="320"/>
      <c r="B850" s="164"/>
      <c r="C850" s="320"/>
      <c r="D850" s="117"/>
      <c r="E850" s="320"/>
      <c r="F850" s="164"/>
      <c r="G850" s="320"/>
      <c r="H850" s="164"/>
      <c r="I850" s="327"/>
      <c r="J850" s="117"/>
      <c r="K850" s="327"/>
      <c r="L850" s="117"/>
      <c r="M850" s="327"/>
      <c r="N850" s="117"/>
      <c r="O850" s="320"/>
      <c r="P850" s="164"/>
      <c r="Q850" s="188"/>
      <c r="R850" s="188"/>
      <c r="S850" s="20"/>
      <c r="T850" s="20"/>
      <c r="U850" s="20"/>
      <c r="V850" s="20"/>
    </row>
    <row r="851">
      <c r="A851" s="320"/>
      <c r="B851" s="164"/>
      <c r="C851" s="320"/>
      <c r="D851" s="117"/>
      <c r="E851" s="320"/>
      <c r="F851" s="164"/>
      <c r="G851" s="320"/>
      <c r="H851" s="164"/>
      <c r="I851" s="327"/>
      <c r="J851" s="117"/>
      <c r="K851" s="327"/>
      <c r="L851" s="117"/>
      <c r="M851" s="327"/>
      <c r="N851" s="117"/>
      <c r="O851" s="320"/>
      <c r="P851" s="164"/>
      <c r="Q851" s="188"/>
      <c r="R851" s="188"/>
      <c r="S851" s="20"/>
      <c r="T851" s="20"/>
      <c r="U851" s="20"/>
      <c r="V851" s="20"/>
    </row>
    <row r="852">
      <c r="A852" s="320"/>
      <c r="B852" s="164"/>
      <c r="C852" s="320"/>
      <c r="D852" s="117"/>
      <c r="E852" s="320"/>
      <c r="F852" s="164"/>
      <c r="G852" s="320"/>
      <c r="H852" s="164"/>
      <c r="I852" s="327"/>
      <c r="J852" s="117"/>
      <c r="K852" s="327"/>
      <c r="L852" s="117"/>
      <c r="M852" s="327"/>
      <c r="N852" s="117"/>
      <c r="O852" s="320"/>
      <c r="P852" s="164"/>
      <c r="Q852" s="188"/>
      <c r="R852" s="188"/>
      <c r="S852" s="20"/>
      <c r="T852" s="20"/>
      <c r="U852" s="20"/>
      <c r="V852" s="20"/>
    </row>
    <row r="853">
      <c r="A853" s="320"/>
      <c r="B853" s="164"/>
      <c r="C853" s="320"/>
      <c r="D853" s="117"/>
      <c r="E853" s="320"/>
      <c r="F853" s="164"/>
      <c r="G853" s="320"/>
      <c r="H853" s="164"/>
      <c r="I853" s="327"/>
      <c r="J853" s="117"/>
      <c r="K853" s="327"/>
      <c r="L853" s="117"/>
      <c r="M853" s="327"/>
      <c r="N853" s="117"/>
      <c r="O853" s="320"/>
      <c r="P853" s="164"/>
      <c r="Q853" s="188"/>
      <c r="R853" s="188"/>
      <c r="S853" s="20"/>
      <c r="T853" s="20"/>
      <c r="U853" s="20"/>
      <c r="V853" s="20"/>
    </row>
    <row r="854">
      <c r="A854" s="320"/>
      <c r="B854" s="164"/>
      <c r="C854" s="320"/>
      <c r="D854" s="117"/>
      <c r="E854" s="320"/>
      <c r="F854" s="164"/>
      <c r="G854" s="320"/>
      <c r="H854" s="164"/>
      <c r="I854" s="327"/>
      <c r="J854" s="117"/>
      <c r="K854" s="327"/>
      <c r="L854" s="117"/>
      <c r="M854" s="327"/>
      <c r="N854" s="117"/>
      <c r="O854" s="320"/>
      <c r="P854" s="164"/>
      <c r="Q854" s="188"/>
      <c r="R854" s="188"/>
      <c r="S854" s="20"/>
      <c r="T854" s="20"/>
      <c r="U854" s="20"/>
      <c r="V854" s="20"/>
    </row>
    <row r="855">
      <c r="A855" s="320"/>
      <c r="B855" s="164"/>
      <c r="C855" s="320"/>
      <c r="D855" s="117"/>
      <c r="E855" s="320"/>
      <c r="F855" s="164"/>
      <c r="G855" s="320"/>
      <c r="H855" s="164"/>
      <c r="I855" s="327"/>
      <c r="J855" s="117"/>
      <c r="K855" s="327"/>
      <c r="L855" s="117"/>
      <c r="M855" s="327"/>
      <c r="N855" s="117"/>
      <c r="O855" s="320"/>
      <c r="P855" s="164"/>
      <c r="Q855" s="188"/>
      <c r="R855" s="188"/>
      <c r="S855" s="20"/>
      <c r="T855" s="20"/>
      <c r="U855" s="20"/>
      <c r="V855" s="20"/>
    </row>
    <row r="856">
      <c r="A856" s="320"/>
      <c r="B856" s="164"/>
      <c r="C856" s="320"/>
      <c r="D856" s="117"/>
      <c r="E856" s="320"/>
      <c r="F856" s="164"/>
      <c r="G856" s="320"/>
      <c r="H856" s="164"/>
      <c r="I856" s="327"/>
      <c r="J856" s="117"/>
      <c r="K856" s="327"/>
      <c r="L856" s="117"/>
      <c r="M856" s="327"/>
      <c r="N856" s="117"/>
      <c r="O856" s="320"/>
      <c r="P856" s="164"/>
      <c r="Q856" s="188"/>
      <c r="R856" s="188"/>
      <c r="S856" s="20"/>
      <c r="T856" s="20"/>
      <c r="U856" s="20"/>
      <c r="V856" s="20"/>
    </row>
    <row r="857">
      <c r="A857" s="320"/>
      <c r="B857" s="164"/>
      <c r="C857" s="320"/>
      <c r="D857" s="117"/>
      <c r="E857" s="320"/>
      <c r="F857" s="164"/>
      <c r="G857" s="320"/>
      <c r="H857" s="164"/>
      <c r="I857" s="327"/>
      <c r="J857" s="117"/>
      <c r="K857" s="327"/>
      <c r="L857" s="117"/>
      <c r="M857" s="327"/>
      <c r="N857" s="117"/>
      <c r="O857" s="320"/>
      <c r="P857" s="164"/>
      <c r="Q857" s="188"/>
      <c r="R857" s="188"/>
      <c r="S857" s="20"/>
      <c r="T857" s="20"/>
      <c r="U857" s="20"/>
      <c r="V857" s="20"/>
    </row>
    <row r="858">
      <c r="A858" s="320"/>
      <c r="B858" s="164"/>
      <c r="C858" s="320"/>
      <c r="D858" s="117"/>
      <c r="E858" s="320"/>
      <c r="F858" s="164"/>
      <c r="G858" s="320"/>
      <c r="H858" s="164"/>
      <c r="I858" s="327"/>
      <c r="J858" s="117"/>
      <c r="K858" s="327"/>
      <c r="L858" s="117"/>
      <c r="M858" s="327"/>
      <c r="N858" s="117"/>
      <c r="O858" s="320"/>
      <c r="P858" s="164"/>
      <c r="Q858" s="188"/>
      <c r="R858" s="188"/>
      <c r="S858" s="20"/>
      <c r="T858" s="20"/>
      <c r="U858" s="20"/>
      <c r="V858" s="20"/>
    </row>
    <row r="859">
      <c r="A859" s="320"/>
      <c r="B859" s="164"/>
      <c r="C859" s="320"/>
      <c r="D859" s="117"/>
      <c r="E859" s="320"/>
      <c r="F859" s="164"/>
      <c r="G859" s="320"/>
      <c r="H859" s="164"/>
      <c r="I859" s="327"/>
      <c r="J859" s="117"/>
      <c r="K859" s="327"/>
      <c r="L859" s="117"/>
      <c r="M859" s="327"/>
      <c r="N859" s="117"/>
      <c r="O859" s="320"/>
      <c r="P859" s="164"/>
      <c r="Q859" s="188"/>
      <c r="R859" s="188"/>
      <c r="S859" s="20"/>
      <c r="T859" s="20"/>
      <c r="U859" s="20"/>
      <c r="V859" s="20"/>
    </row>
    <row r="860">
      <c r="A860" s="320"/>
      <c r="B860" s="164"/>
      <c r="C860" s="320"/>
      <c r="D860" s="117"/>
      <c r="E860" s="320"/>
      <c r="F860" s="164"/>
      <c r="G860" s="320"/>
      <c r="H860" s="164"/>
      <c r="I860" s="327"/>
      <c r="J860" s="117"/>
      <c r="K860" s="327"/>
      <c r="L860" s="117"/>
      <c r="M860" s="327"/>
      <c r="N860" s="117"/>
      <c r="O860" s="320"/>
      <c r="P860" s="164"/>
      <c r="Q860" s="188"/>
      <c r="R860" s="188"/>
      <c r="S860" s="20"/>
      <c r="T860" s="20"/>
      <c r="U860" s="20"/>
      <c r="V860" s="20"/>
    </row>
    <row r="861">
      <c r="A861" s="320"/>
      <c r="B861" s="164"/>
      <c r="C861" s="320"/>
      <c r="D861" s="117"/>
      <c r="E861" s="320"/>
      <c r="F861" s="164"/>
      <c r="G861" s="320"/>
      <c r="H861" s="164"/>
      <c r="I861" s="327"/>
      <c r="J861" s="117"/>
      <c r="K861" s="327"/>
      <c r="L861" s="117"/>
      <c r="M861" s="327"/>
      <c r="N861" s="117"/>
      <c r="O861" s="320"/>
      <c r="P861" s="164"/>
      <c r="Q861" s="188"/>
      <c r="R861" s="188"/>
      <c r="S861" s="20"/>
      <c r="T861" s="20"/>
      <c r="U861" s="20"/>
      <c r="V861" s="20"/>
    </row>
    <row r="862">
      <c r="A862" s="320"/>
      <c r="B862" s="164"/>
      <c r="C862" s="320"/>
      <c r="D862" s="117"/>
      <c r="E862" s="320"/>
      <c r="F862" s="164"/>
      <c r="G862" s="320"/>
      <c r="H862" s="164"/>
      <c r="I862" s="327"/>
      <c r="J862" s="117"/>
      <c r="K862" s="327"/>
      <c r="L862" s="117"/>
      <c r="M862" s="327"/>
      <c r="N862" s="117"/>
      <c r="O862" s="320"/>
      <c r="P862" s="164"/>
      <c r="Q862" s="188"/>
      <c r="R862" s="188"/>
      <c r="S862" s="20"/>
      <c r="T862" s="20"/>
      <c r="U862" s="20"/>
      <c r="V862" s="20"/>
    </row>
    <row r="863">
      <c r="A863" s="320"/>
      <c r="B863" s="164"/>
      <c r="C863" s="320"/>
      <c r="D863" s="117"/>
      <c r="E863" s="320"/>
      <c r="F863" s="164"/>
      <c r="G863" s="320"/>
      <c r="H863" s="164"/>
      <c r="I863" s="327"/>
      <c r="J863" s="117"/>
      <c r="K863" s="327"/>
      <c r="L863" s="117"/>
      <c r="M863" s="327"/>
      <c r="N863" s="117"/>
      <c r="O863" s="320"/>
      <c r="P863" s="164"/>
      <c r="Q863" s="188"/>
      <c r="R863" s="188"/>
      <c r="S863" s="20"/>
      <c r="T863" s="20"/>
      <c r="U863" s="20"/>
      <c r="V863" s="20"/>
    </row>
    <row r="864">
      <c r="A864" s="320"/>
      <c r="B864" s="164"/>
      <c r="C864" s="320"/>
      <c r="D864" s="117"/>
      <c r="E864" s="320"/>
      <c r="F864" s="164"/>
      <c r="G864" s="320"/>
      <c r="H864" s="164"/>
      <c r="I864" s="327"/>
      <c r="J864" s="117"/>
      <c r="K864" s="327"/>
      <c r="L864" s="117"/>
      <c r="M864" s="327"/>
      <c r="N864" s="117"/>
      <c r="O864" s="320"/>
      <c r="P864" s="164"/>
      <c r="Q864" s="188"/>
      <c r="R864" s="188"/>
      <c r="S864" s="20"/>
      <c r="T864" s="20"/>
      <c r="U864" s="20"/>
      <c r="V864" s="20"/>
    </row>
    <row r="865">
      <c r="A865" s="320"/>
      <c r="B865" s="164"/>
      <c r="C865" s="320"/>
      <c r="D865" s="117"/>
      <c r="E865" s="320"/>
      <c r="F865" s="164"/>
      <c r="G865" s="320"/>
      <c r="H865" s="164"/>
      <c r="I865" s="327"/>
      <c r="J865" s="117"/>
      <c r="K865" s="327"/>
      <c r="L865" s="117"/>
      <c r="M865" s="327"/>
      <c r="N865" s="117"/>
      <c r="O865" s="320"/>
      <c r="P865" s="164"/>
      <c r="Q865" s="188"/>
      <c r="R865" s="188"/>
      <c r="S865" s="20"/>
      <c r="T865" s="20"/>
      <c r="U865" s="20"/>
      <c r="V865" s="20"/>
    </row>
    <row r="866">
      <c r="A866" s="320"/>
      <c r="B866" s="164"/>
      <c r="C866" s="320"/>
      <c r="D866" s="117"/>
      <c r="E866" s="320"/>
      <c r="F866" s="164"/>
      <c r="G866" s="320"/>
      <c r="H866" s="164"/>
      <c r="I866" s="327"/>
      <c r="J866" s="117"/>
      <c r="K866" s="327"/>
      <c r="L866" s="117"/>
      <c r="M866" s="327"/>
      <c r="N866" s="117"/>
      <c r="O866" s="320"/>
      <c r="P866" s="164"/>
      <c r="Q866" s="188"/>
      <c r="R866" s="188"/>
      <c r="S866" s="20"/>
      <c r="T866" s="20"/>
      <c r="U866" s="20"/>
      <c r="V866" s="20"/>
    </row>
    <row r="867">
      <c r="A867" s="320"/>
      <c r="B867" s="164"/>
      <c r="C867" s="320"/>
      <c r="D867" s="117"/>
      <c r="E867" s="320"/>
      <c r="F867" s="164"/>
      <c r="G867" s="320"/>
      <c r="H867" s="164"/>
      <c r="I867" s="327"/>
      <c r="J867" s="117"/>
      <c r="K867" s="327"/>
      <c r="L867" s="117"/>
      <c r="M867" s="327"/>
      <c r="N867" s="117"/>
      <c r="O867" s="320"/>
      <c r="P867" s="164"/>
      <c r="Q867" s="188"/>
      <c r="R867" s="188"/>
      <c r="S867" s="20"/>
      <c r="T867" s="20"/>
      <c r="U867" s="20"/>
      <c r="V867" s="20"/>
    </row>
    <row r="868">
      <c r="A868" s="320"/>
      <c r="B868" s="164"/>
      <c r="C868" s="320"/>
      <c r="D868" s="117"/>
      <c r="E868" s="320"/>
      <c r="F868" s="164"/>
      <c r="G868" s="320"/>
      <c r="H868" s="164"/>
      <c r="I868" s="327"/>
      <c r="J868" s="117"/>
      <c r="K868" s="327"/>
      <c r="L868" s="117"/>
      <c r="M868" s="327"/>
      <c r="N868" s="117"/>
      <c r="O868" s="320"/>
      <c r="P868" s="164"/>
      <c r="Q868" s="188"/>
      <c r="R868" s="188"/>
      <c r="S868" s="20"/>
      <c r="T868" s="20"/>
      <c r="U868" s="20"/>
      <c r="V868" s="20"/>
    </row>
    <row r="869">
      <c r="A869" s="320"/>
      <c r="B869" s="164"/>
      <c r="C869" s="320"/>
      <c r="D869" s="117"/>
      <c r="E869" s="320"/>
      <c r="F869" s="164"/>
      <c r="G869" s="320"/>
      <c r="H869" s="164"/>
      <c r="I869" s="327"/>
      <c r="J869" s="117"/>
      <c r="K869" s="327"/>
      <c r="L869" s="117"/>
      <c r="M869" s="327"/>
      <c r="N869" s="117"/>
      <c r="O869" s="320"/>
      <c r="P869" s="164"/>
      <c r="Q869" s="188"/>
      <c r="R869" s="188"/>
      <c r="S869" s="20"/>
      <c r="T869" s="20"/>
      <c r="U869" s="20"/>
      <c r="V869" s="20"/>
    </row>
    <row r="870">
      <c r="A870" s="320"/>
      <c r="B870" s="164"/>
      <c r="C870" s="320"/>
      <c r="D870" s="117"/>
      <c r="E870" s="320"/>
      <c r="F870" s="164"/>
      <c r="G870" s="320"/>
      <c r="H870" s="164"/>
      <c r="I870" s="327"/>
      <c r="J870" s="117"/>
      <c r="K870" s="327"/>
      <c r="L870" s="117"/>
      <c r="M870" s="327"/>
      <c r="N870" s="117"/>
      <c r="O870" s="320"/>
      <c r="P870" s="164"/>
      <c r="Q870" s="188"/>
      <c r="R870" s="188"/>
      <c r="S870" s="20"/>
      <c r="T870" s="20"/>
      <c r="U870" s="20"/>
      <c r="V870" s="20"/>
    </row>
    <row r="871">
      <c r="A871" s="320"/>
      <c r="B871" s="164"/>
      <c r="C871" s="320"/>
      <c r="D871" s="117"/>
      <c r="E871" s="320"/>
      <c r="F871" s="164"/>
      <c r="G871" s="320"/>
      <c r="H871" s="164"/>
      <c r="I871" s="327"/>
      <c r="J871" s="117"/>
      <c r="K871" s="327"/>
      <c r="L871" s="117"/>
      <c r="M871" s="327"/>
      <c r="N871" s="117"/>
      <c r="O871" s="320"/>
      <c r="P871" s="164"/>
      <c r="Q871" s="188"/>
      <c r="R871" s="188"/>
      <c r="S871" s="20"/>
      <c r="T871" s="20"/>
      <c r="U871" s="20"/>
      <c r="V871" s="20"/>
    </row>
    <row r="872">
      <c r="A872" s="320"/>
      <c r="B872" s="164"/>
      <c r="C872" s="320"/>
      <c r="D872" s="117"/>
      <c r="E872" s="320"/>
      <c r="F872" s="164"/>
      <c r="G872" s="320"/>
      <c r="H872" s="164"/>
      <c r="I872" s="327"/>
      <c r="J872" s="117"/>
      <c r="K872" s="327"/>
      <c r="L872" s="117"/>
      <c r="M872" s="327"/>
      <c r="N872" s="117"/>
      <c r="O872" s="320"/>
      <c r="P872" s="164"/>
      <c r="Q872" s="188"/>
      <c r="R872" s="188"/>
      <c r="S872" s="20"/>
      <c r="T872" s="20"/>
      <c r="U872" s="20"/>
      <c r="V872" s="20"/>
    </row>
    <row r="873">
      <c r="A873" s="320"/>
      <c r="B873" s="164"/>
      <c r="C873" s="320"/>
      <c r="D873" s="117"/>
      <c r="E873" s="320"/>
      <c r="F873" s="164"/>
      <c r="G873" s="320"/>
      <c r="H873" s="164"/>
      <c r="I873" s="327"/>
      <c r="J873" s="117"/>
      <c r="K873" s="327"/>
      <c r="L873" s="117"/>
      <c r="M873" s="327"/>
      <c r="N873" s="117"/>
      <c r="O873" s="320"/>
      <c r="P873" s="164"/>
      <c r="Q873" s="188"/>
      <c r="R873" s="188"/>
      <c r="S873" s="20"/>
      <c r="T873" s="20"/>
      <c r="U873" s="20"/>
      <c r="V873" s="20"/>
    </row>
    <row r="874">
      <c r="A874" s="320"/>
      <c r="B874" s="164"/>
      <c r="C874" s="320"/>
      <c r="D874" s="117"/>
      <c r="E874" s="320"/>
      <c r="F874" s="164"/>
      <c r="G874" s="320"/>
      <c r="H874" s="164"/>
      <c r="I874" s="327"/>
      <c r="J874" s="117"/>
      <c r="K874" s="327"/>
      <c r="L874" s="117"/>
      <c r="M874" s="327"/>
      <c r="N874" s="117"/>
      <c r="O874" s="320"/>
      <c r="P874" s="164"/>
      <c r="Q874" s="188"/>
      <c r="R874" s="188"/>
      <c r="S874" s="20"/>
      <c r="T874" s="20"/>
      <c r="U874" s="20"/>
      <c r="V874" s="20"/>
    </row>
    <row r="875">
      <c r="A875" s="320"/>
      <c r="B875" s="164"/>
      <c r="C875" s="320"/>
      <c r="D875" s="117"/>
      <c r="E875" s="320"/>
      <c r="F875" s="164"/>
      <c r="G875" s="320"/>
      <c r="H875" s="164"/>
      <c r="I875" s="327"/>
      <c r="J875" s="117"/>
      <c r="K875" s="327"/>
      <c r="L875" s="117"/>
      <c r="M875" s="327"/>
      <c r="N875" s="117"/>
      <c r="O875" s="320"/>
      <c r="P875" s="164"/>
      <c r="Q875" s="188"/>
      <c r="R875" s="188"/>
      <c r="S875" s="20"/>
      <c r="T875" s="20"/>
      <c r="U875" s="20"/>
      <c r="V875" s="20"/>
    </row>
    <row r="876">
      <c r="A876" s="320"/>
      <c r="B876" s="164"/>
      <c r="C876" s="320"/>
      <c r="D876" s="117"/>
      <c r="E876" s="320"/>
      <c r="F876" s="164"/>
      <c r="G876" s="320"/>
      <c r="H876" s="164"/>
      <c r="I876" s="327"/>
      <c r="J876" s="117"/>
      <c r="K876" s="327"/>
      <c r="L876" s="117"/>
      <c r="M876" s="327"/>
      <c r="N876" s="117"/>
      <c r="O876" s="320"/>
      <c r="P876" s="164"/>
      <c r="Q876" s="188"/>
      <c r="R876" s="188"/>
      <c r="S876" s="20"/>
      <c r="T876" s="20"/>
      <c r="U876" s="20"/>
      <c r="V876" s="20"/>
    </row>
    <row r="877">
      <c r="A877" s="320"/>
      <c r="B877" s="164"/>
      <c r="C877" s="320"/>
      <c r="D877" s="117"/>
      <c r="E877" s="320"/>
      <c r="F877" s="164"/>
      <c r="G877" s="320"/>
      <c r="H877" s="164"/>
      <c r="I877" s="327"/>
      <c r="J877" s="117"/>
      <c r="K877" s="327"/>
      <c r="L877" s="117"/>
      <c r="M877" s="327"/>
      <c r="N877" s="117"/>
      <c r="O877" s="320"/>
      <c r="P877" s="164"/>
      <c r="Q877" s="188"/>
      <c r="R877" s="188"/>
      <c r="S877" s="20"/>
      <c r="T877" s="20"/>
      <c r="U877" s="20"/>
      <c r="V877" s="20"/>
    </row>
    <row r="878">
      <c r="A878" s="320"/>
      <c r="B878" s="164"/>
      <c r="C878" s="320"/>
      <c r="D878" s="117"/>
      <c r="E878" s="320"/>
      <c r="F878" s="164"/>
      <c r="G878" s="320"/>
      <c r="H878" s="164"/>
      <c r="I878" s="327"/>
      <c r="J878" s="117"/>
      <c r="K878" s="327"/>
      <c r="L878" s="117"/>
      <c r="M878" s="327"/>
      <c r="N878" s="117"/>
      <c r="O878" s="320"/>
      <c r="P878" s="164"/>
      <c r="Q878" s="188"/>
      <c r="R878" s="188"/>
      <c r="S878" s="20"/>
      <c r="T878" s="20"/>
      <c r="U878" s="20"/>
      <c r="V878" s="20"/>
    </row>
    <row r="879">
      <c r="A879" s="320"/>
      <c r="B879" s="164"/>
      <c r="C879" s="320"/>
      <c r="D879" s="117"/>
      <c r="E879" s="320"/>
      <c r="F879" s="164"/>
      <c r="G879" s="320"/>
      <c r="H879" s="164"/>
      <c r="I879" s="327"/>
      <c r="J879" s="117"/>
      <c r="K879" s="327"/>
      <c r="L879" s="117"/>
      <c r="M879" s="327"/>
      <c r="N879" s="117"/>
      <c r="O879" s="320"/>
      <c r="P879" s="164"/>
      <c r="Q879" s="188"/>
      <c r="R879" s="188"/>
      <c r="S879" s="20"/>
      <c r="T879" s="20"/>
      <c r="U879" s="20"/>
      <c r="V879" s="20"/>
    </row>
    <row r="880">
      <c r="A880" s="320"/>
      <c r="B880" s="164"/>
      <c r="C880" s="320"/>
      <c r="D880" s="117"/>
      <c r="E880" s="320"/>
      <c r="F880" s="164"/>
      <c r="G880" s="320"/>
      <c r="H880" s="164"/>
      <c r="I880" s="327"/>
      <c r="J880" s="117"/>
      <c r="K880" s="327"/>
      <c r="L880" s="117"/>
      <c r="M880" s="327"/>
      <c r="N880" s="117"/>
      <c r="O880" s="320"/>
      <c r="P880" s="164"/>
      <c r="Q880" s="188"/>
      <c r="R880" s="188"/>
      <c r="S880" s="20"/>
      <c r="T880" s="20"/>
      <c r="U880" s="20"/>
      <c r="V880" s="20"/>
    </row>
    <row r="881">
      <c r="A881" s="320"/>
      <c r="B881" s="164"/>
      <c r="C881" s="320"/>
      <c r="D881" s="117"/>
      <c r="E881" s="320"/>
      <c r="F881" s="164"/>
      <c r="G881" s="320"/>
      <c r="H881" s="164"/>
      <c r="I881" s="327"/>
      <c r="J881" s="117"/>
      <c r="K881" s="327"/>
      <c r="L881" s="117"/>
      <c r="M881" s="327"/>
      <c r="N881" s="117"/>
      <c r="O881" s="320"/>
      <c r="P881" s="164"/>
      <c r="Q881" s="188"/>
      <c r="R881" s="188"/>
      <c r="S881" s="20"/>
      <c r="T881" s="20"/>
      <c r="U881" s="20"/>
      <c r="V881" s="20"/>
    </row>
    <row r="882">
      <c r="A882" s="320"/>
      <c r="B882" s="164"/>
      <c r="C882" s="320"/>
      <c r="D882" s="117"/>
      <c r="E882" s="320"/>
      <c r="F882" s="164"/>
      <c r="G882" s="320"/>
      <c r="H882" s="164"/>
      <c r="I882" s="327"/>
      <c r="J882" s="117"/>
      <c r="K882" s="327"/>
      <c r="L882" s="117"/>
      <c r="M882" s="327"/>
      <c r="N882" s="117"/>
      <c r="O882" s="320"/>
      <c r="P882" s="164"/>
      <c r="Q882" s="188"/>
      <c r="R882" s="188"/>
      <c r="S882" s="20"/>
      <c r="T882" s="20"/>
      <c r="U882" s="20"/>
      <c r="V882" s="20"/>
    </row>
    <row r="883">
      <c r="A883" s="320"/>
      <c r="B883" s="164"/>
      <c r="C883" s="320"/>
      <c r="D883" s="117"/>
      <c r="E883" s="320"/>
      <c r="F883" s="164"/>
      <c r="G883" s="320"/>
      <c r="H883" s="164"/>
      <c r="I883" s="327"/>
      <c r="J883" s="117"/>
      <c r="K883" s="327"/>
      <c r="L883" s="117"/>
      <c r="M883" s="327"/>
      <c r="N883" s="117"/>
      <c r="O883" s="320"/>
      <c r="P883" s="164"/>
      <c r="Q883" s="188"/>
      <c r="R883" s="188"/>
      <c r="S883" s="20"/>
      <c r="T883" s="20"/>
      <c r="U883" s="20"/>
      <c r="V883" s="20"/>
    </row>
    <row r="884">
      <c r="A884" s="320"/>
      <c r="B884" s="164"/>
      <c r="C884" s="320"/>
      <c r="D884" s="117"/>
      <c r="E884" s="320"/>
      <c r="F884" s="164"/>
      <c r="G884" s="320"/>
      <c r="H884" s="164"/>
      <c r="I884" s="327"/>
      <c r="J884" s="117"/>
      <c r="K884" s="327"/>
      <c r="L884" s="117"/>
      <c r="M884" s="327"/>
      <c r="N884" s="117"/>
      <c r="O884" s="320"/>
      <c r="P884" s="164"/>
      <c r="Q884" s="188"/>
      <c r="R884" s="188"/>
      <c r="S884" s="20"/>
      <c r="T884" s="20"/>
      <c r="U884" s="20"/>
      <c r="V884" s="20"/>
    </row>
    <row r="885">
      <c r="A885" s="320"/>
      <c r="B885" s="164"/>
      <c r="C885" s="320"/>
      <c r="D885" s="117"/>
      <c r="E885" s="320"/>
      <c r="F885" s="164"/>
      <c r="G885" s="320"/>
      <c r="H885" s="164"/>
      <c r="I885" s="327"/>
      <c r="J885" s="117"/>
      <c r="K885" s="327"/>
      <c r="L885" s="117"/>
      <c r="M885" s="327"/>
      <c r="N885" s="117"/>
      <c r="O885" s="320"/>
      <c r="P885" s="164"/>
      <c r="Q885" s="188"/>
      <c r="R885" s="188"/>
      <c r="S885" s="20"/>
      <c r="T885" s="20"/>
      <c r="U885" s="20"/>
      <c r="V885" s="20"/>
    </row>
    <row r="886">
      <c r="A886" s="320"/>
      <c r="B886" s="164"/>
      <c r="C886" s="320"/>
      <c r="D886" s="117"/>
      <c r="E886" s="320"/>
      <c r="F886" s="164"/>
      <c r="G886" s="320"/>
      <c r="H886" s="164"/>
      <c r="I886" s="327"/>
      <c r="J886" s="117"/>
      <c r="K886" s="327"/>
      <c r="L886" s="117"/>
      <c r="M886" s="327"/>
      <c r="N886" s="117"/>
      <c r="O886" s="320"/>
      <c r="P886" s="164"/>
      <c r="Q886" s="188"/>
      <c r="R886" s="188"/>
      <c r="S886" s="20"/>
      <c r="T886" s="20"/>
      <c r="U886" s="20"/>
      <c r="V886" s="20"/>
    </row>
    <row r="887">
      <c r="A887" s="320"/>
      <c r="B887" s="164"/>
      <c r="C887" s="320"/>
      <c r="D887" s="117"/>
      <c r="E887" s="320"/>
      <c r="F887" s="164"/>
      <c r="G887" s="320"/>
      <c r="H887" s="164"/>
      <c r="I887" s="327"/>
      <c r="J887" s="117"/>
      <c r="K887" s="327"/>
      <c r="L887" s="117"/>
      <c r="M887" s="327"/>
      <c r="N887" s="117"/>
      <c r="O887" s="320"/>
      <c r="P887" s="164"/>
      <c r="Q887" s="188"/>
      <c r="R887" s="188"/>
      <c r="S887" s="20"/>
      <c r="T887" s="20"/>
      <c r="U887" s="20"/>
      <c r="V887" s="20"/>
    </row>
    <row r="888">
      <c r="A888" s="320"/>
      <c r="B888" s="164"/>
      <c r="C888" s="320"/>
      <c r="D888" s="117"/>
      <c r="E888" s="320"/>
      <c r="F888" s="164"/>
      <c r="G888" s="320"/>
      <c r="H888" s="164"/>
      <c r="I888" s="327"/>
      <c r="J888" s="117"/>
      <c r="K888" s="327"/>
      <c r="L888" s="117"/>
      <c r="M888" s="327"/>
      <c r="N888" s="117"/>
      <c r="O888" s="320"/>
      <c r="P888" s="164"/>
      <c r="Q888" s="188"/>
      <c r="R888" s="188"/>
      <c r="S888" s="20"/>
      <c r="T888" s="20"/>
      <c r="U888" s="20"/>
      <c r="V888" s="20"/>
    </row>
    <row r="889">
      <c r="A889" s="320"/>
      <c r="B889" s="164"/>
      <c r="C889" s="320"/>
      <c r="D889" s="117"/>
      <c r="E889" s="320"/>
      <c r="F889" s="164"/>
      <c r="G889" s="320"/>
      <c r="H889" s="164"/>
      <c r="I889" s="327"/>
      <c r="J889" s="117"/>
      <c r="K889" s="327"/>
      <c r="L889" s="117"/>
      <c r="M889" s="327"/>
      <c r="N889" s="117"/>
      <c r="O889" s="320"/>
      <c r="P889" s="164"/>
      <c r="Q889" s="188"/>
      <c r="R889" s="188"/>
      <c r="S889" s="20"/>
      <c r="T889" s="20"/>
      <c r="U889" s="20"/>
      <c r="V889" s="20"/>
    </row>
    <row r="890">
      <c r="A890" s="320"/>
      <c r="B890" s="164"/>
      <c r="C890" s="320"/>
      <c r="D890" s="117"/>
      <c r="E890" s="320"/>
      <c r="F890" s="164"/>
      <c r="G890" s="320"/>
      <c r="H890" s="164"/>
      <c r="I890" s="327"/>
      <c r="J890" s="117"/>
      <c r="K890" s="327"/>
      <c r="L890" s="117"/>
      <c r="M890" s="327"/>
      <c r="N890" s="117"/>
      <c r="O890" s="320"/>
      <c r="P890" s="164"/>
      <c r="Q890" s="188"/>
      <c r="R890" s="188"/>
      <c r="S890" s="20"/>
      <c r="T890" s="20"/>
      <c r="U890" s="20"/>
      <c r="V890" s="20"/>
    </row>
    <row r="891">
      <c r="A891" s="320"/>
      <c r="B891" s="164"/>
      <c r="C891" s="320"/>
      <c r="D891" s="117"/>
      <c r="E891" s="320"/>
      <c r="F891" s="164"/>
      <c r="G891" s="320"/>
      <c r="H891" s="164"/>
      <c r="I891" s="327"/>
      <c r="J891" s="117"/>
      <c r="K891" s="327"/>
      <c r="L891" s="117"/>
      <c r="M891" s="327"/>
      <c r="N891" s="117"/>
      <c r="O891" s="320"/>
      <c r="P891" s="164"/>
      <c r="Q891" s="188"/>
      <c r="R891" s="188"/>
      <c r="S891" s="20"/>
      <c r="T891" s="20"/>
      <c r="U891" s="20"/>
      <c r="V891" s="20"/>
    </row>
    <row r="892">
      <c r="A892" s="320"/>
      <c r="B892" s="164"/>
      <c r="C892" s="320"/>
      <c r="D892" s="117"/>
      <c r="E892" s="320"/>
      <c r="F892" s="164"/>
      <c r="G892" s="320"/>
      <c r="H892" s="164"/>
      <c r="I892" s="327"/>
      <c r="J892" s="117"/>
      <c r="K892" s="327"/>
      <c r="L892" s="117"/>
      <c r="M892" s="327"/>
      <c r="N892" s="117"/>
      <c r="O892" s="320"/>
      <c r="P892" s="164"/>
      <c r="Q892" s="188"/>
      <c r="R892" s="188"/>
      <c r="S892" s="20"/>
      <c r="T892" s="20"/>
      <c r="U892" s="20"/>
      <c r="V892" s="20"/>
    </row>
    <row r="893">
      <c r="A893" s="320"/>
      <c r="B893" s="164"/>
      <c r="C893" s="320"/>
      <c r="D893" s="117"/>
      <c r="E893" s="320"/>
      <c r="F893" s="164"/>
      <c r="G893" s="320"/>
      <c r="H893" s="164"/>
      <c r="I893" s="327"/>
      <c r="J893" s="117"/>
      <c r="K893" s="327"/>
      <c r="L893" s="117"/>
      <c r="M893" s="327"/>
      <c r="N893" s="117"/>
      <c r="O893" s="320"/>
      <c r="P893" s="164"/>
      <c r="Q893" s="188"/>
      <c r="R893" s="188"/>
      <c r="S893" s="20"/>
      <c r="T893" s="20"/>
      <c r="U893" s="20"/>
      <c r="V893" s="20"/>
    </row>
    <row r="894">
      <c r="A894" s="320"/>
      <c r="B894" s="164"/>
      <c r="C894" s="320"/>
      <c r="D894" s="117"/>
      <c r="E894" s="320"/>
      <c r="F894" s="164"/>
      <c r="G894" s="320"/>
      <c r="H894" s="164"/>
      <c r="I894" s="327"/>
      <c r="J894" s="117"/>
      <c r="K894" s="327"/>
      <c r="L894" s="117"/>
      <c r="M894" s="327"/>
      <c r="N894" s="117"/>
      <c r="O894" s="320"/>
      <c r="P894" s="164"/>
      <c r="Q894" s="188"/>
      <c r="R894" s="188"/>
      <c r="S894" s="20"/>
      <c r="T894" s="20"/>
      <c r="U894" s="20"/>
      <c r="V894" s="20"/>
    </row>
    <row r="895">
      <c r="A895" s="320"/>
      <c r="B895" s="164"/>
      <c r="C895" s="320"/>
      <c r="D895" s="117"/>
      <c r="E895" s="320"/>
      <c r="F895" s="164"/>
      <c r="G895" s="320"/>
      <c r="H895" s="164"/>
      <c r="I895" s="327"/>
      <c r="J895" s="117"/>
      <c r="K895" s="327"/>
      <c r="L895" s="117"/>
      <c r="M895" s="327"/>
      <c r="N895" s="117"/>
      <c r="O895" s="320"/>
      <c r="P895" s="164"/>
      <c r="Q895" s="188"/>
      <c r="R895" s="188"/>
      <c r="S895" s="20"/>
      <c r="T895" s="20"/>
      <c r="U895" s="20"/>
      <c r="V895" s="20"/>
    </row>
    <row r="896">
      <c r="A896" s="320"/>
      <c r="B896" s="164"/>
      <c r="C896" s="320"/>
      <c r="D896" s="117"/>
      <c r="E896" s="320"/>
      <c r="F896" s="164"/>
      <c r="G896" s="320"/>
      <c r="H896" s="164"/>
      <c r="I896" s="327"/>
      <c r="J896" s="117"/>
      <c r="K896" s="327"/>
      <c r="L896" s="117"/>
      <c r="M896" s="327"/>
      <c r="N896" s="117"/>
      <c r="O896" s="320"/>
      <c r="P896" s="164"/>
      <c r="Q896" s="188"/>
      <c r="R896" s="188"/>
      <c r="S896" s="20"/>
      <c r="T896" s="20"/>
      <c r="U896" s="20"/>
      <c r="V896" s="20"/>
    </row>
    <row r="897">
      <c r="A897" s="320"/>
      <c r="B897" s="164"/>
      <c r="C897" s="320"/>
      <c r="D897" s="117"/>
      <c r="E897" s="320"/>
      <c r="F897" s="164"/>
      <c r="G897" s="320"/>
      <c r="H897" s="164"/>
      <c r="I897" s="327"/>
      <c r="J897" s="117"/>
      <c r="K897" s="327"/>
      <c r="L897" s="117"/>
      <c r="M897" s="327"/>
      <c r="N897" s="117"/>
      <c r="O897" s="320"/>
      <c r="P897" s="164"/>
      <c r="Q897" s="188"/>
      <c r="R897" s="188"/>
      <c r="S897" s="20"/>
      <c r="T897" s="20"/>
      <c r="U897" s="20"/>
      <c r="V897" s="20"/>
    </row>
    <row r="898">
      <c r="A898" s="320"/>
      <c r="B898" s="164"/>
      <c r="C898" s="320"/>
      <c r="D898" s="117"/>
      <c r="E898" s="320"/>
      <c r="F898" s="164"/>
      <c r="G898" s="320"/>
      <c r="H898" s="164"/>
      <c r="I898" s="327"/>
      <c r="J898" s="117"/>
      <c r="K898" s="327"/>
      <c r="L898" s="117"/>
      <c r="M898" s="327"/>
      <c r="N898" s="117"/>
      <c r="O898" s="320"/>
      <c r="P898" s="164"/>
      <c r="Q898" s="188"/>
      <c r="R898" s="188"/>
      <c r="S898" s="20"/>
      <c r="T898" s="20"/>
      <c r="U898" s="20"/>
      <c r="V898" s="20"/>
    </row>
    <row r="899">
      <c r="A899" s="320"/>
      <c r="B899" s="164"/>
      <c r="C899" s="320"/>
      <c r="D899" s="117"/>
      <c r="E899" s="320"/>
      <c r="F899" s="164"/>
      <c r="G899" s="320"/>
      <c r="H899" s="164"/>
      <c r="I899" s="327"/>
      <c r="J899" s="117"/>
      <c r="K899" s="327"/>
      <c r="L899" s="117"/>
      <c r="M899" s="327"/>
      <c r="N899" s="117"/>
      <c r="O899" s="320"/>
      <c r="P899" s="164"/>
      <c r="Q899" s="188"/>
      <c r="R899" s="188"/>
      <c r="S899" s="20"/>
      <c r="T899" s="20"/>
      <c r="U899" s="20"/>
      <c r="V899" s="20"/>
    </row>
    <row r="900">
      <c r="A900" s="320"/>
      <c r="B900" s="164"/>
      <c r="C900" s="320"/>
      <c r="D900" s="117"/>
      <c r="E900" s="320"/>
      <c r="F900" s="164"/>
      <c r="G900" s="320"/>
      <c r="H900" s="164"/>
      <c r="I900" s="327"/>
      <c r="J900" s="117"/>
      <c r="K900" s="327"/>
      <c r="L900" s="117"/>
      <c r="M900" s="327"/>
      <c r="N900" s="117"/>
      <c r="O900" s="320"/>
      <c r="P900" s="164"/>
      <c r="Q900" s="188"/>
      <c r="R900" s="188"/>
      <c r="S900" s="20"/>
      <c r="T900" s="20"/>
      <c r="U900" s="20"/>
      <c r="V900" s="20"/>
    </row>
    <row r="901">
      <c r="A901" s="320"/>
      <c r="B901" s="164"/>
      <c r="C901" s="320"/>
      <c r="D901" s="117"/>
      <c r="E901" s="320"/>
      <c r="F901" s="164"/>
      <c r="G901" s="320"/>
      <c r="H901" s="164"/>
      <c r="I901" s="327"/>
      <c r="J901" s="117"/>
      <c r="K901" s="327"/>
      <c r="L901" s="117"/>
      <c r="M901" s="327"/>
      <c r="N901" s="117"/>
      <c r="O901" s="320"/>
      <c r="P901" s="164"/>
      <c r="Q901" s="188"/>
      <c r="R901" s="188"/>
      <c r="S901" s="20"/>
      <c r="T901" s="20"/>
      <c r="U901" s="20"/>
      <c r="V901" s="20"/>
    </row>
    <row r="902">
      <c r="A902" s="320"/>
      <c r="B902" s="164"/>
      <c r="C902" s="320"/>
      <c r="D902" s="117"/>
      <c r="E902" s="320"/>
      <c r="F902" s="164"/>
      <c r="G902" s="320"/>
      <c r="H902" s="164"/>
      <c r="I902" s="327"/>
      <c r="J902" s="117"/>
      <c r="K902" s="327"/>
      <c r="L902" s="117"/>
      <c r="M902" s="327"/>
      <c r="N902" s="117"/>
      <c r="O902" s="320"/>
      <c r="P902" s="164"/>
      <c r="Q902" s="188"/>
      <c r="R902" s="188"/>
      <c r="S902" s="20"/>
      <c r="T902" s="20"/>
      <c r="U902" s="20"/>
      <c r="V902" s="20"/>
    </row>
    <row r="903">
      <c r="A903" s="320"/>
      <c r="B903" s="164"/>
      <c r="C903" s="320"/>
      <c r="D903" s="117"/>
      <c r="E903" s="320"/>
      <c r="F903" s="164"/>
      <c r="G903" s="320"/>
      <c r="H903" s="164"/>
      <c r="I903" s="327"/>
      <c r="J903" s="117"/>
      <c r="K903" s="327"/>
      <c r="L903" s="117"/>
      <c r="M903" s="327"/>
      <c r="N903" s="117"/>
      <c r="O903" s="320"/>
      <c r="P903" s="164"/>
      <c r="Q903" s="188"/>
      <c r="R903" s="188"/>
      <c r="S903" s="20"/>
      <c r="T903" s="20"/>
      <c r="U903" s="20"/>
      <c r="V903" s="20"/>
    </row>
    <row r="904">
      <c r="A904" s="320"/>
      <c r="B904" s="164"/>
      <c r="C904" s="320"/>
      <c r="D904" s="117"/>
      <c r="E904" s="320"/>
      <c r="F904" s="164"/>
      <c r="G904" s="320"/>
      <c r="H904" s="164"/>
      <c r="I904" s="327"/>
      <c r="J904" s="117"/>
      <c r="K904" s="327"/>
      <c r="L904" s="117"/>
      <c r="M904" s="327"/>
      <c r="N904" s="117"/>
      <c r="O904" s="320"/>
      <c r="P904" s="164"/>
      <c r="Q904" s="188"/>
      <c r="R904" s="188"/>
      <c r="S904" s="20"/>
      <c r="T904" s="20"/>
      <c r="U904" s="20"/>
      <c r="V904" s="20"/>
    </row>
    <row r="905">
      <c r="A905" s="320"/>
      <c r="B905" s="164"/>
      <c r="C905" s="320"/>
      <c r="D905" s="117"/>
      <c r="E905" s="320"/>
      <c r="F905" s="164"/>
      <c r="G905" s="320"/>
      <c r="H905" s="164"/>
      <c r="I905" s="327"/>
      <c r="J905" s="117"/>
      <c r="K905" s="327"/>
      <c r="L905" s="117"/>
      <c r="M905" s="327"/>
      <c r="N905" s="117"/>
      <c r="O905" s="320"/>
      <c r="P905" s="164"/>
      <c r="Q905" s="188"/>
      <c r="R905" s="188"/>
      <c r="S905" s="20"/>
      <c r="T905" s="20"/>
      <c r="U905" s="20"/>
      <c r="V905" s="20"/>
    </row>
    <row r="906">
      <c r="A906" s="320"/>
      <c r="B906" s="164"/>
      <c r="C906" s="320"/>
      <c r="D906" s="117"/>
      <c r="E906" s="320"/>
      <c r="F906" s="164"/>
      <c r="G906" s="320"/>
      <c r="H906" s="164"/>
      <c r="I906" s="327"/>
      <c r="J906" s="117"/>
      <c r="K906" s="327"/>
      <c r="L906" s="117"/>
      <c r="M906" s="327"/>
      <c r="N906" s="117"/>
      <c r="O906" s="320"/>
      <c r="P906" s="164"/>
      <c r="Q906" s="188"/>
      <c r="R906" s="188"/>
      <c r="S906" s="20"/>
      <c r="T906" s="20"/>
      <c r="U906" s="20"/>
      <c r="V906" s="20"/>
    </row>
    <row r="907">
      <c r="A907" s="320"/>
      <c r="B907" s="164"/>
      <c r="C907" s="320"/>
      <c r="D907" s="117"/>
      <c r="E907" s="320"/>
      <c r="F907" s="164"/>
      <c r="G907" s="320"/>
      <c r="H907" s="164"/>
      <c r="I907" s="327"/>
      <c r="J907" s="117"/>
      <c r="K907" s="327"/>
      <c r="L907" s="117"/>
      <c r="M907" s="327"/>
      <c r="N907" s="117"/>
      <c r="O907" s="320"/>
      <c r="P907" s="164"/>
      <c r="Q907" s="188"/>
      <c r="R907" s="188"/>
      <c r="S907" s="20"/>
      <c r="T907" s="20"/>
      <c r="U907" s="20"/>
      <c r="V907" s="20"/>
    </row>
    <row r="908">
      <c r="A908" s="320"/>
      <c r="B908" s="164"/>
      <c r="C908" s="320"/>
      <c r="D908" s="117"/>
      <c r="E908" s="320"/>
      <c r="F908" s="164"/>
      <c r="G908" s="320"/>
      <c r="H908" s="164"/>
      <c r="I908" s="327"/>
      <c r="J908" s="117"/>
      <c r="K908" s="327"/>
      <c r="L908" s="117"/>
      <c r="M908" s="327"/>
      <c r="N908" s="117"/>
      <c r="O908" s="320"/>
      <c r="P908" s="164"/>
      <c r="Q908" s="188"/>
      <c r="R908" s="188"/>
      <c r="S908" s="20"/>
      <c r="T908" s="20"/>
      <c r="U908" s="20"/>
      <c r="V908" s="20"/>
    </row>
    <row r="909">
      <c r="A909" s="320"/>
      <c r="B909" s="164"/>
      <c r="C909" s="320"/>
      <c r="D909" s="117"/>
      <c r="E909" s="320"/>
      <c r="F909" s="164"/>
      <c r="G909" s="320"/>
      <c r="H909" s="164"/>
      <c r="I909" s="327"/>
      <c r="J909" s="117"/>
      <c r="K909" s="327"/>
      <c r="L909" s="117"/>
      <c r="M909" s="327"/>
      <c r="N909" s="117"/>
      <c r="O909" s="320"/>
      <c r="P909" s="164"/>
      <c r="Q909" s="188"/>
      <c r="R909" s="188"/>
      <c r="S909" s="20"/>
      <c r="T909" s="20"/>
      <c r="U909" s="20"/>
      <c r="V909" s="20"/>
    </row>
    <row r="910">
      <c r="A910" s="320"/>
      <c r="B910" s="164"/>
      <c r="C910" s="320"/>
      <c r="D910" s="117"/>
      <c r="E910" s="320"/>
      <c r="F910" s="164"/>
      <c r="G910" s="320"/>
      <c r="H910" s="164"/>
      <c r="I910" s="327"/>
      <c r="J910" s="117"/>
      <c r="K910" s="327"/>
      <c r="L910" s="117"/>
      <c r="M910" s="327"/>
      <c r="N910" s="117"/>
      <c r="O910" s="320"/>
      <c r="P910" s="164"/>
      <c r="Q910" s="188"/>
      <c r="R910" s="188"/>
      <c r="S910" s="20"/>
      <c r="T910" s="20"/>
      <c r="U910" s="20"/>
      <c r="V910" s="20"/>
    </row>
    <row r="911">
      <c r="A911" s="320"/>
      <c r="B911" s="164"/>
      <c r="C911" s="320"/>
      <c r="D911" s="117"/>
      <c r="E911" s="320"/>
      <c r="F911" s="164"/>
      <c r="G911" s="320"/>
      <c r="H911" s="164"/>
      <c r="I911" s="327"/>
      <c r="J911" s="117"/>
      <c r="K911" s="327"/>
      <c r="L911" s="117"/>
      <c r="M911" s="327"/>
      <c r="N911" s="117"/>
      <c r="O911" s="320"/>
      <c r="P911" s="164"/>
      <c r="Q911" s="188"/>
      <c r="R911" s="188"/>
      <c r="S911" s="20"/>
      <c r="T911" s="20"/>
      <c r="U911" s="20"/>
      <c r="V911" s="20"/>
    </row>
    <row r="912">
      <c r="A912" s="320"/>
      <c r="B912" s="164"/>
      <c r="C912" s="320"/>
      <c r="D912" s="117"/>
      <c r="E912" s="320"/>
      <c r="F912" s="164"/>
      <c r="G912" s="320"/>
      <c r="H912" s="164"/>
      <c r="I912" s="327"/>
      <c r="J912" s="117"/>
      <c r="K912" s="327"/>
      <c r="L912" s="117"/>
      <c r="M912" s="327"/>
      <c r="N912" s="117"/>
      <c r="O912" s="320"/>
      <c r="P912" s="164"/>
      <c r="Q912" s="188"/>
      <c r="R912" s="188"/>
      <c r="S912" s="20"/>
      <c r="T912" s="20"/>
      <c r="U912" s="20"/>
      <c r="V912" s="20"/>
    </row>
    <row r="913">
      <c r="A913" s="320"/>
      <c r="B913" s="164"/>
      <c r="C913" s="320"/>
      <c r="D913" s="117"/>
      <c r="E913" s="320"/>
      <c r="F913" s="164"/>
      <c r="G913" s="320"/>
      <c r="H913" s="164"/>
      <c r="I913" s="327"/>
      <c r="J913" s="117"/>
      <c r="K913" s="327"/>
      <c r="L913" s="117"/>
      <c r="M913" s="327"/>
      <c r="N913" s="117"/>
      <c r="O913" s="320"/>
      <c r="P913" s="164"/>
      <c r="Q913" s="188"/>
      <c r="R913" s="188"/>
      <c r="S913" s="20"/>
      <c r="T913" s="20"/>
      <c r="U913" s="20"/>
      <c r="V913" s="20"/>
    </row>
    <row r="914">
      <c r="A914" s="320"/>
      <c r="B914" s="164"/>
      <c r="C914" s="320"/>
      <c r="D914" s="117"/>
      <c r="E914" s="320"/>
      <c r="F914" s="164"/>
      <c r="G914" s="320"/>
      <c r="H914" s="164"/>
      <c r="I914" s="327"/>
      <c r="J914" s="117"/>
      <c r="K914" s="327"/>
      <c r="L914" s="117"/>
      <c r="M914" s="327"/>
      <c r="N914" s="117"/>
      <c r="O914" s="320"/>
      <c r="P914" s="164"/>
      <c r="Q914" s="188"/>
      <c r="R914" s="188"/>
      <c r="S914" s="20"/>
      <c r="T914" s="20"/>
      <c r="U914" s="20"/>
      <c r="V914" s="20"/>
    </row>
    <row r="915">
      <c r="A915" s="320"/>
      <c r="B915" s="164"/>
      <c r="C915" s="320"/>
      <c r="D915" s="117"/>
      <c r="E915" s="320"/>
      <c r="F915" s="164"/>
      <c r="G915" s="320"/>
      <c r="H915" s="164"/>
      <c r="I915" s="327"/>
      <c r="J915" s="117"/>
      <c r="K915" s="327"/>
      <c r="L915" s="117"/>
      <c r="M915" s="327"/>
      <c r="N915" s="117"/>
      <c r="O915" s="320"/>
      <c r="P915" s="164"/>
      <c r="Q915" s="188"/>
      <c r="R915" s="188"/>
      <c r="S915" s="20"/>
      <c r="T915" s="20"/>
      <c r="U915" s="20"/>
      <c r="V915" s="20"/>
    </row>
    <row r="916">
      <c r="A916" s="320"/>
      <c r="B916" s="164"/>
      <c r="C916" s="320"/>
      <c r="D916" s="117"/>
      <c r="E916" s="320"/>
      <c r="F916" s="164"/>
      <c r="G916" s="320"/>
      <c r="H916" s="164"/>
      <c r="I916" s="327"/>
      <c r="J916" s="117"/>
      <c r="K916" s="327"/>
      <c r="L916" s="117"/>
      <c r="M916" s="327"/>
      <c r="N916" s="117"/>
      <c r="O916" s="320"/>
      <c r="P916" s="164"/>
      <c r="Q916" s="188"/>
      <c r="R916" s="188"/>
      <c r="S916" s="20"/>
      <c r="T916" s="20"/>
      <c r="U916" s="20"/>
      <c r="V916" s="20"/>
    </row>
    <row r="917">
      <c r="A917" s="320"/>
      <c r="B917" s="164"/>
      <c r="C917" s="320"/>
      <c r="D917" s="117"/>
      <c r="E917" s="320"/>
      <c r="F917" s="164"/>
      <c r="G917" s="320"/>
      <c r="H917" s="164"/>
      <c r="I917" s="327"/>
      <c r="J917" s="117"/>
      <c r="K917" s="327"/>
      <c r="L917" s="117"/>
      <c r="M917" s="327"/>
      <c r="N917" s="117"/>
      <c r="O917" s="320"/>
      <c r="P917" s="164"/>
      <c r="Q917" s="188"/>
      <c r="R917" s="188"/>
      <c r="S917" s="20"/>
      <c r="T917" s="20"/>
      <c r="U917" s="20"/>
      <c r="V917" s="20"/>
    </row>
    <row r="918">
      <c r="A918" s="320"/>
      <c r="B918" s="164"/>
      <c r="C918" s="320"/>
      <c r="D918" s="117"/>
      <c r="E918" s="320"/>
      <c r="F918" s="164"/>
      <c r="G918" s="320"/>
      <c r="H918" s="164"/>
      <c r="I918" s="327"/>
      <c r="J918" s="117"/>
      <c r="K918" s="327"/>
      <c r="L918" s="117"/>
      <c r="M918" s="327"/>
      <c r="N918" s="117"/>
      <c r="O918" s="320"/>
      <c r="P918" s="164"/>
      <c r="Q918" s="188"/>
      <c r="R918" s="188"/>
      <c r="S918" s="20"/>
      <c r="T918" s="20"/>
      <c r="U918" s="20"/>
      <c r="V918" s="20"/>
    </row>
    <row r="919">
      <c r="A919" s="320"/>
      <c r="B919" s="164"/>
      <c r="C919" s="320"/>
      <c r="D919" s="117"/>
      <c r="E919" s="320"/>
      <c r="F919" s="164"/>
      <c r="G919" s="320"/>
      <c r="H919" s="164"/>
      <c r="I919" s="327"/>
      <c r="J919" s="117"/>
      <c r="K919" s="327"/>
      <c r="L919" s="117"/>
      <c r="M919" s="327"/>
      <c r="N919" s="117"/>
      <c r="O919" s="320"/>
      <c r="P919" s="164"/>
      <c r="Q919" s="188"/>
      <c r="R919" s="188"/>
      <c r="S919" s="20"/>
      <c r="T919" s="20"/>
      <c r="U919" s="20"/>
      <c r="V919" s="20"/>
    </row>
    <row r="920">
      <c r="A920" s="320"/>
      <c r="B920" s="164"/>
      <c r="C920" s="320"/>
      <c r="D920" s="117"/>
      <c r="E920" s="320"/>
      <c r="F920" s="164"/>
      <c r="G920" s="320"/>
      <c r="H920" s="164"/>
      <c r="I920" s="327"/>
      <c r="J920" s="117"/>
      <c r="K920" s="327"/>
      <c r="L920" s="117"/>
      <c r="M920" s="327"/>
      <c r="N920" s="117"/>
      <c r="O920" s="320"/>
      <c r="P920" s="164"/>
      <c r="Q920" s="188"/>
      <c r="R920" s="188"/>
      <c r="S920" s="20"/>
      <c r="T920" s="20"/>
      <c r="U920" s="20"/>
      <c r="V920" s="20"/>
    </row>
    <row r="921">
      <c r="A921" s="320"/>
      <c r="B921" s="164"/>
      <c r="C921" s="320"/>
      <c r="D921" s="117"/>
      <c r="E921" s="320"/>
      <c r="F921" s="164"/>
      <c r="G921" s="320"/>
      <c r="H921" s="164"/>
      <c r="I921" s="327"/>
      <c r="J921" s="117"/>
      <c r="K921" s="327"/>
      <c r="L921" s="117"/>
      <c r="M921" s="327"/>
      <c r="N921" s="117"/>
      <c r="O921" s="320"/>
      <c r="P921" s="164"/>
      <c r="Q921" s="188"/>
      <c r="R921" s="188"/>
      <c r="S921" s="20"/>
      <c r="T921" s="20"/>
      <c r="U921" s="20"/>
      <c r="V921" s="20"/>
    </row>
    <row r="922">
      <c r="A922" s="320"/>
      <c r="B922" s="164"/>
      <c r="C922" s="320"/>
      <c r="D922" s="117"/>
      <c r="E922" s="320"/>
      <c r="F922" s="164"/>
      <c r="G922" s="320"/>
      <c r="H922" s="164"/>
      <c r="I922" s="327"/>
      <c r="J922" s="117"/>
      <c r="K922" s="327"/>
      <c r="L922" s="117"/>
      <c r="M922" s="327"/>
      <c r="N922" s="117"/>
      <c r="O922" s="320"/>
      <c r="P922" s="164"/>
      <c r="Q922" s="188"/>
      <c r="R922" s="188"/>
      <c r="S922" s="20"/>
      <c r="T922" s="20"/>
      <c r="U922" s="20"/>
      <c r="V922" s="20"/>
    </row>
    <row r="923">
      <c r="A923" s="320"/>
      <c r="B923" s="164"/>
      <c r="C923" s="320"/>
      <c r="D923" s="117"/>
      <c r="E923" s="320"/>
      <c r="F923" s="164"/>
      <c r="G923" s="320"/>
      <c r="H923" s="164"/>
      <c r="I923" s="327"/>
      <c r="J923" s="117"/>
      <c r="K923" s="327"/>
      <c r="L923" s="117"/>
      <c r="M923" s="327"/>
      <c r="N923" s="117"/>
      <c r="O923" s="320"/>
      <c r="P923" s="164"/>
      <c r="Q923" s="188"/>
      <c r="R923" s="188"/>
      <c r="S923" s="20"/>
      <c r="T923" s="20"/>
      <c r="U923" s="20"/>
      <c r="V923" s="20"/>
    </row>
    <row r="924">
      <c r="A924" s="320"/>
      <c r="B924" s="164"/>
      <c r="C924" s="320"/>
      <c r="D924" s="117"/>
      <c r="E924" s="320"/>
      <c r="F924" s="164"/>
      <c r="G924" s="320"/>
      <c r="H924" s="164"/>
      <c r="I924" s="327"/>
      <c r="J924" s="117"/>
      <c r="K924" s="327"/>
      <c r="L924" s="117"/>
      <c r="M924" s="327"/>
      <c r="N924" s="117"/>
      <c r="O924" s="320"/>
      <c r="P924" s="164"/>
      <c r="Q924" s="188"/>
      <c r="R924" s="188"/>
      <c r="S924" s="20"/>
      <c r="T924" s="20"/>
      <c r="U924" s="20"/>
      <c r="V924" s="20"/>
    </row>
    <row r="925">
      <c r="A925" s="320"/>
      <c r="B925" s="164"/>
      <c r="C925" s="320"/>
      <c r="D925" s="117"/>
      <c r="E925" s="320"/>
      <c r="F925" s="164"/>
      <c r="G925" s="320"/>
      <c r="H925" s="164"/>
      <c r="I925" s="327"/>
      <c r="J925" s="117"/>
      <c r="K925" s="327"/>
      <c r="L925" s="117"/>
      <c r="M925" s="327"/>
      <c r="N925" s="117"/>
      <c r="O925" s="320"/>
      <c r="P925" s="164"/>
      <c r="Q925" s="188"/>
      <c r="R925" s="188"/>
      <c r="S925" s="20"/>
      <c r="T925" s="20"/>
      <c r="U925" s="20"/>
      <c r="V925" s="20"/>
    </row>
    <row r="926">
      <c r="A926" s="320"/>
      <c r="B926" s="164"/>
      <c r="C926" s="320"/>
      <c r="D926" s="117"/>
      <c r="E926" s="320"/>
      <c r="F926" s="164"/>
      <c r="G926" s="320"/>
      <c r="H926" s="164"/>
      <c r="I926" s="327"/>
      <c r="J926" s="117"/>
      <c r="K926" s="327"/>
      <c r="L926" s="117"/>
      <c r="M926" s="327"/>
      <c r="N926" s="117"/>
      <c r="O926" s="320"/>
      <c r="P926" s="164"/>
      <c r="Q926" s="188"/>
      <c r="R926" s="188"/>
      <c r="S926" s="20"/>
      <c r="T926" s="20"/>
      <c r="U926" s="20"/>
      <c r="V926" s="20"/>
    </row>
    <row r="927">
      <c r="A927" s="320"/>
      <c r="B927" s="164"/>
      <c r="C927" s="320"/>
      <c r="D927" s="117"/>
      <c r="E927" s="320"/>
      <c r="F927" s="164"/>
      <c r="G927" s="320"/>
      <c r="H927" s="164"/>
      <c r="I927" s="327"/>
      <c r="J927" s="117"/>
      <c r="K927" s="327"/>
      <c r="L927" s="117"/>
      <c r="M927" s="327"/>
      <c r="N927" s="117"/>
      <c r="O927" s="320"/>
      <c r="P927" s="164"/>
      <c r="Q927" s="188"/>
      <c r="R927" s="188"/>
      <c r="S927" s="20"/>
      <c r="T927" s="20"/>
      <c r="U927" s="20"/>
      <c r="V927" s="20"/>
    </row>
    <row r="928">
      <c r="A928" s="320"/>
      <c r="B928" s="164"/>
      <c r="C928" s="320"/>
      <c r="D928" s="117"/>
      <c r="E928" s="320"/>
      <c r="F928" s="164"/>
      <c r="G928" s="320"/>
      <c r="H928" s="164"/>
      <c r="I928" s="327"/>
      <c r="J928" s="117"/>
      <c r="K928" s="327"/>
      <c r="L928" s="117"/>
      <c r="M928" s="327"/>
      <c r="N928" s="117"/>
      <c r="O928" s="320"/>
      <c r="P928" s="164"/>
      <c r="Q928" s="188"/>
      <c r="R928" s="188"/>
      <c r="S928" s="20"/>
      <c r="T928" s="20"/>
      <c r="U928" s="20"/>
      <c r="V928" s="20"/>
    </row>
    <row r="929">
      <c r="A929" s="320"/>
      <c r="B929" s="164"/>
      <c r="C929" s="320"/>
      <c r="D929" s="117"/>
      <c r="E929" s="320"/>
      <c r="F929" s="164"/>
      <c r="G929" s="320"/>
      <c r="H929" s="164"/>
      <c r="I929" s="327"/>
      <c r="J929" s="117"/>
      <c r="K929" s="327"/>
      <c r="L929" s="117"/>
      <c r="M929" s="327"/>
      <c r="N929" s="117"/>
      <c r="O929" s="320"/>
      <c r="P929" s="164"/>
      <c r="Q929" s="188"/>
      <c r="R929" s="188"/>
      <c r="S929" s="20"/>
      <c r="T929" s="20"/>
      <c r="U929" s="20"/>
      <c r="V929" s="20"/>
    </row>
    <row r="930">
      <c r="A930" s="320"/>
      <c r="B930" s="164"/>
      <c r="C930" s="320"/>
      <c r="D930" s="117"/>
      <c r="E930" s="320"/>
      <c r="F930" s="164"/>
      <c r="G930" s="320"/>
      <c r="H930" s="164"/>
      <c r="I930" s="327"/>
      <c r="J930" s="117"/>
      <c r="K930" s="327"/>
      <c r="L930" s="117"/>
      <c r="M930" s="327"/>
      <c r="N930" s="117"/>
      <c r="O930" s="320"/>
      <c r="P930" s="164"/>
      <c r="Q930" s="188"/>
      <c r="R930" s="188"/>
      <c r="S930" s="20"/>
      <c r="T930" s="20"/>
      <c r="U930" s="20"/>
      <c r="V930" s="20"/>
    </row>
    <row r="931">
      <c r="A931" s="320"/>
      <c r="B931" s="164"/>
      <c r="C931" s="320"/>
      <c r="D931" s="117"/>
      <c r="E931" s="320"/>
      <c r="F931" s="164"/>
      <c r="G931" s="320"/>
      <c r="H931" s="164"/>
      <c r="I931" s="327"/>
      <c r="J931" s="117"/>
      <c r="K931" s="327"/>
      <c r="L931" s="117"/>
      <c r="M931" s="327"/>
      <c r="N931" s="117"/>
      <c r="O931" s="320"/>
      <c r="P931" s="164"/>
      <c r="Q931" s="188"/>
      <c r="R931" s="188"/>
      <c r="S931" s="20"/>
      <c r="T931" s="20"/>
      <c r="U931" s="20"/>
      <c r="V931" s="20"/>
    </row>
    <row r="932">
      <c r="A932" s="320"/>
      <c r="B932" s="164"/>
      <c r="C932" s="320"/>
      <c r="D932" s="117"/>
      <c r="E932" s="320"/>
      <c r="F932" s="164"/>
      <c r="G932" s="320"/>
      <c r="H932" s="164"/>
      <c r="I932" s="327"/>
      <c r="J932" s="117"/>
      <c r="K932" s="327"/>
      <c r="L932" s="117"/>
      <c r="M932" s="327"/>
      <c r="N932" s="117"/>
      <c r="O932" s="320"/>
      <c r="P932" s="164"/>
      <c r="Q932" s="188"/>
      <c r="R932" s="188"/>
      <c r="S932" s="20"/>
      <c r="T932" s="20"/>
      <c r="U932" s="20"/>
      <c r="V932" s="20"/>
    </row>
    <row r="933">
      <c r="A933" s="320"/>
      <c r="B933" s="164"/>
      <c r="C933" s="320"/>
      <c r="D933" s="117"/>
      <c r="E933" s="320"/>
      <c r="F933" s="164"/>
      <c r="G933" s="320"/>
      <c r="H933" s="164"/>
      <c r="I933" s="327"/>
      <c r="J933" s="117"/>
      <c r="K933" s="327"/>
      <c r="L933" s="117"/>
      <c r="M933" s="327"/>
      <c r="N933" s="117"/>
      <c r="O933" s="320"/>
      <c r="P933" s="164"/>
      <c r="Q933" s="188"/>
      <c r="R933" s="188"/>
      <c r="S933" s="20"/>
      <c r="T933" s="20"/>
      <c r="U933" s="20"/>
      <c r="V933" s="20"/>
    </row>
    <row r="934">
      <c r="A934" s="320"/>
      <c r="B934" s="164"/>
      <c r="C934" s="320"/>
      <c r="D934" s="117"/>
      <c r="E934" s="320"/>
      <c r="F934" s="164"/>
      <c r="G934" s="320"/>
      <c r="H934" s="164"/>
      <c r="I934" s="327"/>
      <c r="J934" s="117"/>
      <c r="K934" s="327"/>
      <c r="L934" s="117"/>
      <c r="M934" s="327"/>
      <c r="N934" s="117"/>
      <c r="O934" s="320"/>
      <c r="P934" s="164"/>
      <c r="Q934" s="188"/>
      <c r="R934" s="188"/>
      <c r="S934" s="20"/>
      <c r="T934" s="20"/>
      <c r="U934" s="20"/>
      <c r="V934" s="20"/>
    </row>
    <row r="935">
      <c r="A935" s="320"/>
      <c r="B935" s="164"/>
      <c r="C935" s="320"/>
      <c r="D935" s="117"/>
      <c r="E935" s="320"/>
      <c r="F935" s="164"/>
      <c r="G935" s="320"/>
      <c r="H935" s="164"/>
      <c r="I935" s="327"/>
      <c r="J935" s="117"/>
      <c r="K935" s="327"/>
      <c r="L935" s="117"/>
      <c r="M935" s="327"/>
      <c r="N935" s="117"/>
      <c r="O935" s="320"/>
      <c r="P935" s="164"/>
      <c r="Q935" s="188"/>
      <c r="R935" s="188"/>
      <c r="S935" s="20"/>
      <c r="T935" s="20"/>
      <c r="U935" s="20"/>
      <c r="V935" s="20"/>
    </row>
    <row r="936">
      <c r="A936" s="320"/>
      <c r="B936" s="164"/>
      <c r="C936" s="320"/>
      <c r="D936" s="117"/>
      <c r="E936" s="320"/>
      <c r="F936" s="164"/>
      <c r="G936" s="320"/>
      <c r="H936" s="164"/>
      <c r="I936" s="327"/>
      <c r="J936" s="117"/>
      <c r="K936" s="327"/>
      <c r="L936" s="117"/>
      <c r="M936" s="327"/>
      <c r="N936" s="117"/>
      <c r="O936" s="320"/>
      <c r="P936" s="164"/>
      <c r="Q936" s="188"/>
      <c r="R936" s="188"/>
      <c r="S936" s="20"/>
      <c r="T936" s="20"/>
      <c r="U936" s="20"/>
      <c r="V936" s="20"/>
    </row>
    <row r="937">
      <c r="A937" s="320"/>
      <c r="B937" s="164"/>
      <c r="C937" s="320"/>
      <c r="D937" s="117"/>
      <c r="E937" s="320"/>
      <c r="F937" s="164"/>
      <c r="G937" s="320"/>
      <c r="H937" s="164"/>
      <c r="I937" s="327"/>
      <c r="J937" s="117"/>
      <c r="K937" s="327"/>
      <c r="L937" s="117"/>
      <c r="M937" s="327"/>
      <c r="N937" s="117"/>
      <c r="O937" s="320"/>
      <c r="P937" s="164"/>
      <c r="Q937" s="188"/>
      <c r="R937" s="188"/>
      <c r="S937" s="20"/>
      <c r="T937" s="20"/>
      <c r="U937" s="20"/>
      <c r="V937" s="20"/>
    </row>
    <row r="938">
      <c r="A938" s="320"/>
      <c r="B938" s="164"/>
      <c r="C938" s="320"/>
      <c r="D938" s="117"/>
      <c r="E938" s="320"/>
      <c r="F938" s="164"/>
      <c r="G938" s="320"/>
      <c r="H938" s="164"/>
      <c r="I938" s="327"/>
      <c r="J938" s="117"/>
      <c r="K938" s="327"/>
      <c r="L938" s="117"/>
      <c r="M938" s="327"/>
      <c r="N938" s="117"/>
      <c r="O938" s="320"/>
      <c r="P938" s="164"/>
      <c r="Q938" s="188"/>
      <c r="R938" s="188"/>
      <c r="S938" s="20"/>
      <c r="T938" s="20"/>
      <c r="U938" s="20"/>
      <c r="V938" s="20"/>
    </row>
    <row r="939">
      <c r="A939" s="320"/>
      <c r="B939" s="164"/>
      <c r="C939" s="320"/>
      <c r="D939" s="117"/>
      <c r="E939" s="320"/>
      <c r="F939" s="164"/>
      <c r="G939" s="320"/>
      <c r="H939" s="164"/>
      <c r="I939" s="327"/>
      <c r="J939" s="117"/>
      <c r="K939" s="327"/>
      <c r="L939" s="117"/>
      <c r="M939" s="327"/>
      <c r="N939" s="117"/>
      <c r="O939" s="320"/>
      <c r="P939" s="164"/>
      <c r="Q939" s="188"/>
      <c r="R939" s="188"/>
      <c r="S939" s="20"/>
      <c r="T939" s="20"/>
      <c r="U939" s="20"/>
      <c r="V939" s="20"/>
    </row>
    <row r="940">
      <c r="A940" s="320"/>
      <c r="B940" s="164"/>
      <c r="C940" s="320"/>
      <c r="D940" s="117"/>
      <c r="E940" s="320"/>
      <c r="F940" s="164"/>
      <c r="G940" s="320"/>
      <c r="H940" s="164"/>
      <c r="I940" s="327"/>
      <c r="J940" s="117"/>
      <c r="K940" s="327"/>
      <c r="L940" s="117"/>
      <c r="M940" s="327"/>
      <c r="N940" s="117"/>
      <c r="O940" s="320"/>
      <c r="P940" s="164"/>
      <c r="Q940" s="188"/>
      <c r="R940" s="188"/>
      <c r="S940" s="20"/>
      <c r="T940" s="20"/>
      <c r="U940" s="20"/>
      <c r="V940" s="20"/>
    </row>
    <row r="941">
      <c r="A941" s="320"/>
      <c r="B941" s="164"/>
      <c r="C941" s="320"/>
      <c r="D941" s="117"/>
      <c r="E941" s="320"/>
      <c r="F941" s="164"/>
      <c r="G941" s="320"/>
      <c r="H941" s="164"/>
      <c r="I941" s="327"/>
      <c r="J941" s="117"/>
      <c r="K941" s="327"/>
      <c r="L941" s="117"/>
      <c r="M941" s="327"/>
      <c r="N941" s="117"/>
      <c r="O941" s="320"/>
      <c r="P941" s="164"/>
      <c r="Q941" s="188"/>
      <c r="R941" s="188"/>
      <c r="S941" s="20"/>
      <c r="T941" s="20"/>
      <c r="U941" s="20"/>
      <c r="V941" s="20"/>
    </row>
    <row r="942">
      <c r="A942" s="320"/>
      <c r="B942" s="164"/>
      <c r="C942" s="320"/>
      <c r="D942" s="117"/>
      <c r="E942" s="320"/>
      <c r="F942" s="164"/>
      <c r="G942" s="320"/>
      <c r="H942" s="164"/>
      <c r="I942" s="327"/>
      <c r="J942" s="117"/>
      <c r="K942" s="327"/>
      <c r="L942" s="117"/>
      <c r="M942" s="327"/>
      <c r="N942" s="117"/>
      <c r="O942" s="320"/>
      <c r="P942" s="164"/>
      <c r="Q942" s="188"/>
      <c r="R942" s="188"/>
      <c r="S942" s="20"/>
      <c r="T942" s="20"/>
      <c r="U942" s="20"/>
      <c r="V942" s="20"/>
    </row>
    <row r="943">
      <c r="A943" s="320"/>
      <c r="B943" s="164"/>
      <c r="C943" s="320"/>
      <c r="D943" s="117"/>
      <c r="E943" s="320"/>
      <c r="F943" s="164"/>
      <c r="G943" s="320"/>
      <c r="H943" s="164"/>
      <c r="I943" s="327"/>
      <c r="J943" s="117"/>
      <c r="K943" s="327"/>
      <c r="L943" s="117"/>
      <c r="M943" s="327"/>
      <c r="N943" s="117"/>
      <c r="O943" s="320"/>
      <c r="P943" s="164"/>
      <c r="Q943" s="188"/>
      <c r="R943" s="188"/>
      <c r="S943" s="20"/>
      <c r="T943" s="20"/>
      <c r="U943" s="20"/>
      <c r="V943" s="20"/>
    </row>
    <row r="944">
      <c r="A944" s="320"/>
      <c r="B944" s="164"/>
      <c r="C944" s="320"/>
      <c r="D944" s="117"/>
      <c r="E944" s="320"/>
      <c r="F944" s="164"/>
      <c r="G944" s="320"/>
      <c r="H944" s="164"/>
      <c r="I944" s="327"/>
      <c r="J944" s="117"/>
      <c r="K944" s="327"/>
      <c r="L944" s="117"/>
      <c r="M944" s="327"/>
      <c r="N944" s="117"/>
      <c r="O944" s="320"/>
      <c r="P944" s="164"/>
      <c r="Q944" s="188"/>
      <c r="R944" s="188"/>
      <c r="S944" s="20"/>
      <c r="T944" s="20"/>
      <c r="U944" s="20"/>
      <c r="V944" s="20"/>
    </row>
    <row r="945">
      <c r="A945" s="320"/>
      <c r="B945" s="164"/>
      <c r="C945" s="320"/>
      <c r="D945" s="117"/>
      <c r="E945" s="320"/>
      <c r="F945" s="164"/>
      <c r="G945" s="320"/>
      <c r="H945" s="164"/>
      <c r="I945" s="327"/>
      <c r="J945" s="117"/>
      <c r="K945" s="327"/>
      <c r="L945" s="117"/>
      <c r="M945" s="327"/>
      <c r="N945" s="117"/>
      <c r="O945" s="320"/>
      <c r="P945" s="164"/>
      <c r="Q945" s="188"/>
      <c r="R945" s="188"/>
      <c r="S945" s="20"/>
      <c r="T945" s="20"/>
      <c r="U945" s="20"/>
      <c r="V945" s="20"/>
    </row>
    <row r="946">
      <c r="A946" s="320"/>
      <c r="B946" s="164"/>
      <c r="C946" s="320"/>
      <c r="D946" s="117"/>
      <c r="E946" s="320"/>
      <c r="F946" s="164"/>
      <c r="G946" s="320"/>
      <c r="H946" s="164"/>
      <c r="I946" s="327"/>
      <c r="J946" s="117"/>
      <c r="K946" s="327"/>
      <c r="L946" s="117"/>
      <c r="M946" s="327"/>
      <c r="N946" s="117"/>
      <c r="O946" s="320"/>
      <c r="P946" s="164"/>
      <c r="Q946" s="188"/>
      <c r="R946" s="188"/>
      <c r="S946" s="20"/>
      <c r="T946" s="20"/>
      <c r="U946" s="20"/>
      <c r="V946" s="20"/>
    </row>
    <row r="947">
      <c r="A947" s="320"/>
      <c r="B947" s="164"/>
      <c r="C947" s="320"/>
      <c r="D947" s="117"/>
      <c r="E947" s="320"/>
      <c r="F947" s="164"/>
      <c r="G947" s="320"/>
      <c r="H947" s="164"/>
      <c r="I947" s="327"/>
      <c r="J947" s="117"/>
      <c r="K947" s="327"/>
      <c r="L947" s="117"/>
      <c r="M947" s="327"/>
      <c r="N947" s="117"/>
      <c r="O947" s="320"/>
      <c r="P947" s="164"/>
      <c r="Q947" s="188"/>
      <c r="R947" s="188"/>
      <c r="S947" s="20"/>
      <c r="T947" s="20"/>
      <c r="U947" s="20"/>
      <c r="V947" s="20"/>
    </row>
    <row r="948">
      <c r="A948" s="320"/>
      <c r="B948" s="164"/>
      <c r="C948" s="320"/>
      <c r="D948" s="117"/>
      <c r="E948" s="320"/>
      <c r="F948" s="164"/>
      <c r="G948" s="320"/>
      <c r="H948" s="164"/>
      <c r="I948" s="327"/>
      <c r="J948" s="117"/>
      <c r="K948" s="327"/>
      <c r="L948" s="117"/>
      <c r="M948" s="327"/>
      <c r="N948" s="117"/>
      <c r="O948" s="320"/>
      <c r="P948" s="164"/>
      <c r="Q948" s="188"/>
      <c r="R948" s="188"/>
      <c r="S948" s="20"/>
      <c r="T948" s="20"/>
      <c r="U948" s="20"/>
      <c r="V948" s="20"/>
    </row>
    <row r="949">
      <c r="A949" s="320"/>
      <c r="B949" s="164"/>
      <c r="C949" s="320"/>
      <c r="D949" s="117"/>
      <c r="E949" s="320"/>
      <c r="F949" s="164"/>
      <c r="G949" s="320"/>
      <c r="H949" s="164"/>
      <c r="I949" s="327"/>
      <c r="J949" s="117"/>
      <c r="K949" s="327"/>
      <c r="L949" s="117"/>
      <c r="M949" s="327"/>
      <c r="N949" s="117"/>
      <c r="O949" s="320"/>
      <c r="P949" s="164"/>
      <c r="Q949" s="188"/>
      <c r="R949" s="188"/>
      <c r="S949" s="20"/>
      <c r="T949" s="20"/>
      <c r="U949" s="20"/>
      <c r="V949" s="20"/>
    </row>
    <row r="950">
      <c r="A950" s="320"/>
      <c r="B950" s="164"/>
      <c r="C950" s="320"/>
      <c r="D950" s="117"/>
      <c r="E950" s="320"/>
      <c r="F950" s="164"/>
      <c r="G950" s="320"/>
      <c r="H950" s="164"/>
      <c r="I950" s="327"/>
      <c r="J950" s="117"/>
      <c r="K950" s="327"/>
      <c r="L950" s="117"/>
      <c r="M950" s="327"/>
      <c r="N950" s="117"/>
      <c r="O950" s="320"/>
      <c r="P950" s="164"/>
      <c r="Q950" s="188"/>
      <c r="R950" s="188"/>
      <c r="S950" s="20"/>
      <c r="T950" s="20"/>
      <c r="U950" s="20"/>
      <c r="V950" s="20"/>
    </row>
    <row r="951">
      <c r="A951" s="320"/>
      <c r="B951" s="164"/>
      <c r="C951" s="320"/>
      <c r="D951" s="117"/>
      <c r="E951" s="320"/>
      <c r="F951" s="164"/>
      <c r="G951" s="320"/>
      <c r="H951" s="164"/>
      <c r="I951" s="327"/>
      <c r="J951" s="117"/>
      <c r="K951" s="327"/>
      <c r="L951" s="117"/>
      <c r="M951" s="327"/>
      <c r="N951" s="117"/>
      <c r="O951" s="320"/>
      <c r="P951" s="164"/>
      <c r="Q951" s="188"/>
      <c r="R951" s="188"/>
      <c r="S951" s="20"/>
      <c r="T951" s="20"/>
      <c r="U951" s="20"/>
      <c r="V951" s="20"/>
    </row>
    <row r="952">
      <c r="A952" s="320"/>
      <c r="B952" s="164"/>
      <c r="C952" s="320"/>
      <c r="D952" s="117"/>
      <c r="E952" s="320"/>
      <c r="F952" s="164"/>
      <c r="G952" s="320"/>
      <c r="H952" s="164"/>
      <c r="I952" s="327"/>
      <c r="J952" s="117"/>
      <c r="K952" s="327"/>
      <c r="L952" s="117"/>
      <c r="M952" s="327"/>
      <c r="N952" s="117"/>
      <c r="O952" s="320"/>
      <c r="P952" s="164"/>
      <c r="Q952" s="188"/>
      <c r="R952" s="188"/>
      <c r="S952" s="20"/>
      <c r="T952" s="20"/>
      <c r="U952" s="20"/>
      <c r="V952" s="20"/>
    </row>
    <row r="953">
      <c r="A953" s="320"/>
      <c r="B953" s="164"/>
      <c r="C953" s="320"/>
      <c r="D953" s="117"/>
      <c r="E953" s="320"/>
      <c r="F953" s="164"/>
      <c r="G953" s="320"/>
      <c r="H953" s="164"/>
      <c r="I953" s="327"/>
      <c r="J953" s="117"/>
      <c r="K953" s="327"/>
      <c r="L953" s="117"/>
      <c r="M953" s="327"/>
      <c r="N953" s="117"/>
      <c r="O953" s="320"/>
      <c r="P953" s="164"/>
      <c r="Q953" s="188"/>
      <c r="R953" s="188"/>
      <c r="S953" s="20"/>
      <c r="T953" s="20"/>
      <c r="U953" s="20"/>
      <c r="V953" s="20"/>
    </row>
    <row r="954">
      <c r="A954" s="320"/>
      <c r="B954" s="164"/>
      <c r="C954" s="320"/>
      <c r="D954" s="117"/>
      <c r="E954" s="320"/>
      <c r="F954" s="164"/>
      <c r="G954" s="320"/>
      <c r="H954" s="164"/>
      <c r="I954" s="327"/>
      <c r="J954" s="117"/>
      <c r="K954" s="327"/>
      <c r="L954" s="117"/>
      <c r="M954" s="327"/>
      <c r="N954" s="117"/>
      <c r="O954" s="320"/>
      <c r="P954" s="164"/>
      <c r="Q954" s="188"/>
      <c r="R954" s="188"/>
      <c r="S954" s="20"/>
      <c r="T954" s="20"/>
      <c r="U954" s="20"/>
      <c r="V954" s="20"/>
    </row>
    <row r="955">
      <c r="A955" s="320"/>
      <c r="B955" s="164"/>
      <c r="C955" s="320"/>
      <c r="D955" s="117"/>
      <c r="E955" s="320"/>
      <c r="F955" s="164"/>
      <c r="G955" s="320"/>
      <c r="H955" s="164"/>
      <c r="I955" s="327"/>
      <c r="J955" s="117"/>
      <c r="K955" s="327"/>
      <c r="L955" s="117"/>
      <c r="M955" s="327"/>
      <c r="N955" s="117"/>
      <c r="O955" s="320"/>
      <c r="P955" s="164"/>
      <c r="Q955" s="188"/>
      <c r="R955" s="188"/>
      <c r="S955" s="20"/>
      <c r="T955" s="20"/>
      <c r="U955" s="20"/>
      <c r="V955" s="20"/>
    </row>
    <row r="956">
      <c r="A956" s="320"/>
      <c r="B956" s="164"/>
      <c r="C956" s="320"/>
      <c r="D956" s="117"/>
      <c r="E956" s="320"/>
      <c r="F956" s="164"/>
      <c r="G956" s="320"/>
      <c r="H956" s="164"/>
      <c r="I956" s="327"/>
      <c r="J956" s="117"/>
      <c r="K956" s="327"/>
      <c r="L956" s="117"/>
      <c r="M956" s="327"/>
      <c r="N956" s="117"/>
      <c r="O956" s="320"/>
      <c r="P956" s="164"/>
      <c r="Q956" s="188"/>
      <c r="R956" s="188"/>
      <c r="S956" s="20"/>
      <c r="T956" s="20"/>
      <c r="U956" s="20"/>
      <c r="V956" s="20"/>
    </row>
    <row r="957">
      <c r="A957" s="320"/>
      <c r="B957" s="164"/>
      <c r="C957" s="320"/>
      <c r="D957" s="117"/>
      <c r="E957" s="320"/>
      <c r="F957" s="164"/>
      <c r="G957" s="320"/>
      <c r="H957" s="164"/>
      <c r="I957" s="327"/>
      <c r="J957" s="117"/>
      <c r="K957" s="327"/>
      <c r="L957" s="117"/>
      <c r="M957" s="327"/>
      <c r="N957" s="117"/>
      <c r="O957" s="320"/>
      <c r="P957" s="164"/>
      <c r="Q957" s="188"/>
      <c r="R957" s="188"/>
      <c r="S957" s="20"/>
      <c r="T957" s="20"/>
      <c r="U957" s="20"/>
      <c r="V957" s="20"/>
    </row>
    <row r="958">
      <c r="A958" s="320"/>
      <c r="B958" s="164"/>
      <c r="C958" s="320"/>
      <c r="D958" s="117"/>
      <c r="E958" s="320"/>
      <c r="F958" s="164"/>
      <c r="G958" s="320"/>
      <c r="H958" s="164"/>
      <c r="I958" s="327"/>
      <c r="J958" s="117"/>
      <c r="K958" s="327"/>
      <c r="L958" s="117"/>
      <c r="M958" s="327"/>
      <c r="N958" s="117"/>
      <c r="O958" s="320"/>
      <c r="P958" s="164"/>
      <c r="Q958" s="188"/>
      <c r="R958" s="188"/>
      <c r="S958" s="20"/>
      <c r="T958" s="20"/>
      <c r="U958" s="20"/>
      <c r="V958" s="20"/>
    </row>
    <row r="959">
      <c r="A959" s="320"/>
      <c r="B959" s="164"/>
      <c r="C959" s="320"/>
      <c r="D959" s="117"/>
      <c r="E959" s="320"/>
      <c r="F959" s="164"/>
      <c r="G959" s="320"/>
      <c r="H959" s="164"/>
      <c r="I959" s="327"/>
      <c r="J959" s="117"/>
      <c r="K959" s="327"/>
      <c r="L959" s="117"/>
      <c r="M959" s="327"/>
      <c r="N959" s="117"/>
      <c r="O959" s="320"/>
      <c r="P959" s="164"/>
      <c r="Q959" s="188"/>
      <c r="R959" s="188"/>
      <c r="S959" s="20"/>
      <c r="T959" s="20"/>
      <c r="U959" s="20"/>
      <c r="V959" s="20"/>
    </row>
    <row r="960">
      <c r="A960" s="320"/>
      <c r="B960" s="164"/>
      <c r="C960" s="320"/>
      <c r="D960" s="117"/>
      <c r="E960" s="320"/>
      <c r="F960" s="164"/>
      <c r="G960" s="320"/>
      <c r="H960" s="164"/>
      <c r="I960" s="327"/>
      <c r="J960" s="117"/>
      <c r="K960" s="327"/>
      <c r="L960" s="117"/>
      <c r="M960" s="327"/>
      <c r="N960" s="117"/>
      <c r="O960" s="320"/>
      <c r="P960" s="164"/>
      <c r="Q960" s="188"/>
      <c r="R960" s="188"/>
      <c r="S960" s="20"/>
      <c r="T960" s="20"/>
      <c r="U960" s="20"/>
      <c r="V960" s="20"/>
    </row>
    <row r="961">
      <c r="A961" s="320"/>
      <c r="B961" s="164"/>
      <c r="C961" s="320"/>
      <c r="D961" s="117"/>
      <c r="E961" s="320"/>
      <c r="F961" s="164"/>
      <c r="G961" s="320"/>
      <c r="H961" s="164"/>
      <c r="I961" s="327"/>
      <c r="J961" s="117"/>
      <c r="K961" s="327"/>
      <c r="L961" s="117"/>
      <c r="M961" s="327"/>
      <c r="N961" s="117"/>
      <c r="O961" s="320"/>
      <c r="P961" s="164"/>
      <c r="Q961" s="188"/>
      <c r="R961" s="188"/>
      <c r="S961" s="20"/>
      <c r="T961" s="20"/>
      <c r="U961" s="20"/>
      <c r="V961" s="20"/>
    </row>
    <row r="962">
      <c r="A962" s="320"/>
      <c r="B962" s="164"/>
      <c r="C962" s="320"/>
      <c r="D962" s="117"/>
      <c r="E962" s="320"/>
      <c r="F962" s="164"/>
      <c r="G962" s="320"/>
      <c r="H962" s="164"/>
      <c r="I962" s="327"/>
      <c r="J962" s="117"/>
      <c r="K962" s="327"/>
      <c r="L962" s="117"/>
      <c r="M962" s="327"/>
      <c r="N962" s="117"/>
      <c r="O962" s="320"/>
      <c r="P962" s="164"/>
      <c r="Q962" s="188"/>
      <c r="R962" s="188"/>
      <c r="S962" s="20"/>
      <c r="T962" s="20"/>
      <c r="U962" s="20"/>
      <c r="V962" s="20"/>
    </row>
    <row r="963">
      <c r="A963" s="320"/>
      <c r="B963" s="164"/>
      <c r="C963" s="320"/>
      <c r="D963" s="117"/>
      <c r="E963" s="320"/>
      <c r="F963" s="164"/>
      <c r="G963" s="320"/>
      <c r="H963" s="164"/>
      <c r="I963" s="327"/>
      <c r="J963" s="117"/>
      <c r="K963" s="327"/>
      <c r="L963" s="117"/>
      <c r="M963" s="327"/>
      <c r="N963" s="117"/>
      <c r="O963" s="320"/>
      <c r="P963" s="164"/>
      <c r="Q963" s="188"/>
      <c r="R963" s="188"/>
      <c r="S963" s="20"/>
      <c r="T963" s="20"/>
      <c r="U963" s="20"/>
      <c r="V963" s="20"/>
    </row>
    <row r="964">
      <c r="A964" s="320"/>
      <c r="B964" s="164"/>
      <c r="C964" s="320"/>
      <c r="D964" s="117"/>
      <c r="E964" s="320"/>
      <c r="F964" s="164"/>
      <c r="G964" s="320"/>
      <c r="H964" s="164"/>
      <c r="I964" s="327"/>
      <c r="J964" s="117"/>
      <c r="K964" s="327"/>
      <c r="L964" s="117"/>
      <c r="M964" s="327"/>
      <c r="N964" s="117"/>
      <c r="O964" s="320"/>
      <c r="P964" s="164"/>
      <c r="Q964" s="188"/>
      <c r="R964" s="188"/>
      <c r="S964" s="20"/>
      <c r="T964" s="20"/>
      <c r="U964" s="20"/>
      <c r="V964" s="20"/>
    </row>
    <row r="965">
      <c r="A965" s="320"/>
      <c r="B965" s="164"/>
      <c r="C965" s="320"/>
      <c r="D965" s="117"/>
      <c r="E965" s="320"/>
      <c r="F965" s="164"/>
      <c r="G965" s="320"/>
      <c r="H965" s="164"/>
      <c r="I965" s="327"/>
      <c r="J965" s="117"/>
      <c r="K965" s="327"/>
      <c r="L965" s="117"/>
      <c r="M965" s="327"/>
      <c r="N965" s="117"/>
      <c r="O965" s="320"/>
      <c r="P965" s="164"/>
      <c r="Q965" s="188"/>
      <c r="R965" s="188"/>
      <c r="S965" s="20"/>
      <c r="T965" s="20"/>
      <c r="U965" s="20"/>
      <c r="V965" s="20"/>
    </row>
    <row r="966">
      <c r="A966" s="320"/>
      <c r="B966" s="164"/>
      <c r="C966" s="320"/>
      <c r="D966" s="117"/>
      <c r="E966" s="320"/>
      <c r="F966" s="164"/>
      <c r="G966" s="320"/>
      <c r="H966" s="164"/>
      <c r="I966" s="327"/>
      <c r="J966" s="117"/>
      <c r="K966" s="327"/>
      <c r="L966" s="117"/>
      <c r="M966" s="327"/>
      <c r="N966" s="117"/>
      <c r="O966" s="320"/>
      <c r="P966" s="164"/>
      <c r="Q966" s="188"/>
      <c r="R966" s="188"/>
      <c r="S966" s="20"/>
      <c r="T966" s="20"/>
      <c r="U966" s="20"/>
      <c r="V966" s="20"/>
    </row>
    <row r="967">
      <c r="A967" s="320"/>
      <c r="B967" s="164"/>
      <c r="C967" s="320"/>
      <c r="D967" s="117"/>
      <c r="E967" s="320"/>
      <c r="F967" s="164"/>
      <c r="G967" s="320"/>
      <c r="H967" s="164"/>
      <c r="I967" s="327"/>
      <c r="J967" s="117"/>
      <c r="K967" s="327"/>
      <c r="L967" s="117"/>
      <c r="M967" s="327"/>
      <c r="N967" s="117"/>
      <c r="O967" s="320"/>
      <c r="P967" s="164"/>
      <c r="Q967" s="188"/>
      <c r="R967" s="188"/>
      <c r="S967" s="20"/>
      <c r="T967" s="20"/>
      <c r="U967" s="20"/>
      <c r="V967" s="20"/>
    </row>
    <row r="968">
      <c r="A968" s="320"/>
      <c r="B968" s="164"/>
      <c r="C968" s="320"/>
      <c r="D968" s="117"/>
      <c r="E968" s="320"/>
      <c r="F968" s="164"/>
      <c r="G968" s="320"/>
      <c r="H968" s="164"/>
      <c r="I968" s="327"/>
      <c r="J968" s="117"/>
      <c r="K968" s="327"/>
      <c r="L968" s="117"/>
      <c r="M968" s="327"/>
      <c r="N968" s="117"/>
      <c r="O968" s="320"/>
      <c r="P968" s="164"/>
      <c r="Q968" s="188"/>
      <c r="R968" s="188"/>
      <c r="S968" s="20"/>
      <c r="T968" s="20"/>
      <c r="U968" s="20"/>
      <c r="V968" s="20"/>
    </row>
    <row r="969">
      <c r="A969" s="320"/>
      <c r="B969" s="164"/>
      <c r="C969" s="320"/>
      <c r="D969" s="117"/>
      <c r="E969" s="320"/>
      <c r="F969" s="164"/>
      <c r="G969" s="320"/>
      <c r="H969" s="164"/>
      <c r="I969" s="327"/>
      <c r="J969" s="117"/>
      <c r="K969" s="327"/>
      <c r="L969" s="117"/>
      <c r="M969" s="327"/>
      <c r="N969" s="117"/>
      <c r="O969" s="320"/>
      <c r="P969" s="164"/>
      <c r="Q969" s="188"/>
      <c r="R969" s="188"/>
      <c r="S969" s="20"/>
      <c r="T969" s="20"/>
      <c r="U969" s="20"/>
      <c r="V969" s="20"/>
    </row>
    <row r="970">
      <c r="A970" s="320"/>
      <c r="B970" s="164"/>
      <c r="C970" s="320"/>
      <c r="D970" s="117"/>
      <c r="E970" s="320"/>
      <c r="F970" s="164"/>
      <c r="G970" s="320"/>
      <c r="H970" s="164"/>
      <c r="I970" s="327"/>
      <c r="J970" s="117"/>
      <c r="K970" s="327"/>
      <c r="L970" s="117"/>
      <c r="M970" s="327"/>
      <c r="N970" s="117"/>
      <c r="O970" s="320"/>
      <c r="P970" s="164"/>
      <c r="Q970" s="188"/>
      <c r="R970" s="188"/>
      <c r="S970" s="20"/>
      <c r="T970" s="20"/>
      <c r="U970" s="20"/>
      <c r="V970" s="20"/>
    </row>
    <row r="971">
      <c r="A971" s="320"/>
      <c r="B971" s="164"/>
      <c r="C971" s="320"/>
      <c r="D971" s="117"/>
      <c r="E971" s="320"/>
      <c r="F971" s="164"/>
      <c r="G971" s="320"/>
      <c r="H971" s="164"/>
      <c r="I971" s="327"/>
      <c r="J971" s="117"/>
      <c r="K971" s="327"/>
      <c r="L971" s="117"/>
      <c r="M971" s="327"/>
      <c r="N971" s="117"/>
      <c r="O971" s="320"/>
      <c r="P971" s="164"/>
      <c r="Q971" s="188"/>
      <c r="R971" s="188"/>
      <c r="S971" s="20"/>
      <c r="T971" s="20"/>
      <c r="U971" s="20"/>
      <c r="V971" s="20"/>
    </row>
    <row r="972">
      <c r="A972" s="320"/>
      <c r="B972" s="164"/>
      <c r="C972" s="320"/>
      <c r="D972" s="117"/>
      <c r="E972" s="320"/>
      <c r="F972" s="164"/>
      <c r="G972" s="320"/>
      <c r="H972" s="164"/>
      <c r="I972" s="327"/>
      <c r="J972" s="117"/>
      <c r="K972" s="327"/>
      <c r="L972" s="117"/>
      <c r="M972" s="327"/>
      <c r="N972" s="117"/>
      <c r="O972" s="320"/>
      <c r="P972" s="164"/>
      <c r="Q972" s="188"/>
      <c r="R972" s="188"/>
      <c r="S972" s="20"/>
      <c r="T972" s="20"/>
      <c r="U972" s="20"/>
      <c r="V972" s="20"/>
    </row>
    <row r="973">
      <c r="A973" s="320"/>
      <c r="B973" s="164"/>
      <c r="C973" s="320"/>
      <c r="D973" s="117"/>
      <c r="E973" s="320"/>
      <c r="F973" s="164"/>
      <c r="G973" s="320"/>
      <c r="H973" s="164"/>
      <c r="I973" s="327"/>
      <c r="J973" s="117"/>
      <c r="K973" s="327"/>
      <c r="L973" s="117"/>
      <c r="M973" s="327"/>
      <c r="N973" s="117"/>
      <c r="O973" s="320"/>
      <c r="P973" s="164"/>
      <c r="Q973" s="188"/>
      <c r="R973" s="188"/>
      <c r="S973" s="20"/>
      <c r="T973" s="20"/>
      <c r="U973" s="20"/>
      <c r="V973" s="20"/>
    </row>
    <row r="974">
      <c r="A974" s="320"/>
      <c r="B974" s="164"/>
      <c r="C974" s="320"/>
      <c r="D974" s="117"/>
      <c r="E974" s="320"/>
      <c r="F974" s="164"/>
      <c r="G974" s="320"/>
      <c r="H974" s="164"/>
      <c r="I974" s="327"/>
      <c r="J974" s="117"/>
      <c r="K974" s="327"/>
      <c r="L974" s="117"/>
      <c r="M974" s="327"/>
      <c r="N974" s="117"/>
      <c r="O974" s="320"/>
      <c r="P974" s="164"/>
      <c r="Q974" s="188"/>
      <c r="R974" s="188"/>
      <c r="S974" s="20"/>
      <c r="T974" s="20"/>
      <c r="U974" s="20"/>
      <c r="V974" s="20"/>
    </row>
    <row r="975">
      <c r="A975" s="320"/>
      <c r="B975" s="164"/>
      <c r="C975" s="320"/>
      <c r="D975" s="117"/>
      <c r="E975" s="320"/>
      <c r="F975" s="164"/>
      <c r="G975" s="320"/>
      <c r="H975" s="164"/>
      <c r="I975" s="327"/>
      <c r="J975" s="117"/>
      <c r="K975" s="327"/>
      <c r="L975" s="117"/>
      <c r="M975" s="327"/>
      <c r="N975" s="117"/>
      <c r="O975" s="320"/>
      <c r="P975" s="164"/>
      <c r="Q975" s="188"/>
      <c r="R975" s="188"/>
      <c r="S975" s="20"/>
      <c r="T975" s="20"/>
      <c r="U975" s="20"/>
      <c r="V975" s="20"/>
    </row>
    <row r="976">
      <c r="A976" s="320"/>
      <c r="B976" s="164"/>
      <c r="C976" s="320"/>
      <c r="D976" s="117"/>
      <c r="E976" s="320"/>
      <c r="F976" s="164"/>
      <c r="G976" s="320"/>
      <c r="H976" s="164"/>
      <c r="I976" s="327"/>
      <c r="J976" s="117"/>
      <c r="K976" s="327"/>
      <c r="L976" s="117"/>
      <c r="M976" s="327"/>
      <c r="N976" s="117"/>
      <c r="O976" s="320"/>
      <c r="P976" s="164"/>
      <c r="Q976" s="188"/>
      <c r="R976" s="188"/>
      <c r="S976" s="20"/>
      <c r="T976" s="20"/>
      <c r="U976" s="20"/>
      <c r="V976" s="20"/>
    </row>
    <row r="977">
      <c r="A977" s="320"/>
      <c r="B977" s="164"/>
      <c r="C977" s="320"/>
      <c r="D977" s="117"/>
      <c r="E977" s="320"/>
      <c r="F977" s="164"/>
      <c r="G977" s="320"/>
      <c r="H977" s="164"/>
      <c r="I977" s="327"/>
      <c r="J977" s="117"/>
      <c r="K977" s="327"/>
      <c r="L977" s="117"/>
      <c r="M977" s="327"/>
      <c r="N977" s="117"/>
      <c r="O977" s="320"/>
      <c r="P977" s="164"/>
      <c r="Q977" s="188"/>
      <c r="R977" s="188"/>
      <c r="S977" s="20"/>
      <c r="T977" s="20"/>
      <c r="U977" s="20"/>
      <c r="V977" s="20"/>
    </row>
    <row r="978">
      <c r="A978" s="320"/>
      <c r="B978" s="164"/>
      <c r="C978" s="320"/>
      <c r="D978" s="117"/>
      <c r="E978" s="320"/>
      <c r="F978" s="164"/>
      <c r="G978" s="320"/>
      <c r="H978" s="164"/>
      <c r="I978" s="327"/>
      <c r="J978" s="117"/>
      <c r="K978" s="327"/>
      <c r="L978" s="117"/>
      <c r="M978" s="327"/>
      <c r="N978" s="117"/>
      <c r="O978" s="320"/>
      <c r="P978" s="164"/>
      <c r="Q978" s="188"/>
      <c r="R978" s="188"/>
      <c r="S978" s="20"/>
      <c r="T978" s="20"/>
      <c r="U978" s="20"/>
      <c r="V978" s="20"/>
    </row>
    <row r="979">
      <c r="A979" s="320"/>
      <c r="B979" s="164"/>
      <c r="C979" s="320"/>
      <c r="D979" s="117"/>
      <c r="E979" s="320"/>
      <c r="F979" s="164"/>
      <c r="G979" s="320"/>
      <c r="H979" s="164"/>
      <c r="I979" s="327"/>
      <c r="J979" s="117"/>
      <c r="K979" s="327"/>
      <c r="L979" s="117"/>
      <c r="M979" s="327"/>
      <c r="N979" s="117"/>
      <c r="O979" s="320"/>
      <c r="P979" s="164"/>
      <c r="Q979" s="188"/>
      <c r="R979" s="188"/>
      <c r="S979" s="20"/>
      <c r="T979" s="20"/>
      <c r="U979" s="20"/>
      <c r="V979" s="20"/>
    </row>
    <row r="980">
      <c r="A980" s="320"/>
      <c r="B980" s="164"/>
      <c r="C980" s="320"/>
      <c r="D980" s="117"/>
      <c r="E980" s="320"/>
      <c r="F980" s="164"/>
      <c r="G980" s="320"/>
      <c r="H980" s="164"/>
      <c r="I980" s="327"/>
      <c r="J980" s="117"/>
      <c r="K980" s="327"/>
      <c r="L980" s="117"/>
      <c r="M980" s="327"/>
      <c r="N980" s="117"/>
      <c r="O980" s="320"/>
      <c r="P980" s="164"/>
      <c r="Q980" s="188"/>
      <c r="R980" s="188"/>
      <c r="S980" s="20"/>
      <c r="T980" s="20"/>
      <c r="U980" s="20"/>
      <c r="V980" s="20"/>
    </row>
    <row r="981">
      <c r="A981" s="320"/>
      <c r="B981" s="164"/>
      <c r="C981" s="320"/>
      <c r="D981" s="117"/>
      <c r="E981" s="320"/>
      <c r="F981" s="164"/>
      <c r="G981" s="320"/>
      <c r="H981" s="164"/>
      <c r="I981" s="327"/>
      <c r="J981" s="117"/>
      <c r="K981" s="327"/>
      <c r="L981" s="117"/>
      <c r="M981" s="327"/>
      <c r="N981" s="117"/>
      <c r="O981" s="320"/>
      <c r="P981" s="164"/>
      <c r="Q981" s="188"/>
      <c r="R981" s="188"/>
      <c r="S981" s="20"/>
      <c r="T981" s="20"/>
      <c r="U981" s="20"/>
      <c r="V981" s="20"/>
    </row>
    <row r="982">
      <c r="A982" s="320"/>
      <c r="B982" s="164"/>
      <c r="C982" s="320"/>
      <c r="D982" s="117"/>
      <c r="E982" s="320"/>
      <c r="F982" s="164"/>
      <c r="G982" s="320"/>
      <c r="H982" s="164"/>
      <c r="I982" s="327"/>
      <c r="J982" s="117"/>
      <c r="K982" s="327"/>
      <c r="L982" s="117"/>
      <c r="M982" s="327"/>
      <c r="N982" s="117"/>
      <c r="O982" s="320"/>
      <c r="P982" s="164"/>
      <c r="Q982" s="188"/>
      <c r="R982" s="188"/>
      <c r="S982" s="20"/>
      <c r="T982" s="20"/>
      <c r="U982" s="20"/>
      <c r="V982" s="20"/>
    </row>
    <row r="983">
      <c r="A983" s="320"/>
      <c r="B983" s="164"/>
      <c r="C983" s="320"/>
      <c r="D983" s="117"/>
      <c r="E983" s="320"/>
      <c r="F983" s="164"/>
      <c r="G983" s="320"/>
      <c r="H983" s="164"/>
      <c r="I983" s="327"/>
      <c r="J983" s="117"/>
      <c r="K983" s="327"/>
      <c r="L983" s="117"/>
      <c r="M983" s="327"/>
      <c r="N983" s="117"/>
      <c r="O983" s="320"/>
      <c r="P983" s="164"/>
      <c r="Q983" s="188"/>
      <c r="R983" s="188"/>
      <c r="S983" s="20"/>
      <c r="T983" s="20"/>
      <c r="U983" s="20"/>
      <c r="V983" s="20"/>
    </row>
    <row r="984">
      <c r="A984" s="320"/>
      <c r="B984" s="164"/>
      <c r="C984" s="320"/>
      <c r="D984" s="117"/>
      <c r="E984" s="320"/>
      <c r="F984" s="164"/>
      <c r="G984" s="320"/>
      <c r="H984" s="164"/>
      <c r="I984" s="327"/>
      <c r="J984" s="117"/>
      <c r="K984" s="327"/>
      <c r="L984" s="117"/>
      <c r="M984" s="327"/>
      <c r="N984" s="117"/>
      <c r="O984" s="320"/>
      <c r="P984" s="164"/>
      <c r="Q984" s="188"/>
      <c r="R984" s="188"/>
      <c r="S984" s="20"/>
      <c r="T984" s="20"/>
      <c r="U984" s="20"/>
      <c r="V984" s="20"/>
    </row>
    <row r="985">
      <c r="A985" s="320"/>
      <c r="B985" s="164"/>
      <c r="C985" s="320"/>
      <c r="D985" s="117"/>
      <c r="E985" s="320"/>
      <c r="F985" s="164"/>
      <c r="G985" s="320"/>
      <c r="H985" s="164"/>
      <c r="I985" s="327"/>
      <c r="J985" s="117"/>
      <c r="K985" s="327"/>
      <c r="L985" s="117"/>
      <c r="M985" s="327"/>
      <c r="N985" s="117"/>
      <c r="O985" s="320"/>
      <c r="P985" s="164"/>
      <c r="Q985" s="188"/>
      <c r="R985" s="188"/>
      <c r="S985" s="20"/>
      <c r="T985" s="20"/>
      <c r="U985" s="20"/>
      <c r="V985" s="20"/>
    </row>
    <row r="986">
      <c r="A986" s="320"/>
      <c r="B986" s="164"/>
      <c r="C986" s="320"/>
      <c r="D986" s="117"/>
      <c r="E986" s="320"/>
      <c r="F986" s="164"/>
      <c r="G986" s="320"/>
      <c r="H986" s="164"/>
      <c r="I986" s="327"/>
      <c r="J986" s="117"/>
      <c r="K986" s="327"/>
      <c r="L986" s="117"/>
      <c r="M986" s="327"/>
      <c r="N986" s="117"/>
      <c r="O986" s="320"/>
      <c r="P986" s="164"/>
      <c r="Q986" s="188"/>
      <c r="R986" s="188"/>
      <c r="S986" s="20"/>
      <c r="T986" s="20"/>
      <c r="U986" s="20"/>
      <c r="V986" s="20"/>
    </row>
    <row r="987">
      <c r="A987" s="320"/>
      <c r="B987" s="164"/>
      <c r="C987" s="320"/>
      <c r="D987" s="117"/>
      <c r="E987" s="320"/>
      <c r="F987" s="164"/>
      <c r="G987" s="320"/>
      <c r="H987" s="164"/>
      <c r="I987" s="327"/>
      <c r="J987" s="117"/>
      <c r="K987" s="327"/>
      <c r="L987" s="117"/>
      <c r="M987" s="327"/>
      <c r="N987" s="117"/>
      <c r="O987" s="320"/>
      <c r="P987" s="164"/>
      <c r="Q987" s="188"/>
      <c r="R987" s="188"/>
      <c r="S987" s="20"/>
      <c r="T987" s="20"/>
      <c r="U987" s="20"/>
      <c r="V987" s="20"/>
    </row>
    <row r="988">
      <c r="A988" s="320"/>
      <c r="B988" s="164"/>
      <c r="C988" s="320"/>
      <c r="D988" s="117"/>
      <c r="E988" s="320"/>
      <c r="F988" s="164"/>
      <c r="G988" s="320"/>
      <c r="H988" s="164"/>
      <c r="I988" s="327"/>
      <c r="J988" s="117"/>
      <c r="K988" s="327"/>
      <c r="L988" s="117"/>
      <c r="M988" s="327"/>
      <c r="N988" s="117"/>
      <c r="O988" s="320"/>
      <c r="P988" s="164"/>
      <c r="Q988" s="188"/>
      <c r="R988" s="188"/>
      <c r="S988" s="20"/>
      <c r="T988" s="20"/>
      <c r="U988" s="20"/>
      <c r="V988" s="20"/>
    </row>
    <row r="989">
      <c r="A989" s="320"/>
      <c r="B989" s="164"/>
      <c r="C989" s="320"/>
      <c r="D989" s="117"/>
      <c r="E989" s="320"/>
      <c r="F989" s="164"/>
      <c r="G989" s="320"/>
      <c r="H989" s="164"/>
      <c r="I989" s="327"/>
      <c r="J989" s="117"/>
      <c r="K989" s="327"/>
      <c r="L989" s="117"/>
      <c r="M989" s="327"/>
      <c r="N989" s="117"/>
      <c r="O989" s="320"/>
      <c r="P989" s="164"/>
      <c r="Q989" s="188"/>
      <c r="R989" s="188"/>
      <c r="S989" s="20"/>
      <c r="T989" s="20"/>
      <c r="U989" s="20"/>
      <c r="V989" s="20"/>
    </row>
    <row r="990">
      <c r="A990" s="320"/>
      <c r="B990" s="164"/>
      <c r="C990" s="320"/>
      <c r="D990" s="117"/>
      <c r="E990" s="320"/>
      <c r="F990" s="164"/>
      <c r="G990" s="320"/>
      <c r="H990" s="164"/>
      <c r="I990" s="327"/>
      <c r="J990" s="117"/>
      <c r="K990" s="327"/>
      <c r="L990" s="117"/>
      <c r="M990" s="327"/>
      <c r="N990" s="117"/>
      <c r="O990" s="320"/>
      <c r="P990" s="164"/>
      <c r="Q990" s="188"/>
      <c r="R990" s="188"/>
      <c r="S990" s="20"/>
      <c r="T990" s="20"/>
      <c r="U990" s="20"/>
      <c r="V990" s="20"/>
    </row>
    <row r="991">
      <c r="A991" s="320"/>
      <c r="B991" s="164"/>
      <c r="C991" s="320"/>
      <c r="D991" s="117"/>
      <c r="E991" s="320"/>
      <c r="F991" s="164"/>
      <c r="G991" s="320"/>
      <c r="H991" s="164"/>
      <c r="I991" s="327"/>
      <c r="J991" s="117"/>
      <c r="K991" s="327"/>
      <c r="L991" s="117"/>
      <c r="M991" s="327"/>
      <c r="N991" s="117"/>
      <c r="O991" s="320"/>
      <c r="P991" s="164"/>
      <c r="Q991" s="188"/>
      <c r="R991" s="188"/>
      <c r="S991" s="20"/>
      <c r="T991" s="20"/>
      <c r="U991" s="20"/>
      <c r="V991" s="20"/>
    </row>
    <row r="992">
      <c r="A992" s="320"/>
      <c r="B992" s="164"/>
      <c r="C992" s="320"/>
      <c r="D992" s="117"/>
      <c r="E992" s="320"/>
      <c r="F992" s="164"/>
      <c r="G992" s="320"/>
      <c r="H992" s="164"/>
      <c r="I992" s="327"/>
      <c r="J992" s="117"/>
      <c r="K992" s="327"/>
      <c r="L992" s="117"/>
      <c r="M992" s="327"/>
      <c r="N992" s="117"/>
      <c r="O992" s="320"/>
      <c r="P992" s="164"/>
      <c r="Q992" s="188"/>
      <c r="R992" s="188"/>
      <c r="S992" s="20"/>
      <c r="T992" s="20"/>
      <c r="U992" s="20"/>
      <c r="V992" s="20"/>
    </row>
    <row r="993">
      <c r="A993" s="320"/>
      <c r="B993" s="164"/>
      <c r="C993" s="320"/>
      <c r="D993" s="117"/>
      <c r="E993" s="320"/>
      <c r="F993" s="164"/>
      <c r="G993" s="320"/>
      <c r="H993" s="164"/>
      <c r="I993" s="327"/>
      <c r="J993" s="117"/>
      <c r="K993" s="327"/>
      <c r="L993" s="117"/>
      <c r="M993" s="327"/>
      <c r="N993" s="117"/>
      <c r="O993" s="320"/>
      <c r="P993" s="164"/>
      <c r="Q993" s="188"/>
      <c r="R993" s="188"/>
      <c r="S993" s="20"/>
      <c r="T993" s="20"/>
      <c r="U993" s="20"/>
      <c r="V993" s="20"/>
    </row>
    <row r="994">
      <c r="A994" s="320"/>
      <c r="B994" s="164"/>
      <c r="C994" s="320"/>
      <c r="D994" s="117"/>
      <c r="E994" s="320"/>
      <c r="F994" s="164"/>
      <c r="G994" s="320"/>
      <c r="H994" s="164"/>
      <c r="I994" s="327"/>
      <c r="J994" s="117"/>
      <c r="K994" s="327"/>
      <c r="L994" s="117"/>
      <c r="M994" s="327"/>
      <c r="N994" s="117"/>
      <c r="O994" s="320"/>
      <c r="P994" s="164"/>
      <c r="Q994" s="188"/>
      <c r="R994" s="188"/>
      <c r="S994" s="20"/>
      <c r="T994" s="20"/>
      <c r="U994" s="20"/>
      <c r="V994" s="20"/>
    </row>
    <row r="995">
      <c r="A995" s="320"/>
      <c r="B995" s="164"/>
      <c r="C995" s="320"/>
      <c r="D995" s="117"/>
      <c r="E995" s="320"/>
      <c r="F995" s="164"/>
      <c r="G995" s="320"/>
      <c r="H995" s="164"/>
      <c r="I995" s="327"/>
      <c r="J995" s="117"/>
      <c r="K995" s="327"/>
      <c r="L995" s="117"/>
      <c r="M995" s="327"/>
      <c r="N995" s="117"/>
      <c r="O995" s="320"/>
      <c r="P995" s="164"/>
      <c r="Q995" s="188"/>
      <c r="R995" s="188"/>
      <c r="S995" s="20"/>
      <c r="T995" s="20"/>
      <c r="U995" s="20"/>
      <c r="V995" s="20"/>
    </row>
    <row r="996">
      <c r="A996" s="320"/>
      <c r="B996" s="164"/>
      <c r="C996" s="320"/>
      <c r="D996" s="117"/>
      <c r="E996" s="320"/>
      <c r="F996" s="164"/>
      <c r="G996" s="320"/>
      <c r="H996" s="164"/>
      <c r="I996" s="327"/>
      <c r="J996" s="117"/>
      <c r="K996" s="327"/>
      <c r="L996" s="117"/>
      <c r="M996" s="327"/>
      <c r="N996" s="117"/>
      <c r="O996" s="320"/>
      <c r="P996" s="164"/>
      <c r="Q996" s="188"/>
      <c r="R996" s="188"/>
      <c r="S996" s="20"/>
      <c r="T996" s="20"/>
      <c r="U996" s="20"/>
      <c r="V996" s="20"/>
    </row>
    <row r="997">
      <c r="A997" s="320"/>
      <c r="B997" s="164"/>
      <c r="C997" s="320"/>
      <c r="D997" s="117"/>
      <c r="E997" s="320"/>
      <c r="F997" s="164"/>
      <c r="G997" s="320"/>
      <c r="H997" s="164"/>
      <c r="I997" s="327"/>
      <c r="J997" s="117"/>
      <c r="K997" s="327"/>
      <c r="L997" s="117"/>
      <c r="M997" s="327"/>
      <c r="N997" s="117"/>
      <c r="O997" s="320"/>
      <c r="P997" s="164"/>
      <c r="Q997" s="188"/>
      <c r="R997" s="188"/>
      <c r="S997" s="20"/>
      <c r="T997" s="20"/>
      <c r="U997" s="20"/>
      <c r="V997" s="20"/>
    </row>
    <row r="998">
      <c r="A998" s="320"/>
      <c r="B998" s="164"/>
      <c r="C998" s="320"/>
      <c r="D998" s="117"/>
      <c r="E998" s="320"/>
      <c r="F998" s="164"/>
      <c r="G998" s="320"/>
      <c r="H998" s="164"/>
      <c r="I998" s="327"/>
      <c r="J998" s="117"/>
      <c r="K998" s="327"/>
      <c r="L998" s="117"/>
      <c r="M998" s="327"/>
      <c r="N998" s="117"/>
      <c r="O998" s="320"/>
      <c r="P998" s="164"/>
      <c r="Q998" s="188"/>
      <c r="R998" s="188"/>
      <c r="S998" s="20"/>
      <c r="T998" s="20"/>
      <c r="U998" s="20"/>
      <c r="V998" s="20"/>
    </row>
    <row r="999">
      <c r="A999" s="320"/>
      <c r="B999" s="164"/>
      <c r="C999" s="320"/>
      <c r="D999" s="117"/>
      <c r="E999" s="320"/>
      <c r="F999" s="164"/>
      <c r="G999" s="320"/>
      <c r="H999" s="164"/>
      <c r="I999" s="327"/>
      <c r="J999" s="117"/>
      <c r="K999" s="327"/>
      <c r="L999" s="117"/>
      <c r="M999" s="327"/>
      <c r="N999" s="117"/>
      <c r="O999" s="320"/>
      <c r="P999" s="164"/>
      <c r="Q999" s="320"/>
      <c r="R999" s="164"/>
      <c r="S999" s="20"/>
      <c r="T999" s="20"/>
      <c r="U999" s="20"/>
      <c r="V999" s="20"/>
    </row>
    <row r="1000">
      <c r="A1000" s="320"/>
      <c r="B1000" s="164"/>
      <c r="C1000" s="320"/>
      <c r="D1000" s="117"/>
      <c r="E1000" s="320"/>
      <c r="F1000" s="164"/>
      <c r="G1000" s="320"/>
      <c r="H1000" s="164"/>
      <c r="I1000" s="327"/>
      <c r="J1000" s="117"/>
      <c r="K1000" s="327"/>
      <c r="L1000" s="117"/>
      <c r="M1000" s="327"/>
      <c r="N1000" s="117"/>
      <c r="O1000" s="320"/>
      <c r="P1000" s="164"/>
      <c r="Q1000" s="320"/>
      <c r="R1000" s="164"/>
      <c r="S1000" s="20"/>
      <c r="T1000" s="20"/>
      <c r="U1000" s="20"/>
      <c r="V1000" s="20"/>
    </row>
    <row r="1001">
      <c r="A1001" s="320"/>
      <c r="B1001" s="164"/>
      <c r="C1001" s="320"/>
      <c r="D1001" s="117"/>
      <c r="E1001" s="320"/>
      <c r="F1001" s="164"/>
      <c r="G1001" s="320"/>
      <c r="H1001" s="164"/>
      <c r="I1001" s="327"/>
      <c r="J1001" s="117"/>
      <c r="K1001" s="327"/>
      <c r="L1001" s="117"/>
      <c r="M1001" s="327"/>
      <c r="N1001" s="117"/>
      <c r="O1001" s="320"/>
      <c r="P1001" s="164"/>
      <c r="Q1001" s="320"/>
      <c r="R1001" s="164"/>
      <c r="S1001" s="20"/>
      <c r="T1001" s="20"/>
      <c r="U1001" s="20"/>
      <c r="V1001" s="20"/>
    </row>
    <row r="1002">
      <c r="A1002" s="320"/>
      <c r="B1002" s="164"/>
      <c r="C1002" s="320"/>
      <c r="D1002" s="117"/>
      <c r="E1002" s="320"/>
      <c r="F1002" s="164"/>
      <c r="G1002" s="320"/>
      <c r="H1002" s="164"/>
      <c r="I1002" s="327"/>
      <c r="J1002" s="117"/>
      <c r="K1002" s="327"/>
      <c r="L1002" s="117"/>
      <c r="M1002" s="327"/>
      <c r="N1002" s="117"/>
      <c r="O1002" s="320"/>
      <c r="P1002" s="164"/>
      <c r="Q1002" s="320"/>
      <c r="R1002" s="164"/>
      <c r="S1002" s="20"/>
      <c r="T1002" s="20"/>
      <c r="U1002" s="20"/>
      <c r="V1002" s="20"/>
    </row>
    <row r="1003">
      <c r="A1003" s="320"/>
      <c r="B1003" s="164"/>
      <c r="C1003" s="320"/>
      <c r="D1003" s="117"/>
      <c r="E1003" s="320"/>
      <c r="F1003" s="164"/>
      <c r="G1003" s="320"/>
      <c r="H1003" s="164"/>
      <c r="I1003" s="327"/>
      <c r="J1003" s="117"/>
      <c r="K1003" s="327"/>
      <c r="L1003" s="117"/>
      <c r="M1003" s="327"/>
      <c r="N1003" s="117"/>
      <c r="O1003" s="320"/>
      <c r="P1003" s="164"/>
      <c r="Q1003" s="320"/>
      <c r="R1003" s="164"/>
      <c r="S1003" s="20"/>
      <c r="T1003" s="20"/>
      <c r="U1003" s="20"/>
      <c r="V1003" s="20"/>
    </row>
    <row r="1004">
      <c r="A1004" s="320"/>
      <c r="B1004" s="164"/>
      <c r="C1004" s="320"/>
      <c r="D1004" s="117"/>
      <c r="E1004" s="320"/>
      <c r="F1004" s="164"/>
      <c r="G1004" s="320"/>
      <c r="H1004" s="164"/>
      <c r="I1004" s="327"/>
      <c r="J1004" s="117"/>
      <c r="K1004" s="327"/>
      <c r="L1004" s="117"/>
      <c r="M1004" s="327"/>
      <c r="N1004" s="117"/>
      <c r="O1004" s="320"/>
      <c r="P1004" s="164"/>
      <c r="Q1004" s="320"/>
      <c r="R1004" s="164"/>
      <c r="S1004" s="20"/>
      <c r="T1004" s="20"/>
      <c r="U1004" s="20"/>
      <c r="V1004" s="20"/>
    </row>
    <row r="1005">
      <c r="A1005" s="320"/>
      <c r="B1005" s="164"/>
      <c r="C1005" s="320"/>
      <c r="D1005" s="117"/>
      <c r="E1005" s="320"/>
      <c r="F1005" s="164"/>
      <c r="G1005" s="320"/>
      <c r="H1005" s="164"/>
      <c r="I1005" s="327"/>
      <c r="J1005" s="117"/>
      <c r="K1005" s="327"/>
      <c r="L1005" s="117"/>
      <c r="M1005" s="327"/>
      <c r="N1005" s="117"/>
      <c r="O1005" s="320"/>
      <c r="P1005" s="164"/>
      <c r="Q1005" s="320"/>
      <c r="R1005" s="164"/>
      <c r="S1005" s="20"/>
      <c r="T1005" s="20"/>
      <c r="U1005" s="20"/>
      <c r="V1005" s="20"/>
    </row>
    <row r="1006">
      <c r="A1006" s="320"/>
      <c r="B1006" s="164"/>
      <c r="C1006" s="320"/>
      <c r="D1006" s="117"/>
      <c r="E1006" s="320"/>
      <c r="F1006" s="164"/>
      <c r="G1006" s="320"/>
      <c r="H1006" s="164"/>
      <c r="I1006" s="327"/>
      <c r="J1006" s="117"/>
      <c r="K1006" s="327"/>
      <c r="L1006" s="117"/>
      <c r="M1006" s="327"/>
      <c r="N1006" s="117"/>
      <c r="O1006" s="320"/>
      <c r="P1006" s="164"/>
      <c r="Q1006" s="320"/>
      <c r="R1006" s="164"/>
      <c r="S1006" s="20"/>
      <c r="T1006" s="20"/>
      <c r="U1006" s="20"/>
      <c r="V1006" s="20"/>
    </row>
    <row r="1007">
      <c r="A1007" s="320"/>
      <c r="B1007" s="164"/>
      <c r="C1007" s="320"/>
      <c r="D1007" s="117"/>
      <c r="E1007" s="320"/>
      <c r="F1007" s="164"/>
      <c r="G1007" s="320"/>
      <c r="H1007" s="164"/>
      <c r="I1007" s="327"/>
      <c r="J1007" s="117"/>
      <c r="K1007" s="327"/>
      <c r="L1007" s="117"/>
      <c r="M1007" s="327"/>
      <c r="N1007" s="117"/>
      <c r="O1007" s="320"/>
      <c r="P1007" s="164"/>
      <c r="Q1007" s="320"/>
      <c r="R1007" s="164"/>
      <c r="S1007" s="20"/>
      <c r="T1007" s="20"/>
      <c r="U1007" s="20"/>
      <c r="V1007" s="20"/>
    </row>
    <row r="1008">
      <c r="A1008" s="320"/>
      <c r="B1008" s="164"/>
      <c r="C1008" s="320"/>
      <c r="D1008" s="117"/>
      <c r="E1008" s="320"/>
      <c r="F1008" s="164"/>
      <c r="G1008" s="320"/>
      <c r="H1008" s="164"/>
      <c r="I1008" s="327"/>
      <c r="J1008" s="117"/>
      <c r="K1008" s="327"/>
      <c r="L1008" s="117"/>
      <c r="M1008" s="327"/>
      <c r="N1008" s="117"/>
      <c r="O1008" s="320"/>
      <c r="P1008" s="164"/>
      <c r="Q1008" s="320"/>
      <c r="R1008" s="164"/>
      <c r="S1008" s="20"/>
      <c r="T1008" s="20"/>
      <c r="U1008" s="20"/>
      <c r="V1008" s="20"/>
    </row>
    <row r="1009">
      <c r="A1009" s="320"/>
      <c r="B1009" s="164"/>
      <c r="C1009" s="320"/>
      <c r="D1009" s="117"/>
      <c r="E1009" s="320"/>
      <c r="F1009" s="164"/>
      <c r="G1009" s="320"/>
      <c r="H1009" s="164"/>
      <c r="I1009" s="327"/>
      <c r="J1009" s="117"/>
      <c r="K1009" s="327"/>
      <c r="L1009" s="117"/>
      <c r="M1009" s="327"/>
      <c r="N1009" s="117"/>
      <c r="O1009" s="320"/>
      <c r="P1009" s="164"/>
      <c r="Q1009" s="320"/>
      <c r="R1009" s="164"/>
      <c r="S1009" s="20"/>
      <c r="T1009" s="20"/>
      <c r="U1009" s="20"/>
      <c r="V1009" s="20"/>
    </row>
    <row r="1010">
      <c r="A1010" s="320"/>
      <c r="B1010" s="164"/>
      <c r="C1010" s="320"/>
      <c r="D1010" s="117"/>
      <c r="E1010" s="320"/>
      <c r="F1010" s="164"/>
      <c r="G1010" s="320"/>
      <c r="H1010" s="164"/>
      <c r="I1010" s="327"/>
      <c r="J1010" s="117"/>
      <c r="K1010" s="327"/>
      <c r="L1010" s="117"/>
      <c r="M1010" s="327"/>
      <c r="N1010" s="117"/>
      <c r="O1010" s="320"/>
      <c r="P1010" s="164"/>
      <c r="Q1010" s="320"/>
      <c r="R1010" s="164"/>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8" t="s">
        <v>2115</v>
      </c>
      <c r="S1" s="62" t="s">
        <v>216</v>
      </c>
      <c r="U1" s="287"/>
      <c r="V1" s="287"/>
      <c r="W1" s="287"/>
      <c r="X1" s="287"/>
      <c r="Y1" s="287"/>
      <c r="Z1" s="287"/>
    </row>
    <row r="2" ht="41.25" customHeight="1">
      <c r="U2" s="287"/>
      <c r="V2" s="287"/>
      <c r="W2" s="287"/>
      <c r="X2" s="287"/>
      <c r="Y2" s="287"/>
      <c r="Z2" s="287"/>
    </row>
    <row r="3">
      <c r="A3" s="313" t="s">
        <v>5626</v>
      </c>
      <c r="B3" s="76" t="s">
        <v>5627</v>
      </c>
      <c r="C3" s="315" t="str">
        <f>IFERROR(__xludf.DUMMYFUNCTION("GOOGLETRANSLATE(A3,""zh-tw"",""ja"")"),"設備プロジェクト")</f>
        <v>設備プロジェクト</v>
      </c>
      <c r="D3" s="73" t="str">
        <f>IFERROR(__xludf.DUMMYFUNCTION("GOOGLETRANSLATE(B3,""zh-tw"",""ja"")"),"装備の属性")</f>
        <v>装備の属性</v>
      </c>
      <c r="E3" s="329" t="s">
        <v>5628</v>
      </c>
      <c r="F3" s="15" t="s">
        <v>5119</v>
      </c>
      <c r="G3" s="315" t="str">
        <f>IFERROR(__xludf.DUMMYFUNCTION("GOOGLETRANSLATE(A3,""zh-tw"",""zh"")"),"装备项目")</f>
        <v>装备项目</v>
      </c>
      <c r="H3" s="73" t="str">
        <f>IFERROR(__xludf.DUMMYFUNCTION("GOOGLETRANSLATE(B3,""zh-tw"",""zh"")"),"装备属性")</f>
        <v>装备属性</v>
      </c>
      <c r="I3" s="314" t="str">
        <f>IFERROR(__xludf.DUMMYFUNCTION("GOOGLETRANSLATE(A3,""zh-tw"",""es-MX"")"),"Proyecto de equipamiento")</f>
        <v>Proyecto de equipamiento</v>
      </c>
      <c r="J3" s="43" t="str">
        <f>IFERROR(__xludf.DUMMYFUNCTION("GOOGLETRANSLATE(B3,""zh-tw"",""es-MX"")"),"Atributos del equipo")</f>
        <v>Atributos del equipo</v>
      </c>
      <c r="K3" s="315" t="str">
        <f>IFERROR(__xludf.DUMMYFUNCTION("GOOGLETRANSLATE(A3,""zh-tw"",""KO"")"),"장비 프로젝트")</f>
        <v>장비 프로젝트</v>
      </c>
      <c r="L3" s="73" t="str">
        <f>IFERROR(__xludf.DUMMYFUNCTION("GOOGLETRANSLATE(B3,""zh-tw"",""KO"")"),"장비 속성")</f>
        <v>장비 속성</v>
      </c>
      <c r="M3" s="314"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3" t="s">
        <v>5629</v>
      </c>
      <c r="P3" s="76" t="s">
        <v>5630</v>
      </c>
      <c r="Q3" s="316" t="s">
        <v>5631</v>
      </c>
      <c r="R3" s="317" t="s">
        <v>5123</v>
      </c>
      <c r="S3" s="314" t="s">
        <v>5632</v>
      </c>
      <c r="T3" s="43" t="s">
        <v>5125</v>
      </c>
      <c r="U3" s="20"/>
      <c r="V3" s="20"/>
      <c r="W3" s="20"/>
      <c r="X3" s="20"/>
      <c r="Y3" s="20"/>
      <c r="Z3" s="20"/>
    </row>
    <row r="4">
      <c r="A4" s="319" t="s">
        <v>5633</v>
      </c>
      <c r="B4" s="305" t="s">
        <v>5634</v>
      </c>
      <c r="C4" s="318" t="s">
        <v>5635</v>
      </c>
      <c r="D4" s="163" t="s">
        <v>5636</v>
      </c>
      <c r="E4" s="318" t="s">
        <v>5637</v>
      </c>
      <c r="F4" s="163" t="s">
        <v>5638</v>
      </c>
      <c r="G4" s="320" t="str">
        <f>IFERROR(__xludf.DUMMYFUNCTION("GOOGLETRANSLATE(A4,""zh-tw"",""zh"")"),"妹妹脱下的内裤")</f>
        <v>妹妹脱下的内裤</v>
      </c>
      <c r="H4" s="164" t="str">
        <f>IFERROR(__xludf.DUMMYFUNCTION("GOOGLETRANSLATE(B4,""zh-tw"",""zh"")"),"低体力回复")</f>
        <v>低体力回复</v>
      </c>
      <c r="I4" s="318" t="s">
        <v>5639</v>
      </c>
      <c r="J4" s="163" t="s">
        <v>5640</v>
      </c>
      <c r="K4" s="318" t="s">
        <v>5641</v>
      </c>
      <c r="L4" s="163" t="s">
        <v>5642</v>
      </c>
      <c r="M4" s="321" t="str">
        <f>IFERROR(__xludf.DUMMYFUNCTION("GOOGLETRANSLATE(A4,""zh-tw"",""ru"")"),"Нижнее белье моей сестры")</f>
        <v>Нижнее белье моей сестры</v>
      </c>
      <c r="N4" s="303" t="str">
        <f>IFERROR(__xludf.DUMMYFUNCTION("GOOGLETRANSLATE(B4,""zh-tw"",""ru"")"),"Низкое восстановление выносливости")</f>
        <v>Низкое восстановление выносливости</v>
      </c>
      <c r="O4" s="319" t="s">
        <v>5643</v>
      </c>
      <c r="P4" s="305" t="s">
        <v>5644</v>
      </c>
      <c r="Q4" s="322" t="s">
        <v>5645</v>
      </c>
      <c r="R4" s="323" t="s">
        <v>5646</v>
      </c>
      <c r="S4" s="320" t="s">
        <v>5647</v>
      </c>
      <c r="T4" s="164" t="s">
        <v>5648</v>
      </c>
      <c r="U4" s="20"/>
      <c r="V4" s="20"/>
      <c r="W4" s="20"/>
      <c r="X4" s="20"/>
      <c r="Y4" s="20"/>
      <c r="Z4" s="20"/>
    </row>
    <row r="5">
      <c r="A5" s="319" t="s">
        <v>5649</v>
      </c>
      <c r="B5" s="305" t="s">
        <v>5650</v>
      </c>
      <c r="C5" s="318" t="s">
        <v>5651</v>
      </c>
      <c r="D5" s="164" t="str">
        <f>IFERROR(__xludf.DUMMYFUNCTION("GOOGLETRANSLATE(B5,""zh-tw"",""ja"")"),"性欲が増し、全属性が10%増加します。")</f>
        <v>性欲が増し、全属性が10%増加します。</v>
      </c>
      <c r="E5" s="318" t="s">
        <v>5652</v>
      </c>
      <c r="F5" s="163" t="s">
        <v>5653</v>
      </c>
      <c r="G5" s="320" t="str">
        <f>IFERROR(__xludf.DUMMYFUNCTION("GOOGLETRANSLATE(A5,""zh-tw"",""zh"")"),"少女的笑容")</f>
        <v>少女的笑容</v>
      </c>
      <c r="H5" s="164" t="str">
        <f>IFERROR(__xludf.DUMMYFUNCTION("GOOGLETRANSLATE(B5,""zh-tw"",""zh"")"),"性欲上升，全属性上升10%")</f>
        <v>性欲上升，全属性上升10%</v>
      </c>
      <c r="I5" s="318" t="s">
        <v>5654</v>
      </c>
      <c r="J5" s="164"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63" t="s">
        <v>5655</v>
      </c>
      <c r="M5" s="321" t="str">
        <f>IFERROR(__xludf.DUMMYFUNCTION("GOOGLETRANSLATE(A5,""zh-tw"",""ru"")"),"Улыбка девушки")</f>
        <v>Улыбка девушки</v>
      </c>
      <c r="N5" s="303" t="str">
        <f>IFERROR(__xludf.DUMMYFUNCTION("GOOGLETRANSLATE(B5,""zh-tw"",""ru"")"),"Повышение либидо; все показатели увеличиваются на 10%.")</f>
        <v>Повышение либидо; все показатели увеличиваются на 10%.</v>
      </c>
      <c r="O5" s="319" t="s">
        <v>5656</v>
      </c>
      <c r="P5" s="305" t="s">
        <v>5657</v>
      </c>
      <c r="Q5" s="322" t="s">
        <v>5658</v>
      </c>
      <c r="R5" s="323" t="s">
        <v>5659</v>
      </c>
      <c r="S5" s="320" t="s">
        <v>5660</v>
      </c>
      <c r="T5" s="164" t="s">
        <v>5661</v>
      </c>
      <c r="U5" s="20"/>
      <c r="V5" s="20"/>
      <c r="W5" s="20"/>
      <c r="X5" s="20"/>
      <c r="Y5" s="20"/>
      <c r="Z5" s="20"/>
    </row>
    <row r="6">
      <c r="A6" s="319" t="s">
        <v>5662</v>
      </c>
      <c r="B6" s="305" t="s">
        <v>792</v>
      </c>
      <c r="C6" s="320" t="str">
        <f>IFERROR(__xludf.DUMMYFUNCTION("GOOGLETRANSLATE(A6,""zh-tw"",""ja"")"),"フライドポテト")</f>
        <v>フライドポテト</v>
      </c>
      <c r="D6" s="164" t="str">
        <f>IFERROR(__xludf.DUMMYFUNCTION("GOOGLETRANSLATE(B6,""zh-tw"",""ja"")"),"-")</f>
        <v>-</v>
      </c>
      <c r="E6" s="318" t="s">
        <v>5663</v>
      </c>
      <c r="F6" s="163" t="s">
        <v>792</v>
      </c>
      <c r="G6" s="320" t="str">
        <f>IFERROR(__xludf.DUMMYFUNCTION("GOOGLETRANSLATE(A6,""zh-tw"",""zh"")"),"炸薯条")</f>
        <v>炸薯条</v>
      </c>
      <c r="H6" s="164" t="str">
        <f>IFERROR(__xludf.DUMMYFUNCTION("GOOGLETRANSLATE(B6,""zh-tw"",""zh"")"),"-")</f>
        <v>-</v>
      </c>
      <c r="I6" s="320" t="str">
        <f>IFERROR(__xludf.DUMMYFUNCTION("GOOGLETRANSLATE(A6,""zh-tw"",""es-MX"")"),"papas fritas")</f>
        <v>papas fritas</v>
      </c>
      <c r="J6" s="164" t="str">
        <f>IFERROR(__xludf.DUMMYFUNCTION("GOOGLETRANSLATE(B6,""zh-tw"",""es-MX"")"),"-")</f>
        <v>-</v>
      </c>
      <c r="K6" s="320" t="str">
        <f>IFERROR(__xludf.DUMMYFUNCTION("GOOGLETRANSLATE(A6,""zh-tw"",""KO"")"),"감자 튀김")</f>
        <v>감자 튀김</v>
      </c>
      <c r="L6" s="164" t="str">
        <f>IFERROR(__xludf.DUMMYFUNCTION("GOOGLETRANSLATE(B6,""zh-tw"",""KO"")"),"-")</f>
        <v>-</v>
      </c>
      <c r="M6" s="321" t="str">
        <f>IFERROR(__xludf.DUMMYFUNCTION("GOOGLETRANSLATE(A6,""zh-tw"",""ru"")"),"картофель фри")</f>
        <v>картофель фри</v>
      </c>
      <c r="N6" s="303" t="str">
        <f>IFERROR(__xludf.DUMMYFUNCTION("GOOGLETRANSLATE(B6,""zh-tw"",""ru"")"),"-")</f>
        <v>-</v>
      </c>
      <c r="O6" s="319" t="s">
        <v>5664</v>
      </c>
      <c r="P6" s="305" t="s">
        <v>5665</v>
      </c>
      <c r="Q6" s="322" t="s">
        <v>5666</v>
      </c>
      <c r="R6" s="323" t="s">
        <v>792</v>
      </c>
      <c r="S6" s="320" t="s">
        <v>5667</v>
      </c>
      <c r="T6" s="164" t="s">
        <v>792</v>
      </c>
      <c r="U6" s="20"/>
      <c r="V6" s="20"/>
      <c r="W6" s="20"/>
      <c r="X6" s="20"/>
      <c r="Y6" s="20"/>
      <c r="Z6" s="20"/>
    </row>
    <row r="7">
      <c r="A7" s="319" t="s">
        <v>5668</v>
      </c>
      <c r="B7" s="305" t="s">
        <v>5669</v>
      </c>
      <c r="C7" s="320" t="str">
        <f>IFERROR(__xludf.DUMMYFUNCTION("GOOGLETRANSLATE(A7,""zh-tw"",""ja"")"),"トイレットペーパー")</f>
        <v>トイレットペーパー</v>
      </c>
      <c r="D7" s="164" t="str">
        <f>IFERROR(__xludf.DUMMYFUNCTION("GOOGLETRANSLATE(B7,""zh-tw"",""ja"")"),"物理防御：1.出血ダメージを軽減します。")</f>
        <v>物理防御：1.出血ダメージを軽減します。</v>
      </c>
      <c r="E7" s="318" t="s">
        <v>5670</v>
      </c>
      <c r="F7" s="163" t="s">
        <v>5671</v>
      </c>
      <c r="G7" s="320" t="str">
        <f>IFERROR(__xludf.DUMMYFUNCTION("GOOGLETRANSLATE(A7,""zh-tw"",""zh"")"),"厕纸")</f>
        <v>厕纸</v>
      </c>
      <c r="H7" s="164" t="str">
        <f>IFERROR(__xludf.DUMMYFUNCTION("GOOGLETRANSLATE(B7,""zh-tw"",""zh"")"),"物防：1
降低出血伤害")</f>
        <v>物防：1
降低出血伤害</v>
      </c>
      <c r="I7" s="320" t="str">
        <f>IFERROR(__xludf.DUMMYFUNCTION("GOOGLETRANSLATE(A7,""zh-tw"",""es-MX"")"),"papel higiénico")</f>
        <v>papel higiénico</v>
      </c>
      <c r="J7" s="164" t="str">
        <f>IFERROR(__xludf.DUMMYFUNCTION("GOOGLETRANSLATE(B7,""zh-tw"",""es-MX"")"),"Defensa física: 1. Reduce el daño por sangrado.")</f>
        <v>Defensa física: 1. Reduce el daño por sangrado.</v>
      </c>
      <c r="K7" s="320" t="str">
        <f>IFERROR(__xludf.DUMMYFUNCTION("GOOGLETRANSLATE(A7,""zh-tw"",""KO"")"),"휴지")</f>
        <v>휴지</v>
      </c>
      <c r="L7" s="163" t="s">
        <v>5672</v>
      </c>
      <c r="M7" s="321" t="str">
        <f>IFERROR(__xludf.DUMMYFUNCTION("GOOGLETRANSLATE(A7,""zh-tw"",""ru"")"),"туалетная бумага")</f>
        <v>туалетная бумага</v>
      </c>
      <c r="N7" s="303" t="str">
        <f>IFERROR(__xludf.DUMMYFUNCTION("GOOGLETRANSLATE(B7,""zh-tw"",""ru"")"),"Физическая защита: 1. Уменьшает урон от кровотечения.")</f>
        <v>Физическая защита: 1. Уменьшает урон от кровотечения.</v>
      </c>
      <c r="O7" s="319" t="s">
        <v>5673</v>
      </c>
      <c r="P7" s="305" t="s">
        <v>5674</v>
      </c>
      <c r="Q7" s="322" t="s">
        <v>5675</v>
      </c>
      <c r="R7" s="309" t="s">
        <v>5676</v>
      </c>
      <c r="S7" s="320" t="s">
        <v>5677</v>
      </c>
      <c r="T7" s="164" t="s">
        <v>5678</v>
      </c>
      <c r="U7" s="20"/>
      <c r="V7" s="20"/>
      <c r="W7" s="20"/>
      <c r="X7" s="20"/>
      <c r="Y7" s="20"/>
      <c r="Z7" s="20"/>
    </row>
    <row r="8">
      <c r="A8" s="319" t="s">
        <v>5679</v>
      </c>
      <c r="B8" s="305" t="s">
        <v>5680</v>
      </c>
      <c r="C8" s="318" t="s">
        <v>5681</v>
      </c>
      <c r="D8" s="164" t="str">
        <f>IFERROR(__xludf.DUMMYFUNCTION("GOOGLETRANSLATE(B8,""zh-tw"",""ja"")"),"運：10（回復確率）")</f>
        <v>運：10（回復確率）</v>
      </c>
      <c r="E8" s="318" t="s">
        <v>5682</v>
      </c>
      <c r="F8" s="163" t="s">
        <v>5683</v>
      </c>
      <c r="G8" s="320" t="str">
        <f>IFERROR(__xludf.DUMMYFUNCTION("GOOGLETRANSLATE(A8,""zh-tw"",""zh"")"),"苹果头套")</f>
        <v>苹果头套</v>
      </c>
      <c r="H8" s="164" t="str">
        <f>IFERROR(__xludf.DUMMYFUNCTION("GOOGLETRANSLATE(B8,""zh-tw"",""zh"")"),"幸运：10
概率回复")</f>
        <v>幸运：10
概率回复</v>
      </c>
      <c r="I8" s="318" t="s">
        <v>5684</v>
      </c>
      <c r="J8" s="163" t="s">
        <v>5685</v>
      </c>
      <c r="K8" s="318" t="s">
        <v>5686</v>
      </c>
      <c r="L8" s="163" t="s">
        <v>5687</v>
      </c>
      <c r="M8" s="321" t="str">
        <f>IFERROR(__xludf.DUMMYFUNCTION("GOOGLETRANSLATE(A8,""zh-tw"",""ru"")"),"Головной убор Apple")</f>
        <v>Головной убор Apple</v>
      </c>
      <c r="N8" s="303" t="str">
        <f>IFERROR(__xludf.DUMMYFUNCTION("GOOGLETRANSLATE(B8,""zh-tw"",""ru"")"),"Удача: 10 (Вероятность выздоровления)")</f>
        <v>Удача: 10 (Вероятность выздоровления)</v>
      </c>
      <c r="O8" s="319" t="s">
        <v>5688</v>
      </c>
      <c r="P8" s="305" t="s">
        <v>5689</v>
      </c>
      <c r="Q8" s="322" t="s">
        <v>5690</v>
      </c>
      <c r="R8" s="323" t="s">
        <v>5691</v>
      </c>
      <c r="S8" s="320" t="s">
        <v>5692</v>
      </c>
      <c r="T8" s="164" t="s">
        <v>5693</v>
      </c>
      <c r="U8" s="20"/>
      <c r="V8" s="20"/>
      <c r="W8" s="20"/>
      <c r="X8" s="20"/>
      <c r="Y8" s="20"/>
      <c r="Z8" s="20"/>
    </row>
    <row r="9">
      <c r="A9" s="319" t="s">
        <v>5694</v>
      </c>
      <c r="B9" s="305" t="s">
        <v>5695</v>
      </c>
      <c r="C9" s="318" t="s">
        <v>5696</v>
      </c>
      <c r="D9" s="164" t="str">
        <f>IFERROR(__xludf.DUMMYFUNCTION("GOOGLETRANSLATE(B9,""zh-tw"",""ja"")"),"物理攻撃：5。攻撃力と攻撃速度が向上します。")</f>
        <v>物理攻撃：5。攻撃力と攻撃速度が向上します。</v>
      </c>
      <c r="E9" s="318" t="s">
        <v>5697</v>
      </c>
      <c r="F9" s="163" t="s">
        <v>5698</v>
      </c>
      <c r="G9" s="320" t="str">
        <f>IFERROR(__xludf.DUMMYFUNCTION("GOOGLETRANSLATE(A9,""zh-tw"",""zh"")"),"借来的猫爪")</f>
        <v>借来的猫爪</v>
      </c>
      <c r="H9" s="164" t="str">
        <f>IFERROR(__xludf.DUMMYFUNCTION("GOOGLETRANSLATE(B9,""zh-tw"",""zh"")"),"物攻：5
攻击力、攻速上升")</f>
        <v>物攻：5
攻击力、攻速上升</v>
      </c>
      <c r="I9" s="318" t="s">
        <v>5699</v>
      </c>
      <c r="J9" s="164" t="str">
        <f>IFERROR(__xludf.DUMMYFUNCTION("GOOGLETRANSLATE(B9,""zh-tw"",""es-MX"")"),"Ataque físico: 5. Aumenta el poder de ataque y la velocidad de ataque.")</f>
        <v>Ataque físico: 5. Aumenta el poder de ataque y la velocidad de ataque.</v>
      </c>
      <c r="K9" s="318" t="s">
        <v>5700</v>
      </c>
      <c r="L9" s="163" t="s">
        <v>5701</v>
      </c>
      <c r="M9" s="321" t="str">
        <f>IFERROR(__xludf.DUMMYFUNCTION("GOOGLETRANSLATE(A9,""zh-tw"",""ru"")"),"одолженная кошачья лапа")</f>
        <v>одолженная кошачья лапа</v>
      </c>
      <c r="N9" s="303" t="str">
        <f>IFERROR(__xludf.DUMMYFUNCTION("GOOGLETRANSLATE(B9,""zh-tw"",""ru"")"),"Физическая атака: 5. Увеличивает силу и скорость атаки.")</f>
        <v>Физическая атака: 5. Увеличивает силу и скорость атаки.</v>
      </c>
      <c r="O9" s="319" t="s">
        <v>5702</v>
      </c>
      <c r="P9" s="305" t="s">
        <v>5703</v>
      </c>
      <c r="Q9" s="322" t="s">
        <v>5704</v>
      </c>
      <c r="R9" s="323" t="s">
        <v>5705</v>
      </c>
      <c r="S9" s="320" t="s">
        <v>5706</v>
      </c>
      <c r="T9" s="164" t="s">
        <v>5707</v>
      </c>
      <c r="U9" s="20"/>
      <c r="V9" s="20"/>
      <c r="W9" s="20"/>
      <c r="X9" s="20"/>
      <c r="Y9" s="20"/>
      <c r="Z9" s="20"/>
    </row>
    <row r="10">
      <c r="A10" s="319" t="s">
        <v>5708</v>
      </c>
      <c r="B10" s="305" t="s">
        <v>5709</v>
      </c>
      <c r="C10" s="318" t="s">
        <v>5710</v>
      </c>
      <c r="D10" s="16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8" t="s">
        <v>5711</v>
      </c>
      <c r="F10" s="163" t="s">
        <v>5712</v>
      </c>
      <c r="G10" s="320" t="str">
        <f>IFERROR(__xludf.DUMMYFUNCTION("GOOGLETRANSLATE(A10,""zh-tw"",""zh"")"),"借来的猫足")</f>
        <v>借来的猫足</v>
      </c>
      <c r="H10" s="164"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6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8" t="s">
        <v>5713</v>
      </c>
      <c r="L10" s="163" t="s">
        <v>5714</v>
      </c>
      <c r="M10" s="321" t="str">
        <f>IFERROR(__xludf.DUMMYFUNCTION("GOOGLETRANSLATE(A10,""zh-tw"",""ru"")"),"одолженные кошачьи лапки")</f>
        <v>одолженные кошачьи лапки</v>
      </c>
      <c r="N10" s="303"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9" t="s">
        <v>5715</v>
      </c>
      <c r="P10" s="305" t="s">
        <v>5716</v>
      </c>
      <c r="Q10" s="322" t="s">
        <v>5717</v>
      </c>
      <c r="R10" s="323" t="s">
        <v>5718</v>
      </c>
      <c r="S10" s="320" t="s">
        <v>5719</v>
      </c>
      <c r="T10" s="164" t="s">
        <v>5720</v>
      </c>
      <c r="U10" s="20"/>
      <c r="V10" s="20"/>
      <c r="W10" s="20"/>
      <c r="X10" s="20"/>
      <c r="Y10" s="20"/>
      <c r="Z10" s="20"/>
    </row>
    <row r="11">
      <c r="A11" s="319" t="s">
        <v>5721</v>
      </c>
      <c r="B11" s="305" t="s">
        <v>5722</v>
      </c>
      <c r="C11" s="318" t="s">
        <v>4956</v>
      </c>
      <c r="D11" s="164" t="str">
        <f>IFERROR(__xludf.DUMMYFUNCTION("GOOGLETRANSLATE(B11,""zh-tw"",""ja"")"),"攻撃速度と攻撃回数を1増加します。")</f>
        <v>攻撃速度と攻撃回数を1増加します。</v>
      </c>
      <c r="E11" s="318" t="s">
        <v>4959</v>
      </c>
      <c r="F11" s="163" t="s">
        <v>5723</v>
      </c>
      <c r="G11" s="320" t="str">
        <f>IFERROR(__xludf.DUMMYFUNCTION("GOOGLETRANSLATE(A11,""zh-tw"",""zh"")"),"猫爪手套")</f>
        <v>猫爪手套</v>
      </c>
      <c r="H11" s="164"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64" t="str">
        <f>IFERROR(__xludf.DUMMYFUNCTION("GOOGLETRANSLATE(B11,""zh-tw"",""es-MX"")"),"Aumenta la velocidad de ataque y el conteo de ataques en 1.")</f>
        <v>Aumenta la velocidad de ataque y el conteo de ataques en 1.</v>
      </c>
      <c r="K11" s="318" t="s">
        <v>4961</v>
      </c>
      <c r="L11" s="163" t="s">
        <v>5724</v>
      </c>
      <c r="M11" s="321" t="str">
        <f>IFERROR(__xludf.DUMMYFUNCTION("GOOGLETRANSLATE(A11,""zh-tw"",""ru"")"),"Перчатки «кошачьи лапки»")</f>
        <v>Перчатки «кошачьи лапки»</v>
      </c>
      <c r="N11" s="303" t="str">
        <f>IFERROR(__xludf.DUMMYFUNCTION("GOOGLETRANSLATE(B11,""zh-tw"",""ru"")"),"Увеличьте скорость атаки и количество атак на 1.")</f>
        <v>Увеличьте скорость атаки и количество атак на 1.</v>
      </c>
      <c r="O11" s="319" t="s">
        <v>4963</v>
      </c>
      <c r="P11" s="305" t="s">
        <v>5725</v>
      </c>
      <c r="Q11" s="322" t="s">
        <v>5726</v>
      </c>
      <c r="R11" s="323" t="s">
        <v>5727</v>
      </c>
      <c r="S11" s="320" t="s">
        <v>4967</v>
      </c>
      <c r="T11" s="164" t="s">
        <v>5728</v>
      </c>
      <c r="U11" s="20"/>
      <c r="V11" s="20"/>
      <c r="W11" s="20"/>
      <c r="X11" s="20"/>
      <c r="Y11" s="20"/>
      <c r="Z11" s="20"/>
    </row>
    <row r="12">
      <c r="A12" s="319" t="s">
        <v>5729</v>
      </c>
      <c r="B12" s="305" t="s">
        <v>5730</v>
      </c>
      <c r="C12" s="318" t="s">
        <v>5731</v>
      </c>
      <c r="D12" s="16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8" t="s">
        <v>5732</v>
      </c>
      <c r="F12" s="163" t="s">
        <v>5733</v>
      </c>
      <c r="G12" s="320"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6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8" t="s">
        <v>5734</v>
      </c>
      <c r="L12" s="163" t="s">
        <v>5735</v>
      </c>
      <c r="M12" s="321" t="str">
        <f>IFERROR(__xludf.DUMMYFUNCTION("GOOGLETRANSLATE(A12,""zh-tw"",""ru"")"),"Повязка на голову Perseverance")</f>
        <v>Повязка на голову Perseverance</v>
      </c>
      <c r="N12" s="303"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9" t="s">
        <v>5736</v>
      </c>
      <c r="P12" s="305" t="s">
        <v>5737</v>
      </c>
      <c r="Q12" s="322" t="s">
        <v>5738</v>
      </c>
      <c r="R12" s="323" t="s">
        <v>5739</v>
      </c>
      <c r="S12" s="320" t="s">
        <v>5740</v>
      </c>
      <c r="T12" s="164" t="s">
        <v>5741</v>
      </c>
      <c r="U12" s="20"/>
      <c r="V12" s="20"/>
      <c r="W12" s="20"/>
      <c r="X12" s="20"/>
      <c r="Y12" s="20"/>
      <c r="Z12" s="20"/>
    </row>
    <row r="13">
      <c r="A13" s="319" t="s">
        <v>5742</v>
      </c>
      <c r="B13" s="305" t="s">
        <v>5743</v>
      </c>
      <c r="C13" s="320" t="str">
        <f>IFERROR(__xludf.DUMMYFUNCTION("GOOGLETRANSLATE(A13,""zh-tw"",""ja"")"),"招き猫")</f>
        <v>招き猫</v>
      </c>
      <c r="D13" s="163" t="s">
        <v>5744</v>
      </c>
      <c r="E13" s="318" t="s">
        <v>5745</v>
      </c>
      <c r="F13" s="163" t="s">
        <v>5746</v>
      </c>
      <c r="G13" s="320" t="str">
        <f>IFERROR(__xludf.DUMMYFUNCTION("GOOGLETRANSLATE(A13,""zh-tw"",""zh"")"),"招财猫")</f>
        <v>招财猫</v>
      </c>
      <c r="H13" s="164" t="str">
        <f>IFERROR(__xludf.DUMMYFUNCTION("GOOGLETRANSLATE(B13,""zh-tw"",""zh"")"),"魔抗：10
幸运：50
吸取物品")</f>
        <v>魔抗：10
幸运：50
吸取物品</v>
      </c>
      <c r="I13" s="320"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18" t="s">
        <v>5747</v>
      </c>
      <c r="L13" s="163" t="s">
        <v>5748</v>
      </c>
      <c r="M13" s="321" t="str">
        <f>IFERROR(__xludf.DUMMYFUNCTION("GOOGLETRANSLATE(A13,""zh-tw"",""ru"")"),"Счастливый кот")</f>
        <v>Счастливый кот</v>
      </c>
      <c r="N13" s="303" t="str">
        <f>IFERROR(__xludf.DUMMYFUNCTION("GOOGLETRANSLATE(B13,""zh-tw"",""ru"")"),"Сопротивление магии: 10
Удача: 50
Поглощение предметов")</f>
        <v>Сопротивление магии: 10
Удача: 50
Поглощение предметов</v>
      </c>
      <c r="O13" s="319" t="s">
        <v>5749</v>
      </c>
      <c r="P13" s="305" t="s">
        <v>5750</v>
      </c>
      <c r="Q13" s="322" t="s">
        <v>5751</v>
      </c>
      <c r="R13" s="323" t="s">
        <v>5752</v>
      </c>
      <c r="S13" s="320" t="s">
        <v>5753</v>
      </c>
      <c r="T13" s="164" t="s">
        <v>5754</v>
      </c>
      <c r="U13" s="20"/>
      <c r="V13" s="20"/>
      <c r="W13" s="20"/>
      <c r="X13" s="20"/>
      <c r="Y13" s="20"/>
      <c r="Z13" s="20"/>
    </row>
    <row r="14">
      <c r="A14" s="319" t="s">
        <v>5755</v>
      </c>
      <c r="B14" s="305" t="s">
        <v>5756</v>
      </c>
      <c r="C14" s="320" t="str">
        <f>IFERROR(__xludf.DUMMYFUNCTION("GOOGLETRANSLATE(A14,""zh-tw"",""ja"")"),"怒りの拳")</f>
        <v>怒りの拳</v>
      </c>
      <c r="D14" s="164" t="str">
        <f>IFERROR(__xludf.DUMMYFUNCTION("GOOGLETRANSLATE(B14,""zh-tw"",""ja"")"),"物理攻撃力：1
魔法攻撃力：8
自動旋回攻撃")</f>
        <v>物理攻撃力：1
魔法攻撃力：8
自動旋回攻撃</v>
      </c>
      <c r="E14" s="318" t="s">
        <v>5757</v>
      </c>
      <c r="F14" s="163" t="s">
        <v>5758</v>
      </c>
      <c r="G14" s="320" t="str">
        <f>IFERROR(__xludf.DUMMYFUNCTION("GOOGLETRANSLATE(A14,""zh-tw"",""zh"")"),"愤怒的拳头")</f>
        <v>愤怒的拳头</v>
      </c>
      <c r="H14" s="164" t="str">
        <f>IFERROR(__xludf.DUMMYFUNCTION("GOOGLETRANSLATE(B14,""zh-tw"",""zh"")"),"物攻：1
魔攻：8
自动环绕攻击")</f>
        <v>物攻：1
魔攻：8
自动环绕攻击</v>
      </c>
      <c r="I14" s="320" t="str">
        <f>IFERROR(__xludf.DUMMYFUNCTION("GOOGLETRANSLATE(A14,""zh-tw"",""es-MX"")"),"Puño enojado")</f>
        <v>Puño enojado</v>
      </c>
      <c r="J14" s="164"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63" t="s">
        <v>5759</v>
      </c>
      <c r="M14" s="321" t="str">
        <f>IFERROR(__xludf.DUMMYFUNCTION("GOOGLETRANSLATE(A14,""zh-tw"",""ru"")"),"Злой кулак")</f>
        <v>Злой кулак</v>
      </c>
      <c r="N14" s="303" t="str">
        <f>IFERROR(__xludf.DUMMYFUNCTION("GOOGLETRANSLATE(B14,""zh-tw"",""ru"")"),"Физическая атака: 1
Магическая атака: 8
Атака с автокругом")</f>
        <v>Физическая атака: 1
Магическая атака: 8
Атака с автокругом</v>
      </c>
      <c r="O14" s="319" t="s">
        <v>5760</v>
      </c>
      <c r="P14" s="305" t="s">
        <v>5761</v>
      </c>
      <c r="Q14" s="322" t="s">
        <v>5762</v>
      </c>
      <c r="R14" s="309" t="s">
        <v>5763</v>
      </c>
      <c r="S14" s="320" t="s">
        <v>5764</v>
      </c>
      <c r="T14" s="164" t="s">
        <v>5765</v>
      </c>
      <c r="U14" s="20"/>
      <c r="V14" s="20"/>
      <c r="W14" s="20"/>
      <c r="X14" s="20"/>
      <c r="Y14" s="20"/>
      <c r="Z14" s="20"/>
    </row>
    <row r="15">
      <c r="A15" s="319" t="s">
        <v>5766</v>
      </c>
      <c r="B15" s="305" t="s">
        <v>5756</v>
      </c>
      <c r="C15" s="318" t="s">
        <v>5767</v>
      </c>
      <c r="D15" s="163" t="s">
        <v>5768</v>
      </c>
      <c r="E15" s="318" t="s">
        <v>5769</v>
      </c>
      <c r="F15" s="163" t="s">
        <v>5770</v>
      </c>
      <c r="G15" s="320" t="str">
        <f>IFERROR(__xludf.DUMMYFUNCTION("GOOGLETRANSLATE(A15,""zh-tw"",""zh"")"),"毒蛇之拥")</f>
        <v>毒蛇之拥</v>
      </c>
      <c r="H15" s="164" t="str">
        <f>IFERROR(__xludf.DUMMYFUNCTION("GOOGLETRANSLATE(B15,""zh-tw"",""zh"")"),"物攻：1
魔攻：8
自动环绕攻击")</f>
        <v>物攻：1
魔攻：8
自动环绕攻击</v>
      </c>
      <c r="I15" s="320" t="str">
        <f>IFERROR(__xludf.DUMMYFUNCTION("GOOGLETRANSLATE(A15,""zh-tw"",""es-MX"")"),"El abrazo de la serpiente")</f>
        <v>El abrazo de la serpiente</v>
      </c>
      <c r="J15" s="164" t="str">
        <f>IFERROR(__xludf.DUMMYFUNCTION("GOOGLETRANSLATE(B15,""zh-tw"",""es-MX"")"),"Ataque físico: 1
Ataque mágico: 8
Ataque circular automático")</f>
        <v>Ataque físico: 1
Ataque mágico: 8
Ataque circular automático</v>
      </c>
      <c r="K15" s="318" t="s">
        <v>5771</v>
      </c>
      <c r="L15" s="163" t="s">
        <v>5759</v>
      </c>
      <c r="M15" s="321" t="str">
        <f>IFERROR(__xludf.DUMMYFUNCTION("GOOGLETRANSLATE(A15,""zh-tw"",""ru"")"),"Объятия Змеи")</f>
        <v>Объятия Змеи</v>
      </c>
      <c r="N15" s="303" t="str">
        <f>IFERROR(__xludf.DUMMYFUNCTION("GOOGLETRANSLATE(B15,""zh-tw"",""ru"")"),"Физическая атака: 1
Магическая атака: 8
Атака с автокругом")</f>
        <v>Физическая атака: 1
Магическая атака: 8
Атака с автокругом</v>
      </c>
      <c r="O15" s="319" t="s">
        <v>5772</v>
      </c>
      <c r="P15" s="305" t="s">
        <v>5773</v>
      </c>
      <c r="Q15" s="322" t="s">
        <v>5774</v>
      </c>
      <c r="R15" s="309" t="s">
        <v>5775</v>
      </c>
      <c r="S15" s="320" t="s">
        <v>5776</v>
      </c>
      <c r="T15" s="164" t="s">
        <v>5777</v>
      </c>
      <c r="U15" s="20"/>
      <c r="V15" s="20"/>
      <c r="W15" s="20"/>
      <c r="X15" s="20"/>
      <c r="Y15" s="20"/>
      <c r="Z15" s="20"/>
    </row>
    <row r="16">
      <c r="A16" s="319" t="s">
        <v>4700</v>
      </c>
      <c r="B16" s="305" t="s">
        <v>5778</v>
      </c>
      <c r="C16" s="320" t="str">
        <f>IFERROR(__xludf.DUMMYFUNCTION("GOOGLETRANSLATE(A16,""zh-tw"",""ja"")"),"火の鳥の羽")</f>
        <v>火の鳥の羽</v>
      </c>
      <c r="D16" s="164" t="str">
        <f>IFERROR(__xludf.DUMMYFUNCTION("GOOGLETRANSLATE(B16,""zh-tw"",""ja"")"),"復活し、体力を完全に回復します（消耗品）。")</f>
        <v>復活し、体力を完全に回復します（消耗品）。</v>
      </c>
      <c r="E16" s="318" t="s">
        <v>4705</v>
      </c>
      <c r="F16" s="163" t="s">
        <v>5779</v>
      </c>
      <c r="G16" s="320" t="str">
        <f>IFERROR(__xludf.DUMMYFUNCTION("GOOGLETRANSLATE(A16,""zh-tw"",""zh"")"),"火鸟的羽毛")</f>
        <v>火鸟的羽毛</v>
      </c>
      <c r="H16" s="164" t="str">
        <f>IFERROR(__xludf.DUMMYFUNCTION("GOOGLETRANSLATE(B16,""zh-tw"",""zh"")"),"复活并恢复全部体力(消耗品)")</f>
        <v>复活并恢复全部体力(消耗品)</v>
      </c>
      <c r="I16" s="320" t="str">
        <f>IFERROR(__xludf.DUMMYFUNCTION("GOOGLETRANSLATE(A16,""zh-tw"",""es-MX"")"),"Plumas de pájaro de fuego")</f>
        <v>Plumas de pájaro de fuego</v>
      </c>
      <c r="J16" s="164" t="str">
        <f>IFERROR(__xludf.DUMMYFUNCTION("GOOGLETRANSLATE(B16,""zh-tw"",""es-MX"")"),"Reanima y restaura la salud completa (consumible).")</f>
        <v>Reanima y restaura la salud completa (consumible).</v>
      </c>
      <c r="K16" s="319" t="s">
        <v>4708</v>
      </c>
      <c r="L16" s="163" t="s">
        <v>5780</v>
      </c>
      <c r="M16" s="321" t="str">
        <f>IFERROR(__xludf.DUMMYFUNCTION("GOOGLETRANSLATE(A16,""zh-tw"",""ru"")"),"Перья жар-птицы")</f>
        <v>Перья жар-птицы</v>
      </c>
      <c r="N16" s="303"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9" t="s">
        <v>4711</v>
      </c>
      <c r="P16" s="305" t="s">
        <v>5781</v>
      </c>
      <c r="Q16" s="322" t="s">
        <v>4714</v>
      </c>
      <c r="R16" s="309" t="s">
        <v>5782</v>
      </c>
      <c r="S16" s="320" t="s">
        <v>4716</v>
      </c>
      <c r="T16" s="164" t="s">
        <v>5783</v>
      </c>
      <c r="U16" s="20"/>
      <c r="V16" s="20"/>
      <c r="W16" s="20"/>
      <c r="X16" s="20"/>
      <c r="Y16" s="20"/>
      <c r="Z16" s="20"/>
    </row>
    <row r="17">
      <c r="A17" s="319" t="s">
        <v>5784</v>
      </c>
      <c r="B17" s="305" t="s">
        <v>5785</v>
      </c>
      <c r="C17" s="318" t="s">
        <v>5786</v>
      </c>
      <c r="D17" s="164" t="str">
        <f>IFERROR(__xludf.DUMMYFUNCTION("GOOGLETRANSLATE(B17,""zh-tw"",""ja"")"),"物理防御力: 2
魔法耐性: 15
落下ダメージ軽減")</f>
        <v>物理防御力: 2
魔法耐性: 15
落下ダメージ軽減</v>
      </c>
      <c r="E17" s="318" t="s">
        <v>5787</v>
      </c>
      <c r="F17" s="163" t="s">
        <v>5788</v>
      </c>
      <c r="G17" s="320" t="str">
        <f>IFERROR(__xludf.DUMMYFUNCTION("GOOGLETRANSLATE(A17,""zh-tw"",""zh"")"),"倒吊人的骨戒")</f>
        <v>倒吊人的骨戒</v>
      </c>
      <c r="H17" s="164"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64" t="str">
        <f>IFERROR(__xludf.DUMMYFUNCTION("GOOGLETRANSLATE(B17,""zh-tw"",""es-MX"")"),"Defensa física: 2
Resistencia mágica: 15
Reducción de daño por caída")</f>
        <v>Defensa física: 2
Resistencia mágica: 15
Reducción de daño por caída</v>
      </c>
      <c r="K17" s="318" t="s">
        <v>5789</v>
      </c>
      <c r="L17" s="163" t="s">
        <v>5790</v>
      </c>
      <c r="M17" s="321" t="str">
        <f>IFERROR(__xludf.DUMMYFUNCTION("GOOGLETRANSLATE(A17,""zh-tw"",""ru"")"),"Кольцо из костей повешенного")</f>
        <v>Кольцо из костей повешенного</v>
      </c>
      <c r="N17" s="303"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9" t="s">
        <v>5791</v>
      </c>
      <c r="P17" s="305" t="s">
        <v>5792</v>
      </c>
      <c r="Q17" s="322" t="s">
        <v>5793</v>
      </c>
      <c r="R17" s="309" t="s">
        <v>5794</v>
      </c>
      <c r="S17" s="320" t="s">
        <v>5795</v>
      </c>
      <c r="T17" s="164" t="s">
        <v>5796</v>
      </c>
      <c r="U17" s="20"/>
      <c r="V17" s="20"/>
      <c r="W17" s="20"/>
      <c r="X17" s="20"/>
      <c r="Y17" s="20"/>
      <c r="Z17" s="20"/>
    </row>
    <row r="18">
      <c r="A18" s="318" t="s">
        <v>5797</v>
      </c>
      <c r="B18" s="163" t="s">
        <v>5798</v>
      </c>
      <c r="C18" s="318" t="s">
        <v>5799</v>
      </c>
      <c r="D18" s="164"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0" t="str">
        <f>IFERROR(__xludf.DUMMYFUNCTION("GOOGLETRANSLATE(A18,""zh-tw"",""en"")"),"Martial Arts Wristguards")</f>
        <v>Martial Arts Wristguards</v>
      </c>
      <c r="F18" s="163" t="s">
        <v>5800</v>
      </c>
      <c r="G18" s="320" t="str">
        <f>IFERROR(__xludf.DUMMYFUNCTION("GOOGLETRANSLATE(A18,""zh-tw"",""zh"")"),"武术家护腕")</f>
        <v>武术家护腕</v>
      </c>
      <c r="H18" s="164"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6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64"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1" t="str">
        <f>IFERROR(__xludf.DUMMYFUNCTION("GOOGLETRANSLATE(A18,""zh-tw"",""ru"")"),"Наручи для боевых искусств")</f>
        <v>Наручи для боевых искусств</v>
      </c>
      <c r="N18" s="303"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9" t="s">
        <v>5801</v>
      </c>
      <c r="P18" s="305" t="s">
        <v>5802</v>
      </c>
      <c r="Q18" s="322" t="s">
        <v>5803</v>
      </c>
      <c r="R18" s="309" t="s">
        <v>5804</v>
      </c>
      <c r="S18" s="320" t="s">
        <v>5805</v>
      </c>
      <c r="T18" s="164" t="s">
        <v>5806</v>
      </c>
      <c r="U18" s="20"/>
      <c r="V18" s="20"/>
      <c r="W18" s="20"/>
      <c r="X18" s="20"/>
      <c r="Y18" s="20"/>
      <c r="Z18" s="20"/>
    </row>
    <row r="19">
      <c r="A19" s="319" t="s">
        <v>5807</v>
      </c>
      <c r="B19" s="305" t="s">
        <v>5808</v>
      </c>
      <c r="C19" s="318" t="s">
        <v>5809</v>
      </c>
      <c r="D19" s="164" t="str">
        <f>IFERROR(__xludf.DUMMYFUNCTION("GOOGLETRANSLATE(B19,""zh-tw"",""ja"")"),"物理防御力：2
魔法耐性：10
フラッシュステップ効果強化")</f>
        <v>物理防御力：2
魔法耐性：10
フラッシュステップ効果強化</v>
      </c>
      <c r="E19" s="318" t="s">
        <v>5810</v>
      </c>
      <c r="F19" s="163" t="s">
        <v>5811</v>
      </c>
      <c r="G19" s="320" t="str">
        <f>IFERROR(__xludf.DUMMYFUNCTION("GOOGLETRANSLATE(A19,""zh-tw"",""zh"")"),"武术家之鞋")</f>
        <v>武术家之鞋</v>
      </c>
      <c r="H19" s="164" t="str">
        <f>IFERROR(__xludf.DUMMYFUNCTION("GOOGLETRANSLATE(B19,""zh-tw"",""zh"")"),"物防：2
魔抗：10
闪步效果强化")</f>
        <v>物防：2
魔抗：10
闪步效果强化</v>
      </c>
      <c r="I19" s="320" t="str">
        <f>IFERROR(__xludf.DUMMYFUNCTION("GOOGLETRANSLATE(A19,""zh-tw"",""es-MX"")"),"Zapatos de artista marcial")</f>
        <v>Zapatos de artista marcial</v>
      </c>
      <c r="J19" s="164"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64" t="str">
        <f>IFERROR(__xludf.DUMMYFUNCTION("GOOGLETRANSLATE(B19,""zh-tw"",""KO"")"),"물리 방어력: 2
마법 저항력: 10
플래시 스텝 효과 강화")</f>
        <v>물리 방어력: 2
마법 저항력: 10
플래시 스텝 효과 강화</v>
      </c>
      <c r="M19" s="321" t="str">
        <f>IFERROR(__xludf.DUMMYFUNCTION("GOOGLETRANSLATE(A19,""zh-tw"",""ru"")"),"Обувь для мастеров боевых искусств")</f>
        <v>Обувь для мастеров боевых искусств</v>
      </c>
      <c r="N19" s="30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9" t="s">
        <v>5812</v>
      </c>
      <c r="P19" s="305" t="s">
        <v>5813</v>
      </c>
      <c r="Q19" s="322" t="s">
        <v>5814</v>
      </c>
      <c r="R19" s="309" t="s">
        <v>5815</v>
      </c>
      <c r="S19" s="320" t="s">
        <v>5816</v>
      </c>
      <c r="T19" s="164" t="s">
        <v>5817</v>
      </c>
      <c r="U19" s="20"/>
      <c r="V19" s="20"/>
      <c r="W19" s="20"/>
      <c r="X19" s="20"/>
      <c r="Y19" s="20"/>
      <c r="Z19" s="20"/>
    </row>
    <row r="20">
      <c r="A20" s="319" t="s">
        <v>5818</v>
      </c>
      <c r="B20" s="305" t="s">
        <v>5819</v>
      </c>
      <c r="C20" s="318" t="s">
        <v>5820</v>
      </c>
      <c r="D20" s="164" t="str">
        <f>IFERROR(__xludf.DUMMYFUNCTION("GOOGLETRANSLATE(B20,""zh-tw"",""ja"")"),"物理防御力: 1
幸運: 60
アイテムドロップ率アップ")</f>
        <v>物理防御力: 1
幸運: 60
アイテムドロップ率アップ</v>
      </c>
      <c r="E20" s="318" t="s">
        <v>5821</v>
      </c>
      <c r="F20" s="163" t="s">
        <v>5822</v>
      </c>
      <c r="G20" s="320" t="str">
        <f>IFERROR(__xludf.DUMMYFUNCTION("GOOGLETRANSLATE(A20,""zh-tw"",""zh"")"),"萌萌兔耳")</f>
        <v>萌萌兔耳</v>
      </c>
      <c r="H20" s="164" t="str">
        <f>IFERROR(__xludf.DUMMYFUNCTION("GOOGLETRANSLATE(B20,""zh-tw"",""zh"")"),"物防：1
幸运：60
增加物品掉落率")</f>
        <v>物防：1
幸运：60
增加物品掉落率</v>
      </c>
      <c r="I20" s="320" t="str">
        <f>IFERROR(__xludf.DUMMYFUNCTION("GOOGLETRANSLATE(A20,""zh-tw"",""es-MX"")"),"Lindas orejas de conejo")</f>
        <v>Lindas orejas de conejo</v>
      </c>
      <c r="J20" s="164"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64" t="str">
        <f>IFERROR(__xludf.DUMMYFUNCTION("GOOGLETRANSLATE(B20,""zh-tw"",""KO"")"),"물리 방어력: 1
행운: 60
아이템 획득률 증가")</f>
        <v>물리 방어력: 1
행운: 60
아이템 획득률 증가</v>
      </c>
      <c r="M20" s="321" t="str">
        <f>IFERROR(__xludf.DUMMYFUNCTION("GOOGLETRANSLATE(A20,""zh-tw"",""ru"")"),"Милые ушки зайчика")</f>
        <v>Милые ушки зайчика</v>
      </c>
      <c r="N20" s="303"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9" t="s">
        <v>5823</v>
      </c>
      <c r="P20" s="305" t="s">
        <v>5824</v>
      </c>
      <c r="Q20" s="322" t="s">
        <v>5825</v>
      </c>
      <c r="R20" s="309" t="s">
        <v>5826</v>
      </c>
      <c r="S20" s="320" t="s">
        <v>5827</v>
      </c>
      <c r="T20" s="164" t="s">
        <v>5828</v>
      </c>
      <c r="U20" s="20"/>
      <c r="V20" s="20"/>
      <c r="W20" s="20"/>
      <c r="X20" s="20"/>
      <c r="Y20" s="20"/>
      <c r="Z20" s="20"/>
    </row>
    <row r="21">
      <c r="A21" s="319" t="s">
        <v>5829</v>
      </c>
      <c r="B21" s="305" t="s">
        <v>5830</v>
      </c>
      <c r="C21" s="320" t="str">
        <f>IFERROR(__xludf.DUMMYFUNCTION("GOOGLETRANSLATE(A21,""zh-tw"",""ja"")"),"メイド服")</f>
        <v>メイド服</v>
      </c>
      <c r="D21" s="164" t="str">
        <f>IFERROR(__xludf.DUMMYFUNCTION("GOOGLETRANSLATE(B21,""zh-tw"",""ja"")"),"物理防御力: 4
魔法耐性: 4
幸運: 30
攻撃不可、特殊効果")</f>
        <v>物理防御力: 4
魔法耐性: 4
幸運: 30
攻撃不可、特殊効果</v>
      </c>
      <c r="E21" s="318" t="s">
        <v>5831</v>
      </c>
      <c r="F21" s="163" t="s">
        <v>5832</v>
      </c>
      <c r="G21" s="320" t="str">
        <f>IFERROR(__xludf.DUMMYFUNCTION("GOOGLETRANSLATE(A21,""zh-tw"",""zh"")"),"女仆制服")</f>
        <v>女仆制服</v>
      </c>
      <c r="H21" s="164"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64" t="str">
        <f>IFERROR(__xludf.DUMMYFUNCTION("GOOGLETRANSLATE(B21,""zh-tw"",""es-MX"")"),"Defensa física: 4
Resistencia mágica: 4
Suerte: 30
No puede atacar, efecto especial")</f>
        <v>Defensa física: 4
Resistencia mágica: 4
Suerte: 30
No puede atacar, efecto especial</v>
      </c>
      <c r="K21" s="319" t="s">
        <v>5833</v>
      </c>
      <c r="L21" s="163" t="s">
        <v>5834</v>
      </c>
      <c r="M21" s="321" t="str">
        <f>IFERROR(__xludf.DUMMYFUNCTION("GOOGLETRANSLATE(A21,""zh-tw"",""ru"")"),"Униформа горничной")</f>
        <v>Униформа горничной</v>
      </c>
      <c r="N21" s="30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9" t="s">
        <v>5835</v>
      </c>
      <c r="P21" s="305" t="s">
        <v>5836</v>
      </c>
      <c r="Q21" s="322" t="s">
        <v>5837</v>
      </c>
      <c r="R21" s="323" t="s">
        <v>5838</v>
      </c>
      <c r="S21" s="320" t="s">
        <v>5839</v>
      </c>
      <c r="T21" s="164" t="s">
        <v>5840</v>
      </c>
      <c r="U21" s="20"/>
      <c r="V21" s="20"/>
      <c r="W21" s="20"/>
      <c r="X21" s="20"/>
      <c r="Y21" s="20"/>
      <c r="Z21" s="20"/>
    </row>
    <row r="22">
      <c r="A22" s="319" t="s">
        <v>5841</v>
      </c>
      <c r="B22" s="305" t="s">
        <v>5842</v>
      </c>
      <c r="C22" s="318" t="s">
        <v>5843</v>
      </c>
      <c r="D22" s="164" t="str">
        <f>IFERROR(__xludf.DUMMYFUNCTION("GOOGLETRANSLATE(B22,""zh-tw"",""ja"")"),"魔法攻撃力：20
魔法耐性：10
詠唱速度が上昇し、最大魔法威力が上昇")</f>
        <v>魔法攻撃力：20
魔法耐性：10
詠唱速度が上昇し、最大魔法威力が上昇</v>
      </c>
      <c r="E22" s="318" t="s">
        <v>5844</v>
      </c>
      <c r="F22" s="163" t="s">
        <v>5845</v>
      </c>
      <c r="G22" s="320" t="str">
        <f>IFERROR(__xludf.DUMMYFUNCTION("GOOGLETRANSLATE(A22,""zh-tw"",""zh"")"),"魔力晶簇")</f>
        <v>魔力晶簇</v>
      </c>
      <c r="H22" s="164"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6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8" t="s">
        <v>5846</v>
      </c>
      <c r="L22" s="163" t="s">
        <v>5847</v>
      </c>
      <c r="M22" s="321" t="str">
        <f>IFERROR(__xludf.DUMMYFUNCTION("GOOGLETRANSLATE(A22,""zh-tw"",""ru"")"),"Магический кристаллический кластер")</f>
        <v>Магический кристаллический кластер</v>
      </c>
      <c r="N22" s="303"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9" t="s">
        <v>5848</v>
      </c>
      <c r="P22" s="305" t="s">
        <v>5849</v>
      </c>
      <c r="Q22" s="322" t="s">
        <v>5850</v>
      </c>
      <c r="R22" s="309" t="s">
        <v>5851</v>
      </c>
      <c r="S22" s="320" t="s">
        <v>5852</v>
      </c>
      <c r="T22" s="164" t="s">
        <v>5853</v>
      </c>
      <c r="U22" s="20"/>
      <c r="V22" s="20"/>
      <c r="W22" s="20"/>
      <c r="X22" s="20"/>
      <c r="Y22" s="20"/>
      <c r="Z22" s="20"/>
    </row>
    <row r="23">
      <c r="A23" s="319" t="s">
        <v>5854</v>
      </c>
      <c r="B23" s="305" t="s">
        <v>5855</v>
      </c>
      <c r="C23" s="318" t="s">
        <v>5856</v>
      </c>
      <c r="D23" s="164" t="str">
        <f>IFERROR(__xludf.DUMMYFUNCTION("GOOGLETRANSLATE(B23,""zh-tw"",""ja"")"),"魔法攻撃力：35
魔法耐性：20
詠唱速度が上昇し、最大魔法威力が上昇")</f>
        <v>魔法攻撃力：35
魔法耐性：20
詠唱速度が上昇し、最大魔法威力が上昇</v>
      </c>
      <c r="E23" s="318" t="s">
        <v>5857</v>
      </c>
      <c r="F23" s="163" t="s">
        <v>5858</v>
      </c>
      <c r="G23" s="320" t="str">
        <f>IFERROR(__xludf.DUMMYFUNCTION("GOOGLETRANSLATE(A23,""zh-tw"",""zh"")"),"深邃魔力晶簇")</f>
        <v>深邃魔力晶簇</v>
      </c>
      <c r="H23" s="164"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6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9" t="s">
        <v>5859</v>
      </c>
      <c r="L23" s="163" t="s">
        <v>5860</v>
      </c>
      <c r="M23" s="321" t="str">
        <f>IFERROR(__xludf.DUMMYFUNCTION("GOOGLETRANSLATE(A23,""zh-tw"",""ru"")"),"Кристаллический кластер глубокой магии")</f>
        <v>Кристаллический кластер глубокой магии</v>
      </c>
      <c r="N23" s="30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9" t="s">
        <v>5861</v>
      </c>
      <c r="P23" s="305" t="s">
        <v>5862</v>
      </c>
      <c r="Q23" s="322" t="s">
        <v>5863</v>
      </c>
      <c r="R23" s="309" t="s">
        <v>5864</v>
      </c>
      <c r="S23" s="320" t="s">
        <v>5865</v>
      </c>
      <c r="T23" s="164" t="s">
        <v>5866</v>
      </c>
      <c r="U23" s="20"/>
      <c r="V23" s="20"/>
      <c r="W23" s="20"/>
      <c r="X23" s="20"/>
      <c r="Y23" s="20"/>
      <c r="Z23" s="20"/>
    </row>
    <row r="24">
      <c r="A24" s="319" t="s">
        <v>5867</v>
      </c>
      <c r="B24" s="305" t="s">
        <v>5868</v>
      </c>
      <c r="C24" s="318" t="s">
        <v>5869</v>
      </c>
      <c r="D24" s="164" t="str">
        <f>IFERROR(__xludf.DUMMYFUNCTION("GOOGLETRANSLATE(B24,""zh-tw"",""ja"")"),"スタミナが基本値の25から2%増加し、スタミナ回復効果が20%増加しました。")</f>
        <v>スタミナが基本値の25から2%増加し、スタミナ回復効果が20%増加しました。</v>
      </c>
      <c r="E24" s="318" t="s">
        <v>5870</v>
      </c>
      <c r="F24" s="163" t="s">
        <v>5871</v>
      </c>
      <c r="G24" s="320"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6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63" t="s">
        <v>5872</v>
      </c>
      <c r="M24" s="321" t="str">
        <f>IFERROR(__xludf.DUMMYFUNCTION("GOOGLETRANSLATE(A24,""zh-tw"",""ru"")"),"Проклятый плод")</f>
        <v>Проклятый плод</v>
      </c>
      <c r="N24" s="303"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9" t="s">
        <v>5873</v>
      </c>
      <c r="P24" s="305" t="s">
        <v>5874</v>
      </c>
      <c r="Q24" s="322" t="s">
        <v>5875</v>
      </c>
      <c r="R24" s="323" t="s">
        <v>5876</v>
      </c>
      <c r="S24" s="320" t="s">
        <v>5877</v>
      </c>
      <c r="T24" s="164" t="s">
        <v>5878</v>
      </c>
      <c r="U24" s="20"/>
      <c r="V24" s="20"/>
      <c r="W24" s="20"/>
      <c r="X24" s="20"/>
      <c r="Y24" s="20"/>
      <c r="Z24" s="20"/>
    </row>
    <row r="25">
      <c r="A25" s="319" t="s">
        <v>5879</v>
      </c>
      <c r="B25" s="305" t="s">
        <v>5880</v>
      </c>
      <c r="C25" s="318" t="s">
        <v>5881</v>
      </c>
      <c r="D25" s="164"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8" t="s">
        <v>5882</v>
      </c>
      <c r="F25" s="163" t="s">
        <v>5883</v>
      </c>
      <c r="G25" s="320"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64"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0" t="str">
        <f>IFERROR(__xludf.DUMMYFUNCTION("GOOGLETRANSLATE(A25,""zh-tw"",""KO"")"),"불행한 탄생")</f>
        <v>불행한 탄생</v>
      </c>
      <c r="L25" s="163" t="s">
        <v>5884</v>
      </c>
      <c r="M25" s="321" t="str">
        <f>IFERROR(__xludf.DUMMYFUNCTION("GOOGLETRANSLATE(A25,""zh-tw"",""ru"")"),"Неудачное рождение")</f>
        <v>Неудачное рождение</v>
      </c>
      <c r="N25" s="303"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19" t="s">
        <v>5885</v>
      </c>
      <c r="P25" s="305" t="s">
        <v>5886</v>
      </c>
      <c r="Q25" s="322" t="s">
        <v>5887</v>
      </c>
      <c r="R25" s="309" t="s">
        <v>5888</v>
      </c>
      <c r="S25" s="320" t="s">
        <v>5889</v>
      </c>
      <c r="T25" s="164" t="s">
        <v>5890</v>
      </c>
      <c r="U25" s="20"/>
      <c r="V25" s="20"/>
      <c r="W25" s="20"/>
      <c r="X25" s="20"/>
      <c r="Y25" s="20"/>
      <c r="Z25" s="20"/>
    </row>
    <row r="26">
      <c r="A26" s="318" t="s">
        <v>5891</v>
      </c>
      <c r="B26" s="163" t="s">
        <v>5892</v>
      </c>
      <c r="C26" s="318" t="s">
        <v>5893</v>
      </c>
      <c r="D26" s="163" t="s">
        <v>5894</v>
      </c>
      <c r="E26" s="318" t="s">
        <v>5895</v>
      </c>
      <c r="F26" s="163" t="s">
        <v>5896</v>
      </c>
      <c r="G26" s="320" t="str">
        <f>IFERROR(__xludf.DUMMYFUNCTION("GOOGLETRANSLATE(A26,""zh-tw"",""zh"")"),"调皮的杰克")</f>
        <v>调皮的杰克</v>
      </c>
      <c r="H26" s="164"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6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63" t="s">
        <v>5897</v>
      </c>
      <c r="M26" s="321" t="str">
        <f>IFERROR(__xludf.DUMMYFUNCTION("GOOGLETRANSLATE(A26,""zh-tw"",""ru"")"),"Озорной Джек")</f>
        <v>Озорной Джек</v>
      </c>
      <c r="N26" s="303"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9" t="s">
        <v>5898</v>
      </c>
      <c r="P26" s="305" t="s">
        <v>5899</v>
      </c>
      <c r="Q26" s="322" t="s">
        <v>5900</v>
      </c>
      <c r="R26" s="163" t="s">
        <v>5901</v>
      </c>
      <c r="S26" s="320" t="s">
        <v>5902</v>
      </c>
      <c r="T26" s="164" t="s">
        <v>5903</v>
      </c>
      <c r="U26" s="20"/>
      <c r="V26" s="20"/>
      <c r="W26" s="20"/>
      <c r="X26" s="20"/>
      <c r="Y26" s="20"/>
      <c r="Z26" s="20"/>
    </row>
    <row r="27">
      <c r="A27" s="318" t="s">
        <v>5904</v>
      </c>
      <c r="B27" s="163" t="s">
        <v>5905</v>
      </c>
      <c r="C27" s="318" t="s">
        <v>5906</v>
      </c>
      <c r="D27" s="164"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8" t="s">
        <v>5907</v>
      </c>
      <c r="F27" s="163" t="s">
        <v>5908</v>
      </c>
      <c r="G27" s="320"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18" t="s">
        <v>5909</v>
      </c>
      <c r="J27" s="16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8" t="s">
        <v>5910</v>
      </c>
      <c r="L27" s="163" t="s">
        <v>5911</v>
      </c>
      <c r="M27" s="321" t="str">
        <f>IFERROR(__xludf.DUMMYFUNCTION("GOOGLETRANSLATE(A27,""zh-tw"",""ru"")"),"Незавершённый Святой Грааль")</f>
        <v>Незавершённый Святой Грааль</v>
      </c>
      <c r="N27" s="303"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19" t="s">
        <v>5912</v>
      </c>
      <c r="P27" s="305" t="s">
        <v>5913</v>
      </c>
      <c r="Q27" s="322" t="s">
        <v>5914</v>
      </c>
      <c r="R27" s="323" t="s">
        <v>5915</v>
      </c>
      <c r="S27" s="326" t="s">
        <v>5907</v>
      </c>
      <c r="T27" s="164" t="s">
        <v>5916</v>
      </c>
      <c r="U27" s="20"/>
      <c r="V27" s="20"/>
      <c r="W27" s="20"/>
      <c r="X27" s="20"/>
      <c r="Y27" s="20"/>
      <c r="Z27" s="20"/>
    </row>
    <row r="28">
      <c r="A28" s="318" t="s">
        <v>5917</v>
      </c>
      <c r="B28" s="163" t="s">
        <v>5918</v>
      </c>
      <c r="C28" s="318" t="s">
        <v>5919</v>
      </c>
      <c r="D28" s="164" t="str">
        <f>IFERROR(__xludf.DUMMYFUNCTION("GOOGLETRANSLATE(B28,""zh-tw"",""ja"")"),"爆発効果または爆発軽減を発動する確率が低い。")</f>
        <v>爆発効果または爆発軽減を発動する確率が低い。</v>
      </c>
      <c r="E28" s="318" t="s">
        <v>5920</v>
      </c>
      <c r="F28" s="163" t="s">
        <v>5921</v>
      </c>
      <c r="G28" s="320" t="str">
        <f>IFERROR(__xludf.DUMMYFUNCTION("GOOGLETRANSLATE(A28,""zh-tw"",""zh"")"),"炸弹魔之魂")</f>
        <v>炸弹魔之魂</v>
      </c>
      <c r="H28" s="164" t="str">
        <f>IFERROR(__xludf.DUMMYFUNCTION("GOOGLETRANSLATE(B28,""zh-tw"",""zh"")"),"小概率附带爆炸效果、爆炸减免")</f>
        <v>小概率附带爆炸效果、爆炸减免</v>
      </c>
      <c r="I28" s="320" t="str">
        <f>IFERROR(__xludf.DUMMYFUNCTION("GOOGLETRANSLATE(A28,""zh-tw"",""es-MX"")"),"Alma del bombardero")</f>
        <v>Alma del bombardero</v>
      </c>
      <c r="J28" s="164" t="str">
        <f>IFERROR(__xludf.DUMMYFUNCTION("GOOGLETRANSLATE(B28,""zh-tw"",""es-MX"")"),"Baja probabilidad de activar un efecto de explosión o reducción de explosión.")</f>
        <v>Baja probabilidad de activar un efecto de explosión o reducción de explosión.</v>
      </c>
      <c r="K28" s="319" t="s">
        <v>5922</v>
      </c>
      <c r="L28" s="163" t="s">
        <v>5923</v>
      </c>
      <c r="M28" s="321" t="str">
        <f>IFERROR(__xludf.DUMMYFUNCTION("GOOGLETRANSLATE(A28,""zh-tw"",""ru"")"),"Душа бомбардировщика")</f>
        <v>Душа бомбардировщика</v>
      </c>
      <c r="N28" s="303"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9" t="s">
        <v>5924</v>
      </c>
      <c r="P28" s="305" t="s">
        <v>5925</v>
      </c>
      <c r="Q28" s="322" t="s">
        <v>5926</v>
      </c>
      <c r="R28" s="323" t="s">
        <v>5927</v>
      </c>
      <c r="S28" s="320" t="s">
        <v>5928</v>
      </c>
      <c r="T28" s="164" t="s">
        <v>5929</v>
      </c>
      <c r="U28" s="20"/>
      <c r="V28" s="20"/>
      <c r="W28" s="20"/>
      <c r="X28" s="20"/>
      <c r="Y28" s="20"/>
      <c r="Z28" s="20"/>
    </row>
    <row r="29">
      <c r="A29" s="318" t="s">
        <v>5930</v>
      </c>
      <c r="B29" s="163" t="s">
        <v>5931</v>
      </c>
      <c r="C29" s="318" t="s">
        <v>5932</v>
      </c>
      <c r="D29" s="164" t="str">
        <f>IFERROR(__xludf.DUMMYFUNCTION("GOOGLETRANSLATE(B29,""zh-tw"",""ja"")"),"物理攻撃力: 4
魔法耐性: 8
幸運: 4
爆弾効果強化
(爆弾投下時に連鎖爆発の確率)")</f>
        <v>物理攻撃力: 4
魔法耐性: 8
幸運: 4
爆弾効果強化
(爆弾投下時に連鎖爆発の確率)</v>
      </c>
      <c r="E29" s="318" t="s">
        <v>5933</v>
      </c>
      <c r="F29" s="163" t="s">
        <v>5934</v>
      </c>
      <c r="G29" s="320" t="str">
        <f>IFERROR(__xludf.DUMMYFUNCTION("GOOGLETRANSLATE(A29,""zh-tw"",""zh"")"),"纵火狂的防烫手套")</f>
        <v>纵火狂的防烫手套</v>
      </c>
      <c r="H29" s="164"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6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8" t="s">
        <v>5935</v>
      </c>
      <c r="L29" s="163" t="s">
        <v>5936</v>
      </c>
      <c r="M29" s="321" t="str">
        <f>IFERROR(__xludf.DUMMYFUNCTION("GOOGLETRANSLATE(A29,""zh-tw"",""ru"")"),"Термостойкие перчатки поджигателя")</f>
        <v>Термостойкие перчатки поджигателя</v>
      </c>
      <c r="N29" s="30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9" t="s">
        <v>5937</v>
      </c>
      <c r="P29" s="305" t="s">
        <v>5938</v>
      </c>
      <c r="Q29" s="322" t="s">
        <v>5939</v>
      </c>
      <c r="R29" s="309" t="s">
        <v>5940</v>
      </c>
      <c r="S29" s="320" t="s">
        <v>5941</v>
      </c>
      <c r="T29" s="164" t="s">
        <v>5942</v>
      </c>
      <c r="U29" s="20"/>
      <c r="V29" s="20"/>
      <c r="W29" s="20"/>
      <c r="X29" s="20"/>
      <c r="Y29" s="20"/>
      <c r="Z29" s="20"/>
    </row>
    <row r="30">
      <c r="A30" s="319" t="s">
        <v>5943</v>
      </c>
      <c r="B30" s="305" t="s">
        <v>5944</v>
      </c>
      <c r="C30" s="318" t="s">
        <v>5945</v>
      </c>
      <c r="D30" s="16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8" t="s">
        <v>5946</v>
      </c>
      <c r="F30" s="163" t="s">
        <v>5947</v>
      </c>
      <c r="G30" s="320" t="str">
        <f>IFERROR(__xludf.DUMMYFUNCTION("GOOGLETRANSLATE(A30,""zh-tw"",""zh"")"),"魔力汲取手套")</f>
        <v>魔力汲取手套</v>
      </c>
      <c r="H30" s="164"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6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9" t="s">
        <v>5948</v>
      </c>
      <c r="L30" s="163" t="s">
        <v>5949</v>
      </c>
      <c r="M30" s="321" t="str">
        <f>IFERROR(__xludf.DUMMYFUNCTION("GOOGLETRANSLATE(A30,""zh-tw"",""ru"")"),"Перчатки магического поглощения")</f>
        <v>Перчатки магического поглощения</v>
      </c>
      <c r="N30" s="30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9" t="s">
        <v>5950</v>
      </c>
      <c r="P30" s="305" t="s">
        <v>5951</v>
      </c>
      <c r="Q30" s="322" t="s">
        <v>5952</v>
      </c>
      <c r="R30" s="309" t="s">
        <v>5953</v>
      </c>
      <c r="S30" s="320" t="s">
        <v>5954</v>
      </c>
      <c r="T30" s="164" t="s">
        <v>5955</v>
      </c>
      <c r="U30" s="20"/>
      <c r="V30" s="20"/>
      <c r="W30" s="20"/>
      <c r="X30" s="20"/>
      <c r="Y30" s="20"/>
      <c r="Z30" s="20"/>
    </row>
    <row r="31">
      <c r="A31" s="319" t="s">
        <v>5956</v>
      </c>
      <c r="B31" s="305" t="s">
        <v>5957</v>
      </c>
      <c r="C31" s="318" t="s">
        <v>5958</v>
      </c>
      <c r="D31" s="164" t="str">
        <f>IFERROR(__xludf.DUMMYFUNCTION("GOOGLETRANSLATE(B31,""zh-tw"",""ja"")"),"物理攻撃: 2 物理防御: 6 ダメージを与えるアーマー")</f>
        <v>物理攻撃: 2 物理防御: 6 ダメージを与えるアーマー</v>
      </c>
      <c r="E31" s="318" t="s">
        <v>5959</v>
      </c>
      <c r="F31" s="163" t="s">
        <v>5960</v>
      </c>
      <c r="G31" s="320" t="str">
        <f>IFERROR(__xludf.DUMMYFUNCTION("GOOGLETRANSLATE(A31,""zh-tw"",""zh"")"),"穿刺钉甲")</f>
        <v>穿刺钉甲</v>
      </c>
      <c r="H31" s="164" t="str">
        <f>IFERROR(__xludf.DUMMYFUNCTION("GOOGLETRANSLATE(B31,""zh-tw"",""zh"")"),"物攻：2
物防：6
伤害型防具")</f>
        <v>物攻：2
物防：6
伤害型防具</v>
      </c>
      <c r="I31" s="320"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18" t="s">
        <v>5961</v>
      </c>
      <c r="L31" s="163" t="s">
        <v>5962</v>
      </c>
      <c r="M31" s="321" t="str">
        <f>IFERROR(__xludf.DUMMYFUNCTION("GOOGLETRANSLATE(A31,""zh-tw"",""ru"")"),"Броня с пронзительными гвоздями")</f>
        <v>Броня с пронзительными гвоздями</v>
      </c>
      <c r="N31" s="30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9" t="s">
        <v>5963</v>
      </c>
      <c r="P31" s="305" t="s">
        <v>5964</v>
      </c>
      <c r="Q31" s="322" t="s">
        <v>5965</v>
      </c>
      <c r="R31" s="323" t="s">
        <v>5966</v>
      </c>
      <c r="S31" s="320" t="s">
        <v>5967</v>
      </c>
      <c r="T31" s="164" t="s">
        <v>5968</v>
      </c>
      <c r="U31" s="20"/>
      <c r="V31" s="20"/>
      <c r="W31" s="20"/>
      <c r="X31" s="20"/>
      <c r="Y31" s="20"/>
      <c r="Z31" s="20"/>
    </row>
    <row r="32">
      <c r="A32" s="319" t="s">
        <v>5969</v>
      </c>
      <c r="B32" s="305" t="s">
        <v>5970</v>
      </c>
      <c r="C32" s="318" t="s">
        <v>5971</v>
      </c>
      <c r="D32" s="164" t="str">
        <f>IFERROR(__xludf.DUMMYFUNCTION("GOOGLETRANSLATE(B32,""zh-tw"",""ja"")"),"物理攻撃力：4
物理防御力：2
ダメージを与えるアーマー")</f>
        <v>物理攻撃力：4
物理防御力：2
ダメージを与えるアーマー</v>
      </c>
      <c r="E32" s="318" t="s">
        <v>5972</v>
      </c>
      <c r="F32" s="163" t="s">
        <v>5973</v>
      </c>
      <c r="G32" s="320" t="str">
        <f>IFERROR(__xludf.DUMMYFUNCTION("GOOGLETRANSLATE(A32,""zh-tw"",""zh"")"),"穿刺钉盔")</f>
        <v>穿刺钉盔</v>
      </c>
      <c r="H32" s="164" t="str">
        <f>IFERROR(__xludf.DUMMYFUNCTION("GOOGLETRANSLATE(B32,""zh-tw"",""zh"")"),"物攻：4
物防：2
伤害型防具")</f>
        <v>物攻：4
物防：2
伤害型防具</v>
      </c>
      <c r="I32" s="320" t="str">
        <f>IFERROR(__xludf.DUMMYFUNCTION("GOOGLETRANSLATE(A32,""zh-tw"",""es-MX"")"),"Casco perforante")</f>
        <v>Casco perforante</v>
      </c>
      <c r="J32" s="164" t="str">
        <f>IFERROR(__xludf.DUMMYFUNCTION("GOOGLETRANSLATE(B32,""zh-tw"",""es-MX"")"),"Ataque físico: 4
Defensa física: 2
Armadura que inflige daño")</f>
        <v>Ataque físico: 4
Defensa física: 2
Armadura que inflige daño</v>
      </c>
      <c r="K32" s="318" t="s">
        <v>5974</v>
      </c>
      <c r="L32" s="163" t="s">
        <v>5975</v>
      </c>
      <c r="M32" s="321" t="str">
        <f>IFERROR(__xludf.DUMMYFUNCTION("GOOGLETRANSLATE(A32,""zh-tw"",""ru"")"),"Пирсинг шлема")</f>
        <v>Пирсинг шлема</v>
      </c>
      <c r="N32" s="30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9" t="s">
        <v>5976</v>
      </c>
      <c r="P32" s="305" t="s">
        <v>5977</v>
      </c>
      <c r="Q32" s="322" t="s">
        <v>5978</v>
      </c>
      <c r="R32" s="323" t="s">
        <v>5979</v>
      </c>
      <c r="S32" s="320" t="s">
        <v>5980</v>
      </c>
      <c r="T32" s="164" t="s">
        <v>5981</v>
      </c>
      <c r="U32" s="20"/>
      <c r="V32" s="20"/>
      <c r="W32" s="20"/>
      <c r="X32" s="20"/>
      <c r="Y32" s="20"/>
      <c r="Z32" s="20"/>
    </row>
    <row r="33">
      <c r="A33" s="319" t="s">
        <v>5982</v>
      </c>
      <c r="B33" s="305" t="s">
        <v>5983</v>
      </c>
      <c r="C33" s="318" t="s">
        <v>5984</v>
      </c>
      <c r="D33" s="164" t="str">
        <f>IFERROR(__xludf.DUMMYFUNCTION("GOOGLETRANSLATE(B33,""zh-tw"",""ja"")"),"物理攻撃: 2 物理防御: 2 ダメージを与えるアーマー")</f>
        <v>物理攻撃: 2 物理防御: 2 ダメージを与えるアーマー</v>
      </c>
      <c r="E33" s="318" t="s">
        <v>5985</v>
      </c>
      <c r="F33" s="163" t="s">
        <v>5986</v>
      </c>
      <c r="G33" s="320" t="str">
        <f>IFERROR(__xludf.DUMMYFUNCTION("GOOGLETRANSLATE(A33,""zh-tw"",""zh"")"),"穿刺钉鞋")</f>
        <v>穿刺钉鞋</v>
      </c>
      <c r="H33" s="164" t="str">
        <f>IFERROR(__xludf.DUMMYFUNCTION("GOOGLETRANSLATE(B33,""zh-tw"",""zh"")"),"物攻：2
物防：2
伤害型防具")</f>
        <v>物攻：2
物防：2
伤害型防具</v>
      </c>
      <c r="I33" s="318" t="s">
        <v>5987</v>
      </c>
      <c r="J33" s="164" t="str">
        <f>IFERROR(__xludf.DUMMYFUNCTION("GOOGLETRANSLATE(B33,""zh-tw"",""es-MX"")"),"Ataque físico: 2 Defensa física: 2 Armadura que inflige daño")</f>
        <v>Ataque físico: 2 Defensa física: 2 Armadura que inflige daño</v>
      </c>
      <c r="K33" s="318" t="s">
        <v>5988</v>
      </c>
      <c r="L33" s="163" t="s">
        <v>5989</v>
      </c>
      <c r="M33" s="321" t="str">
        <f>IFERROR(__xludf.DUMMYFUNCTION("GOOGLETRANSLATE(A33,""zh-tw"",""ru"")"),"Обувь с шипами")</f>
        <v>Обувь с шипами</v>
      </c>
      <c r="N33" s="30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9" t="s">
        <v>5990</v>
      </c>
      <c r="P33" s="305" t="s">
        <v>5991</v>
      </c>
      <c r="Q33" s="322" t="s">
        <v>5992</v>
      </c>
      <c r="R33" s="323" t="s">
        <v>5993</v>
      </c>
      <c r="S33" s="320" t="s">
        <v>5985</v>
      </c>
      <c r="T33" s="164" t="s">
        <v>5994</v>
      </c>
      <c r="U33" s="20"/>
      <c r="V33" s="20"/>
      <c r="W33" s="20"/>
      <c r="X33" s="20"/>
      <c r="Y33" s="20"/>
      <c r="Z33" s="20"/>
    </row>
    <row r="34">
      <c r="A34" s="319" t="s">
        <v>5995</v>
      </c>
      <c r="B34" s="305" t="s">
        <v>5996</v>
      </c>
      <c r="C34" s="318" t="s">
        <v>5997</v>
      </c>
      <c r="D34" s="164" t="str">
        <f>IFERROR(__xludf.DUMMYFUNCTION("GOOGLETRANSLATE(B34,""zh-tw"",""ja"")"),"物理攻撃力：5
物理防御力：1
ダメージを与えるアーマー")</f>
        <v>物理攻撃力：5
物理防御力：1
ダメージを与えるアーマー</v>
      </c>
      <c r="E34" s="318" t="s">
        <v>5998</v>
      </c>
      <c r="F34" s="163" t="s">
        <v>5999</v>
      </c>
      <c r="G34" s="320" t="str">
        <f>IFERROR(__xludf.DUMMYFUNCTION("GOOGLETRANSLATE(A34,""zh-tw"",""zh"")"),"穿刺臂铠")</f>
        <v>穿刺臂铠</v>
      </c>
      <c r="H34" s="164" t="str">
        <f>IFERROR(__xludf.DUMMYFUNCTION("GOOGLETRANSLATE(B34,""zh-tw"",""zh"")"),"物攻：5
物防：1
伤害型防具")</f>
        <v>物攻：5
物防：1
伤害型防具</v>
      </c>
      <c r="I34" s="320"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18" t="s">
        <v>6000</v>
      </c>
      <c r="L34" s="163" t="s">
        <v>6001</v>
      </c>
      <c r="M34" s="321" t="str">
        <f>IFERROR(__xludf.DUMMYFUNCTION("GOOGLETRANSLATE(A34,""zh-tw"",""ru"")"),"Броня для прокалывания рук")</f>
        <v>Броня для прокалывания рук</v>
      </c>
      <c r="N34" s="30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9" t="s">
        <v>6002</v>
      </c>
      <c r="P34" s="305" t="s">
        <v>6003</v>
      </c>
      <c r="Q34" s="322" t="s">
        <v>6004</v>
      </c>
      <c r="R34" s="323" t="s">
        <v>6005</v>
      </c>
      <c r="S34" s="320" t="s">
        <v>6006</v>
      </c>
      <c r="T34" s="164" t="s">
        <v>6007</v>
      </c>
      <c r="U34" s="20"/>
      <c r="V34" s="20"/>
      <c r="W34" s="20"/>
      <c r="X34" s="20"/>
      <c r="Y34" s="20"/>
      <c r="Z34" s="20"/>
    </row>
    <row r="35">
      <c r="A35" s="319" t="s">
        <v>6008</v>
      </c>
      <c r="B35" s="305" t="s">
        <v>6009</v>
      </c>
      <c r="C35" s="320" t="str">
        <f>IFERROR(__xludf.DUMMYFUNCTION("GOOGLETRANSLATE(A35,""zh-tw"",""ja"")"),"騎士のヘルメット")</f>
        <v>騎士のヘルメット</v>
      </c>
      <c r="D35" s="164" t="str">
        <f>IFERROR(__xludf.DUMMYFUNCTION("GOOGLETRANSLATE(B35,""zh-tw"",""ja"")"),"物理防御力：5
魔法耐性：2
HPが低いと防御力が上昇")</f>
        <v>物理防御力：5
魔法耐性：2
HPが低いと防御力が上昇</v>
      </c>
      <c r="E35" s="318" t="s">
        <v>6010</v>
      </c>
      <c r="F35" s="163" t="s">
        <v>6011</v>
      </c>
      <c r="G35" s="320" t="str">
        <f>IFERROR(__xludf.DUMMYFUNCTION("GOOGLETRANSLATE(A35,""zh-tw"",""zh"")"),"骑士头盔")</f>
        <v>骑士头盔</v>
      </c>
      <c r="H35" s="164" t="str">
        <f>IFERROR(__xludf.DUMMYFUNCTION("GOOGLETRANSLATE(B35,""zh-tw"",""zh"")"),"物防：5
魔抗：2
低体力加防御")</f>
        <v>物防：5
魔抗：2
低体力加防御</v>
      </c>
      <c r="I35" s="320" t="str">
        <f>IFERROR(__xludf.DUMMYFUNCTION("GOOGLETRANSLATE(A35,""zh-tw"",""es-MX"")"),"Casco de caballero")</f>
        <v>Casco de caballero</v>
      </c>
      <c r="J35" s="164" t="str">
        <f>IFERROR(__xludf.DUMMYFUNCTION("GOOGLETRANSLATE(B35,""zh-tw"",""es-MX"")"),"Defensa física: 5
Resistencia mágica: 2
Un PS bajo aumenta la defensa.")</f>
        <v>Defensa física: 5
Resistencia mágica: 2
Un PS bajo aumenta la defensa.</v>
      </c>
      <c r="K35" s="318" t="s">
        <v>6012</v>
      </c>
      <c r="L35" s="163" t="s">
        <v>6013</v>
      </c>
      <c r="M35" s="321" t="str">
        <f>IFERROR(__xludf.DUMMYFUNCTION("GOOGLETRANSLATE(A35,""zh-tw"",""ru"")"),"Рыцарский шлем")</f>
        <v>Рыцарский шлем</v>
      </c>
      <c r="N35" s="303"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9" t="s">
        <v>6014</v>
      </c>
      <c r="P35" s="305" t="s">
        <v>6015</v>
      </c>
      <c r="Q35" s="322" t="s">
        <v>6016</v>
      </c>
      <c r="R35" s="309" t="s">
        <v>6017</v>
      </c>
      <c r="S35" s="320" t="s">
        <v>6018</v>
      </c>
      <c r="T35" s="164" t="s">
        <v>6019</v>
      </c>
      <c r="U35" s="20"/>
      <c r="V35" s="20"/>
      <c r="W35" s="20"/>
      <c r="X35" s="20"/>
      <c r="Y35" s="20"/>
      <c r="Z35" s="20"/>
    </row>
    <row r="36">
      <c r="A36" s="319" t="s">
        <v>6020</v>
      </c>
      <c r="B36" s="305" t="s">
        <v>6021</v>
      </c>
      <c r="C36" s="318" t="s">
        <v>6022</v>
      </c>
      <c r="D36" s="164" t="str">
        <f>IFERROR(__xludf.DUMMYFUNCTION("GOOGLETRANSLATE(B36,""zh-tw"",""ja"")"),"物理攻撃：3 物理防御：3 HPが少ないときに攻撃力と防御力が上昇します。")</f>
        <v>物理攻撃：3 物理防御：3 HPが少ないときに攻撃力と防御力が上昇します。</v>
      </c>
      <c r="E36" s="318" t="s">
        <v>6023</v>
      </c>
      <c r="F36" s="163" t="s">
        <v>6024</v>
      </c>
      <c r="G36" s="320" t="str">
        <f>IFERROR(__xludf.DUMMYFUNCTION("GOOGLETRANSLATE(A36,""zh-tw"",""zh"")"),"骑士护臂")</f>
        <v>骑士护臂</v>
      </c>
      <c r="H36" s="164" t="str">
        <f>IFERROR(__xludf.DUMMYFUNCTION("GOOGLETRANSLATE(B36,""zh-tw"",""zh"")"),"物攻：3
物防：3
低体力加攻击、防御")</f>
        <v>物攻：3
物防：3
低体力加攻击、防御</v>
      </c>
      <c r="I36" s="318" t="s">
        <v>6025</v>
      </c>
      <c r="J36" s="164" t="str">
        <f>IFERROR(__xludf.DUMMYFUNCTION("GOOGLETRANSLATE(B36,""zh-tw"",""es-MX"")"),"Ataque físico: 3 Defensa física: 3 Aumenta el ataque y la defensa cuando los HP son bajos.")</f>
        <v>Ataque físico: 3 Defensa física: 3 Aumenta el ataque y la defensa cuando los HP son bajos.</v>
      </c>
      <c r="K36" s="319" t="s">
        <v>6026</v>
      </c>
      <c r="L36" s="163" t="s">
        <v>6027</v>
      </c>
      <c r="M36" s="321" t="str">
        <f>IFERROR(__xludf.DUMMYFUNCTION("GOOGLETRANSLATE(A36,""zh-tw"",""ru"")"),"Наручи рыцаря")</f>
        <v>Наручи рыцаря</v>
      </c>
      <c r="N36" s="303"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9" t="s">
        <v>6028</v>
      </c>
      <c r="P36" s="305" t="s">
        <v>6029</v>
      </c>
      <c r="Q36" s="322" t="s">
        <v>6030</v>
      </c>
      <c r="R36" s="163" t="s">
        <v>6031</v>
      </c>
      <c r="S36" s="320" t="s">
        <v>6032</v>
      </c>
      <c r="T36" s="164" t="s">
        <v>6033</v>
      </c>
      <c r="U36" s="20"/>
      <c r="V36" s="20"/>
      <c r="W36" s="20"/>
      <c r="X36" s="20"/>
      <c r="Y36" s="20"/>
      <c r="Z36" s="20"/>
    </row>
    <row r="37">
      <c r="A37" s="319" t="s">
        <v>6034</v>
      </c>
      <c r="B37" s="305" t="s">
        <v>6035</v>
      </c>
      <c r="C37" s="318" t="s">
        <v>6036</v>
      </c>
      <c r="D37" s="164" t="str">
        <f>IFERROR(__xludf.DUMMYFUNCTION("GOOGLETRANSLATE(B37,""zh-tw"",""ja"")"),"物理防御力：2
魔法耐性：2
スタミナ低下、移動速度上昇")</f>
        <v>物理防御力：2
魔法耐性：2
スタミナ低下、移動速度上昇</v>
      </c>
      <c r="E37" s="318" t="s">
        <v>6037</v>
      </c>
      <c r="F37" s="163" t="s">
        <v>6038</v>
      </c>
      <c r="G37" s="320" t="str">
        <f>IFERROR(__xludf.DUMMYFUNCTION("GOOGLETRANSLATE(A37,""zh-tw"",""zh"")"),"骑士胫甲")</f>
        <v>骑士胫甲</v>
      </c>
      <c r="H37" s="164" t="str">
        <f>IFERROR(__xludf.DUMMYFUNCTION("GOOGLETRANSLATE(B37,""zh-tw"",""zh"")"),"物防：2
魔抗：2
低体力加移速")</f>
        <v>物防：2
魔抗：2
低体力加移速</v>
      </c>
      <c r="I37" s="320" t="str">
        <f>IFERROR(__xludf.DUMMYFUNCTION("GOOGLETRANSLATE(A37,""zh-tw"",""es-MX"")"),"Grebas de caballero")</f>
        <v>Grebas de caballero</v>
      </c>
      <c r="J37" s="164" t="str">
        <f>IFERROR(__xludf.DUMMYFUNCTION("GOOGLETRANSLATE(B37,""zh-tw"",""es-MX"")"),"Defensa física: 2
Resistencia mágica: 2
Baja resistencia, mayor velocidad de movimiento")</f>
        <v>Defensa física: 2
Resistencia mágica: 2
Baja resistencia, mayor velocidad de movimiento</v>
      </c>
      <c r="K37" s="318" t="s">
        <v>6039</v>
      </c>
      <c r="L37" s="163" t="s">
        <v>6040</v>
      </c>
      <c r="M37" s="321" t="str">
        <f>IFERROR(__xludf.DUMMYFUNCTION("GOOGLETRANSLATE(A37,""zh-tw"",""ru"")"),"Рыцарские поножи")</f>
        <v>Рыцарские поножи</v>
      </c>
      <c r="N37" s="30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9" t="s">
        <v>6041</v>
      </c>
      <c r="P37" s="305" t="s">
        <v>6042</v>
      </c>
      <c r="Q37" s="322" t="s">
        <v>6043</v>
      </c>
      <c r="R37" s="309" t="s">
        <v>6044</v>
      </c>
      <c r="S37" s="320" t="s">
        <v>6045</v>
      </c>
      <c r="T37" s="164" t="s">
        <v>6046</v>
      </c>
      <c r="U37" s="20"/>
      <c r="V37" s="20"/>
      <c r="W37" s="20"/>
      <c r="X37" s="20"/>
      <c r="Y37" s="20"/>
      <c r="Z37" s="20"/>
    </row>
    <row r="38">
      <c r="A38" s="319" t="s">
        <v>6047</v>
      </c>
      <c r="B38" s="305" t="s">
        <v>6048</v>
      </c>
      <c r="C38" s="320" t="str">
        <f>IFERROR(__xludf.DUMMYFUNCTION("GOOGLETRANSLATE(A38,""zh-tw"",""ja"")"),"騎士の鎧")</f>
        <v>騎士の鎧</v>
      </c>
      <c r="D38" s="164" t="str">
        <f>IFERROR(__xludf.DUMMYFUNCTION("GOOGLETRANSLATE(B38,""zh-tw"",""ja"")"),"物理防御力：10
魔法耐性：4
HPが低いと防御力が上昇")</f>
        <v>物理防御力：10
魔法耐性：4
HPが低いと防御力が上昇</v>
      </c>
      <c r="E38" s="318" t="s">
        <v>6049</v>
      </c>
      <c r="F38" s="163" t="s">
        <v>6050</v>
      </c>
      <c r="G38" s="320" t="str">
        <f>IFERROR(__xludf.DUMMYFUNCTION("GOOGLETRANSLATE(A38,""zh-tw"",""zh"")"),"骑士铠甲")</f>
        <v>骑士铠甲</v>
      </c>
      <c r="H38" s="164" t="str">
        <f>IFERROR(__xludf.DUMMYFUNCTION("GOOGLETRANSLATE(B38,""zh-tw"",""zh"")"),"物防：10
魔抗：4
低体力加防御")</f>
        <v>物防：10
魔抗：4
低体力加防御</v>
      </c>
      <c r="I38" s="320" t="str">
        <f>IFERROR(__xludf.DUMMYFUNCTION("GOOGLETRANSLATE(A38,""zh-tw"",""es-MX"")"),"Armadura de caballero")</f>
        <v>Armadura de caballero</v>
      </c>
      <c r="J38" s="164" t="str">
        <f>IFERROR(__xludf.DUMMYFUNCTION("GOOGLETRANSLATE(B38,""zh-tw"",""es-MX"")"),"Defensa física: 10
Resistencia mágica: 4
Un nivel bajo de PS aumenta la defensa.")</f>
        <v>Defensa física: 10
Resistencia mágica: 4
Un nivel bajo de PS aumenta la defensa.</v>
      </c>
      <c r="K38" s="318" t="s">
        <v>6051</v>
      </c>
      <c r="L38" s="163" t="s">
        <v>6052</v>
      </c>
      <c r="M38" s="321" t="str">
        <f>IFERROR(__xludf.DUMMYFUNCTION("GOOGLETRANSLATE(A38,""zh-tw"",""ru"")"),"Рыцарские доспехи")</f>
        <v>Рыцарские доспехи</v>
      </c>
      <c r="N38" s="303"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19" t="s">
        <v>6053</v>
      </c>
      <c r="P38" s="305" t="s">
        <v>6054</v>
      </c>
      <c r="Q38" s="322" t="s">
        <v>6055</v>
      </c>
      <c r="R38" s="309" t="s">
        <v>6056</v>
      </c>
      <c r="S38" s="320" t="s">
        <v>6057</v>
      </c>
      <c r="T38" s="164" t="s">
        <v>6058</v>
      </c>
      <c r="U38" s="20"/>
      <c r="V38" s="20"/>
      <c r="W38" s="20"/>
      <c r="X38" s="20"/>
      <c r="Y38" s="20"/>
      <c r="Z38" s="20"/>
    </row>
    <row r="39">
      <c r="A39" s="324" t="s">
        <v>6059</v>
      </c>
      <c r="B39" s="163" t="s">
        <v>6060</v>
      </c>
      <c r="C39" s="318" t="s">
        <v>6061</v>
      </c>
      <c r="D39" s="163" t="s">
        <v>6062</v>
      </c>
      <c r="E39" s="318" t="s">
        <v>6063</v>
      </c>
      <c r="F39" s="163" t="s">
        <v>6064</v>
      </c>
      <c r="G39" s="320" t="str">
        <f>IFERROR(__xludf.DUMMYFUNCTION("GOOGLETRANSLATE(A39,""zh-tw"",""zh"")"),"堕落法师的手套")</f>
        <v>堕落法师的手套</v>
      </c>
      <c r="H39" s="164"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64"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63" t="s">
        <v>6065</v>
      </c>
      <c r="M39" s="321" t="str">
        <f>IFERROR(__xludf.DUMMYFUNCTION("GOOGLETRANSLATE(A39,""zh-tw"",""ru"")"),"Перчатки падшего мага")</f>
        <v>Перчатки падшего мага</v>
      </c>
      <c r="N39" s="303"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9" t="s">
        <v>6066</v>
      </c>
      <c r="P39" s="305" t="s">
        <v>6067</v>
      </c>
      <c r="Q39" s="322" t="s">
        <v>6068</v>
      </c>
      <c r="R39" s="311" t="s">
        <v>6069</v>
      </c>
      <c r="S39" s="320" t="s">
        <v>6070</v>
      </c>
      <c r="T39" s="164" t="s">
        <v>6071</v>
      </c>
      <c r="U39" s="20"/>
      <c r="V39" s="20"/>
      <c r="W39" s="20"/>
      <c r="X39" s="20"/>
      <c r="Y39" s="20"/>
      <c r="Z39" s="20"/>
    </row>
    <row r="40">
      <c r="A40" s="318" t="s">
        <v>6072</v>
      </c>
      <c r="B40" s="163" t="s">
        <v>6073</v>
      </c>
      <c r="C40" s="318" t="s">
        <v>6074</v>
      </c>
      <c r="D40" s="164" t="str">
        <f>IFERROR(__xludf.DUMMYFUNCTION("GOOGLETRANSLATE(B40,""zh-tw"",""ja"")"),"魔法攻撃力：10
魔法耐性：25
魔法攻撃力が上昇し、最大スタミナが減少します。")</f>
        <v>魔法攻撃力：10
魔法耐性：25
魔法攻撃力が上昇し、最大スタミナが減少します。</v>
      </c>
      <c r="E40" s="318" t="s">
        <v>6075</v>
      </c>
      <c r="F40" s="163" t="s">
        <v>6076</v>
      </c>
      <c r="G40" s="320"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18" t="s">
        <v>6077</v>
      </c>
      <c r="L40" s="163" t="s">
        <v>6078</v>
      </c>
      <c r="M40" s="321" t="str">
        <f>IFERROR(__xludf.DUMMYFUNCTION("GOOGLETRANSLATE(A40,""zh-tw"",""ru"")"),"Повязка падшего мага")</f>
        <v>Повязка падшего мага</v>
      </c>
      <c r="N40" s="30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9" t="s">
        <v>6079</v>
      </c>
      <c r="P40" s="305" t="s">
        <v>6080</v>
      </c>
      <c r="Q40" s="322" t="s">
        <v>6081</v>
      </c>
      <c r="R40" s="323" t="s">
        <v>6082</v>
      </c>
      <c r="S40" s="320" t="s">
        <v>6083</v>
      </c>
      <c r="T40" s="164" t="s">
        <v>6084</v>
      </c>
      <c r="U40" s="20"/>
      <c r="V40" s="20"/>
      <c r="W40" s="20"/>
      <c r="X40" s="20"/>
      <c r="Y40" s="20"/>
      <c r="Z40" s="20"/>
    </row>
    <row r="41">
      <c r="A41" s="318" t="s">
        <v>6085</v>
      </c>
      <c r="B41" s="163" t="s">
        <v>6086</v>
      </c>
      <c r="C41" s="318" t="s">
        <v>6087</v>
      </c>
      <c r="D41" s="16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8" t="s">
        <v>6088</v>
      </c>
      <c r="F41" s="163" t="s">
        <v>6089</v>
      </c>
      <c r="G41" s="320"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64"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18" t="s">
        <v>6090</v>
      </c>
      <c r="L41" s="163" t="s">
        <v>6091</v>
      </c>
      <c r="M41" s="321" t="str">
        <f>IFERROR(__xludf.DUMMYFUNCTION("GOOGLETRANSLATE(A41,""zh-tw"",""ru"")"),"Плащ падшего мага")</f>
        <v>Плащ падшего мага</v>
      </c>
      <c r="N41" s="303"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9" t="s">
        <v>6092</v>
      </c>
      <c r="P41" s="305" t="s">
        <v>6093</v>
      </c>
      <c r="Q41" s="322" t="s">
        <v>6094</v>
      </c>
      <c r="R41" s="323" t="s">
        <v>6095</v>
      </c>
      <c r="S41" s="320" t="s">
        <v>6096</v>
      </c>
      <c r="T41" s="164" t="s">
        <v>6097</v>
      </c>
      <c r="U41" s="20"/>
      <c r="V41" s="20"/>
      <c r="W41" s="20"/>
      <c r="X41" s="20"/>
      <c r="Y41" s="20"/>
      <c r="Z41" s="20"/>
    </row>
    <row r="42">
      <c r="A42" s="324" t="s">
        <v>6098</v>
      </c>
      <c r="B42" s="163" t="s">
        <v>6099</v>
      </c>
      <c r="C42" s="318" t="s">
        <v>6100</v>
      </c>
      <c r="D42" s="16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8" t="s">
        <v>6101</v>
      </c>
      <c r="F42" s="163" t="s">
        <v>6102</v>
      </c>
      <c r="G42" s="320" t="str">
        <f>IFERROR(__xludf.DUMMYFUNCTION("GOOGLETRANSLATE(A42,""zh-tw"",""zh"")"),"堕落法师的轻履")</f>
        <v>堕落法师的轻履</v>
      </c>
      <c r="H42" s="164"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6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8" t="s">
        <v>6103</v>
      </c>
      <c r="L42" s="163" t="s">
        <v>6104</v>
      </c>
      <c r="M42" s="321" t="str">
        <f>IFERROR(__xludf.DUMMYFUNCTION("GOOGLETRANSLATE(A42,""zh-tw"",""ru"")"),"Легкие шаги падшего мага")</f>
        <v>Легкие шаги падшего мага</v>
      </c>
      <c r="N42" s="30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9" t="s">
        <v>6105</v>
      </c>
      <c r="P42" s="305" t="s">
        <v>6106</v>
      </c>
      <c r="Q42" s="322" t="s">
        <v>6107</v>
      </c>
      <c r="R42" s="309" t="s">
        <v>6108</v>
      </c>
      <c r="S42" s="320" t="s">
        <v>6109</v>
      </c>
      <c r="T42" s="164" t="s">
        <v>6110</v>
      </c>
      <c r="U42" s="20"/>
      <c r="V42" s="20"/>
      <c r="W42" s="20"/>
      <c r="X42" s="20"/>
      <c r="Y42" s="20"/>
      <c r="Z42" s="20"/>
    </row>
    <row r="43">
      <c r="A43" s="318" t="s">
        <v>6111</v>
      </c>
      <c r="B43" s="163" t="s">
        <v>6112</v>
      </c>
      <c r="C43" s="318" t="s">
        <v>6113</v>
      </c>
      <c r="D43" s="164" t="str">
        <f>IFERROR(__xludf.DUMMYFUNCTION("GOOGLETRANSLATE(B43,""zh-tw"",""ja"")"),"魔法攻撃力: 1
魔法耐性: 20
スタン耐性、魔法ダメージ出力と魔法射程が増加")</f>
        <v>魔法攻撃力: 1
魔法耐性: 20
スタン耐性、魔法ダメージ出力と魔法射程が増加</v>
      </c>
      <c r="E43" s="318" t="s">
        <v>6114</v>
      </c>
      <c r="F43" s="163" t="s">
        <v>6115</v>
      </c>
      <c r="G43" s="320" t="str">
        <f>IFERROR(__xludf.DUMMYFUNCTION("GOOGLETRANSLATE(A43,""zh-tw"",""zh"")"),"精神凝聚头环")</f>
        <v>精神凝聚头环</v>
      </c>
      <c r="H43" s="164"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6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8" t="s">
        <v>6116</v>
      </c>
      <c r="L43" s="163" t="s">
        <v>6117</v>
      </c>
      <c r="M43" s="321" t="str">
        <f>IFERROR(__xludf.DUMMYFUNCTION("GOOGLETRANSLATE(A43,""zh-tw"",""ru"")"),"Повязка на голову «Духовное единство»")</f>
        <v>Повязка на голову «Духовное единство»</v>
      </c>
      <c r="N43" s="303"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9" t="s">
        <v>6118</v>
      </c>
      <c r="P43" s="305" t="s">
        <v>6119</v>
      </c>
      <c r="Q43" s="322" t="s">
        <v>6120</v>
      </c>
      <c r="R43" s="309" t="s">
        <v>6121</v>
      </c>
      <c r="S43" s="320" t="s">
        <v>6122</v>
      </c>
      <c r="T43" s="164" t="s">
        <v>6123</v>
      </c>
      <c r="U43" s="20"/>
      <c r="V43" s="20"/>
      <c r="W43" s="20"/>
      <c r="X43" s="20"/>
      <c r="Y43" s="20"/>
      <c r="Z43" s="20"/>
    </row>
    <row r="44">
      <c r="A44" s="318" t="s">
        <v>6124</v>
      </c>
      <c r="B44" s="163" t="s">
        <v>6125</v>
      </c>
      <c r="C44" s="320" t="str">
        <f>IFERROR(__xludf.DUMMYFUNCTION("GOOGLETRANSLATE(A44,""zh-tw"",""ja"")"),"夜霧の幻影")</f>
        <v>夜霧の幻影</v>
      </c>
      <c r="D44" s="16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8" t="s">
        <v>6126</v>
      </c>
      <c r="F44" s="163" t="s">
        <v>6127</v>
      </c>
      <c r="G44" s="320"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6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8" t="s">
        <v>6128</v>
      </c>
      <c r="L44" s="163" t="s">
        <v>6129</v>
      </c>
      <c r="M44" s="321" t="str">
        <f>IFERROR(__xludf.DUMMYFUNCTION("GOOGLETRANSLATE(A44,""zh-tw"",""ru"")"),"Ночной туманный фантом")</f>
        <v>Ночной туманный фантом</v>
      </c>
      <c r="N44" s="303"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9" t="s">
        <v>6130</v>
      </c>
      <c r="P44" s="305" t="s">
        <v>6131</v>
      </c>
      <c r="Q44" s="322" t="s">
        <v>6132</v>
      </c>
      <c r="R44" s="323" t="s">
        <v>6133</v>
      </c>
      <c r="S44" s="320" t="s">
        <v>6134</v>
      </c>
      <c r="T44" s="164" t="s">
        <v>6135</v>
      </c>
      <c r="U44" s="20"/>
      <c r="V44" s="20"/>
      <c r="W44" s="20"/>
      <c r="X44" s="20"/>
      <c r="Y44" s="20"/>
      <c r="Z44" s="20"/>
    </row>
    <row r="45">
      <c r="A45" s="318" t="s">
        <v>6136</v>
      </c>
      <c r="B45" s="163" t="s">
        <v>6137</v>
      </c>
      <c r="C45" s="318" t="s">
        <v>6138</v>
      </c>
      <c r="D45" s="163" t="s">
        <v>6139</v>
      </c>
      <c r="E45" s="318" t="s">
        <v>6140</v>
      </c>
      <c r="F45" s="163" t="s">
        <v>6141</v>
      </c>
      <c r="G45" s="320" t="str">
        <f>IFERROR(__xludf.DUMMYFUNCTION("GOOGLETRANSLATE(A45,""zh-tw"",""zh"")"),"圣少女的怜悯")</f>
        <v>圣少女的怜悯</v>
      </c>
      <c r="H45" s="164"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18" t="s">
        <v>6142</v>
      </c>
      <c r="L45" s="163" t="s">
        <v>6143</v>
      </c>
      <c r="M45" s="321" t="str">
        <f>IFERROR(__xludf.DUMMYFUNCTION("GOOGLETRANSLATE(A45,""zh-tw"",""ru"")"),"Милосердие Святой Девы")</f>
        <v>Милосердие Святой Девы</v>
      </c>
      <c r="N45" s="303"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9" t="s">
        <v>6144</v>
      </c>
      <c r="P45" s="305" t="s">
        <v>6145</v>
      </c>
      <c r="Q45" s="322" t="s">
        <v>6146</v>
      </c>
      <c r="R45" s="323" t="s">
        <v>6147</v>
      </c>
      <c r="S45" s="320" t="s">
        <v>6148</v>
      </c>
      <c r="T45" s="164" t="s">
        <v>6149</v>
      </c>
      <c r="U45" s="20"/>
      <c r="V45" s="20"/>
      <c r="W45" s="20"/>
      <c r="X45" s="20"/>
      <c r="Y45" s="20"/>
      <c r="Z45" s="20"/>
    </row>
    <row r="46">
      <c r="A46" s="319" t="s">
        <v>6150</v>
      </c>
      <c r="B46" s="305" t="s">
        <v>6151</v>
      </c>
      <c r="C46" s="318" t="s">
        <v>6152</v>
      </c>
      <c r="D46" s="163" t="s">
        <v>6153</v>
      </c>
      <c r="E46" s="318" t="s">
        <v>6154</v>
      </c>
      <c r="F46" s="163" t="s">
        <v>6155</v>
      </c>
      <c r="G46" s="320" t="str">
        <f>IFERROR(__xludf.DUMMYFUNCTION("GOOGLETRANSLATE(A46,""zh-tw"",""zh"")"),"晴天娃娃")</f>
        <v>晴天娃娃</v>
      </c>
      <c r="H46" s="164" t="str">
        <f>IFERROR(__xludf.DUMMYFUNCTION("GOOGLETRANSLATE(B46,""zh-tw"",""zh"")"),"魔抗：10
幸运：10
第二天晴天")</f>
        <v>魔抗：10
幸运：10
第二天晴天</v>
      </c>
      <c r="I46" s="318" t="s">
        <v>6154</v>
      </c>
      <c r="J46" s="164" t="str">
        <f>IFERROR(__xludf.DUMMYFUNCTION("GOOGLETRANSLATE(B46,""zh-tw"",""es-MX"")"),"Resistencia mágica: 10
Suerte: 10
Día soleado al día siguiente")</f>
        <v>Resistencia mágica: 10
Suerte: 10
Día soleado al día siguiente</v>
      </c>
      <c r="K46" s="318" t="s">
        <v>6156</v>
      </c>
      <c r="L46" s="163" t="s">
        <v>6157</v>
      </c>
      <c r="M46" s="321" t="str">
        <f>IFERROR(__xludf.DUMMYFUNCTION("GOOGLETRANSLATE(A46,""zh-tw"",""ru"")"),"Солнечная кукла")</f>
        <v>Солнечная кукла</v>
      </c>
      <c r="N46" s="303" t="str">
        <f>IFERROR(__xludf.DUMMYFUNCTION("GOOGLETRANSLATE(B46,""zh-tw"",""ru"")"),"Сопротивление магии: 10
Удача: 10
Следующий день: солнечно")</f>
        <v>Сопротивление магии: 10
Удача: 10
Следующий день: солнечно</v>
      </c>
      <c r="O46" s="319" t="s">
        <v>6158</v>
      </c>
      <c r="P46" s="305" t="s">
        <v>6159</v>
      </c>
      <c r="Q46" s="325" t="s">
        <v>6160</v>
      </c>
      <c r="R46" s="323" t="s">
        <v>6161</v>
      </c>
      <c r="S46" s="320" t="s">
        <v>6162</v>
      </c>
      <c r="T46" s="164" t="s">
        <v>6163</v>
      </c>
      <c r="U46" s="20"/>
      <c r="V46" s="20"/>
      <c r="W46" s="20"/>
      <c r="X46" s="20"/>
      <c r="Y46" s="20"/>
      <c r="Z46" s="20"/>
    </row>
    <row r="47">
      <c r="A47" s="319" t="s">
        <v>6164</v>
      </c>
      <c r="B47" s="305" t="s">
        <v>6165</v>
      </c>
      <c r="C47" s="318" t="s">
        <v>6166</v>
      </c>
      <c r="D47" s="163" t="s">
        <v>6167</v>
      </c>
      <c r="E47" s="318" t="s">
        <v>6168</v>
      </c>
      <c r="F47" s="163" t="s">
        <v>6169</v>
      </c>
      <c r="G47" s="320" t="str">
        <f>IFERROR(__xludf.DUMMYFUNCTION("GOOGLETRANSLATE(A47,""zh-tw"",""zh"")"),"阴天娃娃")</f>
        <v>阴天娃娃</v>
      </c>
      <c r="H47" s="164" t="str">
        <f>IFERROR(__xludf.DUMMYFUNCTION("GOOGLETRANSLATE(B47,""zh-tw"",""zh"")"),"魔抗：10
幸运：10
第二天阴天")</f>
        <v>魔抗：10
幸运：10
第二天阴天</v>
      </c>
      <c r="I47" s="318" t="s">
        <v>6168</v>
      </c>
      <c r="J47" s="164" t="str">
        <f>IFERROR(__xludf.DUMMYFUNCTION("GOOGLETRANSLATE(B47,""zh-tw"",""es-MX"")"),"Resistencia Mágica: 10
Suerte: 10
El segundo día estuvo nublado.")</f>
        <v>Resistencia Mágica: 10
Suerte: 10
El segundo día estuvo nublado.</v>
      </c>
      <c r="K47" s="319" t="s">
        <v>6170</v>
      </c>
      <c r="L47" s="163" t="s">
        <v>6171</v>
      </c>
      <c r="M47" s="321" t="str">
        <f>IFERROR(__xludf.DUMMYFUNCTION("GOOGLETRANSLATE(A47,""zh-tw"",""ru"")"),"Облачная кукла")</f>
        <v>Облачная кукла</v>
      </c>
      <c r="N47" s="303" t="str">
        <f>IFERROR(__xludf.DUMMYFUNCTION("GOOGLETRANSLATE(B47,""zh-tw"",""ru"")"),"Сопротивление магии: 10
Удача: 10
Второй день был облачным.")</f>
        <v>Сопротивление магии: 10
Удача: 10
Второй день был облачным.</v>
      </c>
      <c r="O47" s="319" t="s">
        <v>6172</v>
      </c>
      <c r="P47" s="305" t="s">
        <v>6173</v>
      </c>
      <c r="Q47" s="325" t="s">
        <v>6174</v>
      </c>
      <c r="R47" s="323" t="s">
        <v>6175</v>
      </c>
      <c r="S47" s="320" t="s">
        <v>6176</v>
      </c>
      <c r="T47" s="164" t="s">
        <v>6177</v>
      </c>
      <c r="U47" s="20"/>
      <c r="V47" s="20"/>
      <c r="W47" s="20"/>
      <c r="X47" s="20"/>
      <c r="Y47" s="20"/>
      <c r="Z47" s="20"/>
    </row>
    <row r="48">
      <c r="A48" s="319" t="s">
        <v>6178</v>
      </c>
      <c r="B48" s="305" t="s">
        <v>6179</v>
      </c>
      <c r="C48" s="318" t="s">
        <v>6180</v>
      </c>
      <c r="D48" s="163" t="s">
        <v>6181</v>
      </c>
      <c r="E48" s="318" t="s">
        <v>6182</v>
      </c>
      <c r="F48" s="163" t="s">
        <v>6183</v>
      </c>
      <c r="G48" s="320" t="str">
        <f>IFERROR(__xludf.DUMMYFUNCTION("GOOGLETRANSLATE(A48,""zh-tw"",""zh"")"),"雨天娃娃")</f>
        <v>雨天娃娃</v>
      </c>
      <c r="H48" s="164" t="str">
        <f>IFERROR(__xludf.DUMMYFUNCTION("GOOGLETRANSLATE(B48,""zh-tw"",""zh"")"),"魔抗：10
幸运：10
第二天雨天")</f>
        <v>魔抗：10
幸运：10
第二天雨天</v>
      </c>
      <c r="I48" s="318" t="s">
        <v>6182</v>
      </c>
      <c r="J48" s="164" t="str">
        <f>IFERROR(__xludf.DUMMYFUNCTION("GOOGLETRANSLATE(B48,""zh-tw"",""es-MX"")"),"Resistencia Mágica: 10
Suerte: 10
El día siguiente llovió.")</f>
        <v>Resistencia Mágica: 10
Suerte: 10
El día siguiente llovió.</v>
      </c>
      <c r="K48" s="318" t="s">
        <v>6184</v>
      </c>
      <c r="L48" s="163" t="s">
        <v>6185</v>
      </c>
      <c r="M48" s="321" t="str">
        <f>IFERROR(__xludf.DUMMYFUNCTION("GOOGLETRANSLATE(A48,""zh-tw"",""ru"")"),"Кукла Дождливый День")</f>
        <v>Кукла Дождливый День</v>
      </c>
      <c r="N48" s="303"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9" t="s">
        <v>6186</v>
      </c>
      <c r="P48" s="305" t="s">
        <v>6187</v>
      </c>
      <c r="Q48" s="325" t="s">
        <v>6188</v>
      </c>
      <c r="R48" s="323" t="s">
        <v>6189</v>
      </c>
      <c r="S48" s="320" t="s">
        <v>6190</v>
      </c>
      <c r="T48" s="164" t="s">
        <v>6191</v>
      </c>
      <c r="U48" s="20"/>
      <c r="V48" s="20"/>
      <c r="W48" s="20"/>
      <c r="X48" s="20"/>
      <c r="Y48" s="20"/>
      <c r="Z48" s="20"/>
    </row>
    <row r="49">
      <c r="A49" s="318" t="s">
        <v>6192</v>
      </c>
      <c r="B49" s="163" t="s">
        <v>6193</v>
      </c>
      <c r="C49" s="318" t="s">
        <v>6192</v>
      </c>
      <c r="D49" s="164" t="str">
        <f>IFERROR(__xludf.DUMMYFUNCTION("GOOGLETRANSLATE(B49,""zh-tw"",""ja"")"),"物理防御力：1
魔法耐性：10
幸運：5
最大HPを増加")</f>
        <v>物理防御力：1
魔法耐性：10
幸運：5
最大HPを増加</v>
      </c>
      <c r="E49" s="318" t="s">
        <v>6194</v>
      </c>
      <c r="F49" s="163" t="s">
        <v>6195</v>
      </c>
      <c r="G49" s="320" t="str">
        <f>IFERROR(__xludf.DUMMYFUNCTION("GOOGLETRANSLATE(A49,""zh-tw"",""zh"")"),"芳草心")</f>
        <v>芳草心</v>
      </c>
      <c r="H49" s="164"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18" t="s">
        <v>6196</v>
      </c>
      <c r="L49" s="163" t="s">
        <v>6197</v>
      </c>
      <c r="M49" s="321" t="str">
        <f>IFERROR(__xludf.DUMMYFUNCTION("GOOGLETRANSLATE(A49,""zh-tw"",""ru"")"),"Сердце ароматной травы")</f>
        <v>Сердце ароматной травы</v>
      </c>
      <c r="N49" s="303"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9" t="s">
        <v>6198</v>
      </c>
      <c r="P49" s="305" t="s">
        <v>6199</v>
      </c>
      <c r="Q49" s="322" t="s">
        <v>6200</v>
      </c>
      <c r="R49" s="323" t="s">
        <v>6201</v>
      </c>
      <c r="S49" s="320" t="s">
        <v>6202</v>
      </c>
      <c r="T49" s="164" t="s">
        <v>6203</v>
      </c>
      <c r="U49" s="20"/>
      <c r="V49" s="20"/>
      <c r="W49" s="20"/>
      <c r="X49" s="20"/>
      <c r="Y49" s="20"/>
      <c r="Z49" s="20"/>
    </row>
    <row r="50">
      <c r="A50" s="318" t="s">
        <v>4939</v>
      </c>
      <c r="B50" s="163" t="s">
        <v>6204</v>
      </c>
      <c r="C50" s="318" t="s">
        <v>4941</v>
      </c>
      <c r="D50" s="164" t="str">
        <f>IFERROR(__xludf.DUMMYFUNCTION("GOOGLETRANSLATE(B50,""zh-tw"",""ja"")"),"魔法耐性: 30 回復不能、7秒間無敵")</f>
        <v>魔法耐性: 30 回復不能、7秒間無敵</v>
      </c>
      <c r="E50" s="318" t="s">
        <v>4943</v>
      </c>
      <c r="F50" s="163" t="s">
        <v>6205</v>
      </c>
      <c r="G50" s="320" t="str">
        <f>IFERROR(__xludf.DUMMYFUNCTION("GOOGLETRANSLATE(A50,""zh-tw"",""zh"")"),"稻草人的心")</f>
        <v>稻草人的心</v>
      </c>
      <c r="H50" s="164" t="str">
        <f>IFERROR(__xludf.DUMMYFUNCTION("GOOGLETRANSLATE(B50,""zh-tw"",""zh"")"),"魔抗：30
无法回复、免死7秒")</f>
        <v>魔抗：30
无法回复、免死7秒</v>
      </c>
      <c r="I50" s="320"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18" t="s">
        <v>4945</v>
      </c>
      <c r="L50" s="163" t="s">
        <v>6206</v>
      </c>
      <c r="M50" s="321" t="str">
        <f>IFERROR(__xludf.DUMMYFUNCTION("GOOGLETRANSLATE(A50,""zh-tw"",""ru"")"),"Сердце пугала")</f>
        <v>Сердце пугала</v>
      </c>
      <c r="N50" s="303"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9" t="s">
        <v>4947</v>
      </c>
      <c r="P50" s="305" t="s">
        <v>6207</v>
      </c>
      <c r="Q50" s="322" t="s">
        <v>4949</v>
      </c>
      <c r="R50" s="323" t="s">
        <v>6208</v>
      </c>
      <c r="S50" s="320" t="s">
        <v>4951</v>
      </c>
      <c r="T50" s="164" t="s">
        <v>6209</v>
      </c>
      <c r="U50" s="20"/>
      <c r="V50" s="20"/>
      <c r="W50" s="20"/>
      <c r="X50" s="20"/>
      <c r="Y50" s="20"/>
      <c r="Z50" s="20"/>
    </row>
    <row r="51">
      <c r="A51" s="318" t="s">
        <v>6210</v>
      </c>
      <c r="B51" s="163" t="s">
        <v>6211</v>
      </c>
      <c r="C51" s="320" t="str">
        <f>IFERROR(__xludf.DUMMYFUNCTION("GOOGLETRANSLATE(A51,""zh-tw"",""ja"")"),"貯金箱")</f>
        <v>貯金箱</v>
      </c>
      <c r="D51" s="164" t="str">
        <f>IFERROR(__xludf.DUMMYFUNCTION("GOOGLETRANSLATE(B51,""zh-tw"",""ja"")"),"幸運: 40 お金を見つける (100万で進化)、壊れやすい")</f>
        <v>幸運: 40 お金を見つける (100万で進化)、壊れやすい</v>
      </c>
      <c r="E51" s="318" t="s">
        <v>6212</v>
      </c>
      <c r="F51" s="163" t="s">
        <v>6213</v>
      </c>
      <c r="G51" s="320" t="str">
        <f>IFERROR(__xludf.DUMMYFUNCTION("GOOGLETRANSLATE(A51,""zh-tw"",""zh"")"),"猪猪存钱罐")</f>
        <v>猪猪存钱罐</v>
      </c>
      <c r="H51" s="164" t="str">
        <f>IFERROR(__xludf.DUMMYFUNCTION("GOOGLETRANSLATE(B51,""zh-tw"",""zh"")"),"幸运：40
捡钱(100万进化)、易碎")</f>
        <v>幸运：40
捡钱(100万进化)、易碎</v>
      </c>
      <c r="I51" s="320" t="str">
        <f>IFERROR(__xludf.DUMMYFUNCTION("GOOGLETRANSLATE(A51,""zh-tw"",""es-MX"")"),"Hucha")</f>
        <v>Hucha</v>
      </c>
      <c r="J51" s="164"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63" t="s">
        <v>6214</v>
      </c>
      <c r="M51" s="321" t="str">
        <f>IFERROR(__xludf.DUMMYFUNCTION("GOOGLETRANSLATE(A51,""zh-tw"",""ru"")"),"Копилка")</f>
        <v>Копилка</v>
      </c>
      <c r="N51" s="303" t="str">
        <f>IFERROR(__xludf.DUMMYFUNCTION("GOOGLETRANSLATE(B51,""zh-tw"",""ru"")"),"Удача: 40 Найти деньги (Эволюция с 1 миллионом), Хрупкий")</f>
        <v>Удача: 40 Найти деньги (Эволюция с 1 миллионом), Хрупкий</v>
      </c>
      <c r="O51" s="319" t="s">
        <v>6215</v>
      </c>
      <c r="P51" s="305" t="s">
        <v>6216</v>
      </c>
      <c r="Q51" s="322" t="s">
        <v>6217</v>
      </c>
      <c r="R51" s="323" t="s">
        <v>6218</v>
      </c>
      <c r="S51" s="320" t="s">
        <v>6219</v>
      </c>
      <c r="T51" s="164" t="s">
        <v>6220</v>
      </c>
      <c r="U51" s="20"/>
      <c r="V51" s="20"/>
      <c r="W51" s="20"/>
      <c r="X51" s="20"/>
      <c r="Y51" s="20"/>
      <c r="Z51" s="20"/>
    </row>
    <row r="52">
      <c r="A52" s="318" t="s">
        <v>6221</v>
      </c>
      <c r="B52" s="163" t="s">
        <v>6222</v>
      </c>
      <c r="C52" s="320" t="str">
        <f>IFERROR(__xludf.DUMMYFUNCTION("GOOGLETRANSLATE(A52,""zh-tw"",""ja"")"),"貪欲な貯金箱")</f>
        <v>貪欲な貯金箱</v>
      </c>
      <c r="D52" s="164" t="str">
        <f>IFERROR(__xludf.DUMMYFUNCTION("GOOGLETRANSLATE(B52,""zh-tw"",""ja"")"),"幸運：マネー100拾得、マモンオーラ、破壊不能、移動速度アップ
（聖杯と連携可能）")</f>
        <v>幸運：マネー100拾得、マモンオーラ、破壊不能、移動速度アップ
（聖杯と連携可能）</v>
      </c>
      <c r="E52" s="318" t="s">
        <v>6223</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0"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20" t="str">
        <f>IFERROR(__xludf.DUMMYFUNCTION("GOOGLETRANSLATE(A52,""zh-tw"",""es-MX"")"),"Alcancía codiciosa")</f>
        <v>Alcancía codiciosa</v>
      </c>
      <c r="J52" s="164"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0" t="str">
        <f>IFERROR(__xludf.DUMMYFUNCTION("GOOGLETRANSLATE(A52,""zh-tw"",""KO"")"),"탐욕스러운 돼지 저금통")</f>
        <v>탐욕스러운 돼지 저금통</v>
      </c>
      <c r="L52" s="163" t="s">
        <v>6224</v>
      </c>
      <c r="M52" s="321" t="str">
        <f>IFERROR(__xludf.DUMMYFUNCTION("GOOGLETRANSLATE(A52,""zh-tw"",""ru"")"),"Жадная копилка")</f>
        <v>Жадная копилка</v>
      </c>
      <c r="N52" s="303"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19" t="s">
        <v>6225</v>
      </c>
      <c r="P52" s="305" t="s">
        <v>6226</v>
      </c>
      <c r="Q52" s="322" t="s">
        <v>6227</v>
      </c>
      <c r="R52" s="323" t="s">
        <v>6228</v>
      </c>
      <c r="S52" s="320" t="s">
        <v>6229</v>
      </c>
      <c r="T52" s="164" t="s">
        <v>6230</v>
      </c>
      <c r="U52" s="20"/>
      <c r="V52" s="20"/>
      <c r="W52" s="20"/>
      <c r="X52" s="20"/>
      <c r="Y52" s="20"/>
      <c r="Z52" s="20"/>
    </row>
    <row r="53">
      <c r="A53" s="318" t="s">
        <v>6231</v>
      </c>
      <c r="B53" s="163" t="s">
        <v>6232</v>
      </c>
      <c r="C53" s="318" t="s">
        <v>6233</v>
      </c>
      <c r="D53" s="16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8" t="s">
        <v>6234</v>
      </c>
      <c r="F53" s="163" t="s">
        <v>6235</v>
      </c>
      <c r="G53" s="320"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63" t="s">
        <v>6236</v>
      </c>
      <c r="M53" s="321" t="str">
        <f>IFERROR(__xludf.DUMMYFUNCTION("GOOGLETRANSLATE(A53,""zh-tw"",""ru"")"),"Королевский указ")</f>
        <v>Королевский указ</v>
      </c>
      <c r="N53" s="303"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9" t="s">
        <v>6237</v>
      </c>
      <c r="P53" s="305" t="s">
        <v>6238</v>
      </c>
      <c r="Q53" s="322" t="s">
        <v>6239</v>
      </c>
      <c r="R53" s="41" t="s">
        <v>6240</v>
      </c>
      <c r="S53" s="320" t="s">
        <v>6241</v>
      </c>
      <c r="T53" s="164" t="s">
        <v>6242</v>
      </c>
      <c r="U53" s="20"/>
      <c r="V53" s="20"/>
      <c r="W53" s="20"/>
      <c r="X53" s="20"/>
      <c r="Y53" s="20"/>
      <c r="Z53" s="20"/>
    </row>
    <row r="54">
      <c r="A54" s="318" t="s">
        <v>6243</v>
      </c>
      <c r="B54" s="163" t="s">
        <v>6244</v>
      </c>
      <c r="C54" s="318" t="s">
        <v>6245</v>
      </c>
      <c r="D54" s="163" t="s">
        <v>6246</v>
      </c>
      <c r="E54" s="318" t="s">
        <v>6247</v>
      </c>
      <c r="F54" s="163" t="s">
        <v>6248</v>
      </c>
      <c r="G54" s="320" t="str">
        <f>IFERROR(__xludf.DUMMYFUNCTION("GOOGLETRANSLATE(A54,""zh-tw"",""zh"")"),"猫猫玩偶服")</f>
        <v>猫猫玩偶服</v>
      </c>
      <c r="H54" s="164" t="str">
        <f>IFERROR(__xludf.DUMMYFUNCTION("GOOGLETRANSLATE(B54,""zh-tw"",""zh"")"),"物防：3
魔抗：25
武器数量+10
装备数量+20")</f>
        <v>物防：3
魔抗：25
武器数量+10
装备数量+20</v>
      </c>
      <c r="I54" s="318" t="s">
        <v>6249</v>
      </c>
      <c r="J54" s="164"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63" t="s">
        <v>6250</v>
      </c>
      <c r="M54" s="321" t="str">
        <f>IFERROR(__xludf.DUMMYFUNCTION("GOOGLETRANSLATE(A54,""zh-tw"",""ru"")"),"Костюм кошки")</f>
        <v>Костюм кошки</v>
      </c>
      <c r="N54" s="30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9" t="s">
        <v>6251</v>
      </c>
      <c r="P54" s="305" t="s">
        <v>6252</v>
      </c>
      <c r="Q54" s="322" t="s">
        <v>6253</v>
      </c>
      <c r="R54" s="323" t="s">
        <v>6254</v>
      </c>
      <c r="S54" s="320" t="s">
        <v>6255</v>
      </c>
      <c r="T54" s="164" t="s">
        <v>6256</v>
      </c>
      <c r="U54" s="20"/>
      <c r="V54" s="20"/>
      <c r="W54" s="20"/>
      <c r="X54" s="20"/>
      <c r="Y54" s="20"/>
      <c r="Z54" s="20"/>
    </row>
    <row r="55">
      <c r="A55" s="318" t="s">
        <v>4983</v>
      </c>
      <c r="B55" s="163" t="s">
        <v>6257</v>
      </c>
      <c r="C55" s="320" t="str">
        <f>IFERROR(__xludf.DUMMYFUNCTION("GOOGLETRANSLATE(A55,""zh-tw"",""ja"")"),"溶岩リング")</f>
        <v>溶岩リング</v>
      </c>
      <c r="D55" s="164" t="str">
        <f>IFERROR(__xludf.DUMMYFUNCTION("GOOGLETRANSLATE(B55,""zh-tw"",""ja"")"),"物理防御：2
魔法攻撃：15
魔法耐性：60
凍結と燃焼の可能性を軽減します。")</f>
        <v>物理防御：2
魔法攻撃：15
魔法耐性：60
凍結と燃焼の可能性を軽減します。</v>
      </c>
      <c r="E55" s="318" t="s">
        <v>4987</v>
      </c>
      <c r="F55" s="163" t="s">
        <v>6258</v>
      </c>
      <c r="G55" s="320"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8" t="s">
        <v>4988</v>
      </c>
      <c r="L55" s="163" t="s">
        <v>6259</v>
      </c>
      <c r="M55" s="321" t="str">
        <f>IFERROR(__xludf.DUMMYFUNCTION("GOOGLETRANSLATE(A55,""zh-tw"",""ru"")"),"Кольцо лавы")</f>
        <v>Кольцо лавы</v>
      </c>
      <c r="N55" s="303"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9" t="s">
        <v>4990</v>
      </c>
      <c r="P55" s="305" t="s">
        <v>6260</v>
      </c>
      <c r="Q55" s="322" t="s">
        <v>6261</v>
      </c>
      <c r="R55" s="323" t="s">
        <v>6262</v>
      </c>
      <c r="S55" s="320" t="s">
        <v>4994</v>
      </c>
      <c r="T55" s="164" t="s">
        <v>6263</v>
      </c>
      <c r="U55" s="20"/>
      <c r="V55" s="20"/>
      <c r="W55" s="20"/>
      <c r="X55" s="20"/>
      <c r="Y55" s="20"/>
      <c r="Z55" s="20"/>
    </row>
    <row r="56">
      <c r="A56" s="318" t="s">
        <v>6264</v>
      </c>
      <c r="B56" s="305" t="s">
        <v>6265</v>
      </c>
      <c r="C56" s="318" t="s">
        <v>6266</v>
      </c>
      <c r="D56" s="163" t="s">
        <v>6267</v>
      </c>
      <c r="E56" s="318" t="s">
        <v>6268</v>
      </c>
      <c r="F56" s="163" t="s">
        <v>6269</v>
      </c>
      <c r="G56" s="320" t="str">
        <f>IFERROR(__xludf.DUMMYFUNCTION("GOOGLETRANSLATE(A56,""zh-tw"",""zh"")"),"炎天娃娃")</f>
        <v>炎天娃娃</v>
      </c>
      <c r="H56" s="164" t="str">
        <f>IFERROR(__xludf.DUMMYFUNCTION("GOOGLETRANSLATE(B56,""zh-tw"",""zh"")"),"魔抗：10
幸运：10
第二天炎热")</f>
        <v>魔抗：10
幸运：10
第二天炎热</v>
      </c>
      <c r="I56" s="318" t="s">
        <v>6268</v>
      </c>
      <c r="J56" s="164" t="str">
        <f>IFERROR(__xludf.DUMMYFUNCTION("GOOGLETRANSLATE(B56,""zh-tw"",""es-MX"")"),"Resistencia Mágica: 10
Suerte: 10
El día siguiente fue caluroso.")</f>
        <v>Resistencia Mágica: 10
Suerte: 10
El día siguiente fue caluroso.</v>
      </c>
      <c r="K56" s="320"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21" t="str">
        <f>IFERROR(__xludf.DUMMYFUNCTION("GOOGLETRANSLATE(A56,""zh-tw"",""ru"")"),"Кукла Пламени")</f>
        <v>Кукла Пламени</v>
      </c>
      <c r="N56" s="303"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9" t="s">
        <v>6270</v>
      </c>
      <c r="P56" s="305" t="s">
        <v>6271</v>
      </c>
      <c r="Q56" s="325" t="s">
        <v>6272</v>
      </c>
      <c r="R56" s="323" t="s">
        <v>6273</v>
      </c>
      <c r="S56" s="320" t="s">
        <v>6274</v>
      </c>
      <c r="T56" s="164" t="s">
        <v>6275</v>
      </c>
      <c r="U56" s="20"/>
      <c r="V56" s="20"/>
      <c r="W56" s="20"/>
      <c r="X56" s="20"/>
      <c r="Y56" s="20"/>
      <c r="Z56" s="20"/>
    </row>
    <row r="57">
      <c r="A57" s="318" t="s">
        <v>6276</v>
      </c>
      <c r="B57" s="163" t="s">
        <v>6277</v>
      </c>
      <c r="C57" s="318" t="s">
        <v>6278</v>
      </c>
      <c r="D57" s="16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8" t="s">
        <v>6279</v>
      </c>
      <c r="F57" s="163" t="s">
        <v>6280</v>
      </c>
      <c r="G57" s="320"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8" t="s">
        <v>6281</v>
      </c>
      <c r="J57" s="163" t="s">
        <v>6282</v>
      </c>
      <c r="K57" s="320"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1" t="str">
        <f>IFERROR(__xludf.DUMMYFUNCTION("GOOGLETRANSLATE(A57,""zh-tw"",""ru"")"),"Перчатки, ломающие лицо")</f>
        <v>Перчатки, ломающие лицо</v>
      </c>
      <c r="N57" s="303"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9" t="s">
        <v>6283</v>
      </c>
      <c r="P57" s="305" t="s">
        <v>6284</v>
      </c>
      <c r="Q57" s="322" t="s">
        <v>6285</v>
      </c>
      <c r="R57" s="323" t="s">
        <v>6286</v>
      </c>
      <c r="S57" s="320" t="s">
        <v>6287</v>
      </c>
      <c r="T57" s="164" t="s">
        <v>6288</v>
      </c>
      <c r="U57" s="20"/>
      <c r="V57" s="20"/>
      <c r="W57" s="20"/>
      <c r="X57" s="20"/>
      <c r="Y57" s="20"/>
      <c r="Z57" s="20"/>
    </row>
    <row r="58">
      <c r="A58" s="320" t="s">
        <v>6289</v>
      </c>
      <c r="B58" s="164" t="s">
        <v>6290</v>
      </c>
      <c r="C58" s="318" t="s">
        <v>6291</v>
      </c>
      <c r="D58" s="164" t="s">
        <v>6292</v>
      </c>
      <c r="E58" s="320" t="s">
        <v>6293</v>
      </c>
      <c r="F58" s="164" t="s">
        <v>6294</v>
      </c>
      <c r="G58" s="320"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21" t="str">
        <f>IFERROR(__xludf.DUMMYFUNCTION("GOOGLETRANSLATE(A58,""zh-tw"",""ru"")"),"Кулон из красного сердолика")</f>
        <v>Кулон из красного сердолика</v>
      </c>
      <c r="N58" s="30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8" t="s">
        <v>6293</v>
      </c>
      <c r="P58" s="163" t="s">
        <v>6295</v>
      </c>
      <c r="Q58" s="330" t="s">
        <v>6296</v>
      </c>
      <c r="R58" s="331" t="s">
        <v>6297</v>
      </c>
      <c r="S58" s="320" t="s">
        <v>6298</v>
      </c>
      <c r="T58" s="164" t="s">
        <v>6299</v>
      </c>
      <c r="U58" s="20"/>
      <c r="V58" s="20"/>
      <c r="W58" s="20"/>
      <c r="X58" s="20"/>
      <c r="Y58" s="20"/>
      <c r="Z58" s="20"/>
    </row>
    <row r="59">
      <c r="A59" s="320" t="s">
        <v>6300</v>
      </c>
      <c r="B59" s="164" t="s">
        <v>6301</v>
      </c>
      <c r="C59" s="318" t="s">
        <v>5007</v>
      </c>
      <c r="D59" s="164" t="s">
        <v>6302</v>
      </c>
      <c r="E59" s="320" t="s">
        <v>6303</v>
      </c>
      <c r="F59" s="163" t="s">
        <v>6304</v>
      </c>
      <c r="G59" s="320"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6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1" t="str">
        <f>IFERROR(__xludf.DUMMYFUNCTION("GOOGLETRANSLATE(A59,""zh-tw"",""ru"")"),"Проклятая рука Шерис")</f>
        <v>Проклятая рука Шерис</v>
      </c>
      <c r="N59" s="303"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8" t="s">
        <v>6305</v>
      </c>
      <c r="P59" s="163" t="s">
        <v>6306</v>
      </c>
      <c r="Q59" s="318" t="s">
        <v>6307</v>
      </c>
      <c r="R59" s="311" t="s">
        <v>6308</v>
      </c>
      <c r="S59" s="320" t="s">
        <v>6309</v>
      </c>
      <c r="T59" s="164" t="s">
        <v>6310</v>
      </c>
      <c r="U59" s="20"/>
      <c r="V59" s="20"/>
      <c r="W59" s="20"/>
      <c r="X59" s="20"/>
      <c r="Y59" s="20"/>
      <c r="Z59" s="20"/>
    </row>
    <row r="60">
      <c r="A60" s="320" t="s">
        <v>6311</v>
      </c>
      <c r="B60" s="164" t="s">
        <v>6312</v>
      </c>
      <c r="C60" s="318" t="s">
        <v>6313</v>
      </c>
      <c r="D60" s="163" t="s">
        <v>6314</v>
      </c>
      <c r="E60" s="318" t="s">
        <v>6315</v>
      </c>
      <c r="F60" s="163" t="s">
        <v>6316</v>
      </c>
      <c r="G60" s="320"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6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1" t="str">
        <f>IFERROR(__xludf.DUMMYFUNCTION("GOOGLETRANSLATE(A60,""zh-tw"",""ru"")"),"Волна Купидона")</f>
        <v>Волна Купидона</v>
      </c>
      <c r="N60" s="303"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8" t="s">
        <v>6317</v>
      </c>
      <c r="P60" s="163" t="s">
        <v>6318</v>
      </c>
      <c r="Q60" s="330" t="s">
        <v>6319</v>
      </c>
      <c r="R60" s="311" t="s">
        <v>6320</v>
      </c>
      <c r="S60" s="320" t="s">
        <v>6321</v>
      </c>
      <c r="T60" s="164" t="s">
        <v>6322</v>
      </c>
      <c r="U60" s="20"/>
      <c r="V60" s="20"/>
      <c r="W60" s="20"/>
      <c r="X60" s="20"/>
      <c r="Y60" s="20"/>
      <c r="Z60" s="20"/>
    </row>
    <row r="61">
      <c r="A61" s="318" t="s">
        <v>6323</v>
      </c>
      <c r="B61" s="163" t="s">
        <v>6324</v>
      </c>
      <c r="C61" s="318" t="s">
        <v>6325</v>
      </c>
      <c r="D61" s="163" t="s">
        <v>6326</v>
      </c>
      <c r="E61" s="318" t="s">
        <v>6327</v>
      </c>
      <c r="F61" s="163" t="s">
        <v>6328</v>
      </c>
      <c r="G61" s="320"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6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1" t="str">
        <f>IFERROR(__xludf.DUMMYFUNCTION("GOOGLETRANSLATE(A61,""zh-tw"",""ru"")"),"Абсолютная Территория")</f>
        <v>Абсолютная Территория</v>
      </c>
      <c r="N61" s="303"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8" t="s">
        <v>6329</v>
      </c>
      <c r="P61" s="163" t="s">
        <v>6330</v>
      </c>
      <c r="Q61" s="322" t="s">
        <v>6331</v>
      </c>
      <c r="R61" s="323" t="s">
        <v>6332</v>
      </c>
      <c r="S61" s="320" t="s">
        <v>6333</v>
      </c>
      <c r="T61" s="164" t="s">
        <v>6334</v>
      </c>
      <c r="U61" s="20"/>
      <c r="V61" s="20"/>
      <c r="W61" s="20"/>
      <c r="X61" s="20"/>
      <c r="Y61" s="20"/>
      <c r="Z61" s="20"/>
    </row>
    <row r="62">
      <c r="A62" s="324" t="s">
        <v>6335</v>
      </c>
      <c r="B62" s="163" t="s">
        <v>6336</v>
      </c>
      <c r="C62" s="324" t="s">
        <v>6337</v>
      </c>
      <c r="D62" s="163" t="s">
        <v>6338</v>
      </c>
      <c r="E62" s="324" t="s">
        <v>6339</v>
      </c>
      <c r="F62" s="163" t="s">
        <v>6340</v>
      </c>
      <c r="G62" s="320" t="str">
        <f>IFERROR(__xludf.DUMMYFUNCTION("GOOGLETRANSLATE(A62,""zh-tw"",""zh"")"),"火蝾螈之卷")</f>
        <v>火蝾螈之卷</v>
      </c>
      <c r="H62" s="164"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64"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64" t="str">
        <f>IFERROR(__xludf.DUMMYFUNCTION("GOOGLETRANSLATE(B62,""zh-tw"",""KO"")"),"마법 공격력: 25
마법 방어력: 15
향상된 화속성")</f>
        <v>마법 공격력: 25
마법 방어력: 15
향상된 화속성</v>
      </c>
      <c r="M62" s="321" t="str">
        <f>IFERROR(__xludf.DUMMYFUNCTION("GOOGLETRANSLATE(A62,""zh-tw"",""ru"")"),"Свиток Огненной Саламандры")</f>
        <v>Свиток Огненной Саламандры</v>
      </c>
      <c r="N62" s="303"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6341</v>
      </c>
      <c r="P62" s="163" t="s">
        <v>6342</v>
      </c>
      <c r="Q62" s="322" t="s">
        <v>6343</v>
      </c>
      <c r="R62" s="309" t="s">
        <v>6344</v>
      </c>
      <c r="S62" s="320" t="s">
        <v>6339</v>
      </c>
      <c r="T62" s="164" t="s">
        <v>6345</v>
      </c>
      <c r="U62" s="20"/>
      <c r="V62" s="20"/>
      <c r="W62" s="20"/>
      <c r="X62" s="20"/>
      <c r="Y62" s="20"/>
      <c r="Z62" s="20"/>
    </row>
    <row r="63">
      <c r="A63" s="324" t="s">
        <v>6346</v>
      </c>
      <c r="B63" s="41" t="s">
        <v>6347</v>
      </c>
      <c r="C63" s="318" t="s">
        <v>6348</v>
      </c>
      <c r="D63" s="163" t="s">
        <v>6349</v>
      </c>
      <c r="E63" s="324" t="s">
        <v>6350</v>
      </c>
      <c r="F63" s="41" t="s">
        <v>6351</v>
      </c>
      <c r="G63" s="320"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6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1" t="str">
        <f>IFERROR(__xludf.DUMMYFUNCTION("GOOGLETRANSLATE(A63,""zh-tw"",""ru"")"),"Контракт обратного проклятия")</f>
        <v>Контракт обратного проклятия</v>
      </c>
      <c r="N63" s="303"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6352</v>
      </c>
      <c r="P63" s="164" t="s">
        <v>6353</v>
      </c>
      <c r="Q63" s="322" t="s">
        <v>6354</v>
      </c>
      <c r="R63" s="323" t="s">
        <v>6355</v>
      </c>
      <c r="S63" s="320" t="s">
        <v>6356</v>
      </c>
      <c r="T63" s="164" t="s">
        <v>6357</v>
      </c>
      <c r="U63" s="20"/>
      <c r="V63" s="20"/>
      <c r="W63" s="20"/>
      <c r="X63" s="20"/>
      <c r="Y63" s="20"/>
      <c r="Z63" s="20"/>
    </row>
    <row r="64">
      <c r="A64" s="318" t="s">
        <v>6358</v>
      </c>
      <c r="B64" s="163" t="s">
        <v>6359</v>
      </c>
      <c r="C64" s="318" t="s">
        <v>6360</v>
      </c>
      <c r="D64" s="164" t="str">
        <f>IFERROR(__xludf.DUMMYFUNCTION("GOOGLETRANSLATE(B64,""zh-tw"",""ja"")"),"物理防御力：3
魔法耐性：10
草の上にいる間、スタミナが回復する")</f>
        <v>物理防御力：3
魔法耐性：10
草の上にいる間、スタミナが回復する</v>
      </c>
      <c r="E64" s="318" t="s">
        <v>6361</v>
      </c>
      <c r="F64" s="163" t="s">
        <v>6362</v>
      </c>
      <c r="G64" s="320" t="str">
        <f>IFERROR(__xludf.DUMMYFUNCTION("GOOGLETRANSLATE(A64,""zh-tw"",""zh"")"),"猎人服")</f>
        <v>猎人服</v>
      </c>
      <c r="H64" s="164" t="str">
        <f>IFERROR(__xludf.DUMMYFUNCTION("GOOGLETRANSLATE(B64,""zh-tw"",""zh"")"),"物防：3
魔抗：10
站在草地上回复体力")</f>
        <v>物防：3
魔抗：10
站在草地上回复体力</v>
      </c>
      <c r="I64" s="320" t="str">
        <f>IFERROR(__xludf.DUMMYFUNCTION("GOOGLETRANSLATE(A64,""zh-tw"",""es-MX"")"),"Traje de cazador")</f>
        <v>Traje de cazador</v>
      </c>
      <c r="J64" s="164"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21" t="str">
        <f>IFERROR(__xludf.DUMMYFUNCTION("GOOGLETRANSLATE(A64,""zh-tw"",""ru"")"),"Наряд охотника")</f>
        <v>Наряд охотника</v>
      </c>
      <c r="N64" s="30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1" t="str">
        <f>IFERROR(__xludf.DUMMYFUNCTION("GOOGLETRANSLATE(A64,""zh-tw"",""de"")"),"Jägers Outfit")</f>
        <v>Jägers Outfit</v>
      </c>
      <c r="P64" s="303" t="str">
        <f>IFERROR(__xludf.DUMMYFUNCTION("GOOGLETRANSLATE(B64,""zh-tw"",""de"")"),"Physische Verteidigung: 3
Magieresistenz: 10
Regeneriert Ausdauer, solange man auf Gras steht")</f>
        <v>Physische Verteidigung: 3
Magieresistenz: 10
Regeneriert Ausdauer, solange man auf Gras steht</v>
      </c>
      <c r="Q64" s="322" t="s">
        <v>6363</v>
      </c>
      <c r="R64" s="323" t="s">
        <v>6364</v>
      </c>
      <c r="S64" s="320" t="s">
        <v>6365</v>
      </c>
      <c r="T64" s="164" t="s">
        <v>6366</v>
      </c>
      <c r="U64" s="20"/>
      <c r="V64" s="20"/>
      <c r="W64" s="20"/>
      <c r="X64" s="20"/>
      <c r="Y64" s="20"/>
      <c r="Z64" s="20"/>
    </row>
    <row r="65">
      <c r="A65" s="318" t="s">
        <v>6367</v>
      </c>
      <c r="B65" s="163" t="s">
        <v>6368</v>
      </c>
      <c r="C65" s="318" t="s">
        <v>6369</v>
      </c>
      <c r="D65" s="164" t="str">
        <f>IFERROR(__xludf.DUMMYFUNCTION("GOOGLETRANSLATE(B65,""zh-tw"",""ja"")"),"物理防御力：1 若干の改善：最大スタミナ、移動速度、装備容量")</f>
        <v>物理防御力：1 若干の改善：最大スタミナ、移動速度、装備容量</v>
      </c>
      <c r="E65" s="318" t="s">
        <v>6370</v>
      </c>
      <c r="F65" s="163" t="s">
        <v>6371</v>
      </c>
      <c r="G65" s="320"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21" t="str">
        <f>IFERROR(__xludf.DUMMYFUNCTION("GOOGLETRANSLATE(A65,""zh-tw"",""ru"")"),"Пояс Охотника")</f>
        <v>Пояс Охотника</v>
      </c>
      <c r="N65" s="303"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1" t="str">
        <f>IFERROR(__xludf.DUMMYFUNCTION("GOOGLETRANSLATE(A65,""zh-tw"",""de"")"),"Jägergürtel")</f>
        <v>Jägergürtel</v>
      </c>
      <c r="P65" s="30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6372</v>
      </c>
      <c r="R65" s="323" t="s">
        <v>6373</v>
      </c>
      <c r="S65" s="320" t="s">
        <v>6374</v>
      </c>
      <c r="T65" s="164" t="s">
        <v>6375</v>
      </c>
      <c r="U65" s="20"/>
      <c r="V65" s="20"/>
      <c r="W65" s="20"/>
      <c r="X65" s="20"/>
      <c r="Y65" s="20"/>
      <c r="Z65" s="20"/>
    </row>
    <row r="66">
      <c r="A66" s="318" t="s">
        <v>6376</v>
      </c>
      <c r="B66" s="163" t="s">
        <v>6377</v>
      </c>
      <c r="C66" s="318" t="s">
        <v>6378</v>
      </c>
      <c r="D66" s="164" t="str">
        <f>IFERROR(__xludf.DUMMYFUNCTION("GOOGLETRANSLATE(B66,""zh-tw"",""ja"")"),"物理攻撃力：6
幸運：20
肉のドロップ率が2倍（魚のフライを含む）")</f>
        <v>物理攻撃力：6
幸運：20
肉のドロップ率が2倍（魚のフライを含む）</v>
      </c>
      <c r="E66" s="318" t="s">
        <v>6379</v>
      </c>
      <c r="F66" s="163" t="s">
        <v>6380</v>
      </c>
      <c r="G66" s="320"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21" t="str">
        <f>IFERROR(__xludf.DUMMYFUNCTION("GOOGLETRANSLATE(A66,""zh-tw"",""ru"")"),"Кинжал охотника")</f>
        <v>Кинжал охотника</v>
      </c>
      <c r="N66" s="303"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1" t="str">
        <f>IFERROR(__xludf.DUMMYFUNCTION("GOOGLETRANSLATE(A66,""zh-tw"",""de"")"),"Jägerdolch")</f>
        <v>Jägerdolch</v>
      </c>
      <c r="P66" s="303" t="str">
        <f>IFERROR(__xludf.DUMMYFUNCTION("GOOGLETRANSLATE(B66,""zh-tw"",""de"")"),"Physischer Angriff: 6
Glück: 20
Fleischfundrate verdoppelt (einschließlich gebratenem Fisch)")</f>
        <v>Physischer Angriff: 6
Glück: 20
Fleischfundrate verdoppelt (einschließlich gebratenem Fisch)</v>
      </c>
      <c r="Q66" s="322" t="s">
        <v>6381</v>
      </c>
      <c r="R66" s="323" t="s">
        <v>6382</v>
      </c>
      <c r="S66" s="320" t="s">
        <v>6383</v>
      </c>
      <c r="T66" s="164" t="s">
        <v>6384</v>
      </c>
      <c r="U66" s="20"/>
      <c r="V66" s="20"/>
      <c r="W66" s="20"/>
      <c r="X66" s="20"/>
      <c r="Y66" s="20"/>
      <c r="Z66" s="20"/>
    </row>
    <row r="67">
      <c r="A67" s="318" t="s">
        <v>6385</v>
      </c>
      <c r="B67" s="163" t="s">
        <v>6386</v>
      </c>
      <c r="C67" s="318" t="s">
        <v>6387</v>
      </c>
      <c r="D67" s="164" t="str">
        <f>IFERROR(__xludf.DUMMYFUNCTION("GOOGLETRANSLATE(B67,""zh-tw"",""ja"")"),"物理防御力：20
魔法耐性：60
水泳速度が上昇し、陸上移動速度が低下")</f>
        <v>物理防御力：20
魔法耐性：60
水泳速度が上昇し、陸上移動速度が低下</v>
      </c>
      <c r="E67" s="318" t="s">
        <v>6388</v>
      </c>
      <c r="F67" s="163" t="s">
        <v>6389</v>
      </c>
      <c r="G67" s="320" t="str">
        <f>IFERROR(__xludf.DUMMYFUNCTION("GOOGLETRANSLATE(A67,""zh-tw"",""zh"")"),"绿龟壳")</f>
        <v>绿龟壳</v>
      </c>
      <c r="H67" s="164"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6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21" t="str">
        <f>IFERROR(__xludf.DUMMYFUNCTION("GOOGLETRANSLATE(A67,""zh-tw"",""ru"")"),"Зеленый панцирь черепахи")</f>
        <v>Зеленый панцирь черепахи</v>
      </c>
      <c r="N67" s="30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1" t="str">
        <f>IFERROR(__xludf.DUMMYFUNCTION("GOOGLETRANSLATE(A67,""zh-tw"",""de"")"),"Grüner Schildkrötenpanzer")</f>
        <v>Grüner Schildkrötenpanzer</v>
      </c>
      <c r="P67" s="30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6390</v>
      </c>
      <c r="R67" s="323" t="s">
        <v>6391</v>
      </c>
      <c r="S67" s="320" t="s">
        <v>6392</v>
      </c>
      <c r="T67" s="164" t="s">
        <v>6393</v>
      </c>
      <c r="U67" s="20"/>
      <c r="V67" s="20"/>
      <c r="W67" s="20"/>
      <c r="X67" s="20"/>
      <c r="Y67" s="20"/>
      <c r="Z67" s="20"/>
    </row>
    <row r="68">
      <c r="A68" s="318" t="s">
        <v>6394</v>
      </c>
      <c r="B68" s="163" t="s">
        <v>6395</v>
      </c>
      <c r="C68" s="320"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18" t="s">
        <v>6396</v>
      </c>
      <c r="F68" s="163" t="s">
        <v>6397</v>
      </c>
      <c r="G68" s="320" t="str">
        <f>IFERROR(__xludf.DUMMYFUNCTION("GOOGLETRANSLATE(A68,""zh-tw"",""zh"")"),"宝石剑")</f>
        <v>宝石剑</v>
      </c>
      <c r="H68" s="164"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64"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21" t="str">
        <f>IFERROR(__xludf.DUMMYFUNCTION("GOOGLETRANSLATE(A68,""zh-tw"",""ru"")"),"Драгоценный меч")</f>
        <v>Драгоценный меч</v>
      </c>
      <c r="N68" s="30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1" t="str">
        <f>IFERROR(__xludf.DUMMYFUNCTION("GOOGLETRANSLATE(A68,""zh-tw"",""de"")"),"Juwelenschwert")</f>
        <v>Juwelenschwert</v>
      </c>
      <c r="P68" s="303" t="str">
        <f>IFERROR(__xludf.DUMMYFUNCTION("GOOGLETRANSLATE(B68,""zh-tw"",""de"")"),"Magischer Angriff: 15
Magieresistenz: 20
Glück: 20
Verbrauche Edelsteine, um den Angriff zu erhöhen")</f>
        <v>Magischer Angriff: 15
Magieresistenz: 20
Glück: 20
Verbrauche Edelsteine, um den Angriff zu erhöhen</v>
      </c>
      <c r="Q68" s="322" t="s">
        <v>6398</v>
      </c>
      <c r="R68" s="323" t="s">
        <v>6399</v>
      </c>
      <c r="S68" s="320" t="s">
        <v>6400</v>
      </c>
      <c r="T68" s="164" t="s">
        <v>6401</v>
      </c>
      <c r="U68" s="20"/>
      <c r="V68" s="20"/>
      <c r="W68" s="20"/>
      <c r="X68" s="20"/>
      <c r="Y68" s="20"/>
      <c r="Z68" s="20"/>
    </row>
    <row r="69">
      <c r="A69" s="318" t="s">
        <v>6402</v>
      </c>
      <c r="B69" s="163" t="s">
        <v>6403</v>
      </c>
      <c r="C69" s="320" t="str">
        <f>IFERROR(__xludf.DUMMYFUNCTION("GOOGLETRANSLATE(A69,""zh-tw"",""ja"")"),"安全手袋")</f>
        <v>安全手袋</v>
      </c>
      <c r="D69" s="164" t="str">
        <f>IFERROR(__xludf.DUMMYFUNCTION("GOOGLETRANSLATE(B69,""zh-tw"",""ja"")"),"物理攻撃力: 1
物理防御力: 2
魔法耐性: 45
雷撃防御力")</f>
        <v>物理攻撃力: 1
物理防御力: 2
魔法耐性: 45
雷撃防御力</v>
      </c>
      <c r="E69" s="318" t="s">
        <v>6404</v>
      </c>
      <c r="F69" s="163" t="s">
        <v>6405</v>
      </c>
      <c r="G69" s="320" t="str">
        <f>IFERROR(__xludf.DUMMYFUNCTION("GOOGLETRANSLATE(A69,""zh-tw"",""zh"")"),"安全手套")</f>
        <v>安全手套</v>
      </c>
      <c r="H69" s="164" t="str">
        <f>IFERROR(__xludf.DUMMYFUNCTION("GOOGLETRANSLATE(B69,""zh-tw"",""zh"")"),"物攻：1
物防：2
魔抗：45
防御雷电")</f>
        <v>物攻：1
物防：2
魔抗：45
防御雷电</v>
      </c>
      <c r="I69" s="320" t="str">
        <f>IFERROR(__xludf.DUMMYFUNCTION("GOOGLETRANSLATE(A69,""zh-tw"",""es-MX"")"),"guantes de seguridad")</f>
        <v>guantes de seguridad</v>
      </c>
      <c r="J69" s="164"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64" t="str">
        <f>IFERROR(__xludf.DUMMYFUNCTION("GOOGLETRANSLATE(B69,""zh-tw"",""KO"")"),"물리 공격력: 1
물리 방어력: 2
마법 저항력: 45
번개 방어력")</f>
        <v>물리 공격력: 1
물리 방어력: 2
마법 저항력: 45
번개 방어력</v>
      </c>
      <c r="M69" s="321" t="str">
        <f>IFERROR(__xludf.DUMMYFUNCTION("GOOGLETRANSLATE(A69,""zh-tw"",""ru"")"),"Защитные перчатки")</f>
        <v>Защитные перчатки</v>
      </c>
      <c r="N69" s="30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1" t="str">
        <f>IFERROR(__xludf.DUMMYFUNCTION("GOOGLETRANSLATE(A69,""zh-tw"",""de"")"),"Schutzhandschuhe")</f>
        <v>Schutzhandschuhe</v>
      </c>
      <c r="P69" s="303" t="str">
        <f>IFERROR(__xludf.DUMMYFUNCTION("GOOGLETRANSLATE(B69,""zh-tw"",""de"")"),"Physischer Angriff: 1
Physische Verteidigung: 2
Magieresistenz: 45
Blitzabwehr")</f>
        <v>Physischer Angriff: 1
Physische Verteidigung: 2
Magieresistenz: 45
Blitzabwehr</v>
      </c>
      <c r="Q69" s="322" t="s">
        <v>6406</v>
      </c>
      <c r="R69" s="309" t="s">
        <v>6407</v>
      </c>
      <c r="S69" s="320" t="s">
        <v>6408</v>
      </c>
      <c r="T69" s="164" t="s">
        <v>6409</v>
      </c>
      <c r="U69" s="20"/>
      <c r="V69" s="20"/>
      <c r="W69" s="20"/>
      <c r="X69" s="20"/>
      <c r="Y69" s="20"/>
      <c r="Z69" s="20"/>
    </row>
    <row r="70">
      <c r="A70" s="318" t="s">
        <v>6410</v>
      </c>
      <c r="B70" s="163" t="s">
        <v>6411</v>
      </c>
      <c r="C70" s="318" t="s">
        <v>6412</v>
      </c>
      <c r="D70" s="164" t="str">
        <f>IFERROR(__xludf.DUMMYFUNCTION("GOOGLETRANSLATE(B70,""zh-tw"",""ja"")"),"物理攻撃力：4
物理防御力：1
物理攻撃力 +15%
")</f>
        <v>物理攻撃力：4
物理防御力：1
物理攻撃力 +15%
</v>
      </c>
      <c r="E70" s="318" t="s">
        <v>6413</v>
      </c>
      <c r="F70" s="163" t="s">
        <v>6414</v>
      </c>
      <c r="G70" s="320" t="str">
        <f>IFERROR(__xludf.DUMMYFUNCTION("GOOGLETRANSLATE(A70,""zh-tw"",""zh"")"),"锐刃指环")</f>
        <v>锐刃指环</v>
      </c>
      <c r="H70" s="164" t="str">
        <f>IFERROR(__xludf.DUMMYFUNCTION("GOOGLETRANSLATE(B70,""zh-tw"",""zh"")"),"物攻：4
物防：1
物攻+15%
")</f>
        <v>物攻：4
物防：1
物攻+15%
</v>
      </c>
      <c r="I70" s="320" t="str">
        <f>IFERROR(__xludf.DUMMYFUNCTION("GOOGLETRANSLATE(A70,""zh-tw"",""es-MX"")"),"Anillo de hoja afilada")</f>
        <v>Anillo de hoja afilada</v>
      </c>
      <c r="J70" s="164"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64" t="str">
        <f>IFERROR(__xludf.DUMMYFUNCTION("GOOGLETRANSLATE(B70,""zh-tw"",""KO"")"),"물리 공격력: 4
물리 방어력: 1
물리 공격력 +15%
")</f>
        <v>물리 공격력: 4
물리 방어력: 1
물리 공격력 +15%
</v>
      </c>
      <c r="M70" s="321" t="str">
        <f>IFERROR(__xludf.DUMMYFUNCTION("GOOGLETRANSLATE(A70,""zh-tw"",""ru"")"),"Кольцо с острым лезвием")</f>
        <v>Кольцо с острым лезвием</v>
      </c>
      <c r="N70" s="30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1" t="str">
        <f>IFERROR(__xludf.DUMMYFUNCTION("GOOGLETRANSLATE(A70,""zh-tw"",""de"")"),"Scharfer Klingenring")</f>
        <v>Scharfer Klingenring</v>
      </c>
      <c r="P70" s="303" t="str">
        <f>IFERROR(__xludf.DUMMYFUNCTION("GOOGLETRANSLATE(B70,""zh-tw"",""de"")"),"Physischer Angriff: 4
Physische Verteidigung: 1
Physischer Angriff +15 %
")</f>
        <v>Physischer Angriff: 4
Physische Verteidigung: 1
Physischer Angriff +15 %
</v>
      </c>
      <c r="Q70" s="322" t="s">
        <v>6415</v>
      </c>
      <c r="R70" s="309" t="s">
        <v>6416</v>
      </c>
      <c r="S70" s="320" t="s">
        <v>6417</v>
      </c>
      <c r="T70" s="164" t="s">
        <v>6418</v>
      </c>
      <c r="U70" s="20"/>
      <c r="V70" s="20"/>
      <c r="W70" s="20"/>
      <c r="X70" s="20"/>
      <c r="Y70" s="20"/>
      <c r="Z70" s="20"/>
    </row>
    <row r="71">
      <c r="A71" s="318" t="s">
        <v>6419</v>
      </c>
      <c r="B71" s="163" t="s">
        <v>6420</v>
      </c>
      <c r="C71" s="318" t="s">
        <v>6419</v>
      </c>
      <c r="D71" s="163" t="s">
        <v>6421</v>
      </c>
      <c r="E71" s="318" t="s">
        <v>6422</v>
      </c>
      <c r="F71" s="163" t="s">
        <v>6423</v>
      </c>
      <c r="G71" s="320"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6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1" t="str">
        <f>IFERROR(__xludf.DUMMYFUNCTION("GOOGLETRANSLATE(A71,""zh-tw"",""ru"")"),"Такизаши")</f>
        <v>Такизаши</v>
      </c>
      <c r="N71" s="303"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1" t="str">
        <f>IFERROR(__xludf.DUMMYFUNCTION("GOOGLETRANSLATE(A71,""zh-tw"",""de"")"),"Takizashi")</f>
        <v>Takizashi</v>
      </c>
      <c r="P71" s="30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6422</v>
      </c>
      <c r="R71" s="323" t="s">
        <v>6424</v>
      </c>
      <c r="S71" s="320" t="s">
        <v>6422</v>
      </c>
      <c r="T71" s="164" t="s">
        <v>6425</v>
      </c>
      <c r="U71" s="20"/>
      <c r="V71" s="20"/>
      <c r="W71" s="20"/>
      <c r="X71" s="20"/>
      <c r="Y71" s="20"/>
      <c r="Z71" s="20"/>
    </row>
    <row r="72">
      <c r="A72" s="318" t="s">
        <v>6426</v>
      </c>
      <c r="B72" s="163" t="s">
        <v>6427</v>
      </c>
      <c r="C72" s="318" t="s">
        <v>6428</v>
      </c>
      <c r="D72" s="164" t="str">
        <f>IFERROR(__xludf.DUMMYFUNCTION("GOOGLETRANSLATE(B72,""zh-tw"",""ja"")"),"物理防御力：15
魔法耐性：10
詳細はヒントをご覧ください")</f>
        <v>物理防御力：15
魔法耐性：10
詳細はヒントをご覧ください</v>
      </c>
      <c r="E72" s="318" t="s">
        <v>6429</v>
      </c>
      <c r="F72" s="163" t="s">
        <v>6430</v>
      </c>
      <c r="G72" s="320" t="str">
        <f>IFERROR(__xludf.DUMMYFUNCTION("GOOGLETRANSLATE(A72,""zh-tw"",""zh"")"),"铁觇")</f>
        <v>铁觇</v>
      </c>
      <c r="H72" s="164" t="str">
        <f>IFERROR(__xludf.DUMMYFUNCTION("GOOGLETRANSLATE(B72,""zh-tw"",""zh"")"),"物防：15
魔抗：10
详细说明于Tips")</f>
        <v>物防：15
魔抗：10
详细说明于Tips</v>
      </c>
      <c r="I72" s="320" t="str">
        <f>IFERROR(__xludf.DUMMYFUNCTION("GOOGLETRANSLATE(A72,""zh-tw"",""es-MX"")"),"Águila de hierro")</f>
        <v>Águila de hierro</v>
      </c>
      <c r="J72" s="164"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21" t="str">
        <f>IFERROR(__xludf.DUMMYFUNCTION("GOOGLETRANSLATE(A72,""zh-tw"",""ru"")"),"Железный орел")</f>
        <v>Железный орел</v>
      </c>
      <c r="N72" s="30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1" t="str">
        <f>IFERROR(__xludf.DUMMYFUNCTION("GOOGLETRANSLATE(A72,""zh-tw"",""de"")"),"Eiserner Adler")</f>
        <v>Eiserner Adler</v>
      </c>
      <c r="P72" s="303" t="str">
        <f>IFERROR(__xludf.DUMMYFUNCTION("GOOGLETRANSLATE(B72,""zh-tw"",""de"")"),"Physische Verteidigung: 15
Magieresistenz: 10
Detaillierte Erklärung in den Tipps")</f>
        <v>Physische Verteidigung: 15
Magieresistenz: 10
Detaillierte Erklärung in den Tipps</v>
      </c>
      <c r="Q72" s="325" t="s">
        <v>6431</v>
      </c>
      <c r="R72" s="323" t="s">
        <v>6432</v>
      </c>
      <c r="S72" s="320" t="s">
        <v>6433</v>
      </c>
      <c r="T72" s="164" t="s">
        <v>6434</v>
      </c>
      <c r="U72" s="20"/>
      <c r="V72" s="20"/>
      <c r="W72" s="20"/>
      <c r="X72" s="20"/>
      <c r="Y72" s="20"/>
      <c r="Z72" s="20"/>
    </row>
    <row r="73">
      <c r="A73" s="318" t="s">
        <v>6435</v>
      </c>
      <c r="B73" s="163" t="s">
        <v>6436</v>
      </c>
      <c r="C73" s="318" t="s">
        <v>3451</v>
      </c>
      <c r="D73" s="16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8" t="s">
        <v>6437</v>
      </c>
      <c r="F73" s="163" t="s">
        <v>6438</v>
      </c>
      <c r="G73" s="320" t="str">
        <f>IFERROR(__xludf.DUMMYFUNCTION("GOOGLETRANSLATE(A73,""zh-tw"",""zh"")"),"护刃众的徽章")</f>
        <v>护刃众的徽章</v>
      </c>
      <c r="H73" s="164"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64"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64"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1" t="str">
        <f>IFERROR(__xludf.DUMMYFUNCTION("GOOGLETRANSLATE(A73,""zh-tw"",""ru"")"),"Значки Гокен-куна")</f>
        <v>Значки Гокен-куна</v>
      </c>
      <c r="N73" s="303"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1" t="str">
        <f>IFERROR(__xludf.DUMMYFUNCTION("GOOGLETRANSLATE(A73,""zh-tw"",""de"")"),"Abzeichen des Goken-kun")</f>
        <v>Abzeichen des Goken-kun</v>
      </c>
      <c r="P73" s="303" t="str">
        <f>IFERROR(__xludf.DUMMYFUNCTION("GOOGLETRANSLATE(B73,""zh-tw"",""de"")"),"Reduzierte Angriffskraft, Angriffslimit auf 200 gesenkt. Reduzierter Verbrauch der Waffenhaltbarkeit.")</f>
        <v>Reduzierte Angriffskraft, Angriffslimit auf 200 gesenkt. Reduzierter Verbrauch der Waffenhaltbarkeit.</v>
      </c>
      <c r="Q73" s="322" t="s">
        <v>6439</v>
      </c>
      <c r="R73" s="309" t="s">
        <v>6440</v>
      </c>
      <c r="S73" s="320" t="s">
        <v>6441</v>
      </c>
      <c r="T73" s="164" t="s">
        <v>6442</v>
      </c>
      <c r="U73" s="20"/>
      <c r="V73" s="20"/>
      <c r="W73" s="20"/>
      <c r="X73" s="20"/>
      <c r="Y73" s="20"/>
      <c r="Z73" s="20"/>
    </row>
    <row r="74">
      <c r="A74" s="318" t="s">
        <v>6443</v>
      </c>
      <c r="B74" s="163" t="s">
        <v>6444</v>
      </c>
      <c r="C74" s="318" t="s">
        <v>6445</v>
      </c>
      <c r="D74" s="164" t="str">
        <f>IFERROR(__xludf.DUMMYFUNCTION("GOOGLETRANSLATE(B74,""zh-tw"",""ja"")"),"コマンドタイプの装備
(スキルスロット参照)")</f>
        <v>コマンドタイプの装備
(スキルスロット参照)</v>
      </c>
      <c r="E74" s="318" t="s">
        <v>6446</v>
      </c>
      <c r="F74" s="163" t="s">
        <v>6447</v>
      </c>
      <c r="G74" s="320" t="str">
        <f>IFERROR(__xludf.DUMMYFUNCTION("GOOGLETRANSLATE(A74,""zh-tw"",""zh"")"),"把草莓夺回来！ !")</f>
        <v>把草莓夺回来！ !</v>
      </c>
      <c r="H74" s="164" t="str">
        <f>IFERROR(__xludf.DUMMYFUNCTION("GOOGLETRANSLATE(B74,""zh-tw"",""zh"")"),"指令类型装备
(请见技能栏位)")</f>
        <v>指令类型装备
(请见技能栏位)</v>
      </c>
      <c r="I74" s="320" t="str">
        <f>IFERROR(__xludf.DUMMYFUNCTION("GOOGLETRANSLATE(A74,""zh-tw"",""es-MX"")"),"¡Recupera las fresas!")</f>
        <v>¡Recupera las fresas!</v>
      </c>
      <c r="J74" s="164"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64" t="str">
        <f>IFERROR(__xludf.DUMMYFUNCTION("GOOGLETRANSLATE(B74,""zh-tw"",""KO"")"),"명령형 장비
(스킬 슬롯 참조)")</f>
        <v>명령형 장비
(스킬 슬롯 참조)</v>
      </c>
      <c r="M74" s="321" t="str">
        <f>IFERROR(__xludf.DUMMYFUNCTION("GOOGLETRANSLATE(A74,""zh-tw"",""ru"")"),"Верните клубнику!")</f>
        <v>Верните клубнику!</v>
      </c>
      <c r="N74" s="303" t="str">
        <f>IFERROR(__xludf.DUMMYFUNCTION("GOOGLETRANSLATE(B74,""zh-tw"",""ru"")"),"Командное снаряжение
(См. слоты навыков)")</f>
        <v>Командное снаряжение
(См. слоты навыков)</v>
      </c>
      <c r="O74" s="321" t="str">
        <f>IFERROR(__xludf.DUMMYFUNCTION("GOOGLETRANSLATE(A74,""zh-tw"",""de"")"),"Holt die Erdbeeren zurück!")</f>
        <v>Holt die Erdbeeren zurück!</v>
      </c>
      <c r="P74" s="303" t="str">
        <f>IFERROR(__xludf.DUMMYFUNCTION("GOOGLETRANSLATE(B74,""zh-tw"",""de"")"),"Ausrüstung vom Typ „Befehl“
(Siehe Fertigkeitsplätze)")</f>
        <v>Ausrüstung vom Typ „Befehl“
(Siehe Fertigkeitsplätze)</v>
      </c>
      <c r="Q74" s="322" t="s">
        <v>6448</v>
      </c>
      <c r="R74" s="323" t="s">
        <v>6449</v>
      </c>
      <c r="S74" s="320" t="s">
        <v>6450</v>
      </c>
      <c r="T74" s="164" t="s">
        <v>6451</v>
      </c>
      <c r="U74" s="20"/>
      <c r="V74" s="20"/>
      <c r="W74" s="20"/>
      <c r="X74" s="20"/>
      <c r="Y74" s="20"/>
      <c r="Z74" s="20"/>
    </row>
    <row r="75">
      <c r="A75" s="324" t="s">
        <v>5069</v>
      </c>
      <c r="B75" s="163" t="s">
        <v>6452</v>
      </c>
      <c r="C75" s="318" t="s">
        <v>6453</v>
      </c>
      <c r="D75" s="163" t="s">
        <v>6454</v>
      </c>
      <c r="E75" s="318" t="s">
        <v>5075</v>
      </c>
      <c r="F75" s="163" t="s">
        <v>6455</v>
      </c>
      <c r="G75" s="320" t="str">
        <f>IFERROR(__xludf.DUMMYFUNCTION("GOOGLETRANSLATE(A75,""zh-tw"",""zh"")"),"◉▽◉(蓝色)")</f>
        <v>◉▽◉(蓝色)</v>
      </c>
      <c r="H75" s="164" t="str">
        <f>IFERROR(__xludf.DUMMYFUNCTION("GOOGLETRANSLATE(B75,""zh-tw"",""zh"")"),"投掷攻击
遇水消失、会被击杀
幸运：10")</f>
        <v>投掷攻击
遇水消失、会被击杀
幸运：10</v>
      </c>
      <c r="I75" s="320"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21" t="str">
        <f>IFERROR(__xludf.DUMMYFUNCTION("GOOGLETRANSLATE(A75,""zh-tw"",""ru"")"),"◉▽◉ (Синий)")</f>
        <v>◉▽◉ (Синий)</v>
      </c>
      <c r="N75" s="303"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8" t="s">
        <v>5078</v>
      </c>
      <c r="P75" s="163" t="s">
        <v>6456</v>
      </c>
      <c r="Q75" s="322" t="s">
        <v>5081</v>
      </c>
      <c r="R75" s="323" t="s">
        <v>6457</v>
      </c>
      <c r="S75" s="320" t="s">
        <v>5084</v>
      </c>
      <c r="T75" s="164" t="s">
        <v>6458</v>
      </c>
      <c r="U75" s="20"/>
      <c r="V75" s="20"/>
      <c r="W75" s="20"/>
      <c r="X75" s="20"/>
      <c r="Y75" s="20"/>
      <c r="Z75" s="20"/>
    </row>
    <row r="76">
      <c r="A76" s="320" t="s">
        <v>5087</v>
      </c>
      <c r="B76" s="163" t="s">
        <v>6459</v>
      </c>
      <c r="C76" s="320" t="s">
        <v>5087</v>
      </c>
      <c r="D76" s="163" t="s">
        <v>6460</v>
      </c>
      <c r="E76" s="318" t="s">
        <v>5091</v>
      </c>
      <c r="F76" s="163" t="s">
        <v>6461</v>
      </c>
      <c r="G76" s="320" t="str">
        <f>IFERROR(__xludf.DUMMYFUNCTION("GOOGLETRANSLATE(A76,""zh-tw"",""zh"")"),"◉▽◉(紫色)")</f>
        <v>◉▽◉(紫色)</v>
      </c>
      <c r="H76" s="164" t="str">
        <f>IFERROR(__xludf.DUMMYFUNCTION("GOOGLETRANSLATE(B76,""zh-tw"",""zh"")"),"投掷攻击
遇水消失、会被击杀
幸运：20")</f>
        <v>投掷攻击
遇水消失、会被击杀
幸运：20</v>
      </c>
      <c r="I76" s="320" t="str">
        <f>IFERROR(__xludf.DUMMYFUNCTION("GOOGLETRANSLATE(A76,""zh-tw"",""es-MX"")"),"◉▽◉(púrpura)")</f>
        <v>◉▽◉(púrpura)</v>
      </c>
      <c r="J76" s="164"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21" t="str">
        <f>IFERROR(__xludf.DUMMYFUNCTION("GOOGLETRANSLATE(A76,""zh-tw"",""ru"")"),"◉▽◉(фиолетовый)")</f>
        <v>◉▽◉(фиолетовый)</v>
      </c>
      <c r="N76" s="303"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8" t="s">
        <v>5093</v>
      </c>
      <c r="P76" s="163" t="s">
        <v>6462</v>
      </c>
      <c r="Q76" s="330" t="s">
        <v>5095</v>
      </c>
      <c r="R76" s="323" t="s">
        <v>6463</v>
      </c>
      <c r="S76" s="320" t="s">
        <v>5097</v>
      </c>
      <c r="T76" s="164" t="s">
        <v>6464</v>
      </c>
      <c r="U76" s="20"/>
      <c r="V76" s="20"/>
      <c r="W76" s="20"/>
      <c r="X76" s="20"/>
      <c r="Y76" s="20"/>
      <c r="Z76" s="20"/>
    </row>
    <row r="77">
      <c r="A77" s="320" t="s">
        <v>6465</v>
      </c>
      <c r="B77" s="163" t="s">
        <v>6466</v>
      </c>
      <c r="C77" s="318" t="s">
        <v>6467</v>
      </c>
      <c r="D77" s="163" t="s">
        <v>6468</v>
      </c>
      <c r="E77" s="318" t="s">
        <v>6469</v>
      </c>
      <c r="F77" s="163" t="s">
        <v>6470</v>
      </c>
      <c r="G77" s="320" t="str">
        <f>IFERROR(__xludf.DUMMYFUNCTION("GOOGLETRANSLATE(A77,""zh-tw"",""zh"")"),"◉▽◉(粉色)")</f>
        <v>◉▽◉(粉色)</v>
      </c>
      <c r="H77" s="164" t="str">
        <f>IFERROR(__xludf.DUMMYFUNCTION("GOOGLETRANSLATE(B77,""zh-tw"",""zh"")"),"投掷攻击
遇水消失、会被击杀
幸运：40")</f>
        <v>投掷攻击
遇水消失、会被击杀
幸运：40</v>
      </c>
      <c r="I77" s="320" t="str">
        <f>IFERROR(__xludf.DUMMYFUNCTION("GOOGLETRANSLATE(A77,""zh-tw"",""es-MX"")"),"◉▽◉(Rosa)")</f>
        <v>◉▽◉(Rosa)</v>
      </c>
      <c r="J77" s="164"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21" t="str">
        <f>IFERROR(__xludf.DUMMYFUNCTION("GOOGLETRANSLATE(A77,""zh-tw"",""ru"")"),"◉▽◉(Розовый)")</f>
        <v>◉▽◉(Розовый)</v>
      </c>
      <c r="N77" s="303"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8" t="s">
        <v>6471</v>
      </c>
      <c r="P77" s="163" t="s">
        <v>6472</v>
      </c>
      <c r="Q77" s="330" t="s">
        <v>6473</v>
      </c>
      <c r="R77" s="323" t="s">
        <v>6474</v>
      </c>
      <c r="S77" s="320" t="s">
        <v>6475</v>
      </c>
      <c r="T77" s="164" t="s">
        <v>6476</v>
      </c>
      <c r="U77" s="20"/>
      <c r="V77" s="20"/>
      <c r="W77" s="20"/>
      <c r="X77" s="20"/>
      <c r="Y77" s="20"/>
      <c r="Z77" s="20"/>
    </row>
    <row r="78">
      <c r="A78" s="318" t="s">
        <v>6477</v>
      </c>
      <c r="B78" s="163" t="s">
        <v>6478</v>
      </c>
      <c r="C78" s="318" t="s">
        <v>6479</v>
      </c>
      <c r="D78" s="163" t="s">
        <v>6480</v>
      </c>
      <c r="E78" s="318" t="s">
        <v>6481</v>
      </c>
      <c r="F78" s="163" t="s">
        <v>6482</v>
      </c>
      <c r="G78" s="320" t="str">
        <f>IFERROR(__xludf.DUMMYFUNCTION("GOOGLETRANSLATE(A78,""zh-tw"",""zh"")"),"初号机枢I~VII")</f>
        <v>初号机枢I~VII</v>
      </c>
      <c r="H78" s="16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6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64"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1" t="str">
        <f>IFERROR(__xludf.DUMMYFUNCTION("GOOGLETRANSLATE(A78,""zh-tw"",""ru"")"),"Блок 1-7")</f>
        <v>Блок 1-7</v>
      </c>
      <c r="N78" s="303"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8" t="s">
        <v>6483</v>
      </c>
      <c r="P78" s="163" t="s">
        <v>6484</v>
      </c>
      <c r="Q78" s="322" t="s">
        <v>6481</v>
      </c>
      <c r="R78" s="309" t="s">
        <v>6485</v>
      </c>
      <c r="S78" s="320" t="s">
        <v>6486</v>
      </c>
      <c r="T78" s="164" t="s">
        <v>6487</v>
      </c>
      <c r="U78" s="20"/>
      <c r="V78" s="20"/>
      <c r="W78" s="20"/>
      <c r="X78" s="20"/>
      <c r="Y78" s="20"/>
      <c r="Z78" s="20"/>
    </row>
    <row r="79">
      <c r="A79" s="318" t="s">
        <v>6488</v>
      </c>
      <c r="B79" s="163" t="s">
        <v>6489</v>
      </c>
      <c r="C79" s="318" t="s">
        <v>6490</v>
      </c>
      <c r="D79" s="163" t="s">
        <v>6491</v>
      </c>
      <c r="E79" s="318" t="s">
        <v>6492</v>
      </c>
      <c r="F79" s="163" t="s">
        <v>6493</v>
      </c>
      <c r="G79" s="320" t="str">
        <f>IFERROR(__xludf.DUMMYFUNCTION("GOOGLETRANSLATE(A79,""zh-tw"",""zh"")"),"Ruika的万宝槌")</f>
        <v>Ruika的万宝槌</v>
      </c>
      <c r="H79" s="164" t="str">
        <f>IFERROR(__xludf.DUMMYFUNCTION("GOOGLETRANSLATE(B79,""zh-tw"",""zh"")"),"幸运：777
增加掉落率(作弊道具)")</f>
        <v>幸运：777
增加掉落率(作弊道具)</v>
      </c>
      <c r="I79" s="320"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64" t="str">
        <f>IFERROR(__xludf.DUMMYFUNCTION("GOOGLETRANSLATE(B79,""zh-tw"",""KO"")"),"행운 : 777 (치트아이템) 드랍률 증가")</f>
        <v>행운 : 777 (치트아이템) 드랍률 증가</v>
      </c>
      <c r="M79" s="321" t="str">
        <f>IFERROR(__xludf.DUMMYFUNCTION("GOOGLETRANSLATE(A79,""zh-tw"",""ru"")"),"Молот Руики")</f>
        <v>Молот Руики</v>
      </c>
      <c r="N79" s="303" t="str">
        <f>IFERROR(__xludf.DUMMYFUNCTION("GOOGLETRANSLATE(B79,""zh-tw"",""ru"")"),"Удача: 777 Увеличивает шанс выпадения (чит-предмет)")</f>
        <v>Удача: 777 Увеличивает шанс выпадения (чит-предмет)</v>
      </c>
      <c r="O79" s="321" t="str">
        <f>IFERROR(__xludf.DUMMYFUNCTION("GOOGLETRANSLATE(A79,""zh-tw"",""de"")"),"Ruikas Hammer")</f>
        <v>Ruikas Hammer</v>
      </c>
      <c r="P79" s="303" t="str">
        <f>IFERROR(__xludf.DUMMYFUNCTION("GOOGLETRANSLATE(B79,""zh-tw"",""de"")"),"Glück: 777 Erhöht die Drop-Rate (Cheat-Gegenstand)")</f>
        <v>Glück: 777 Erhöht die Drop-Rate (Cheat-Gegenstand)</v>
      </c>
      <c r="Q79" s="325" t="s">
        <v>6494</v>
      </c>
      <c r="R79" s="309" t="s">
        <v>6495</v>
      </c>
      <c r="S79" s="320" t="s">
        <v>6496</v>
      </c>
      <c r="T79" s="164" t="s">
        <v>6497</v>
      </c>
      <c r="U79" s="20"/>
      <c r="V79" s="20"/>
      <c r="W79" s="20"/>
      <c r="X79" s="20"/>
      <c r="Y79" s="20"/>
      <c r="Z79" s="20"/>
    </row>
    <row r="80">
      <c r="A80" s="318" t="s">
        <v>6498</v>
      </c>
      <c r="B80" s="163" t="s">
        <v>6499</v>
      </c>
      <c r="C80" s="318" t="s">
        <v>6500</v>
      </c>
      <c r="D80" s="163" t="s">
        <v>6501</v>
      </c>
      <c r="E80" s="318" t="s">
        <v>6502</v>
      </c>
      <c r="F80" s="163" t="s">
        <v>6503</v>
      </c>
      <c r="G80" s="320" t="str">
        <f>IFERROR(__xludf.DUMMYFUNCTION("GOOGLETRANSLATE(A80,""zh-tw"",""zh"")"),"Mio的急救箱")</f>
        <v>Mio的急救箱</v>
      </c>
      <c r="H80" s="164"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64"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21" t="str">
        <f>IFERROR(__xludf.DUMMYFUNCTION("GOOGLETRANSLATE(A80,""zh-tw"",""ru"")"),"Аптечка первой помощи Мио")</f>
        <v>Аптечка первой помощи Мио</v>
      </c>
      <c r="N80" s="303" t="str">
        <f>IFERROR(__xludf.DUMMYFUNCTION("GOOGLETRANSLATE(B80,""zh-tw"",""ru"")"),"Восстанавливает здоровье каждую секунду (чит-предмет)")</f>
        <v>Восстанавливает здоровье каждую секунду (чит-предмет)</v>
      </c>
      <c r="O80" s="321" t="str">
        <f>IFERROR(__xludf.DUMMYFUNCTION("GOOGLETRANSLATE(A80,""zh-tw"",""de"")"),"Mios Erste-Hilfe-Set")</f>
        <v>Mios Erste-Hilfe-Set</v>
      </c>
      <c r="P80" s="303" t="str">
        <f>IFERROR(__xludf.DUMMYFUNCTION("GOOGLETRANSLATE(B80,""zh-tw"",""de"")"),"Regeneriert Gesundheit pro Sekunde (Cheat-Gegenstand)")</f>
        <v>Regeneriert Gesundheit pro Sekunde (Cheat-Gegenstand)</v>
      </c>
      <c r="Q80" s="325" t="s">
        <v>6504</v>
      </c>
      <c r="R80" s="309" t="s">
        <v>6505</v>
      </c>
      <c r="S80" s="320" t="s">
        <v>6506</v>
      </c>
      <c r="T80" s="164" t="s">
        <v>6507</v>
      </c>
      <c r="U80" s="20"/>
      <c r="V80" s="20"/>
      <c r="W80" s="20"/>
      <c r="X80" s="20"/>
      <c r="Y80" s="20"/>
      <c r="Z80" s="20"/>
    </row>
    <row r="81">
      <c r="A81" s="318" t="s">
        <v>6508</v>
      </c>
      <c r="B81" s="163" t="s">
        <v>6509</v>
      </c>
      <c r="C81" s="318" t="s">
        <v>6510</v>
      </c>
      <c r="D81" s="163" t="s">
        <v>6511</v>
      </c>
      <c r="E81" s="318" t="s">
        <v>6512</v>
      </c>
      <c r="F81" s="163" t="s">
        <v>6513</v>
      </c>
      <c r="G81" s="320" t="str">
        <f>IFERROR(__xludf.DUMMYFUNCTION("GOOGLETRANSLATE(A81,""zh-tw"",""zh"")"),"白湮的金手指")</f>
        <v>白湮的金手指</v>
      </c>
      <c r="H81" s="164" t="str">
        <f>IFERROR(__xludf.DUMMYFUNCTION("GOOGLETRANSLATE(B81,""zh-tw"",""zh"")"),"武器无消耗(作弊道具)")</f>
        <v>武器无消耗(作弊道具)</v>
      </c>
      <c r="I81" s="320" t="str">
        <f>IFERROR(__xludf.DUMMYFUNCTION("GOOGLETRANSLATE(A81,""zh-tw"",""es-MX"")"),"El dedo dorado de Bai Yan")</f>
        <v>El dedo dorado de Bai Yan</v>
      </c>
      <c r="J81" s="164"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21" t="str">
        <f>IFERROR(__xludf.DUMMYFUNCTION("GOOGLETRANSLATE(A81,""zh-tw"",""ru"")"),"Золотой палец Бай Яня")</f>
        <v>Золотой палец Бай Яня</v>
      </c>
      <c r="N81" s="303" t="str">
        <f>IFERROR(__xludf.DUMMYFUNCTION("GOOGLETRANSLATE(B81,""zh-tw"",""ru"")"),"Оружие не имеет стоимости (чит-предмет)")</f>
        <v>Оружие не имеет стоимости (чит-предмет)</v>
      </c>
      <c r="O81" s="321" t="str">
        <f>IFERROR(__xludf.DUMMYFUNCTION("GOOGLETRANSLATE(A81,""zh-tw"",""de"")"),"Bai Yans goldener Finger")</f>
        <v>Bai Yans goldener Finger</v>
      </c>
      <c r="P81" s="303" t="str">
        <f>IFERROR(__xludf.DUMMYFUNCTION("GOOGLETRANSLATE(B81,""zh-tw"",""de"")"),"Waffen kosten nichts (Cheat-Gegenstand).")</f>
        <v>Waffen kosten nichts (Cheat-Gegenstand).</v>
      </c>
      <c r="Q81" s="325" t="s">
        <v>6514</v>
      </c>
      <c r="R81" s="309" t="s">
        <v>6515</v>
      </c>
      <c r="S81" s="320" t="s">
        <v>6516</v>
      </c>
      <c r="T81" s="164" t="s">
        <v>6517</v>
      </c>
      <c r="U81" s="20"/>
      <c r="V81" s="20"/>
      <c r="W81" s="20"/>
      <c r="X81" s="20"/>
      <c r="Y81" s="20"/>
      <c r="Z81" s="20"/>
    </row>
    <row r="82">
      <c r="A82" s="320"/>
      <c r="B82" s="164"/>
      <c r="C82" s="320"/>
      <c r="D82" s="164"/>
      <c r="E82" s="320"/>
      <c r="F82" s="164"/>
      <c r="G82" s="320"/>
      <c r="H82" s="164"/>
      <c r="I82" s="320"/>
      <c r="J82" s="164"/>
      <c r="K82" s="320"/>
      <c r="L82" s="164"/>
      <c r="M82" s="320"/>
      <c r="N82" s="164"/>
      <c r="O82" s="320"/>
      <c r="P82" s="164"/>
      <c r="Q82" s="322"/>
      <c r="R82" s="323"/>
      <c r="S82" s="20"/>
      <c r="T82" s="20"/>
      <c r="U82" s="20"/>
      <c r="V82" s="20"/>
      <c r="W82" s="20"/>
      <c r="X82" s="20"/>
      <c r="Y82" s="20"/>
      <c r="Z82" s="20"/>
    </row>
    <row r="83">
      <c r="A83" s="320"/>
      <c r="B83" s="164"/>
      <c r="C83" s="320"/>
      <c r="D83" s="164"/>
      <c r="E83" s="320"/>
      <c r="F83" s="164"/>
      <c r="G83" s="320"/>
      <c r="H83" s="164"/>
      <c r="I83" s="320"/>
      <c r="J83" s="164"/>
      <c r="K83" s="320"/>
      <c r="L83" s="164"/>
      <c r="M83" s="320"/>
      <c r="N83" s="164"/>
      <c r="O83" s="320"/>
      <c r="P83" s="164"/>
      <c r="Q83" s="322"/>
      <c r="R83" s="323"/>
      <c r="S83" s="20"/>
      <c r="T83" s="20"/>
      <c r="U83" s="20"/>
      <c r="V83" s="20"/>
      <c r="W83" s="20"/>
      <c r="X83" s="20"/>
      <c r="Y83" s="20"/>
      <c r="Z83" s="20"/>
    </row>
    <row r="84">
      <c r="A84" s="320"/>
      <c r="B84" s="164"/>
      <c r="C84" s="320"/>
      <c r="D84" s="164"/>
      <c r="E84" s="320"/>
      <c r="F84" s="164"/>
      <c r="G84" s="320"/>
      <c r="H84" s="164"/>
      <c r="I84" s="320"/>
      <c r="J84" s="164"/>
      <c r="K84" s="320"/>
      <c r="L84" s="164"/>
      <c r="M84" s="320"/>
      <c r="N84" s="164"/>
      <c r="O84" s="320"/>
      <c r="P84" s="164"/>
      <c r="Q84" s="322"/>
      <c r="R84" s="323"/>
      <c r="S84" s="20"/>
      <c r="T84" s="20"/>
      <c r="U84" s="20"/>
      <c r="V84" s="20"/>
      <c r="W84" s="20"/>
      <c r="X84" s="20"/>
      <c r="Y84" s="20"/>
      <c r="Z84" s="20"/>
    </row>
    <row r="85">
      <c r="A85" s="320"/>
      <c r="B85" s="164"/>
      <c r="C85" s="320"/>
      <c r="D85" s="164"/>
      <c r="E85" s="320"/>
      <c r="F85" s="164"/>
      <c r="G85" s="320"/>
      <c r="H85" s="164"/>
      <c r="I85" s="320"/>
      <c r="J85" s="164"/>
      <c r="K85" s="320"/>
      <c r="L85" s="164"/>
      <c r="M85" s="320"/>
      <c r="N85" s="164"/>
      <c r="O85" s="320"/>
      <c r="P85" s="164"/>
      <c r="Q85" s="322"/>
      <c r="R85" s="323"/>
      <c r="S85" s="20"/>
      <c r="T85" s="20"/>
      <c r="U85" s="20"/>
      <c r="V85" s="20"/>
      <c r="W85" s="20"/>
      <c r="X85" s="20"/>
      <c r="Y85" s="20"/>
      <c r="Z85" s="20"/>
    </row>
    <row r="86">
      <c r="A86" s="320"/>
      <c r="B86" s="164"/>
      <c r="C86" s="320"/>
      <c r="D86" s="164"/>
      <c r="E86" s="320"/>
      <c r="F86" s="164"/>
      <c r="G86" s="320"/>
      <c r="H86" s="164"/>
      <c r="I86" s="320"/>
      <c r="J86" s="164"/>
      <c r="K86" s="320"/>
      <c r="L86" s="164"/>
      <c r="M86" s="320"/>
      <c r="N86" s="164"/>
      <c r="O86" s="320"/>
      <c r="P86" s="164"/>
      <c r="Q86" s="322"/>
      <c r="R86" s="323"/>
      <c r="S86" s="20"/>
      <c r="T86" s="20"/>
      <c r="U86" s="20"/>
      <c r="V86" s="20"/>
      <c r="W86" s="20"/>
      <c r="X86" s="20"/>
      <c r="Y86" s="20"/>
      <c r="Z86" s="20"/>
    </row>
    <row r="87">
      <c r="A87" s="320"/>
      <c r="B87" s="164"/>
      <c r="C87" s="320"/>
      <c r="D87" s="164"/>
      <c r="E87" s="320"/>
      <c r="F87" s="164"/>
      <c r="G87" s="320"/>
      <c r="H87" s="164"/>
      <c r="I87" s="320"/>
      <c r="J87" s="164"/>
      <c r="K87" s="320"/>
      <c r="L87" s="164"/>
      <c r="M87" s="320"/>
      <c r="N87" s="164"/>
      <c r="O87" s="320"/>
      <c r="P87" s="164"/>
      <c r="Q87" s="322"/>
      <c r="R87" s="323"/>
      <c r="S87" s="20"/>
      <c r="T87" s="20"/>
      <c r="U87" s="20"/>
      <c r="V87" s="20"/>
      <c r="W87" s="20"/>
      <c r="X87" s="20"/>
      <c r="Y87" s="20"/>
      <c r="Z87" s="20"/>
    </row>
    <row r="88">
      <c r="A88" s="320"/>
      <c r="B88" s="164"/>
      <c r="C88" s="320"/>
      <c r="D88" s="164"/>
      <c r="E88" s="320"/>
      <c r="F88" s="164"/>
      <c r="G88" s="320"/>
      <c r="H88" s="164"/>
      <c r="I88" s="320"/>
      <c r="J88" s="164"/>
      <c r="K88" s="320"/>
      <c r="L88" s="164"/>
      <c r="M88" s="320"/>
      <c r="N88" s="164"/>
      <c r="O88" s="320"/>
      <c r="P88" s="164"/>
      <c r="Q88" s="322"/>
      <c r="R88" s="323"/>
      <c r="S88" s="20"/>
      <c r="T88" s="20"/>
      <c r="U88" s="20"/>
      <c r="V88" s="20"/>
      <c r="W88" s="20"/>
      <c r="X88" s="20"/>
      <c r="Y88" s="20"/>
      <c r="Z88" s="20"/>
    </row>
    <row r="89">
      <c r="A89" s="320"/>
      <c r="B89" s="332"/>
      <c r="C89" s="320"/>
      <c r="D89" s="164"/>
      <c r="E89" s="320"/>
      <c r="F89" s="164"/>
      <c r="G89" s="320"/>
      <c r="H89" s="164"/>
      <c r="I89" s="320"/>
      <c r="J89" s="164"/>
      <c r="K89" s="320"/>
      <c r="L89" s="164"/>
      <c r="M89" s="320"/>
      <c r="N89" s="164"/>
      <c r="O89" s="320"/>
      <c r="P89" s="164"/>
      <c r="Q89" s="322"/>
      <c r="R89" s="323"/>
      <c r="S89" s="20"/>
      <c r="T89" s="20"/>
      <c r="U89" s="20"/>
      <c r="V89" s="20"/>
      <c r="W89" s="20"/>
      <c r="X89" s="20"/>
      <c r="Y89" s="20"/>
      <c r="Z89" s="20"/>
    </row>
    <row r="90">
      <c r="A90" s="320"/>
      <c r="B90" s="164"/>
      <c r="C90" s="320"/>
      <c r="D90" s="164"/>
      <c r="E90" s="320"/>
      <c r="F90" s="164"/>
      <c r="G90" s="320"/>
      <c r="H90" s="164"/>
      <c r="I90" s="320"/>
      <c r="J90" s="164"/>
      <c r="K90" s="320"/>
      <c r="L90" s="164"/>
      <c r="M90" s="320"/>
      <c r="N90" s="164"/>
      <c r="O90" s="320"/>
      <c r="P90" s="164"/>
      <c r="Q90" s="322"/>
      <c r="R90" s="323"/>
      <c r="S90" s="20"/>
      <c r="T90" s="20"/>
      <c r="U90" s="20"/>
      <c r="V90" s="20"/>
      <c r="W90" s="20"/>
      <c r="X90" s="20"/>
      <c r="Y90" s="20"/>
      <c r="Z90" s="20"/>
    </row>
    <row r="91">
      <c r="A91" s="320"/>
      <c r="B91" s="164"/>
      <c r="C91" s="320"/>
      <c r="D91" s="164"/>
      <c r="E91" s="320"/>
      <c r="F91" s="164"/>
      <c r="G91" s="320"/>
      <c r="H91" s="164"/>
      <c r="I91" s="320"/>
      <c r="J91" s="164"/>
      <c r="K91" s="320"/>
      <c r="L91" s="164"/>
      <c r="M91" s="320"/>
      <c r="N91" s="164"/>
      <c r="O91" s="320"/>
      <c r="P91" s="164"/>
      <c r="Q91" s="322"/>
      <c r="R91" s="323"/>
      <c r="S91" s="20"/>
      <c r="T91" s="20"/>
      <c r="U91" s="20"/>
      <c r="V91" s="20"/>
      <c r="W91" s="20"/>
      <c r="X91" s="20"/>
      <c r="Y91" s="20"/>
      <c r="Z91" s="20"/>
    </row>
    <row r="92">
      <c r="A92" s="320"/>
      <c r="B92" s="164"/>
      <c r="C92" s="320"/>
      <c r="D92" s="164"/>
      <c r="E92" s="320"/>
      <c r="F92" s="164"/>
      <c r="G92" s="320"/>
      <c r="H92" s="164"/>
      <c r="I92" s="320"/>
      <c r="J92" s="164"/>
      <c r="K92" s="320"/>
      <c r="L92" s="164"/>
      <c r="M92" s="320"/>
      <c r="N92" s="164"/>
      <c r="O92" s="320"/>
      <c r="P92" s="164"/>
      <c r="Q92" s="322"/>
      <c r="R92" s="323"/>
      <c r="S92" s="20"/>
      <c r="T92" s="20"/>
      <c r="U92" s="20"/>
      <c r="V92" s="20"/>
      <c r="W92" s="20"/>
      <c r="X92" s="20"/>
      <c r="Y92" s="20"/>
      <c r="Z92" s="20"/>
    </row>
    <row r="93">
      <c r="A93" s="320"/>
      <c r="B93" s="164"/>
      <c r="C93" s="320"/>
      <c r="D93" s="164"/>
      <c r="E93" s="320"/>
      <c r="F93" s="164"/>
      <c r="G93" s="320"/>
      <c r="H93" s="164"/>
      <c r="I93" s="320"/>
      <c r="J93" s="164"/>
      <c r="K93" s="320"/>
      <c r="L93" s="164"/>
      <c r="M93" s="320"/>
      <c r="N93" s="164"/>
      <c r="O93" s="320"/>
      <c r="P93" s="164"/>
      <c r="Q93" s="322"/>
      <c r="R93" s="323"/>
      <c r="S93" s="20"/>
      <c r="T93" s="20"/>
      <c r="U93" s="20"/>
      <c r="V93" s="20"/>
      <c r="W93" s="20"/>
      <c r="X93" s="20"/>
      <c r="Y93" s="20"/>
      <c r="Z93" s="20"/>
    </row>
    <row r="94">
      <c r="A94" s="320"/>
      <c r="B94" s="164"/>
      <c r="C94" s="320"/>
      <c r="D94" s="164"/>
      <c r="E94" s="320"/>
      <c r="F94" s="164"/>
      <c r="G94" s="320"/>
      <c r="H94" s="164"/>
      <c r="I94" s="320"/>
      <c r="J94" s="164"/>
      <c r="K94" s="320"/>
      <c r="L94" s="164"/>
      <c r="M94" s="320"/>
      <c r="N94" s="164"/>
      <c r="O94" s="320"/>
      <c r="P94" s="164"/>
      <c r="Q94" s="322"/>
      <c r="R94" s="323"/>
      <c r="S94" s="20"/>
      <c r="T94" s="20"/>
      <c r="U94" s="20"/>
      <c r="V94" s="20"/>
      <c r="W94" s="20"/>
      <c r="X94" s="20"/>
      <c r="Y94" s="20"/>
      <c r="Z94" s="20"/>
    </row>
    <row r="95">
      <c r="A95" s="320"/>
      <c r="B95" s="164"/>
      <c r="C95" s="320"/>
      <c r="D95" s="164"/>
      <c r="E95" s="320"/>
      <c r="F95" s="164"/>
      <c r="G95" s="320"/>
      <c r="H95" s="164"/>
      <c r="I95" s="320"/>
      <c r="J95" s="164"/>
      <c r="K95" s="320"/>
      <c r="L95" s="164"/>
      <c r="M95" s="320"/>
      <c r="N95" s="164"/>
      <c r="O95" s="320"/>
      <c r="P95" s="164"/>
      <c r="Q95" s="322"/>
      <c r="R95" s="323"/>
      <c r="S95" s="20"/>
      <c r="T95" s="20"/>
      <c r="U95" s="20"/>
      <c r="V95" s="20"/>
      <c r="W95" s="20"/>
      <c r="X95" s="20"/>
      <c r="Y95" s="20"/>
      <c r="Z95" s="20"/>
    </row>
    <row r="96">
      <c r="A96" s="320"/>
      <c r="B96" s="164"/>
      <c r="C96" s="320"/>
      <c r="D96" s="164"/>
      <c r="E96" s="320"/>
      <c r="F96" s="164"/>
      <c r="G96" s="320"/>
      <c r="H96" s="164"/>
      <c r="I96" s="320"/>
      <c r="J96" s="164"/>
      <c r="K96" s="320"/>
      <c r="L96" s="164"/>
      <c r="M96" s="320"/>
      <c r="N96" s="164"/>
      <c r="O96" s="320"/>
      <c r="P96" s="164"/>
      <c r="Q96" s="322"/>
      <c r="R96" s="323"/>
      <c r="S96" s="20"/>
      <c r="T96" s="20"/>
      <c r="U96" s="20"/>
      <c r="V96" s="20"/>
      <c r="W96" s="20"/>
      <c r="X96" s="20"/>
      <c r="Y96" s="20"/>
      <c r="Z96" s="20"/>
    </row>
    <row r="97">
      <c r="A97" s="320"/>
      <c r="B97" s="164"/>
      <c r="C97" s="320"/>
      <c r="D97" s="164"/>
      <c r="E97" s="320"/>
      <c r="F97" s="164"/>
      <c r="G97" s="320"/>
      <c r="H97" s="164"/>
      <c r="I97" s="320"/>
      <c r="J97" s="164"/>
      <c r="K97" s="320"/>
      <c r="L97" s="164"/>
      <c r="M97" s="320"/>
      <c r="N97" s="164"/>
      <c r="O97" s="320"/>
      <c r="P97" s="164"/>
      <c r="Q97" s="322"/>
      <c r="R97" s="323"/>
      <c r="S97" s="20"/>
      <c r="T97" s="20"/>
      <c r="U97" s="20"/>
      <c r="V97" s="20"/>
      <c r="W97" s="20"/>
      <c r="X97" s="20"/>
      <c r="Y97" s="20"/>
      <c r="Z97" s="20"/>
    </row>
    <row r="98">
      <c r="A98" s="320"/>
      <c r="B98" s="164"/>
      <c r="C98" s="320"/>
      <c r="D98" s="164"/>
      <c r="E98" s="320"/>
      <c r="F98" s="164"/>
      <c r="G98" s="320"/>
      <c r="H98" s="164"/>
      <c r="I98" s="320"/>
      <c r="J98" s="164"/>
      <c r="K98" s="320"/>
      <c r="L98" s="164"/>
      <c r="M98" s="320"/>
      <c r="N98" s="164"/>
      <c r="O98" s="320"/>
      <c r="P98" s="164"/>
      <c r="Q98" s="322"/>
      <c r="R98" s="323"/>
      <c r="S98" s="20"/>
      <c r="T98" s="20"/>
      <c r="U98" s="20"/>
      <c r="V98" s="20"/>
      <c r="W98" s="20"/>
      <c r="X98" s="20"/>
      <c r="Y98" s="20"/>
      <c r="Z98" s="20"/>
    </row>
    <row r="99">
      <c r="A99" s="320"/>
      <c r="B99" s="164"/>
      <c r="C99" s="320"/>
      <c r="D99" s="164"/>
      <c r="E99" s="320"/>
      <c r="F99" s="164"/>
      <c r="G99" s="320"/>
      <c r="H99" s="164"/>
      <c r="I99" s="320"/>
      <c r="J99" s="164"/>
      <c r="K99" s="320"/>
      <c r="L99" s="164"/>
      <c r="M99" s="320"/>
      <c r="N99" s="164"/>
      <c r="O99" s="320"/>
      <c r="P99" s="164"/>
      <c r="Q99" s="322"/>
      <c r="R99" s="323"/>
      <c r="S99" s="20"/>
      <c r="T99" s="20"/>
      <c r="U99" s="20"/>
      <c r="V99" s="20"/>
      <c r="W99" s="20"/>
      <c r="X99" s="20"/>
      <c r="Y99" s="20"/>
      <c r="Z99" s="20"/>
    </row>
    <row r="100">
      <c r="A100" s="320"/>
      <c r="B100" s="164"/>
      <c r="C100" s="320"/>
      <c r="D100" s="164"/>
      <c r="E100" s="320"/>
      <c r="F100" s="164"/>
      <c r="G100" s="320"/>
      <c r="H100" s="164"/>
      <c r="I100" s="320"/>
      <c r="J100" s="164"/>
      <c r="K100" s="320"/>
      <c r="L100" s="164"/>
      <c r="M100" s="320"/>
      <c r="N100" s="164"/>
      <c r="O100" s="320"/>
      <c r="P100" s="164"/>
      <c r="Q100" s="322"/>
      <c r="R100" s="323"/>
      <c r="S100" s="20"/>
      <c r="T100" s="20"/>
      <c r="U100" s="20"/>
      <c r="V100" s="20"/>
      <c r="W100" s="20"/>
      <c r="X100" s="20"/>
      <c r="Y100" s="20"/>
      <c r="Z100" s="20"/>
    </row>
    <row r="101">
      <c r="A101" s="320"/>
      <c r="B101" s="164"/>
      <c r="C101" s="320"/>
      <c r="D101" s="164"/>
      <c r="E101" s="320"/>
      <c r="F101" s="164"/>
      <c r="G101" s="320"/>
      <c r="H101" s="164"/>
      <c r="I101" s="320"/>
      <c r="J101" s="164"/>
      <c r="K101" s="320"/>
      <c r="L101" s="164"/>
      <c r="M101" s="320"/>
      <c r="N101" s="164"/>
      <c r="O101" s="320"/>
      <c r="P101" s="164"/>
      <c r="Q101" s="322"/>
      <c r="R101" s="323"/>
      <c r="S101" s="20"/>
      <c r="T101" s="20"/>
      <c r="U101" s="20"/>
      <c r="V101" s="20"/>
      <c r="W101" s="20"/>
      <c r="X101" s="20"/>
      <c r="Y101" s="20"/>
      <c r="Z101" s="20"/>
    </row>
    <row r="102">
      <c r="A102" s="320"/>
      <c r="B102" s="164"/>
      <c r="C102" s="320"/>
      <c r="D102" s="164"/>
      <c r="E102" s="320"/>
      <c r="F102" s="164"/>
      <c r="G102" s="320"/>
      <c r="H102" s="164"/>
      <c r="I102" s="320"/>
      <c r="J102" s="164"/>
      <c r="K102" s="320"/>
      <c r="L102" s="164"/>
      <c r="M102" s="320"/>
      <c r="N102" s="164"/>
      <c r="O102" s="320"/>
      <c r="P102" s="164"/>
      <c r="Q102" s="322"/>
      <c r="R102" s="323"/>
      <c r="S102" s="20"/>
      <c r="T102" s="20"/>
      <c r="U102" s="20"/>
      <c r="V102" s="20"/>
      <c r="W102" s="20"/>
      <c r="X102" s="20"/>
      <c r="Y102" s="20"/>
      <c r="Z102" s="20"/>
    </row>
    <row r="103">
      <c r="A103" s="320"/>
      <c r="B103" s="164"/>
      <c r="C103" s="320"/>
      <c r="D103" s="164"/>
      <c r="E103" s="320"/>
      <c r="F103" s="164"/>
      <c r="G103" s="320"/>
      <c r="H103" s="164"/>
      <c r="I103" s="320"/>
      <c r="J103" s="164"/>
      <c r="K103" s="320"/>
      <c r="L103" s="164"/>
      <c r="M103" s="320"/>
      <c r="N103" s="164"/>
      <c r="O103" s="320"/>
      <c r="P103" s="164"/>
      <c r="Q103" s="322"/>
      <c r="R103" s="323"/>
      <c r="S103" s="20"/>
      <c r="T103" s="20"/>
      <c r="U103" s="20"/>
      <c r="V103" s="20"/>
      <c r="W103" s="20"/>
      <c r="X103" s="20"/>
      <c r="Y103" s="20"/>
      <c r="Z103" s="20"/>
    </row>
    <row r="104">
      <c r="A104" s="320"/>
      <c r="B104" s="164"/>
      <c r="C104" s="320"/>
      <c r="D104" s="164"/>
      <c r="E104" s="320"/>
      <c r="F104" s="164"/>
      <c r="G104" s="320"/>
      <c r="H104" s="164"/>
      <c r="I104" s="320"/>
      <c r="J104" s="164"/>
      <c r="K104" s="320"/>
      <c r="L104" s="164"/>
      <c r="M104" s="320"/>
      <c r="N104" s="164"/>
      <c r="O104" s="320"/>
      <c r="P104" s="164"/>
      <c r="Q104" s="322"/>
      <c r="R104" s="323"/>
      <c r="S104" s="20"/>
      <c r="T104" s="20"/>
      <c r="U104" s="20"/>
      <c r="V104" s="20"/>
      <c r="W104" s="20"/>
      <c r="X104" s="20"/>
      <c r="Y104" s="20"/>
      <c r="Z104" s="20"/>
    </row>
    <row r="105">
      <c r="A105" s="320"/>
      <c r="B105" s="164"/>
      <c r="C105" s="320"/>
      <c r="D105" s="164"/>
      <c r="E105" s="320"/>
      <c r="F105" s="164"/>
      <c r="G105" s="320"/>
      <c r="H105" s="164"/>
      <c r="I105" s="320"/>
      <c r="J105" s="164"/>
      <c r="K105" s="320"/>
      <c r="L105" s="164"/>
      <c r="M105" s="320"/>
      <c r="N105" s="164"/>
      <c r="O105" s="320"/>
      <c r="P105" s="164"/>
      <c r="Q105" s="322"/>
      <c r="R105" s="323"/>
      <c r="S105" s="20"/>
      <c r="T105" s="20"/>
      <c r="U105" s="20"/>
      <c r="V105" s="20"/>
      <c r="W105" s="20"/>
      <c r="X105" s="20"/>
      <c r="Y105" s="20"/>
      <c r="Z105" s="20"/>
    </row>
    <row r="106">
      <c r="A106" s="320"/>
      <c r="B106" s="164"/>
      <c r="C106" s="320"/>
      <c r="D106" s="164"/>
      <c r="E106" s="320"/>
      <c r="F106" s="164"/>
      <c r="G106" s="320"/>
      <c r="H106" s="164"/>
      <c r="I106" s="320"/>
      <c r="J106" s="164"/>
      <c r="K106" s="320"/>
      <c r="L106" s="164"/>
      <c r="M106" s="320"/>
      <c r="N106" s="164"/>
      <c r="O106" s="320"/>
      <c r="P106" s="164"/>
      <c r="Q106" s="322"/>
      <c r="R106" s="323"/>
      <c r="S106" s="20"/>
      <c r="T106" s="20"/>
      <c r="U106" s="20"/>
      <c r="V106" s="20"/>
      <c r="W106" s="20"/>
      <c r="X106" s="20"/>
      <c r="Y106" s="20"/>
      <c r="Z106" s="20"/>
    </row>
    <row r="107">
      <c r="A107" s="320"/>
      <c r="B107" s="164"/>
      <c r="C107" s="320"/>
      <c r="D107" s="164"/>
      <c r="E107" s="320"/>
      <c r="F107" s="164"/>
      <c r="G107" s="320"/>
      <c r="H107" s="164"/>
      <c r="I107" s="320"/>
      <c r="J107" s="164"/>
      <c r="K107" s="320"/>
      <c r="L107" s="164"/>
      <c r="M107" s="320"/>
      <c r="N107" s="164"/>
      <c r="O107" s="320"/>
      <c r="P107" s="164"/>
      <c r="Q107" s="322"/>
      <c r="R107" s="323"/>
      <c r="S107" s="20"/>
      <c r="T107" s="20"/>
      <c r="U107" s="20"/>
      <c r="V107" s="20"/>
      <c r="W107" s="20"/>
      <c r="X107" s="20"/>
      <c r="Y107" s="20"/>
      <c r="Z107" s="20"/>
    </row>
    <row r="108">
      <c r="A108" s="320"/>
      <c r="B108" s="164"/>
      <c r="C108" s="320"/>
      <c r="D108" s="164"/>
      <c r="E108" s="320"/>
      <c r="F108" s="164"/>
      <c r="G108" s="320"/>
      <c r="H108" s="164"/>
      <c r="I108" s="320"/>
      <c r="J108" s="164"/>
      <c r="K108" s="320"/>
      <c r="L108" s="164"/>
      <c r="M108" s="320"/>
      <c r="N108" s="164"/>
      <c r="O108" s="320"/>
      <c r="P108" s="164"/>
      <c r="Q108" s="322"/>
      <c r="R108" s="323"/>
      <c r="S108" s="20"/>
      <c r="T108" s="20"/>
      <c r="U108" s="20"/>
      <c r="V108" s="20"/>
      <c r="W108" s="20"/>
      <c r="X108" s="20"/>
      <c r="Y108" s="20"/>
      <c r="Z108" s="20"/>
    </row>
    <row r="109">
      <c r="A109" s="320"/>
      <c r="B109" s="164"/>
      <c r="C109" s="320"/>
      <c r="D109" s="164"/>
      <c r="E109" s="320"/>
      <c r="F109" s="164"/>
      <c r="G109" s="320"/>
      <c r="H109" s="164"/>
      <c r="I109" s="320"/>
      <c r="J109" s="164"/>
      <c r="K109" s="320"/>
      <c r="L109" s="164"/>
      <c r="M109" s="320"/>
      <c r="N109" s="164"/>
      <c r="O109" s="320"/>
      <c r="P109" s="164"/>
      <c r="Q109" s="322"/>
      <c r="R109" s="323"/>
      <c r="S109" s="20"/>
      <c r="T109" s="20"/>
      <c r="U109" s="20"/>
      <c r="V109" s="20"/>
      <c r="W109" s="20"/>
      <c r="X109" s="20"/>
      <c r="Y109" s="20"/>
      <c r="Z109" s="20"/>
    </row>
    <row r="110">
      <c r="A110" s="320"/>
      <c r="B110" s="164"/>
      <c r="C110" s="320"/>
      <c r="D110" s="164"/>
      <c r="E110" s="320"/>
      <c r="F110" s="164"/>
      <c r="G110" s="320"/>
      <c r="H110" s="164"/>
      <c r="I110" s="320"/>
      <c r="J110" s="164"/>
      <c r="K110" s="320"/>
      <c r="L110" s="164"/>
      <c r="M110" s="320"/>
      <c r="N110" s="164"/>
      <c r="O110" s="320"/>
      <c r="P110" s="164"/>
      <c r="Q110" s="322"/>
      <c r="R110" s="323"/>
      <c r="S110" s="20"/>
      <c r="T110" s="20"/>
      <c r="U110" s="20"/>
      <c r="V110" s="20"/>
      <c r="W110" s="20"/>
      <c r="X110" s="20"/>
      <c r="Y110" s="20"/>
      <c r="Z110" s="20"/>
    </row>
    <row r="111">
      <c r="A111" s="320"/>
      <c r="B111" s="164"/>
      <c r="C111" s="320"/>
      <c r="D111" s="164"/>
      <c r="E111" s="320"/>
      <c r="F111" s="164"/>
      <c r="G111" s="320"/>
      <c r="H111" s="164"/>
      <c r="I111" s="320"/>
      <c r="J111" s="164"/>
      <c r="K111" s="320"/>
      <c r="L111" s="164"/>
      <c r="M111" s="320"/>
      <c r="N111" s="164"/>
      <c r="O111" s="320"/>
      <c r="P111" s="164"/>
      <c r="Q111" s="322"/>
      <c r="R111" s="323"/>
      <c r="S111" s="20"/>
      <c r="T111" s="20"/>
      <c r="U111" s="20"/>
      <c r="V111" s="20"/>
      <c r="W111" s="20"/>
      <c r="X111" s="20"/>
      <c r="Y111" s="20"/>
      <c r="Z111" s="20"/>
    </row>
    <row r="112">
      <c r="A112" s="320"/>
      <c r="B112" s="164"/>
      <c r="C112" s="320"/>
      <c r="D112" s="164"/>
      <c r="E112" s="320"/>
      <c r="F112" s="164"/>
      <c r="G112" s="320"/>
      <c r="H112" s="164"/>
      <c r="I112" s="320"/>
      <c r="J112" s="164"/>
      <c r="K112" s="320"/>
      <c r="L112" s="164"/>
      <c r="M112" s="320"/>
      <c r="N112" s="164"/>
      <c r="O112" s="320"/>
      <c r="P112" s="164"/>
      <c r="Q112" s="322"/>
      <c r="R112" s="323"/>
      <c r="S112" s="20"/>
      <c r="T112" s="20"/>
      <c r="U112" s="20"/>
      <c r="V112" s="20"/>
      <c r="W112" s="20"/>
      <c r="X112" s="20"/>
      <c r="Y112" s="20"/>
      <c r="Z112" s="20"/>
    </row>
    <row r="113">
      <c r="A113" s="320"/>
      <c r="B113" s="164"/>
      <c r="C113" s="320"/>
      <c r="D113" s="164"/>
      <c r="E113" s="320"/>
      <c r="F113" s="164"/>
      <c r="G113" s="320"/>
      <c r="H113" s="164"/>
      <c r="I113" s="320"/>
      <c r="J113" s="164"/>
      <c r="K113" s="320"/>
      <c r="L113" s="164"/>
      <c r="M113" s="320"/>
      <c r="N113" s="164"/>
      <c r="O113" s="320"/>
      <c r="P113" s="164"/>
      <c r="Q113" s="322"/>
      <c r="R113" s="323"/>
      <c r="S113" s="20"/>
      <c r="T113" s="20"/>
      <c r="U113" s="20"/>
      <c r="V113" s="20"/>
      <c r="W113" s="20"/>
      <c r="X113" s="20"/>
      <c r="Y113" s="20"/>
      <c r="Z113" s="20"/>
    </row>
    <row r="114">
      <c r="A114" s="320"/>
      <c r="B114" s="164"/>
      <c r="C114" s="320"/>
      <c r="D114" s="164"/>
      <c r="E114" s="320"/>
      <c r="F114" s="164"/>
      <c r="G114" s="320"/>
      <c r="H114" s="164"/>
      <c r="I114" s="320"/>
      <c r="J114" s="164"/>
      <c r="K114" s="320"/>
      <c r="L114" s="164"/>
      <c r="M114" s="320"/>
      <c r="N114" s="164"/>
      <c r="O114" s="320"/>
      <c r="P114" s="164"/>
      <c r="Q114" s="322"/>
      <c r="R114" s="323"/>
      <c r="S114" s="20"/>
      <c r="T114" s="20"/>
      <c r="U114" s="20"/>
      <c r="V114" s="20"/>
      <c r="W114" s="20"/>
      <c r="X114" s="20"/>
      <c r="Y114" s="20"/>
      <c r="Z114" s="20"/>
    </row>
    <row r="115">
      <c r="A115" s="320"/>
      <c r="B115" s="164"/>
      <c r="C115" s="320"/>
      <c r="D115" s="164"/>
      <c r="E115" s="320"/>
      <c r="F115" s="164"/>
      <c r="G115" s="320"/>
      <c r="H115" s="164"/>
      <c r="I115" s="320"/>
      <c r="J115" s="164"/>
      <c r="K115" s="320"/>
      <c r="L115" s="164"/>
      <c r="M115" s="320"/>
      <c r="N115" s="164"/>
      <c r="O115" s="320"/>
      <c r="P115" s="164"/>
      <c r="Q115" s="322"/>
      <c r="R115" s="323"/>
      <c r="S115" s="20"/>
      <c r="T115" s="20"/>
      <c r="U115" s="20"/>
      <c r="V115" s="20"/>
      <c r="W115" s="20"/>
      <c r="X115" s="20"/>
      <c r="Y115" s="20"/>
      <c r="Z115" s="20"/>
    </row>
    <row r="116">
      <c r="A116" s="320"/>
      <c r="B116" s="164"/>
      <c r="C116" s="320"/>
      <c r="D116" s="164"/>
      <c r="E116" s="320"/>
      <c r="F116" s="164"/>
      <c r="G116" s="320"/>
      <c r="H116" s="164"/>
      <c r="I116" s="320"/>
      <c r="J116" s="164"/>
      <c r="K116" s="320"/>
      <c r="L116" s="164"/>
      <c r="M116" s="320"/>
      <c r="N116" s="164"/>
      <c r="O116" s="320"/>
      <c r="P116" s="164"/>
      <c r="Q116" s="322"/>
      <c r="R116" s="323"/>
      <c r="S116" s="20"/>
      <c r="T116" s="20"/>
      <c r="U116" s="20"/>
      <c r="V116" s="20"/>
      <c r="W116" s="20"/>
      <c r="X116" s="20"/>
      <c r="Y116" s="20"/>
      <c r="Z116" s="20"/>
    </row>
    <row r="117">
      <c r="A117" s="320"/>
      <c r="B117" s="164"/>
      <c r="C117" s="320"/>
      <c r="D117" s="164"/>
      <c r="E117" s="320"/>
      <c r="F117" s="164"/>
      <c r="G117" s="320"/>
      <c r="H117" s="164"/>
      <c r="I117" s="320"/>
      <c r="J117" s="164"/>
      <c r="K117" s="320"/>
      <c r="L117" s="164"/>
      <c r="M117" s="320"/>
      <c r="N117" s="164"/>
      <c r="O117" s="320"/>
      <c r="P117" s="164"/>
      <c r="Q117" s="322"/>
      <c r="R117" s="323"/>
      <c r="S117" s="20"/>
      <c r="T117" s="20"/>
      <c r="U117" s="20"/>
      <c r="V117" s="20"/>
      <c r="W117" s="20"/>
      <c r="X117" s="20"/>
      <c r="Y117" s="20"/>
      <c r="Z117" s="20"/>
    </row>
    <row r="118">
      <c r="A118" s="320"/>
      <c r="B118" s="164"/>
      <c r="C118" s="320"/>
      <c r="D118" s="164"/>
      <c r="E118" s="320"/>
      <c r="F118" s="164"/>
      <c r="G118" s="320"/>
      <c r="H118" s="164"/>
      <c r="I118" s="320"/>
      <c r="J118" s="164"/>
      <c r="K118" s="320"/>
      <c r="L118" s="164"/>
      <c r="M118" s="320"/>
      <c r="N118" s="164"/>
      <c r="O118" s="320"/>
      <c r="P118" s="164"/>
      <c r="Q118" s="322"/>
      <c r="R118" s="323"/>
      <c r="S118" s="20"/>
      <c r="T118" s="20"/>
      <c r="U118" s="20"/>
      <c r="V118" s="20"/>
      <c r="W118" s="20"/>
      <c r="X118" s="20"/>
      <c r="Y118" s="20"/>
      <c r="Z118" s="20"/>
    </row>
    <row r="119">
      <c r="A119" s="320"/>
      <c r="B119" s="164"/>
      <c r="C119" s="320"/>
      <c r="D119" s="164"/>
      <c r="E119" s="320"/>
      <c r="F119" s="164"/>
      <c r="G119" s="320"/>
      <c r="H119" s="164"/>
      <c r="I119" s="320"/>
      <c r="J119" s="164"/>
      <c r="K119" s="320"/>
      <c r="L119" s="164"/>
      <c r="M119" s="320"/>
      <c r="N119" s="164"/>
      <c r="O119" s="320"/>
      <c r="P119" s="164"/>
      <c r="Q119" s="322"/>
      <c r="R119" s="323"/>
      <c r="S119" s="20"/>
      <c r="T119" s="20"/>
      <c r="U119" s="20"/>
      <c r="V119" s="20"/>
      <c r="W119" s="20"/>
      <c r="X119" s="20"/>
      <c r="Y119" s="20"/>
      <c r="Z119" s="20"/>
    </row>
    <row r="120">
      <c r="A120" s="320"/>
      <c r="B120" s="164"/>
      <c r="C120" s="320"/>
      <c r="D120" s="164"/>
      <c r="E120" s="320"/>
      <c r="F120" s="164"/>
      <c r="G120" s="320"/>
      <c r="H120" s="164"/>
      <c r="I120" s="320"/>
      <c r="J120" s="164"/>
      <c r="K120" s="320"/>
      <c r="L120" s="164"/>
      <c r="M120" s="320"/>
      <c r="N120" s="164"/>
      <c r="O120" s="320"/>
      <c r="P120" s="164"/>
      <c r="Q120" s="322"/>
      <c r="R120" s="323"/>
      <c r="S120" s="20"/>
      <c r="T120" s="20"/>
      <c r="U120" s="20"/>
      <c r="V120" s="20"/>
      <c r="W120" s="20"/>
      <c r="X120" s="20"/>
      <c r="Y120" s="20"/>
      <c r="Z120" s="20"/>
    </row>
    <row r="121">
      <c r="A121" s="320"/>
      <c r="B121" s="164"/>
      <c r="C121" s="320"/>
      <c r="D121" s="164"/>
      <c r="E121" s="320"/>
      <c r="F121" s="164"/>
      <c r="G121" s="320"/>
      <c r="H121" s="164"/>
      <c r="I121" s="320"/>
      <c r="J121" s="164"/>
      <c r="K121" s="320"/>
      <c r="L121" s="164"/>
      <c r="M121" s="320"/>
      <c r="N121" s="164"/>
      <c r="O121" s="320"/>
      <c r="P121" s="164"/>
      <c r="Q121" s="322"/>
      <c r="R121" s="323"/>
      <c r="S121" s="20"/>
      <c r="T121" s="20"/>
      <c r="U121" s="20"/>
      <c r="V121" s="20"/>
      <c r="W121" s="20"/>
      <c r="X121" s="20"/>
      <c r="Y121" s="20"/>
      <c r="Z121" s="20"/>
    </row>
    <row r="122">
      <c r="A122" s="320"/>
      <c r="B122" s="164"/>
      <c r="C122" s="320"/>
      <c r="D122" s="164"/>
      <c r="E122" s="320"/>
      <c r="F122" s="164"/>
      <c r="G122" s="320"/>
      <c r="H122" s="164"/>
      <c r="I122" s="320"/>
      <c r="J122" s="164"/>
      <c r="K122" s="320"/>
      <c r="L122" s="164"/>
      <c r="M122" s="320"/>
      <c r="N122" s="164"/>
      <c r="O122" s="320"/>
      <c r="P122" s="164"/>
      <c r="Q122" s="322"/>
      <c r="R122" s="323"/>
      <c r="S122" s="20"/>
      <c r="T122" s="20"/>
      <c r="U122" s="20"/>
      <c r="V122" s="20"/>
      <c r="W122" s="20"/>
      <c r="X122" s="20"/>
      <c r="Y122" s="20"/>
      <c r="Z122" s="20"/>
    </row>
    <row r="123">
      <c r="A123" s="320"/>
      <c r="B123" s="164"/>
      <c r="C123" s="320"/>
      <c r="D123" s="164"/>
      <c r="E123" s="320"/>
      <c r="F123" s="164"/>
      <c r="G123" s="320"/>
      <c r="H123" s="164"/>
      <c r="I123" s="320"/>
      <c r="J123" s="164"/>
      <c r="K123" s="320"/>
      <c r="L123" s="164"/>
      <c r="M123" s="320"/>
      <c r="N123" s="164"/>
      <c r="O123" s="320"/>
      <c r="P123" s="164"/>
      <c r="Q123" s="322"/>
      <c r="R123" s="323"/>
      <c r="S123" s="20"/>
      <c r="T123" s="20"/>
      <c r="U123" s="20"/>
      <c r="V123" s="20"/>
      <c r="W123" s="20"/>
      <c r="X123" s="20"/>
      <c r="Y123" s="20"/>
      <c r="Z123" s="20"/>
    </row>
    <row r="124">
      <c r="A124" s="320"/>
      <c r="B124" s="164"/>
      <c r="C124" s="320"/>
      <c r="D124" s="164"/>
      <c r="E124" s="320"/>
      <c r="F124" s="164"/>
      <c r="G124" s="320"/>
      <c r="H124" s="164"/>
      <c r="I124" s="320"/>
      <c r="J124" s="164"/>
      <c r="K124" s="320"/>
      <c r="L124" s="164"/>
      <c r="M124" s="320"/>
      <c r="N124" s="164"/>
      <c r="O124" s="320"/>
      <c r="P124" s="164"/>
      <c r="Q124" s="322"/>
      <c r="R124" s="323"/>
      <c r="S124" s="20"/>
      <c r="T124" s="20"/>
      <c r="U124" s="20"/>
      <c r="V124" s="20"/>
      <c r="W124" s="20"/>
      <c r="X124" s="20"/>
      <c r="Y124" s="20"/>
      <c r="Z124" s="20"/>
    </row>
    <row r="125">
      <c r="A125" s="320"/>
      <c r="B125" s="164"/>
      <c r="C125" s="320"/>
      <c r="D125" s="164"/>
      <c r="E125" s="320"/>
      <c r="F125" s="164"/>
      <c r="G125" s="320"/>
      <c r="H125" s="164"/>
      <c r="I125" s="320"/>
      <c r="J125" s="164"/>
      <c r="K125" s="320"/>
      <c r="L125" s="164"/>
      <c r="M125" s="320"/>
      <c r="N125" s="164"/>
      <c r="O125" s="320"/>
      <c r="P125" s="164"/>
      <c r="Q125" s="322"/>
      <c r="R125" s="323"/>
      <c r="S125" s="20"/>
      <c r="T125" s="20"/>
      <c r="U125" s="20"/>
      <c r="V125" s="20"/>
      <c r="W125" s="20"/>
      <c r="X125" s="20"/>
      <c r="Y125" s="20"/>
      <c r="Z125" s="20"/>
    </row>
    <row r="126">
      <c r="A126" s="320"/>
      <c r="B126" s="164"/>
      <c r="C126" s="320"/>
      <c r="D126" s="164"/>
      <c r="E126" s="320"/>
      <c r="F126" s="164"/>
      <c r="G126" s="320"/>
      <c r="H126" s="164"/>
      <c r="I126" s="320"/>
      <c r="J126" s="164"/>
      <c r="K126" s="320"/>
      <c r="L126" s="164"/>
      <c r="M126" s="320"/>
      <c r="N126" s="164"/>
      <c r="O126" s="320"/>
      <c r="P126" s="164"/>
      <c r="Q126" s="322"/>
      <c r="R126" s="323"/>
      <c r="S126" s="20"/>
      <c r="T126" s="20"/>
      <c r="U126" s="20"/>
      <c r="V126" s="20"/>
      <c r="W126" s="20"/>
      <c r="X126" s="20"/>
      <c r="Y126" s="20"/>
      <c r="Z126" s="20"/>
    </row>
    <row r="127">
      <c r="A127" s="320"/>
      <c r="B127" s="164"/>
      <c r="C127" s="320"/>
      <c r="D127" s="164"/>
      <c r="E127" s="320"/>
      <c r="F127" s="164"/>
      <c r="G127" s="320"/>
      <c r="H127" s="164"/>
      <c r="I127" s="320"/>
      <c r="J127" s="164"/>
      <c r="K127" s="320"/>
      <c r="L127" s="164"/>
      <c r="M127" s="320"/>
      <c r="N127" s="164"/>
      <c r="O127" s="320"/>
      <c r="P127" s="164"/>
      <c r="Q127" s="322"/>
      <c r="R127" s="323"/>
      <c r="S127" s="20"/>
      <c r="T127" s="20"/>
      <c r="U127" s="20"/>
      <c r="V127" s="20"/>
      <c r="W127" s="20"/>
      <c r="X127" s="20"/>
      <c r="Y127" s="20"/>
      <c r="Z127" s="20"/>
    </row>
    <row r="128">
      <c r="A128" s="320"/>
      <c r="B128" s="164"/>
      <c r="C128" s="320"/>
      <c r="D128" s="164"/>
      <c r="E128" s="320"/>
      <c r="F128" s="164"/>
      <c r="G128" s="320"/>
      <c r="H128" s="164"/>
      <c r="I128" s="320"/>
      <c r="J128" s="164"/>
      <c r="K128" s="320"/>
      <c r="L128" s="164"/>
      <c r="M128" s="320"/>
      <c r="N128" s="164"/>
      <c r="O128" s="320"/>
      <c r="P128" s="164"/>
      <c r="Q128" s="333"/>
      <c r="R128" s="18"/>
      <c r="S128" s="20"/>
      <c r="T128" s="20"/>
      <c r="U128" s="20"/>
      <c r="V128" s="20"/>
      <c r="W128" s="20"/>
      <c r="X128" s="20"/>
      <c r="Y128" s="20"/>
      <c r="Z128" s="20"/>
    </row>
    <row r="129">
      <c r="A129" s="320"/>
      <c r="B129" s="164"/>
      <c r="C129" s="320"/>
      <c r="D129" s="164"/>
      <c r="E129" s="320"/>
      <c r="F129" s="164"/>
      <c r="G129" s="320"/>
      <c r="H129" s="164"/>
      <c r="I129" s="320"/>
      <c r="J129" s="164"/>
      <c r="K129" s="320"/>
      <c r="L129" s="164"/>
      <c r="M129" s="320"/>
      <c r="N129" s="164"/>
      <c r="O129" s="320"/>
      <c r="P129" s="164"/>
      <c r="Q129" s="333"/>
      <c r="R129" s="18"/>
      <c r="S129" s="20"/>
      <c r="T129" s="20"/>
      <c r="U129" s="20"/>
      <c r="V129" s="20"/>
      <c r="W129" s="20"/>
      <c r="X129" s="20"/>
      <c r="Y129" s="20"/>
      <c r="Z129" s="20"/>
    </row>
    <row r="130">
      <c r="A130" s="320"/>
      <c r="B130" s="164"/>
      <c r="C130" s="320"/>
      <c r="D130" s="164"/>
      <c r="E130" s="320"/>
      <c r="F130" s="164"/>
      <c r="G130" s="320"/>
      <c r="H130" s="164"/>
      <c r="I130" s="320"/>
      <c r="J130" s="164"/>
      <c r="K130" s="320"/>
      <c r="L130" s="164"/>
      <c r="M130" s="320"/>
      <c r="N130" s="164"/>
      <c r="O130" s="320"/>
      <c r="P130" s="164"/>
      <c r="Q130" s="333"/>
      <c r="R130" s="18"/>
      <c r="S130" s="20"/>
      <c r="T130" s="20"/>
      <c r="U130" s="20"/>
      <c r="V130" s="20"/>
      <c r="W130" s="20"/>
      <c r="X130" s="20"/>
      <c r="Y130" s="20"/>
      <c r="Z130" s="20"/>
    </row>
    <row r="131">
      <c r="A131" s="320"/>
      <c r="B131" s="164"/>
      <c r="C131" s="320"/>
      <c r="D131" s="164"/>
      <c r="E131" s="320"/>
      <c r="F131" s="164"/>
      <c r="G131" s="320"/>
      <c r="H131" s="164"/>
      <c r="I131" s="320"/>
      <c r="J131" s="164"/>
      <c r="K131" s="320"/>
      <c r="L131" s="164"/>
      <c r="M131" s="320"/>
      <c r="N131" s="164"/>
      <c r="O131" s="320"/>
      <c r="P131" s="164"/>
      <c r="Q131" s="333"/>
      <c r="R131" s="18"/>
      <c r="S131" s="20"/>
      <c r="T131" s="20"/>
      <c r="U131" s="20"/>
      <c r="V131" s="20"/>
      <c r="W131" s="20"/>
      <c r="X131" s="20"/>
      <c r="Y131" s="20"/>
      <c r="Z131" s="20"/>
    </row>
    <row r="132">
      <c r="A132" s="320"/>
      <c r="B132" s="164"/>
      <c r="C132" s="320"/>
      <c r="D132" s="164"/>
      <c r="E132" s="320"/>
      <c r="F132" s="164"/>
      <c r="G132" s="320"/>
      <c r="H132" s="164"/>
      <c r="I132" s="320"/>
      <c r="J132" s="164"/>
      <c r="K132" s="320"/>
      <c r="L132" s="164"/>
      <c r="M132" s="320"/>
      <c r="N132" s="164"/>
      <c r="O132" s="320"/>
      <c r="P132" s="164"/>
      <c r="Q132" s="333"/>
      <c r="R132" s="18"/>
      <c r="S132" s="20"/>
      <c r="T132" s="20"/>
      <c r="U132" s="20"/>
      <c r="V132" s="20"/>
      <c r="W132" s="20"/>
      <c r="X132" s="20"/>
      <c r="Y132" s="20"/>
      <c r="Z132" s="20"/>
    </row>
    <row r="133">
      <c r="A133" s="320"/>
      <c r="B133" s="164"/>
      <c r="C133" s="320"/>
      <c r="D133" s="164"/>
      <c r="E133" s="320"/>
      <c r="F133" s="164"/>
      <c r="G133" s="320"/>
      <c r="H133" s="164"/>
      <c r="I133" s="320"/>
      <c r="J133" s="164"/>
      <c r="K133" s="320"/>
      <c r="L133" s="164"/>
      <c r="M133" s="320"/>
      <c r="N133" s="164"/>
      <c r="O133" s="320"/>
      <c r="P133" s="164"/>
      <c r="Q133" s="333"/>
      <c r="R133" s="18"/>
      <c r="S133" s="20"/>
      <c r="T133" s="20"/>
      <c r="U133" s="20"/>
      <c r="V133" s="20"/>
      <c r="W133" s="20"/>
      <c r="X133" s="20"/>
      <c r="Y133" s="20"/>
      <c r="Z133" s="20"/>
    </row>
    <row r="134">
      <c r="A134" s="320"/>
      <c r="B134" s="164"/>
      <c r="C134" s="320"/>
      <c r="D134" s="164"/>
      <c r="E134" s="320"/>
      <c r="F134" s="164"/>
      <c r="G134" s="320"/>
      <c r="H134" s="164"/>
      <c r="I134" s="320"/>
      <c r="J134" s="164"/>
      <c r="K134" s="320"/>
      <c r="L134" s="164"/>
      <c r="M134" s="320"/>
      <c r="N134" s="164"/>
      <c r="O134" s="320"/>
      <c r="P134" s="164"/>
      <c r="Q134" s="333"/>
      <c r="R134" s="18"/>
      <c r="S134" s="20"/>
      <c r="T134" s="20"/>
      <c r="U134" s="20"/>
      <c r="V134" s="20"/>
      <c r="W134" s="20"/>
      <c r="X134" s="20"/>
      <c r="Y134" s="20"/>
      <c r="Z134" s="20"/>
    </row>
    <row r="135">
      <c r="A135" s="320"/>
      <c r="B135" s="164"/>
      <c r="C135" s="320"/>
      <c r="D135" s="164"/>
      <c r="E135" s="320"/>
      <c r="F135" s="164"/>
      <c r="G135" s="320"/>
      <c r="H135" s="164"/>
      <c r="I135" s="320"/>
      <c r="J135" s="164"/>
      <c r="K135" s="320"/>
      <c r="L135" s="164"/>
      <c r="M135" s="320"/>
      <c r="N135" s="164"/>
      <c r="O135" s="320"/>
      <c r="P135" s="164"/>
      <c r="Q135" s="333"/>
      <c r="R135" s="18"/>
      <c r="S135" s="20"/>
      <c r="T135" s="20"/>
      <c r="U135" s="20"/>
      <c r="V135" s="20"/>
      <c r="W135" s="20"/>
      <c r="X135" s="20"/>
      <c r="Y135" s="20"/>
      <c r="Z135" s="20"/>
    </row>
    <row r="136">
      <c r="A136" s="320"/>
      <c r="B136" s="164"/>
      <c r="C136" s="320"/>
      <c r="D136" s="164"/>
      <c r="E136" s="320"/>
      <c r="F136" s="164"/>
      <c r="G136" s="320"/>
      <c r="H136" s="164"/>
      <c r="I136" s="320"/>
      <c r="J136" s="164"/>
      <c r="K136" s="320"/>
      <c r="L136" s="164"/>
      <c r="M136" s="320"/>
      <c r="N136" s="164"/>
      <c r="O136" s="320"/>
      <c r="P136" s="164"/>
      <c r="Q136" s="333"/>
      <c r="R136" s="18"/>
      <c r="S136" s="20"/>
      <c r="T136" s="20"/>
      <c r="U136" s="20"/>
      <c r="V136" s="20"/>
      <c r="W136" s="20"/>
      <c r="X136" s="20"/>
      <c r="Y136" s="20"/>
      <c r="Z136" s="20"/>
    </row>
    <row r="137">
      <c r="A137" s="320"/>
      <c r="B137" s="164"/>
      <c r="C137" s="320"/>
      <c r="D137" s="164"/>
      <c r="E137" s="320"/>
      <c r="F137" s="164"/>
      <c r="G137" s="320"/>
      <c r="H137" s="164"/>
      <c r="I137" s="320"/>
      <c r="J137" s="164"/>
      <c r="K137" s="320"/>
      <c r="L137" s="164"/>
      <c r="M137" s="320"/>
      <c r="N137" s="164"/>
      <c r="O137" s="320"/>
      <c r="P137" s="164"/>
      <c r="Q137" s="333"/>
      <c r="R137" s="18"/>
      <c r="S137" s="20"/>
      <c r="T137" s="20"/>
      <c r="U137" s="20"/>
      <c r="V137" s="20"/>
      <c r="W137" s="20"/>
      <c r="X137" s="20"/>
      <c r="Y137" s="20"/>
      <c r="Z137" s="20"/>
    </row>
    <row r="138">
      <c r="A138" s="320"/>
      <c r="B138" s="164"/>
      <c r="C138" s="320"/>
      <c r="D138" s="164"/>
      <c r="E138" s="320"/>
      <c r="F138" s="164"/>
      <c r="G138" s="320"/>
      <c r="H138" s="164"/>
      <c r="I138" s="320"/>
      <c r="J138" s="164"/>
      <c r="K138" s="320"/>
      <c r="L138" s="164"/>
      <c r="M138" s="320"/>
      <c r="N138" s="164"/>
      <c r="O138" s="320"/>
      <c r="P138" s="164"/>
      <c r="Q138" s="333"/>
      <c r="R138" s="18"/>
      <c r="S138" s="20"/>
      <c r="T138" s="20"/>
      <c r="U138" s="20"/>
      <c r="V138" s="20"/>
      <c r="W138" s="20"/>
      <c r="X138" s="20"/>
      <c r="Y138" s="20"/>
      <c r="Z138" s="20"/>
    </row>
    <row r="139">
      <c r="A139" s="320"/>
      <c r="B139" s="164"/>
      <c r="C139" s="320"/>
      <c r="D139" s="164"/>
      <c r="E139" s="320"/>
      <c r="F139" s="164"/>
      <c r="G139" s="320"/>
      <c r="H139" s="164"/>
      <c r="I139" s="320"/>
      <c r="J139" s="164"/>
      <c r="K139" s="320"/>
      <c r="L139" s="164"/>
      <c r="M139" s="320"/>
      <c r="N139" s="164"/>
      <c r="O139" s="320"/>
      <c r="P139" s="164"/>
      <c r="Q139" s="333"/>
      <c r="R139" s="18"/>
      <c r="S139" s="20"/>
      <c r="T139" s="20"/>
      <c r="U139" s="20"/>
      <c r="V139" s="20"/>
      <c r="W139" s="20"/>
      <c r="X139" s="20"/>
      <c r="Y139" s="20"/>
      <c r="Z139" s="20"/>
    </row>
    <row r="140">
      <c r="A140" s="320"/>
      <c r="B140" s="164"/>
      <c r="C140" s="320"/>
      <c r="D140" s="164"/>
      <c r="E140" s="320"/>
      <c r="F140" s="164"/>
      <c r="G140" s="320"/>
      <c r="H140" s="164"/>
      <c r="I140" s="320"/>
      <c r="J140" s="164"/>
      <c r="K140" s="320"/>
      <c r="L140" s="164"/>
      <c r="M140" s="320"/>
      <c r="N140" s="164"/>
      <c r="O140" s="320"/>
      <c r="P140" s="164"/>
      <c r="Q140" s="333"/>
      <c r="R140" s="18"/>
      <c r="S140" s="20"/>
      <c r="T140" s="20"/>
      <c r="U140" s="20"/>
      <c r="V140" s="20"/>
      <c r="W140" s="20"/>
      <c r="X140" s="20"/>
      <c r="Y140" s="20"/>
      <c r="Z140" s="20"/>
    </row>
    <row r="141">
      <c r="A141" s="320"/>
      <c r="B141" s="164"/>
      <c r="C141" s="320"/>
      <c r="D141" s="164"/>
      <c r="E141" s="320"/>
      <c r="F141" s="164"/>
      <c r="G141" s="320"/>
      <c r="H141" s="164"/>
      <c r="I141" s="320"/>
      <c r="J141" s="164"/>
      <c r="K141" s="320"/>
      <c r="L141" s="164"/>
      <c r="M141" s="320"/>
      <c r="N141" s="164"/>
      <c r="O141" s="320"/>
      <c r="P141" s="164"/>
      <c r="Q141" s="333"/>
      <c r="R141" s="18"/>
      <c r="S141" s="20"/>
      <c r="T141" s="20"/>
      <c r="U141" s="20"/>
      <c r="V141" s="20"/>
      <c r="W141" s="20"/>
      <c r="X141" s="20"/>
      <c r="Y141" s="20"/>
      <c r="Z141" s="20"/>
    </row>
    <row r="142">
      <c r="A142" s="320"/>
      <c r="B142" s="164"/>
      <c r="C142" s="320"/>
      <c r="D142" s="164"/>
      <c r="E142" s="320"/>
      <c r="F142" s="164"/>
      <c r="G142" s="320"/>
      <c r="H142" s="164"/>
      <c r="I142" s="320"/>
      <c r="J142" s="164"/>
      <c r="K142" s="320"/>
      <c r="L142" s="164"/>
      <c r="M142" s="320"/>
      <c r="N142" s="164"/>
      <c r="O142" s="320"/>
      <c r="P142" s="164"/>
      <c r="Q142" s="333"/>
      <c r="R142" s="18"/>
      <c r="S142" s="20"/>
      <c r="T142" s="20"/>
      <c r="U142" s="20"/>
      <c r="V142" s="20"/>
      <c r="W142" s="20"/>
      <c r="X142" s="20"/>
      <c r="Y142" s="20"/>
      <c r="Z142" s="20"/>
    </row>
    <row r="143">
      <c r="A143" s="320"/>
      <c r="B143" s="164"/>
      <c r="C143" s="320"/>
      <c r="D143" s="164"/>
      <c r="E143" s="320"/>
      <c r="F143" s="164"/>
      <c r="G143" s="320"/>
      <c r="H143" s="164"/>
      <c r="I143" s="320"/>
      <c r="J143" s="164"/>
      <c r="K143" s="320"/>
      <c r="L143" s="164"/>
      <c r="M143" s="320"/>
      <c r="N143" s="164"/>
      <c r="O143" s="320"/>
      <c r="P143" s="164"/>
      <c r="Q143" s="333"/>
      <c r="R143" s="18"/>
      <c r="S143" s="20"/>
      <c r="T143" s="20"/>
      <c r="U143" s="20"/>
      <c r="V143" s="20"/>
      <c r="W143" s="20"/>
      <c r="X143" s="20"/>
      <c r="Y143" s="20"/>
      <c r="Z143" s="20"/>
    </row>
    <row r="144">
      <c r="A144" s="320"/>
      <c r="B144" s="164"/>
      <c r="C144" s="320"/>
      <c r="D144" s="164"/>
      <c r="E144" s="320"/>
      <c r="F144" s="164"/>
      <c r="G144" s="320"/>
      <c r="H144" s="164"/>
      <c r="I144" s="320"/>
      <c r="J144" s="164"/>
      <c r="K144" s="320"/>
      <c r="L144" s="164"/>
      <c r="M144" s="320"/>
      <c r="N144" s="164"/>
      <c r="O144" s="320"/>
      <c r="P144" s="164"/>
      <c r="Q144" s="333"/>
      <c r="R144" s="18"/>
      <c r="S144" s="20"/>
      <c r="T144" s="20"/>
      <c r="U144" s="20"/>
      <c r="V144" s="20"/>
      <c r="W144" s="20"/>
      <c r="X144" s="20"/>
      <c r="Y144" s="20"/>
      <c r="Z144" s="20"/>
    </row>
    <row r="145">
      <c r="A145" s="320"/>
      <c r="B145" s="164"/>
      <c r="C145" s="320"/>
      <c r="D145" s="164"/>
      <c r="E145" s="320"/>
      <c r="F145" s="164"/>
      <c r="G145" s="320"/>
      <c r="H145" s="164"/>
      <c r="I145" s="320"/>
      <c r="J145" s="164"/>
      <c r="K145" s="320"/>
      <c r="L145" s="164"/>
      <c r="M145" s="320"/>
      <c r="N145" s="164"/>
      <c r="O145" s="320"/>
      <c r="P145" s="164"/>
      <c r="Q145" s="333"/>
      <c r="R145" s="18"/>
      <c r="S145" s="20"/>
      <c r="T145" s="20"/>
      <c r="U145" s="20"/>
      <c r="V145" s="20"/>
      <c r="W145" s="20"/>
      <c r="X145" s="20"/>
      <c r="Y145" s="20"/>
      <c r="Z145" s="20"/>
    </row>
    <row r="146">
      <c r="A146" s="320"/>
      <c r="B146" s="164"/>
      <c r="C146" s="320"/>
      <c r="D146" s="164"/>
      <c r="E146" s="320"/>
      <c r="F146" s="164"/>
      <c r="G146" s="320"/>
      <c r="H146" s="164"/>
      <c r="I146" s="320"/>
      <c r="J146" s="164"/>
      <c r="K146" s="320"/>
      <c r="L146" s="164"/>
      <c r="M146" s="320"/>
      <c r="N146" s="164"/>
      <c r="O146" s="320"/>
      <c r="P146" s="164"/>
      <c r="Q146" s="333"/>
      <c r="R146" s="18"/>
      <c r="S146" s="20"/>
      <c r="T146" s="20"/>
      <c r="U146" s="20"/>
      <c r="V146" s="20"/>
      <c r="W146" s="20"/>
      <c r="X146" s="20"/>
      <c r="Y146" s="20"/>
      <c r="Z146" s="20"/>
    </row>
    <row r="147">
      <c r="A147" s="320"/>
      <c r="B147" s="164"/>
      <c r="C147" s="320"/>
      <c r="D147" s="164"/>
      <c r="E147" s="320"/>
      <c r="F147" s="164"/>
      <c r="G147" s="320"/>
      <c r="H147" s="164"/>
      <c r="I147" s="320"/>
      <c r="J147" s="164"/>
      <c r="K147" s="320"/>
      <c r="L147" s="164"/>
      <c r="M147" s="320"/>
      <c r="N147" s="164"/>
      <c r="O147" s="320"/>
      <c r="P147" s="164"/>
      <c r="Q147" s="333"/>
      <c r="R147" s="18"/>
      <c r="S147" s="20"/>
      <c r="T147" s="20"/>
      <c r="U147" s="20"/>
      <c r="V147" s="20"/>
      <c r="W147" s="20"/>
      <c r="X147" s="20"/>
      <c r="Y147" s="20"/>
      <c r="Z147" s="20"/>
    </row>
    <row r="148">
      <c r="A148" s="320"/>
      <c r="B148" s="164"/>
      <c r="C148" s="320"/>
      <c r="D148" s="164"/>
      <c r="E148" s="320"/>
      <c r="F148" s="164"/>
      <c r="G148" s="320"/>
      <c r="H148" s="164"/>
      <c r="I148" s="320"/>
      <c r="J148" s="164"/>
      <c r="K148" s="320"/>
      <c r="L148" s="164"/>
      <c r="M148" s="320"/>
      <c r="N148" s="164"/>
      <c r="O148" s="320"/>
      <c r="P148" s="164"/>
      <c r="Q148" s="333"/>
      <c r="R148" s="18"/>
      <c r="S148" s="20"/>
      <c r="T148" s="20"/>
      <c r="U148" s="20"/>
      <c r="V148" s="20"/>
      <c r="W148" s="20"/>
      <c r="X148" s="20"/>
      <c r="Y148" s="20"/>
      <c r="Z148" s="20"/>
    </row>
    <row r="149">
      <c r="A149" s="320"/>
      <c r="B149" s="164"/>
      <c r="C149" s="320"/>
      <c r="D149" s="164"/>
      <c r="E149" s="320"/>
      <c r="F149" s="164"/>
      <c r="G149" s="320"/>
      <c r="H149" s="164"/>
      <c r="I149" s="320"/>
      <c r="J149" s="164"/>
      <c r="K149" s="320"/>
      <c r="L149" s="164"/>
      <c r="M149" s="320"/>
      <c r="N149" s="164"/>
      <c r="O149" s="320"/>
      <c r="P149" s="164"/>
      <c r="Q149" s="333"/>
      <c r="R149" s="18"/>
      <c r="S149" s="20"/>
      <c r="T149" s="20"/>
      <c r="U149" s="20"/>
      <c r="V149" s="20"/>
      <c r="W149" s="20"/>
      <c r="X149" s="20"/>
      <c r="Y149" s="20"/>
      <c r="Z149" s="20"/>
    </row>
    <row r="150">
      <c r="A150" s="320"/>
      <c r="B150" s="164"/>
      <c r="C150" s="320"/>
      <c r="D150" s="164"/>
      <c r="E150" s="320"/>
      <c r="F150" s="164"/>
      <c r="G150" s="320"/>
      <c r="H150" s="164"/>
      <c r="I150" s="320"/>
      <c r="J150" s="164"/>
      <c r="K150" s="320"/>
      <c r="L150" s="164"/>
      <c r="M150" s="320"/>
      <c r="N150" s="164"/>
      <c r="O150" s="320"/>
      <c r="P150" s="164"/>
      <c r="Q150" s="333"/>
      <c r="R150" s="18"/>
      <c r="S150" s="20"/>
      <c r="T150" s="20"/>
      <c r="U150" s="20"/>
      <c r="V150" s="20"/>
      <c r="W150" s="20"/>
      <c r="X150" s="20"/>
      <c r="Y150" s="20"/>
      <c r="Z150" s="20"/>
    </row>
    <row r="151">
      <c r="A151" s="320"/>
      <c r="B151" s="164"/>
      <c r="C151" s="320"/>
      <c r="D151" s="164"/>
      <c r="E151" s="320"/>
      <c r="F151" s="164"/>
      <c r="G151" s="320"/>
      <c r="H151" s="164"/>
      <c r="I151" s="320"/>
      <c r="J151" s="164"/>
      <c r="K151" s="320"/>
      <c r="L151" s="164"/>
      <c r="M151" s="320"/>
      <c r="N151" s="164"/>
      <c r="O151" s="320"/>
      <c r="P151" s="164"/>
      <c r="Q151" s="333"/>
      <c r="R151" s="18"/>
      <c r="S151" s="20"/>
      <c r="T151" s="20"/>
      <c r="U151" s="20"/>
      <c r="V151" s="20"/>
      <c r="W151" s="20"/>
      <c r="X151" s="20"/>
      <c r="Y151" s="20"/>
      <c r="Z151" s="20"/>
    </row>
    <row r="152">
      <c r="A152" s="320"/>
      <c r="B152" s="164"/>
      <c r="C152" s="320"/>
      <c r="D152" s="164"/>
      <c r="E152" s="320"/>
      <c r="F152" s="164"/>
      <c r="G152" s="320"/>
      <c r="H152" s="164"/>
      <c r="I152" s="320"/>
      <c r="J152" s="164"/>
      <c r="K152" s="320"/>
      <c r="L152" s="164"/>
      <c r="M152" s="320"/>
      <c r="N152" s="164"/>
      <c r="O152" s="320"/>
      <c r="P152" s="164"/>
      <c r="Q152" s="333"/>
      <c r="R152" s="18"/>
      <c r="S152" s="20"/>
      <c r="T152" s="20"/>
      <c r="U152" s="20"/>
      <c r="V152" s="20"/>
      <c r="W152" s="20"/>
      <c r="X152" s="20"/>
      <c r="Y152" s="20"/>
      <c r="Z152" s="20"/>
    </row>
    <row r="153">
      <c r="A153" s="320"/>
      <c r="B153" s="164"/>
      <c r="C153" s="320"/>
      <c r="D153" s="164"/>
      <c r="E153" s="320"/>
      <c r="F153" s="164"/>
      <c r="G153" s="320"/>
      <c r="H153" s="164"/>
      <c r="I153" s="320"/>
      <c r="J153" s="164"/>
      <c r="K153" s="320"/>
      <c r="L153" s="164"/>
      <c r="M153" s="320"/>
      <c r="N153" s="164"/>
      <c r="O153" s="320"/>
      <c r="P153" s="164"/>
      <c r="Q153" s="333"/>
      <c r="R153" s="18"/>
      <c r="S153" s="20"/>
      <c r="T153" s="20"/>
      <c r="U153" s="20"/>
      <c r="V153" s="20"/>
      <c r="W153" s="20"/>
      <c r="X153" s="20"/>
      <c r="Y153" s="20"/>
      <c r="Z153" s="20"/>
    </row>
    <row r="154">
      <c r="A154" s="320"/>
      <c r="B154" s="164"/>
      <c r="C154" s="320"/>
      <c r="D154" s="164"/>
      <c r="E154" s="320"/>
      <c r="F154" s="164"/>
      <c r="G154" s="320"/>
      <c r="H154" s="164"/>
      <c r="I154" s="320"/>
      <c r="J154" s="164"/>
      <c r="K154" s="320"/>
      <c r="L154" s="164"/>
      <c r="M154" s="320"/>
      <c r="N154" s="164"/>
      <c r="O154" s="320"/>
      <c r="P154" s="164"/>
      <c r="Q154" s="333"/>
      <c r="R154" s="18"/>
      <c r="S154" s="20"/>
      <c r="T154" s="20"/>
      <c r="U154" s="20"/>
      <c r="V154" s="20"/>
      <c r="W154" s="20"/>
      <c r="X154" s="20"/>
      <c r="Y154" s="20"/>
      <c r="Z154" s="20"/>
    </row>
    <row r="155">
      <c r="A155" s="320"/>
      <c r="B155" s="164"/>
      <c r="C155" s="320"/>
      <c r="D155" s="164"/>
      <c r="E155" s="320"/>
      <c r="F155" s="164"/>
      <c r="G155" s="320"/>
      <c r="H155" s="164"/>
      <c r="I155" s="320"/>
      <c r="J155" s="164"/>
      <c r="K155" s="320"/>
      <c r="L155" s="164"/>
      <c r="M155" s="320"/>
      <c r="N155" s="164"/>
      <c r="O155" s="320"/>
      <c r="P155" s="164"/>
      <c r="Q155" s="333"/>
      <c r="R155" s="18"/>
      <c r="S155" s="20"/>
      <c r="T155" s="20"/>
      <c r="U155" s="20"/>
      <c r="V155" s="20"/>
      <c r="W155" s="20"/>
      <c r="X155" s="20"/>
      <c r="Y155" s="20"/>
      <c r="Z155" s="20"/>
    </row>
    <row r="156">
      <c r="A156" s="320"/>
      <c r="B156" s="164"/>
      <c r="C156" s="320"/>
      <c r="D156" s="164"/>
      <c r="E156" s="320"/>
      <c r="F156" s="164"/>
      <c r="G156" s="320"/>
      <c r="H156" s="164"/>
      <c r="I156" s="320"/>
      <c r="J156" s="164"/>
      <c r="K156" s="320"/>
      <c r="L156" s="164"/>
      <c r="M156" s="320"/>
      <c r="N156" s="164"/>
      <c r="O156" s="320"/>
      <c r="P156" s="164"/>
      <c r="Q156" s="333"/>
      <c r="R156" s="18"/>
      <c r="S156" s="20"/>
      <c r="T156" s="20"/>
      <c r="U156" s="20"/>
      <c r="V156" s="20"/>
      <c r="W156" s="20"/>
      <c r="X156" s="20"/>
      <c r="Y156" s="20"/>
      <c r="Z156" s="20"/>
    </row>
    <row r="157">
      <c r="A157" s="320"/>
      <c r="B157" s="164"/>
      <c r="C157" s="320"/>
      <c r="D157" s="164"/>
      <c r="E157" s="320"/>
      <c r="F157" s="164"/>
      <c r="G157" s="320"/>
      <c r="H157" s="164"/>
      <c r="I157" s="320"/>
      <c r="J157" s="164"/>
      <c r="K157" s="320"/>
      <c r="L157" s="164"/>
      <c r="M157" s="320"/>
      <c r="N157" s="164"/>
      <c r="O157" s="320"/>
      <c r="P157" s="164"/>
      <c r="Q157" s="333"/>
      <c r="R157" s="18"/>
      <c r="S157" s="20"/>
      <c r="T157" s="20"/>
      <c r="U157" s="20"/>
      <c r="V157" s="20"/>
      <c r="W157" s="20"/>
      <c r="X157" s="20"/>
      <c r="Y157" s="20"/>
      <c r="Z157" s="20"/>
    </row>
    <row r="158">
      <c r="A158" s="320"/>
      <c r="B158" s="164"/>
      <c r="C158" s="320"/>
      <c r="D158" s="164"/>
      <c r="E158" s="320"/>
      <c r="F158" s="164"/>
      <c r="G158" s="320"/>
      <c r="H158" s="164"/>
      <c r="I158" s="320"/>
      <c r="J158" s="164"/>
      <c r="K158" s="320"/>
      <c r="L158" s="164"/>
      <c r="M158" s="320"/>
      <c r="N158" s="164"/>
      <c r="O158" s="320"/>
      <c r="P158" s="164"/>
      <c r="Q158" s="333"/>
      <c r="R158" s="18"/>
      <c r="S158" s="20"/>
      <c r="T158" s="20"/>
      <c r="U158" s="20"/>
      <c r="V158" s="20"/>
      <c r="W158" s="20"/>
      <c r="X158" s="20"/>
      <c r="Y158" s="20"/>
      <c r="Z158" s="20"/>
    </row>
    <row r="159">
      <c r="A159" s="320"/>
      <c r="B159" s="164"/>
      <c r="C159" s="320"/>
      <c r="D159" s="164"/>
      <c r="E159" s="320"/>
      <c r="F159" s="164"/>
      <c r="G159" s="320"/>
      <c r="H159" s="164"/>
      <c r="I159" s="320"/>
      <c r="J159" s="164"/>
      <c r="K159" s="320"/>
      <c r="L159" s="164"/>
      <c r="M159" s="320"/>
      <c r="N159" s="164"/>
      <c r="O159" s="320"/>
      <c r="P159" s="164"/>
      <c r="Q159" s="333"/>
      <c r="R159" s="18"/>
      <c r="S159" s="20"/>
      <c r="T159" s="20"/>
      <c r="U159" s="20"/>
      <c r="V159" s="20"/>
      <c r="W159" s="20"/>
      <c r="X159" s="20"/>
      <c r="Y159" s="20"/>
      <c r="Z159" s="20"/>
    </row>
    <row r="160">
      <c r="A160" s="320"/>
      <c r="B160" s="164"/>
      <c r="C160" s="320"/>
      <c r="D160" s="164"/>
      <c r="E160" s="320"/>
      <c r="F160" s="164"/>
      <c r="G160" s="320"/>
      <c r="H160" s="164"/>
      <c r="I160" s="320"/>
      <c r="J160" s="164"/>
      <c r="K160" s="320"/>
      <c r="L160" s="164"/>
      <c r="M160" s="320"/>
      <c r="N160" s="164"/>
      <c r="O160" s="320"/>
      <c r="P160" s="164"/>
      <c r="Q160" s="333"/>
      <c r="R160" s="18"/>
      <c r="S160" s="20"/>
      <c r="T160" s="20"/>
      <c r="U160" s="20"/>
      <c r="V160" s="20"/>
      <c r="W160" s="20"/>
      <c r="X160" s="20"/>
      <c r="Y160" s="20"/>
      <c r="Z160" s="20"/>
    </row>
    <row r="161">
      <c r="A161" s="320"/>
      <c r="B161" s="164"/>
      <c r="C161" s="320"/>
      <c r="D161" s="164"/>
      <c r="E161" s="320"/>
      <c r="F161" s="164"/>
      <c r="G161" s="320"/>
      <c r="H161" s="164"/>
      <c r="I161" s="320"/>
      <c r="J161" s="164"/>
      <c r="K161" s="320"/>
      <c r="L161" s="164"/>
      <c r="M161" s="320"/>
      <c r="N161" s="164"/>
      <c r="O161" s="320"/>
      <c r="P161" s="164"/>
      <c r="Q161" s="333"/>
      <c r="R161" s="18"/>
      <c r="S161" s="20"/>
      <c r="T161" s="20"/>
      <c r="U161" s="20"/>
      <c r="V161" s="20"/>
      <c r="W161" s="20"/>
      <c r="X161" s="20"/>
      <c r="Y161" s="20"/>
      <c r="Z161" s="20"/>
    </row>
    <row r="162">
      <c r="A162" s="320"/>
      <c r="B162" s="164"/>
      <c r="C162" s="320"/>
      <c r="D162" s="164"/>
      <c r="E162" s="320"/>
      <c r="F162" s="164"/>
      <c r="G162" s="320"/>
      <c r="H162" s="164"/>
      <c r="I162" s="320"/>
      <c r="J162" s="164"/>
      <c r="K162" s="320"/>
      <c r="L162" s="164"/>
      <c r="M162" s="320"/>
      <c r="N162" s="164"/>
      <c r="O162" s="320"/>
      <c r="P162" s="164"/>
      <c r="Q162" s="333"/>
      <c r="R162" s="18"/>
      <c r="S162" s="20"/>
      <c r="T162" s="20"/>
      <c r="U162" s="20"/>
      <c r="V162" s="20"/>
      <c r="W162" s="20"/>
      <c r="X162" s="20"/>
      <c r="Y162" s="20"/>
      <c r="Z162" s="20"/>
    </row>
    <row r="163">
      <c r="A163" s="320"/>
      <c r="B163" s="164"/>
      <c r="C163" s="320"/>
      <c r="D163" s="164"/>
      <c r="E163" s="320"/>
      <c r="F163" s="164"/>
      <c r="G163" s="320"/>
      <c r="H163" s="164"/>
      <c r="I163" s="320"/>
      <c r="J163" s="164"/>
      <c r="K163" s="320"/>
      <c r="L163" s="164"/>
      <c r="M163" s="320"/>
      <c r="N163" s="164"/>
      <c r="O163" s="320"/>
      <c r="P163" s="164"/>
      <c r="Q163" s="333"/>
      <c r="R163" s="18"/>
      <c r="S163" s="20"/>
      <c r="T163" s="20"/>
      <c r="U163" s="20"/>
      <c r="V163" s="20"/>
      <c r="W163" s="20"/>
      <c r="X163" s="20"/>
      <c r="Y163" s="20"/>
      <c r="Z163" s="20"/>
    </row>
    <row r="164">
      <c r="A164" s="320"/>
      <c r="B164" s="164"/>
      <c r="C164" s="320"/>
      <c r="D164" s="164"/>
      <c r="E164" s="320"/>
      <c r="F164" s="164"/>
      <c r="G164" s="320"/>
      <c r="H164" s="164"/>
      <c r="I164" s="320"/>
      <c r="J164" s="164"/>
      <c r="K164" s="320"/>
      <c r="L164" s="164"/>
      <c r="M164" s="320"/>
      <c r="N164" s="164"/>
      <c r="O164" s="320"/>
      <c r="P164" s="164"/>
      <c r="Q164" s="333"/>
      <c r="R164" s="18"/>
      <c r="S164" s="20"/>
      <c r="T164" s="20"/>
      <c r="U164" s="20"/>
      <c r="V164" s="20"/>
      <c r="W164" s="20"/>
      <c r="X164" s="20"/>
      <c r="Y164" s="20"/>
      <c r="Z164" s="20"/>
    </row>
    <row r="165">
      <c r="A165" s="320"/>
      <c r="B165" s="164"/>
      <c r="C165" s="320"/>
      <c r="D165" s="164"/>
      <c r="E165" s="320"/>
      <c r="F165" s="164"/>
      <c r="G165" s="320"/>
      <c r="H165" s="164"/>
      <c r="I165" s="320"/>
      <c r="J165" s="164"/>
      <c r="K165" s="320"/>
      <c r="L165" s="164"/>
      <c r="M165" s="320"/>
      <c r="N165" s="164"/>
      <c r="O165" s="320"/>
      <c r="P165" s="164"/>
      <c r="Q165" s="333"/>
      <c r="R165" s="18"/>
      <c r="S165" s="20"/>
      <c r="T165" s="20"/>
      <c r="U165" s="20"/>
      <c r="V165" s="20"/>
      <c r="W165" s="20"/>
      <c r="X165" s="20"/>
      <c r="Y165" s="20"/>
      <c r="Z165" s="20"/>
    </row>
    <row r="166">
      <c r="A166" s="320"/>
      <c r="B166" s="164"/>
      <c r="C166" s="320"/>
      <c r="D166" s="164"/>
      <c r="E166" s="320"/>
      <c r="F166" s="164"/>
      <c r="G166" s="320"/>
      <c r="H166" s="164"/>
      <c r="I166" s="320"/>
      <c r="J166" s="164"/>
      <c r="K166" s="320"/>
      <c r="L166" s="164"/>
      <c r="M166" s="320"/>
      <c r="N166" s="164"/>
      <c r="O166" s="320"/>
      <c r="P166" s="164"/>
      <c r="Q166" s="333"/>
      <c r="R166" s="18"/>
      <c r="S166" s="20"/>
      <c r="T166" s="20"/>
      <c r="U166" s="20"/>
      <c r="V166" s="20"/>
      <c r="W166" s="20"/>
      <c r="X166" s="20"/>
      <c r="Y166" s="20"/>
      <c r="Z166" s="20"/>
    </row>
    <row r="167">
      <c r="A167" s="320"/>
      <c r="B167" s="164"/>
      <c r="C167" s="320"/>
      <c r="D167" s="164"/>
      <c r="E167" s="320"/>
      <c r="F167" s="164"/>
      <c r="G167" s="320"/>
      <c r="H167" s="164"/>
      <c r="I167" s="320"/>
      <c r="J167" s="164"/>
      <c r="K167" s="320"/>
      <c r="L167" s="164"/>
      <c r="M167" s="320"/>
      <c r="N167" s="164"/>
      <c r="O167" s="320"/>
      <c r="P167" s="164"/>
      <c r="Q167" s="333"/>
      <c r="R167" s="18"/>
      <c r="S167" s="20"/>
      <c r="T167" s="20"/>
      <c r="U167" s="20"/>
      <c r="V167" s="20"/>
      <c r="W167" s="20"/>
      <c r="X167" s="20"/>
      <c r="Y167" s="20"/>
      <c r="Z167" s="20"/>
    </row>
    <row r="168">
      <c r="A168" s="320"/>
      <c r="B168" s="164"/>
      <c r="C168" s="320"/>
      <c r="D168" s="164"/>
      <c r="E168" s="320"/>
      <c r="F168" s="164"/>
      <c r="G168" s="320"/>
      <c r="H168" s="164"/>
      <c r="I168" s="320"/>
      <c r="J168" s="164"/>
      <c r="K168" s="320"/>
      <c r="L168" s="164"/>
      <c r="M168" s="320"/>
      <c r="N168" s="164"/>
      <c r="O168" s="320"/>
      <c r="P168" s="164"/>
      <c r="Q168" s="333"/>
      <c r="R168" s="18"/>
      <c r="S168" s="20"/>
      <c r="T168" s="20"/>
      <c r="U168" s="20"/>
      <c r="V168" s="20"/>
      <c r="W168" s="20"/>
      <c r="X168" s="20"/>
      <c r="Y168" s="20"/>
      <c r="Z168" s="20"/>
    </row>
    <row r="169">
      <c r="A169" s="320"/>
      <c r="B169" s="164"/>
      <c r="C169" s="320"/>
      <c r="D169" s="164"/>
      <c r="E169" s="320"/>
      <c r="F169" s="164"/>
      <c r="G169" s="320"/>
      <c r="H169" s="164"/>
      <c r="I169" s="320"/>
      <c r="J169" s="164"/>
      <c r="K169" s="320"/>
      <c r="L169" s="164"/>
      <c r="M169" s="320"/>
      <c r="N169" s="164"/>
      <c r="O169" s="320"/>
      <c r="P169" s="164"/>
      <c r="Q169" s="333"/>
      <c r="R169" s="18"/>
      <c r="S169" s="20"/>
      <c r="T169" s="20"/>
      <c r="U169" s="20"/>
      <c r="V169" s="20"/>
      <c r="W169" s="20"/>
      <c r="X169" s="20"/>
      <c r="Y169" s="20"/>
      <c r="Z169" s="20"/>
    </row>
    <row r="170">
      <c r="A170" s="320"/>
      <c r="B170" s="164"/>
      <c r="C170" s="320"/>
      <c r="D170" s="164"/>
      <c r="E170" s="320"/>
      <c r="F170" s="164"/>
      <c r="G170" s="320"/>
      <c r="H170" s="164"/>
      <c r="I170" s="320"/>
      <c r="J170" s="164"/>
      <c r="K170" s="320"/>
      <c r="L170" s="164"/>
      <c r="M170" s="320"/>
      <c r="N170" s="164"/>
      <c r="O170" s="320"/>
      <c r="P170" s="164"/>
      <c r="Q170" s="333"/>
      <c r="R170" s="18"/>
      <c r="S170" s="20"/>
      <c r="T170" s="20"/>
      <c r="U170" s="20"/>
      <c r="V170" s="20"/>
      <c r="W170" s="20"/>
      <c r="X170" s="20"/>
      <c r="Y170" s="20"/>
      <c r="Z170" s="20"/>
    </row>
    <row r="171">
      <c r="A171" s="320"/>
      <c r="B171" s="164"/>
      <c r="C171" s="320"/>
      <c r="D171" s="164"/>
      <c r="E171" s="320"/>
      <c r="F171" s="164"/>
      <c r="G171" s="320"/>
      <c r="H171" s="164"/>
      <c r="I171" s="320"/>
      <c r="J171" s="164"/>
      <c r="K171" s="320"/>
      <c r="L171" s="164"/>
      <c r="M171" s="320"/>
      <c r="N171" s="164"/>
      <c r="O171" s="320"/>
      <c r="P171" s="164"/>
      <c r="Q171" s="333"/>
      <c r="R171" s="18"/>
      <c r="S171" s="20"/>
      <c r="T171" s="20"/>
      <c r="U171" s="20"/>
      <c r="V171" s="20"/>
      <c r="W171" s="20"/>
      <c r="X171" s="20"/>
      <c r="Y171" s="20"/>
      <c r="Z171" s="20"/>
    </row>
    <row r="172">
      <c r="A172" s="320"/>
      <c r="B172" s="164"/>
      <c r="C172" s="320"/>
      <c r="D172" s="164"/>
      <c r="E172" s="320"/>
      <c r="F172" s="164"/>
      <c r="G172" s="320"/>
      <c r="H172" s="164"/>
      <c r="I172" s="320"/>
      <c r="J172" s="164"/>
      <c r="K172" s="320"/>
      <c r="L172" s="164"/>
      <c r="M172" s="320"/>
      <c r="N172" s="164"/>
      <c r="O172" s="320"/>
      <c r="P172" s="164"/>
      <c r="Q172" s="333"/>
      <c r="R172" s="18"/>
      <c r="S172" s="20"/>
      <c r="T172" s="20"/>
      <c r="U172" s="20"/>
      <c r="V172" s="20"/>
      <c r="W172" s="20"/>
      <c r="X172" s="20"/>
      <c r="Y172" s="20"/>
      <c r="Z172" s="20"/>
    </row>
    <row r="173">
      <c r="A173" s="320"/>
      <c r="B173" s="164"/>
      <c r="C173" s="320"/>
      <c r="D173" s="164"/>
      <c r="E173" s="320"/>
      <c r="F173" s="164"/>
      <c r="G173" s="320"/>
      <c r="H173" s="164"/>
      <c r="I173" s="320"/>
      <c r="J173" s="164"/>
      <c r="K173" s="320"/>
      <c r="L173" s="164"/>
      <c r="M173" s="320"/>
      <c r="N173" s="164"/>
      <c r="O173" s="320"/>
      <c r="P173" s="164"/>
      <c r="Q173" s="333"/>
      <c r="R173" s="18"/>
      <c r="S173" s="20"/>
      <c r="T173" s="20"/>
      <c r="U173" s="20"/>
      <c r="V173" s="20"/>
      <c r="W173" s="20"/>
      <c r="X173" s="20"/>
      <c r="Y173" s="20"/>
      <c r="Z173" s="20"/>
    </row>
    <row r="174">
      <c r="A174" s="320"/>
      <c r="B174" s="164"/>
      <c r="C174" s="320"/>
      <c r="D174" s="164"/>
      <c r="E174" s="320"/>
      <c r="F174" s="164"/>
      <c r="G174" s="320"/>
      <c r="H174" s="164"/>
      <c r="I174" s="320"/>
      <c r="J174" s="164"/>
      <c r="K174" s="320"/>
      <c r="L174" s="164"/>
      <c r="M174" s="320"/>
      <c r="N174" s="164"/>
      <c r="O174" s="320"/>
      <c r="P174" s="164"/>
      <c r="Q174" s="333"/>
      <c r="R174" s="18"/>
      <c r="S174" s="20"/>
      <c r="T174" s="20"/>
      <c r="U174" s="20"/>
      <c r="V174" s="20"/>
      <c r="W174" s="20"/>
      <c r="X174" s="20"/>
      <c r="Y174" s="20"/>
      <c r="Z174" s="20"/>
    </row>
    <row r="175">
      <c r="A175" s="320"/>
      <c r="B175" s="164"/>
      <c r="C175" s="320"/>
      <c r="D175" s="164"/>
      <c r="E175" s="320"/>
      <c r="F175" s="164"/>
      <c r="G175" s="320"/>
      <c r="H175" s="164"/>
      <c r="I175" s="320"/>
      <c r="J175" s="164"/>
      <c r="K175" s="320"/>
      <c r="L175" s="164"/>
      <c r="M175" s="320"/>
      <c r="N175" s="164"/>
      <c r="O175" s="320"/>
      <c r="P175" s="164"/>
      <c r="Q175" s="333"/>
      <c r="R175" s="18"/>
      <c r="S175" s="20"/>
      <c r="T175" s="20"/>
      <c r="U175" s="20"/>
      <c r="V175" s="20"/>
      <c r="W175" s="20"/>
      <c r="X175" s="20"/>
      <c r="Y175" s="20"/>
      <c r="Z175" s="20"/>
    </row>
    <row r="176">
      <c r="A176" s="320"/>
      <c r="B176" s="164"/>
      <c r="C176" s="320"/>
      <c r="D176" s="164"/>
      <c r="E176" s="320"/>
      <c r="F176" s="164"/>
      <c r="G176" s="320"/>
      <c r="H176" s="164"/>
      <c r="I176" s="320"/>
      <c r="J176" s="164"/>
      <c r="K176" s="320"/>
      <c r="L176" s="164"/>
      <c r="M176" s="320"/>
      <c r="N176" s="164"/>
      <c r="O176" s="320"/>
      <c r="P176" s="164"/>
      <c r="Q176" s="333"/>
      <c r="R176" s="18"/>
      <c r="S176" s="20"/>
      <c r="T176" s="20"/>
      <c r="U176" s="20"/>
      <c r="V176" s="20"/>
      <c r="W176" s="20"/>
      <c r="X176" s="20"/>
      <c r="Y176" s="20"/>
      <c r="Z176" s="20"/>
    </row>
    <row r="177">
      <c r="A177" s="320"/>
      <c r="B177" s="164"/>
      <c r="C177" s="320"/>
      <c r="D177" s="164"/>
      <c r="E177" s="320"/>
      <c r="F177" s="164"/>
      <c r="G177" s="320"/>
      <c r="H177" s="164"/>
      <c r="I177" s="320"/>
      <c r="J177" s="164"/>
      <c r="K177" s="320"/>
      <c r="L177" s="164"/>
      <c r="M177" s="320"/>
      <c r="N177" s="164"/>
      <c r="O177" s="320"/>
      <c r="P177" s="164"/>
      <c r="Q177" s="333"/>
      <c r="R177" s="18"/>
      <c r="S177" s="20"/>
      <c r="T177" s="20"/>
      <c r="U177" s="20"/>
      <c r="V177" s="20"/>
      <c r="W177" s="20"/>
      <c r="X177" s="20"/>
      <c r="Y177" s="20"/>
      <c r="Z177" s="20"/>
    </row>
    <row r="178">
      <c r="A178" s="320"/>
      <c r="B178" s="164"/>
      <c r="C178" s="320"/>
      <c r="D178" s="164"/>
      <c r="E178" s="320"/>
      <c r="F178" s="164"/>
      <c r="G178" s="320"/>
      <c r="H178" s="164"/>
      <c r="I178" s="320"/>
      <c r="J178" s="164"/>
      <c r="K178" s="320"/>
      <c r="L178" s="164"/>
      <c r="M178" s="320"/>
      <c r="N178" s="164"/>
      <c r="O178" s="320"/>
      <c r="P178" s="164"/>
      <c r="Q178" s="333"/>
      <c r="R178" s="18"/>
      <c r="S178" s="20"/>
      <c r="T178" s="20"/>
      <c r="U178" s="20"/>
      <c r="V178" s="20"/>
      <c r="W178" s="20"/>
      <c r="X178" s="20"/>
      <c r="Y178" s="20"/>
      <c r="Z178" s="20"/>
    </row>
    <row r="179">
      <c r="A179" s="320"/>
      <c r="B179" s="164"/>
      <c r="C179" s="320"/>
      <c r="D179" s="164"/>
      <c r="E179" s="320"/>
      <c r="F179" s="164"/>
      <c r="G179" s="320"/>
      <c r="H179" s="164"/>
      <c r="I179" s="320"/>
      <c r="J179" s="164"/>
      <c r="K179" s="320"/>
      <c r="L179" s="164"/>
      <c r="M179" s="320"/>
      <c r="N179" s="164"/>
      <c r="O179" s="320"/>
      <c r="P179" s="164"/>
      <c r="Q179" s="333"/>
      <c r="R179" s="18"/>
      <c r="S179" s="20"/>
      <c r="T179" s="20"/>
      <c r="U179" s="20"/>
      <c r="V179" s="20"/>
      <c r="W179" s="20"/>
      <c r="X179" s="20"/>
      <c r="Y179" s="20"/>
      <c r="Z179" s="20"/>
    </row>
    <row r="180">
      <c r="A180" s="320"/>
      <c r="B180" s="164"/>
      <c r="C180" s="320"/>
      <c r="D180" s="164"/>
      <c r="E180" s="320"/>
      <c r="F180" s="164"/>
      <c r="G180" s="320"/>
      <c r="H180" s="164"/>
      <c r="I180" s="320"/>
      <c r="J180" s="164"/>
      <c r="K180" s="320"/>
      <c r="L180" s="164"/>
      <c r="M180" s="320"/>
      <c r="N180" s="164"/>
      <c r="O180" s="320"/>
      <c r="P180" s="164"/>
      <c r="Q180" s="333"/>
      <c r="R180" s="18"/>
      <c r="S180" s="20"/>
      <c r="T180" s="20"/>
      <c r="U180" s="20"/>
      <c r="V180" s="20"/>
      <c r="W180" s="20"/>
      <c r="X180" s="20"/>
      <c r="Y180" s="20"/>
      <c r="Z180" s="20"/>
    </row>
    <row r="181">
      <c r="A181" s="320"/>
      <c r="B181" s="164"/>
      <c r="C181" s="320"/>
      <c r="D181" s="164"/>
      <c r="E181" s="320"/>
      <c r="F181" s="164"/>
      <c r="G181" s="320"/>
      <c r="H181" s="164"/>
      <c r="I181" s="320"/>
      <c r="J181" s="164"/>
      <c r="K181" s="320"/>
      <c r="L181" s="164"/>
      <c r="M181" s="320"/>
      <c r="N181" s="164"/>
      <c r="O181" s="320"/>
      <c r="P181" s="164"/>
      <c r="Q181" s="333"/>
      <c r="R181" s="18"/>
      <c r="S181" s="20"/>
      <c r="T181" s="20"/>
      <c r="U181" s="20"/>
      <c r="V181" s="20"/>
      <c r="W181" s="20"/>
      <c r="X181" s="20"/>
      <c r="Y181" s="20"/>
      <c r="Z181" s="20"/>
    </row>
    <row r="182">
      <c r="A182" s="320"/>
      <c r="B182" s="164"/>
      <c r="C182" s="320"/>
      <c r="D182" s="164"/>
      <c r="E182" s="320"/>
      <c r="F182" s="164"/>
      <c r="G182" s="320"/>
      <c r="H182" s="164"/>
      <c r="I182" s="320"/>
      <c r="J182" s="164"/>
      <c r="K182" s="320"/>
      <c r="L182" s="164"/>
      <c r="M182" s="320"/>
      <c r="N182" s="164"/>
      <c r="O182" s="320"/>
      <c r="P182" s="164"/>
      <c r="Q182" s="333"/>
      <c r="R182" s="18"/>
      <c r="S182" s="20"/>
      <c r="T182" s="20"/>
      <c r="U182" s="20"/>
      <c r="V182" s="20"/>
      <c r="W182" s="20"/>
      <c r="X182" s="20"/>
      <c r="Y182" s="20"/>
      <c r="Z182" s="20"/>
    </row>
    <row r="183">
      <c r="A183" s="320"/>
      <c r="B183" s="164"/>
      <c r="C183" s="320"/>
      <c r="D183" s="164"/>
      <c r="E183" s="320"/>
      <c r="F183" s="164"/>
      <c r="G183" s="320"/>
      <c r="H183" s="164"/>
      <c r="I183" s="320"/>
      <c r="J183" s="164"/>
      <c r="K183" s="320"/>
      <c r="L183" s="164"/>
      <c r="M183" s="320"/>
      <c r="N183" s="164"/>
      <c r="O183" s="320"/>
      <c r="P183" s="164"/>
      <c r="Q183" s="333"/>
      <c r="R183" s="18"/>
      <c r="S183" s="20"/>
      <c r="T183" s="20"/>
      <c r="U183" s="20"/>
      <c r="V183" s="20"/>
      <c r="W183" s="20"/>
      <c r="X183" s="20"/>
      <c r="Y183" s="20"/>
      <c r="Z183" s="20"/>
    </row>
    <row r="184">
      <c r="A184" s="320"/>
      <c r="B184" s="164"/>
      <c r="C184" s="320"/>
      <c r="D184" s="164"/>
      <c r="E184" s="320"/>
      <c r="F184" s="164"/>
      <c r="G184" s="320"/>
      <c r="H184" s="164"/>
      <c r="I184" s="320"/>
      <c r="J184" s="164"/>
      <c r="K184" s="320"/>
      <c r="L184" s="164"/>
      <c r="M184" s="320"/>
      <c r="N184" s="164"/>
      <c r="O184" s="320"/>
      <c r="P184" s="164"/>
      <c r="Q184" s="333"/>
      <c r="R184" s="18"/>
      <c r="S184" s="20"/>
      <c r="T184" s="20"/>
      <c r="U184" s="20"/>
      <c r="V184" s="20"/>
      <c r="W184" s="20"/>
      <c r="X184" s="20"/>
      <c r="Y184" s="20"/>
      <c r="Z184" s="20"/>
    </row>
    <row r="185">
      <c r="A185" s="320"/>
      <c r="B185" s="164"/>
      <c r="C185" s="320"/>
      <c r="D185" s="164"/>
      <c r="E185" s="320"/>
      <c r="F185" s="164"/>
      <c r="G185" s="320"/>
      <c r="H185" s="164"/>
      <c r="I185" s="320"/>
      <c r="J185" s="164"/>
      <c r="K185" s="320"/>
      <c r="L185" s="164"/>
      <c r="M185" s="320"/>
      <c r="N185" s="164"/>
      <c r="O185" s="320"/>
      <c r="P185" s="164"/>
      <c r="Q185" s="333"/>
      <c r="R185" s="18"/>
      <c r="S185" s="20"/>
      <c r="T185" s="20"/>
      <c r="U185" s="20"/>
      <c r="V185" s="20"/>
      <c r="W185" s="20"/>
      <c r="X185" s="20"/>
      <c r="Y185" s="20"/>
      <c r="Z185" s="20"/>
    </row>
    <row r="186">
      <c r="A186" s="320"/>
      <c r="B186" s="164"/>
      <c r="C186" s="320"/>
      <c r="D186" s="164"/>
      <c r="E186" s="320"/>
      <c r="F186" s="164"/>
      <c r="G186" s="320"/>
      <c r="H186" s="164"/>
      <c r="I186" s="320"/>
      <c r="J186" s="164"/>
      <c r="K186" s="320"/>
      <c r="L186" s="164"/>
      <c r="M186" s="320"/>
      <c r="N186" s="164"/>
      <c r="O186" s="320"/>
      <c r="P186" s="164"/>
      <c r="Q186" s="333"/>
      <c r="R186" s="18"/>
      <c r="S186" s="20"/>
      <c r="T186" s="20"/>
      <c r="U186" s="20"/>
      <c r="V186" s="20"/>
      <c r="W186" s="20"/>
      <c r="X186" s="20"/>
      <c r="Y186" s="20"/>
      <c r="Z186" s="20"/>
    </row>
    <row r="187">
      <c r="A187" s="320"/>
      <c r="B187" s="164"/>
      <c r="C187" s="320"/>
      <c r="D187" s="164"/>
      <c r="E187" s="320"/>
      <c r="F187" s="164"/>
      <c r="G187" s="320"/>
      <c r="H187" s="164"/>
      <c r="I187" s="320"/>
      <c r="J187" s="164"/>
      <c r="K187" s="320"/>
      <c r="L187" s="164"/>
      <c r="M187" s="320"/>
      <c r="N187" s="164"/>
      <c r="O187" s="320"/>
      <c r="P187" s="164"/>
      <c r="Q187" s="333"/>
      <c r="R187" s="18"/>
      <c r="S187" s="20"/>
      <c r="T187" s="20"/>
      <c r="U187" s="20"/>
      <c r="V187" s="20"/>
      <c r="W187" s="20"/>
      <c r="X187" s="20"/>
      <c r="Y187" s="20"/>
      <c r="Z187" s="20"/>
    </row>
    <row r="188">
      <c r="A188" s="320"/>
      <c r="B188" s="164"/>
      <c r="C188" s="320"/>
      <c r="D188" s="164"/>
      <c r="E188" s="320"/>
      <c r="F188" s="164"/>
      <c r="G188" s="320"/>
      <c r="H188" s="164"/>
      <c r="I188" s="320"/>
      <c r="J188" s="164"/>
      <c r="K188" s="320"/>
      <c r="L188" s="164"/>
      <c r="M188" s="320"/>
      <c r="N188" s="164"/>
      <c r="O188" s="320"/>
      <c r="P188" s="164"/>
      <c r="Q188" s="333"/>
      <c r="R188" s="18"/>
      <c r="S188" s="20"/>
      <c r="T188" s="20"/>
      <c r="U188" s="20"/>
      <c r="V188" s="20"/>
      <c r="W188" s="20"/>
      <c r="X188" s="20"/>
      <c r="Y188" s="20"/>
      <c r="Z188" s="20"/>
    </row>
    <row r="189">
      <c r="A189" s="320"/>
      <c r="B189" s="164"/>
      <c r="C189" s="320"/>
      <c r="D189" s="164"/>
      <c r="E189" s="320"/>
      <c r="F189" s="164"/>
      <c r="G189" s="320"/>
      <c r="H189" s="164"/>
      <c r="I189" s="320"/>
      <c r="J189" s="164"/>
      <c r="K189" s="320"/>
      <c r="L189" s="164"/>
      <c r="M189" s="320"/>
      <c r="N189" s="164"/>
      <c r="O189" s="320"/>
      <c r="P189" s="164"/>
      <c r="Q189" s="333"/>
      <c r="R189" s="18"/>
      <c r="S189" s="20"/>
      <c r="T189" s="20"/>
      <c r="U189" s="20"/>
      <c r="V189" s="20"/>
      <c r="W189" s="20"/>
      <c r="X189" s="20"/>
      <c r="Y189" s="20"/>
      <c r="Z189" s="20"/>
    </row>
    <row r="190">
      <c r="A190" s="320"/>
      <c r="B190" s="164"/>
      <c r="C190" s="320"/>
      <c r="D190" s="164"/>
      <c r="E190" s="320"/>
      <c r="F190" s="164"/>
      <c r="G190" s="320"/>
      <c r="H190" s="164"/>
      <c r="I190" s="320"/>
      <c r="J190" s="164"/>
      <c r="K190" s="320"/>
      <c r="L190" s="164"/>
      <c r="M190" s="320"/>
      <c r="N190" s="164"/>
      <c r="O190" s="320"/>
      <c r="P190" s="164"/>
      <c r="Q190" s="333"/>
      <c r="R190" s="18"/>
      <c r="S190" s="20"/>
      <c r="T190" s="20"/>
      <c r="U190" s="20"/>
      <c r="V190" s="20"/>
      <c r="W190" s="20"/>
      <c r="X190" s="20"/>
      <c r="Y190" s="20"/>
      <c r="Z190" s="20"/>
    </row>
    <row r="191">
      <c r="A191" s="320"/>
      <c r="B191" s="164"/>
      <c r="C191" s="320"/>
      <c r="D191" s="164"/>
      <c r="E191" s="320"/>
      <c r="F191" s="164"/>
      <c r="G191" s="320"/>
      <c r="H191" s="164"/>
      <c r="I191" s="320"/>
      <c r="J191" s="164"/>
      <c r="K191" s="320"/>
      <c r="L191" s="164"/>
      <c r="M191" s="320"/>
      <c r="N191" s="164"/>
      <c r="O191" s="320"/>
      <c r="P191" s="164"/>
      <c r="Q191" s="333"/>
      <c r="R191" s="18"/>
      <c r="S191" s="20"/>
      <c r="T191" s="20"/>
      <c r="U191" s="20"/>
      <c r="V191" s="20"/>
      <c r="W191" s="20"/>
      <c r="X191" s="20"/>
      <c r="Y191" s="20"/>
      <c r="Z191" s="20"/>
    </row>
    <row r="192">
      <c r="A192" s="320"/>
      <c r="B192" s="164"/>
      <c r="C192" s="320"/>
      <c r="D192" s="164"/>
      <c r="E192" s="320"/>
      <c r="F192" s="164"/>
      <c r="G192" s="320"/>
      <c r="H192" s="164"/>
      <c r="I192" s="320"/>
      <c r="J192" s="164"/>
      <c r="K192" s="320"/>
      <c r="L192" s="164"/>
      <c r="M192" s="320"/>
      <c r="N192" s="164"/>
      <c r="O192" s="320"/>
      <c r="P192" s="164"/>
      <c r="Q192" s="333"/>
      <c r="R192" s="18"/>
      <c r="S192" s="20"/>
      <c r="T192" s="20"/>
      <c r="U192" s="20"/>
      <c r="V192" s="20"/>
      <c r="W192" s="20"/>
      <c r="X192" s="20"/>
      <c r="Y192" s="20"/>
      <c r="Z192" s="20"/>
    </row>
    <row r="193">
      <c r="A193" s="320"/>
      <c r="B193" s="164"/>
      <c r="C193" s="320"/>
      <c r="D193" s="164"/>
      <c r="E193" s="320"/>
      <c r="F193" s="164"/>
      <c r="G193" s="320"/>
      <c r="H193" s="164"/>
      <c r="I193" s="320"/>
      <c r="J193" s="164"/>
      <c r="K193" s="320"/>
      <c r="L193" s="164"/>
      <c r="M193" s="320"/>
      <c r="N193" s="164"/>
      <c r="O193" s="320"/>
      <c r="P193" s="164"/>
      <c r="Q193" s="333"/>
      <c r="R193" s="18"/>
      <c r="S193" s="20"/>
      <c r="T193" s="20"/>
      <c r="U193" s="20"/>
      <c r="V193" s="20"/>
      <c r="W193" s="20"/>
      <c r="X193" s="20"/>
      <c r="Y193" s="20"/>
      <c r="Z193" s="20"/>
    </row>
    <row r="194">
      <c r="A194" s="320"/>
      <c r="B194" s="164"/>
      <c r="C194" s="320"/>
      <c r="D194" s="164"/>
      <c r="E194" s="320"/>
      <c r="F194" s="164"/>
      <c r="G194" s="320"/>
      <c r="H194" s="164"/>
      <c r="I194" s="320"/>
      <c r="J194" s="164"/>
      <c r="K194" s="320"/>
      <c r="L194" s="164"/>
      <c r="M194" s="320"/>
      <c r="N194" s="164"/>
      <c r="O194" s="320"/>
      <c r="P194" s="164"/>
      <c r="Q194" s="333"/>
      <c r="R194" s="18"/>
      <c r="S194" s="20"/>
      <c r="T194" s="20"/>
      <c r="U194" s="20"/>
      <c r="V194" s="20"/>
      <c r="W194" s="20"/>
      <c r="X194" s="20"/>
      <c r="Y194" s="20"/>
      <c r="Z194" s="20"/>
    </row>
    <row r="195">
      <c r="A195" s="320"/>
      <c r="B195" s="164"/>
      <c r="C195" s="320"/>
      <c r="D195" s="164"/>
      <c r="E195" s="320"/>
      <c r="F195" s="164"/>
      <c r="G195" s="320"/>
      <c r="H195" s="164"/>
      <c r="I195" s="320"/>
      <c r="J195" s="164"/>
      <c r="K195" s="320"/>
      <c r="L195" s="164"/>
      <c r="M195" s="320"/>
      <c r="N195" s="164"/>
      <c r="O195" s="320"/>
      <c r="P195" s="164"/>
      <c r="Q195" s="333"/>
      <c r="R195" s="18"/>
      <c r="S195" s="20"/>
      <c r="T195" s="20"/>
      <c r="U195" s="20"/>
      <c r="V195" s="20"/>
      <c r="W195" s="20"/>
      <c r="X195" s="20"/>
      <c r="Y195" s="20"/>
      <c r="Z195" s="20"/>
    </row>
    <row r="196">
      <c r="A196" s="320"/>
      <c r="B196" s="164"/>
      <c r="C196" s="320"/>
      <c r="D196" s="164"/>
      <c r="E196" s="320"/>
      <c r="F196" s="164"/>
      <c r="G196" s="320"/>
      <c r="H196" s="164"/>
      <c r="I196" s="320"/>
      <c r="J196" s="164"/>
      <c r="K196" s="320"/>
      <c r="L196" s="164"/>
      <c r="M196" s="320"/>
      <c r="N196" s="164"/>
      <c r="O196" s="320"/>
      <c r="P196" s="164"/>
      <c r="Q196" s="333"/>
      <c r="R196" s="18"/>
      <c r="S196" s="20"/>
      <c r="T196" s="20"/>
      <c r="U196" s="20"/>
      <c r="V196" s="20"/>
      <c r="W196" s="20"/>
      <c r="X196" s="20"/>
      <c r="Y196" s="20"/>
      <c r="Z196" s="20"/>
    </row>
    <row r="197">
      <c r="A197" s="320"/>
      <c r="B197" s="164"/>
      <c r="C197" s="320"/>
      <c r="D197" s="164"/>
      <c r="E197" s="320"/>
      <c r="F197" s="164"/>
      <c r="G197" s="320"/>
      <c r="H197" s="164"/>
      <c r="I197" s="320"/>
      <c r="J197" s="164"/>
      <c r="K197" s="320"/>
      <c r="L197" s="164"/>
      <c r="M197" s="320"/>
      <c r="N197" s="164"/>
      <c r="O197" s="320"/>
      <c r="P197" s="164"/>
      <c r="Q197" s="333"/>
      <c r="R197" s="18"/>
      <c r="S197" s="20"/>
      <c r="T197" s="20"/>
      <c r="U197" s="20"/>
      <c r="V197" s="20"/>
      <c r="W197" s="20"/>
      <c r="X197" s="20"/>
      <c r="Y197" s="20"/>
      <c r="Z197" s="20"/>
    </row>
    <row r="198">
      <c r="A198" s="320"/>
      <c r="B198" s="164"/>
      <c r="C198" s="320"/>
      <c r="D198" s="164"/>
      <c r="E198" s="320"/>
      <c r="F198" s="164"/>
      <c r="G198" s="320"/>
      <c r="H198" s="164"/>
      <c r="I198" s="320"/>
      <c r="J198" s="164"/>
      <c r="K198" s="320"/>
      <c r="L198" s="164"/>
      <c r="M198" s="320"/>
      <c r="N198" s="164"/>
      <c r="O198" s="320"/>
      <c r="P198" s="164"/>
      <c r="Q198" s="333"/>
      <c r="R198" s="18"/>
      <c r="S198" s="20"/>
      <c r="T198" s="20"/>
      <c r="U198" s="20"/>
      <c r="V198" s="20"/>
      <c r="W198" s="20"/>
      <c r="X198" s="20"/>
      <c r="Y198" s="20"/>
      <c r="Z198" s="20"/>
    </row>
    <row r="199">
      <c r="A199" s="320"/>
      <c r="B199" s="164"/>
      <c r="C199" s="320"/>
      <c r="D199" s="164"/>
      <c r="E199" s="320"/>
      <c r="F199" s="164"/>
      <c r="G199" s="320"/>
      <c r="H199" s="164"/>
      <c r="I199" s="320"/>
      <c r="J199" s="164"/>
      <c r="K199" s="320"/>
      <c r="L199" s="164"/>
      <c r="M199" s="320"/>
      <c r="N199" s="164"/>
      <c r="O199" s="320"/>
      <c r="P199" s="164"/>
      <c r="Q199" s="333"/>
      <c r="R199" s="18"/>
      <c r="S199" s="20"/>
      <c r="T199" s="20"/>
      <c r="U199" s="20"/>
      <c r="V199" s="20"/>
      <c r="W199" s="20"/>
      <c r="X199" s="20"/>
      <c r="Y199" s="20"/>
      <c r="Z199" s="20"/>
    </row>
    <row r="200">
      <c r="A200" s="320"/>
      <c r="B200" s="164"/>
      <c r="C200" s="320"/>
      <c r="D200" s="164"/>
      <c r="E200" s="320"/>
      <c r="F200" s="164"/>
      <c r="G200" s="320"/>
      <c r="H200" s="164"/>
      <c r="I200" s="320"/>
      <c r="J200" s="164"/>
      <c r="K200" s="320"/>
      <c r="L200" s="164"/>
      <c r="M200" s="320"/>
      <c r="N200" s="164"/>
      <c r="O200" s="320"/>
      <c r="P200" s="164"/>
      <c r="Q200" s="333"/>
      <c r="R200" s="18"/>
      <c r="S200" s="20"/>
      <c r="T200" s="20"/>
      <c r="U200" s="20"/>
      <c r="V200" s="20"/>
      <c r="W200" s="20"/>
      <c r="X200" s="20"/>
      <c r="Y200" s="20"/>
      <c r="Z200" s="20"/>
    </row>
    <row r="201">
      <c r="A201" s="320"/>
      <c r="B201" s="164"/>
      <c r="C201" s="320"/>
      <c r="D201" s="164"/>
      <c r="E201" s="320"/>
      <c r="F201" s="164"/>
      <c r="G201" s="320"/>
      <c r="H201" s="164"/>
      <c r="I201" s="320"/>
      <c r="J201" s="164"/>
      <c r="K201" s="320"/>
      <c r="L201" s="164"/>
      <c r="M201" s="320"/>
      <c r="N201" s="164"/>
      <c r="O201" s="320"/>
      <c r="P201" s="164"/>
      <c r="Q201" s="333"/>
      <c r="R201" s="18"/>
      <c r="S201" s="20"/>
      <c r="T201" s="20"/>
      <c r="U201" s="20"/>
      <c r="V201" s="20"/>
      <c r="W201" s="20"/>
      <c r="X201" s="20"/>
      <c r="Y201" s="20"/>
      <c r="Z201" s="20"/>
    </row>
    <row r="202">
      <c r="A202" s="320"/>
      <c r="B202" s="164"/>
      <c r="C202" s="320"/>
      <c r="D202" s="164"/>
      <c r="E202" s="320"/>
      <c r="F202" s="164"/>
      <c r="G202" s="320"/>
      <c r="H202" s="164"/>
      <c r="I202" s="320"/>
      <c r="J202" s="164"/>
      <c r="K202" s="320"/>
      <c r="L202" s="164"/>
      <c r="M202" s="320"/>
      <c r="N202" s="164"/>
      <c r="O202" s="320"/>
      <c r="P202" s="164"/>
      <c r="Q202" s="333"/>
      <c r="R202" s="18"/>
      <c r="S202" s="20"/>
      <c r="T202" s="20"/>
      <c r="U202" s="20"/>
      <c r="V202" s="20"/>
      <c r="W202" s="20"/>
      <c r="X202" s="20"/>
      <c r="Y202" s="20"/>
      <c r="Z202" s="20"/>
    </row>
    <row r="203">
      <c r="A203" s="320"/>
      <c r="B203" s="164"/>
      <c r="C203" s="320"/>
      <c r="D203" s="164"/>
      <c r="E203" s="320"/>
      <c r="F203" s="164"/>
      <c r="G203" s="320"/>
      <c r="H203" s="164"/>
      <c r="I203" s="320"/>
      <c r="J203" s="164"/>
      <c r="K203" s="320"/>
      <c r="L203" s="164"/>
      <c r="M203" s="320"/>
      <c r="N203" s="164"/>
      <c r="O203" s="320"/>
      <c r="P203" s="164"/>
      <c r="Q203" s="333"/>
      <c r="R203" s="18"/>
      <c r="S203" s="20"/>
      <c r="T203" s="20"/>
      <c r="U203" s="20"/>
      <c r="V203" s="20"/>
      <c r="W203" s="20"/>
      <c r="X203" s="20"/>
      <c r="Y203" s="20"/>
      <c r="Z203" s="20"/>
    </row>
    <row r="204">
      <c r="A204" s="320"/>
      <c r="B204" s="164"/>
      <c r="C204" s="320"/>
      <c r="D204" s="164"/>
      <c r="E204" s="320"/>
      <c r="F204" s="164"/>
      <c r="G204" s="320"/>
      <c r="H204" s="164"/>
      <c r="I204" s="320"/>
      <c r="J204" s="164"/>
      <c r="K204" s="320"/>
      <c r="L204" s="164"/>
      <c r="M204" s="320"/>
      <c r="N204" s="164"/>
      <c r="O204" s="320"/>
      <c r="P204" s="164"/>
      <c r="Q204" s="333"/>
      <c r="R204" s="18"/>
      <c r="S204" s="20"/>
      <c r="T204" s="20"/>
      <c r="U204" s="20"/>
      <c r="V204" s="20"/>
      <c r="W204" s="20"/>
      <c r="X204" s="20"/>
      <c r="Y204" s="20"/>
      <c r="Z204" s="20"/>
    </row>
    <row r="205">
      <c r="A205" s="320"/>
      <c r="B205" s="164"/>
      <c r="C205" s="320"/>
      <c r="D205" s="164"/>
      <c r="E205" s="320"/>
      <c r="F205" s="164"/>
      <c r="G205" s="320"/>
      <c r="H205" s="164"/>
      <c r="I205" s="320"/>
      <c r="J205" s="164"/>
      <c r="K205" s="320"/>
      <c r="L205" s="164"/>
      <c r="M205" s="320"/>
      <c r="N205" s="164"/>
      <c r="O205" s="320"/>
      <c r="P205" s="164"/>
      <c r="Q205" s="333"/>
      <c r="R205" s="18"/>
      <c r="S205" s="20"/>
      <c r="T205" s="20"/>
      <c r="U205" s="20"/>
      <c r="V205" s="20"/>
      <c r="W205" s="20"/>
      <c r="X205" s="20"/>
      <c r="Y205" s="20"/>
      <c r="Z205" s="20"/>
    </row>
    <row r="206">
      <c r="A206" s="320"/>
      <c r="B206" s="164"/>
      <c r="C206" s="320"/>
      <c r="D206" s="164"/>
      <c r="E206" s="320"/>
      <c r="F206" s="164"/>
      <c r="G206" s="320"/>
      <c r="H206" s="164"/>
      <c r="I206" s="320"/>
      <c r="J206" s="164"/>
      <c r="K206" s="320"/>
      <c r="L206" s="164"/>
      <c r="M206" s="320"/>
      <c r="N206" s="164"/>
      <c r="O206" s="320"/>
      <c r="P206" s="164"/>
      <c r="Q206" s="333"/>
      <c r="R206" s="18"/>
      <c r="S206" s="20"/>
      <c r="T206" s="20"/>
      <c r="U206" s="20"/>
      <c r="V206" s="20"/>
      <c r="W206" s="20"/>
      <c r="X206" s="20"/>
      <c r="Y206" s="20"/>
      <c r="Z206" s="20"/>
    </row>
    <row r="207">
      <c r="A207" s="320"/>
      <c r="B207" s="164"/>
      <c r="C207" s="320"/>
      <c r="D207" s="164"/>
      <c r="E207" s="320"/>
      <c r="F207" s="164"/>
      <c r="G207" s="320"/>
      <c r="H207" s="164"/>
      <c r="I207" s="320"/>
      <c r="J207" s="164"/>
      <c r="K207" s="320"/>
      <c r="L207" s="164"/>
      <c r="M207" s="320"/>
      <c r="N207" s="164"/>
      <c r="O207" s="320"/>
      <c r="P207" s="164"/>
      <c r="Q207" s="333"/>
      <c r="R207" s="18"/>
      <c r="S207" s="20"/>
      <c r="T207" s="20"/>
      <c r="U207" s="20"/>
      <c r="V207" s="20"/>
      <c r="W207" s="20"/>
      <c r="X207" s="20"/>
      <c r="Y207" s="20"/>
      <c r="Z207" s="20"/>
    </row>
    <row r="208">
      <c r="A208" s="320"/>
      <c r="B208" s="164"/>
      <c r="C208" s="320"/>
      <c r="D208" s="164"/>
      <c r="E208" s="320"/>
      <c r="F208" s="164"/>
      <c r="G208" s="320"/>
      <c r="H208" s="164"/>
      <c r="I208" s="320"/>
      <c r="J208" s="164"/>
      <c r="K208" s="320"/>
      <c r="L208" s="164"/>
      <c r="M208" s="320"/>
      <c r="N208" s="164"/>
      <c r="O208" s="320"/>
      <c r="P208" s="164"/>
      <c r="Q208" s="333"/>
      <c r="R208" s="18"/>
      <c r="S208" s="20"/>
      <c r="T208" s="20"/>
      <c r="U208" s="20"/>
      <c r="V208" s="20"/>
      <c r="W208" s="20"/>
      <c r="X208" s="20"/>
      <c r="Y208" s="20"/>
      <c r="Z208" s="20"/>
    </row>
    <row r="209">
      <c r="A209" s="320"/>
      <c r="B209" s="164"/>
      <c r="C209" s="320"/>
      <c r="D209" s="164"/>
      <c r="E209" s="320"/>
      <c r="F209" s="164"/>
      <c r="G209" s="320"/>
      <c r="H209" s="164"/>
      <c r="I209" s="320"/>
      <c r="J209" s="164"/>
      <c r="K209" s="320"/>
      <c r="L209" s="164"/>
      <c r="M209" s="320"/>
      <c r="N209" s="164"/>
      <c r="O209" s="320"/>
      <c r="P209" s="164"/>
      <c r="Q209" s="333"/>
      <c r="R209" s="18"/>
      <c r="S209" s="20"/>
      <c r="T209" s="20"/>
      <c r="U209" s="20"/>
      <c r="V209" s="20"/>
      <c r="W209" s="20"/>
      <c r="X209" s="20"/>
      <c r="Y209" s="20"/>
      <c r="Z209" s="20"/>
    </row>
    <row r="210">
      <c r="A210" s="320"/>
      <c r="B210" s="164"/>
      <c r="C210" s="320"/>
      <c r="D210" s="164"/>
      <c r="E210" s="320"/>
      <c r="F210" s="164"/>
      <c r="G210" s="320"/>
      <c r="H210" s="164"/>
      <c r="I210" s="320"/>
      <c r="J210" s="164"/>
      <c r="K210" s="320"/>
      <c r="L210" s="164"/>
      <c r="M210" s="320"/>
      <c r="N210" s="164"/>
      <c r="O210" s="320"/>
      <c r="P210" s="164"/>
      <c r="Q210" s="333"/>
      <c r="R210" s="18"/>
      <c r="S210" s="20"/>
      <c r="T210" s="20"/>
      <c r="U210" s="20"/>
      <c r="V210" s="20"/>
      <c r="W210" s="20"/>
      <c r="X210" s="20"/>
      <c r="Y210" s="20"/>
      <c r="Z210" s="20"/>
    </row>
    <row r="211">
      <c r="A211" s="320"/>
      <c r="B211" s="164"/>
      <c r="C211" s="320"/>
      <c r="D211" s="164"/>
      <c r="E211" s="320"/>
      <c r="F211" s="164"/>
      <c r="G211" s="320"/>
      <c r="H211" s="164"/>
      <c r="I211" s="320"/>
      <c r="J211" s="164"/>
      <c r="K211" s="320"/>
      <c r="L211" s="164"/>
      <c r="M211" s="320"/>
      <c r="N211" s="164"/>
      <c r="O211" s="320"/>
      <c r="P211" s="164"/>
      <c r="Q211" s="333"/>
      <c r="R211" s="18"/>
      <c r="S211" s="20"/>
      <c r="T211" s="20"/>
      <c r="U211" s="20"/>
      <c r="V211" s="20"/>
      <c r="W211" s="20"/>
      <c r="X211" s="20"/>
      <c r="Y211" s="20"/>
      <c r="Z211" s="20"/>
    </row>
    <row r="212">
      <c r="A212" s="320"/>
      <c r="B212" s="164"/>
      <c r="C212" s="320"/>
      <c r="D212" s="164"/>
      <c r="E212" s="320"/>
      <c r="F212" s="164"/>
      <c r="G212" s="320"/>
      <c r="H212" s="164"/>
      <c r="I212" s="320"/>
      <c r="J212" s="164"/>
      <c r="K212" s="320"/>
      <c r="L212" s="164"/>
      <c r="M212" s="320"/>
      <c r="N212" s="164"/>
      <c r="O212" s="320"/>
      <c r="P212" s="164"/>
      <c r="Q212" s="333"/>
      <c r="R212" s="18"/>
      <c r="S212" s="20"/>
      <c r="T212" s="20"/>
      <c r="U212" s="20"/>
      <c r="V212" s="20"/>
      <c r="W212" s="20"/>
      <c r="X212" s="20"/>
      <c r="Y212" s="20"/>
      <c r="Z212" s="20"/>
    </row>
    <row r="213">
      <c r="A213" s="320"/>
      <c r="B213" s="164"/>
      <c r="C213" s="320"/>
      <c r="D213" s="164"/>
      <c r="E213" s="320"/>
      <c r="F213" s="164"/>
      <c r="G213" s="320"/>
      <c r="H213" s="164"/>
      <c r="I213" s="320"/>
      <c r="J213" s="164"/>
      <c r="K213" s="320"/>
      <c r="L213" s="164"/>
      <c r="M213" s="320"/>
      <c r="N213" s="164"/>
      <c r="O213" s="320"/>
      <c r="P213" s="164"/>
      <c r="Q213" s="333"/>
      <c r="R213" s="18"/>
      <c r="S213" s="20"/>
      <c r="T213" s="20"/>
      <c r="U213" s="20"/>
      <c r="V213" s="20"/>
      <c r="W213" s="20"/>
      <c r="X213" s="20"/>
      <c r="Y213" s="20"/>
      <c r="Z213" s="20"/>
    </row>
    <row r="214">
      <c r="A214" s="320"/>
      <c r="B214" s="164"/>
      <c r="C214" s="320"/>
      <c r="D214" s="164"/>
      <c r="E214" s="320"/>
      <c r="F214" s="164"/>
      <c r="G214" s="320"/>
      <c r="H214" s="164"/>
      <c r="I214" s="320"/>
      <c r="J214" s="164"/>
      <c r="K214" s="320"/>
      <c r="L214" s="164"/>
      <c r="M214" s="320"/>
      <c r="N214" s="164"/>
      <c r="O214" s="320"/>
      <c r="P214" s="164"/>
      <c r="Q214" s="333"/>
      <c r="R214" s="18"/>
      <c r="S214" s="20"/>
      <c r="T214" s="20"/>
      <c r="U214" s="20"/>
      <c r="V214" s="20"/>
      <c r="W214" s="20"/>
      <c r="X214" s="20"/>
      <c r="Y214" s="20"/>
      <c r="Z214" s="20"/>
    </row>
    <row r="215">
      <c r="A215" s="320"/>
      <c r="B215" s="164"/>
      <c r="C215" s="320"/>
      <c r="D215" s="164"/>
      <c r="E215" s="320"/>
      <c r="F215" s="164"/>
      <c r="G215" s="320"/>
      <c r="H215" s="164"/>
      <c r="I215" s="320"/>
      <c r="J215" s="164"/>
      <c r="K215" s="320"/>
      <c r="L215" s="164"/>
      <c r="M215" s="320"/>
      <c r="N215" s="164"/>
      <c r="O215" s="320"/>
      <c r="P215" s="164"/>
      <c r="Q215" s="333"/>
      <c r="R215" s="18"/>
      <c r="S215" s="20"/>
      <c r="T215" s="20"/>
      <c r="U215" s="20"/>
      <c r="V215" s="20"/>
      <c r="W215" s="20"/>
      <c r="X215" s="20"/>
      <c r="Y215" s="20"/>
      <c r="Z215" s="20"/>
    </row>
    <row r="216">
      <c r="A216" s="320"/>
      <c r="B216" s="164"/>
      <c r="C216" s="320"/>
      <c r="D216" s="164"/>
      <c r="E216" s="320"/>
      <c r="F216" s="164"/>
      <c r="G216" s="320"/>
      <c r="H216" s="164"/>
      <c r="I216" s="320"/>
      <c r="J216" s="164"/>
      <c r="K216" s="320"/>
      <c r="L216" s="164"/>
      <c r="M216" s="320"/>
      <c r="N216" s="164"/>
      <c r="O216" s="320"/>
      <c r="P216" s="164"/>
      <c r="Q216" s="333"/>
      <c r="R216" s="18"/>
      <c r="S216" s="20"/>
      <c r="T216" s="20"/>
      <c r="U216" s="20"/>
      <c r="V216" s="20"/>
      <c r="W216" s="20"/>
      <c r="X216" s="20"/>
      <c r="Y216" s="20"/>
      <c r="Z216" s="20"/>
    </row>
    <row r="217">
      <c r="A217" s="320"/>
      <c r="B217" s="164"/>
      <c r="C217" s="320"/>
      <c r="D217" s="164"/>
      <c r="E217" s="320"/>
      <c r="F217" s="164"/>
      <c r="G217" s="320"/>
      <c r="H217" s="164"/>
      <c r="I217" s="320"/>
      <c r="J217" s="164"/>
      <c r="K217" s="320"/>
      <c r="L217" s="164"/>
      <c r="M217" s="320"/>
      <c r="N217" s="164"/>
      <c r="O217" s="320"/>
      <c r="P217" s="164"/>
      <c r="Q217" s="333"/>
      <c r="R217" s="18"/>
      <c r="S217" s="20"/>
      <c r="T217" s="20"/>
      <c r="U217" s="20"/>
      <c r="V217" s="20"/>
      <c r="W217" s="20"/>
      <c r="X217" s="20"/>
      <c r="Y217" s="20"/>
      <c r="Z217" s="20"/>
    </row>
    <row r="218">
      <c r="A218" s="320"/>
      <c r="B218" s="164"/>
      <c r="C218" s="320"/>
      <c r="D218" s="164"/>
      <c r="E218" s="320"/>
      <c r="F218" s="164"/>
      <c r="G218" s="320"/>
      <c r="H218" s="164"/>
      <c r="I218" s="320"/>
      <c r="J218" s="164"/>
      <c r="K218" s="320"/>
      <c r="L218" s="164"/>
      <c r="M218" s="320"/>
      <c r="N218" s="164"/>
      <c r="O218" s="320"/>
      <c r="P218" s="164"/>
      <c r="Q218" s="333"/>
      <c r="R218" s="18"/>
      <c r="S218" s="20"/>
      <c r="T218" s="20"/>
      <c r="U218" s="20"/>
      <c r="V218" s="20"/>
      <c r="W218" s="20"/>
      <c r="X218" s="20"/>
      <c r="Y218" s="20"/>
      <c r="Z218" s="20"/>
    </row>
    <row r="219">
      <c r="A219" s="320"/>
      <c r="B219" s="164"/>
      <c r="C219" s="320"/>
      <c r="D219" s="164"/>
      <c r="E219" s="320"/>
      <c r="F219" s="164"/>
      <c r="G219" s="320"/>
      <c r="H219" s="164"/>
      <c r="I219" s="320"/>
      <c r="J219" s="164"/>
      <c r="K219" s="320"/>
      <c r="L219" s="164"/>
      <c r="M219" s="320"/>
      <c r="N219" s="164"/>
      <c r="O219" s="320"/>
      <c r="P219" s="164"/>
      <c r="Q219" s="333"/>
      <c r="R219" s="18"/>
      <c r="S219" s="20"/>
      <c r="T219" s="20"/>
      <c r="U219" s="20"/>
      <c r="V219" s="20"/>
      <c r="W219" s="20"/>
      <c r="X219" s="20"/>
      <c r="Y219" s="20"/>
      <c r="Z219" s="20"/>
    </row>
    <row r="220">
      <c r="A220" s="320"/>
      <c r="B220" s="164"/>
      <c r="C220" s="320"/>
      <c r="D220" s="164"/>
      <c r="E220" s="320"/>
      <c r="F220" s="164"/>
      <c r="G220" s="320"/>
      <c r="H220" s="164"/>
      <c r="I220" s="320"/>
      <c r="J220" s="164"/>
      <c r="K220" s="320"/>
      <c r="L220" s="164"/>
      <c r="M220" s="320"/>
      <c r="N220" s="164"/>
      <c r="O220" s="320"/>
      <c r="P220" s="164"/>
      <c r="Q220" s="333"/>
      <c r="R220" s="18"/>
      <c r="S220" s="20"/>
      <c r="T220" s="20"/>
      <c r="U220" s="20"/>
      <c r="V220" s="20"/>
      <c r="W220" s="20"/>
      <c r="X220" s="20"/>
      <c r="Y220" s="20"/>
      <c r="Z220" s="20"/>
    </row>
    <row r="221">
      <c r="A221" s="320"/>
      <c r="B221" s="164"/>
      <c r="C221" s="320"/>
      <c r="D221" s="164"/>
      <c r="E221" s="320"/>
      <c r="F221" s="164"/>
      <c r="G221" s="320"/>
      <c r="H221" s="164"/>
      <c r="I221" s="320"/>
      <c r="J221" s="164"/>
      <c r="K221" s="320"/>
      <c r="L221" s="164"/>
      <c r="M221" s="320"/>
      <c r="N221" s="164"/>
      <c r="O221" s="320"/>
      <c r="P221" s="164"/>
      <c r="Q221" s="333"/>
      <c r="R221" s="18"/>
      <c r="S221" s="20"/>
      <c r="T221" s="20"/>
      <c r="U221" s="20"/>
      <c r="V221" s="20"/>
      <c r="W221" s="20"/>
      <c r="X221" s="20"/>
      <c r="Y221" s="20"/>
      <c r="Z221" s="20"/>
    </row>
    <row r="222">
      <c r="A222" s="320"/>
      <c r="B222" s="164"/>
      <c r="C222" s="320"/>
      <c r="D222" s="164"/>
      <c r="E222" s="320"/>
      <c r="F222" s="164"/>
      <c r="G222" s="320"/>
      <c r="H222" s="164"/>
      <c r="I222" s="320"/>
      <c r="J222" s="164"/>
      <c r="K222" s="320"/>
      <c r="L222" s="164"/>
      <c r="M222" s="320"/>
      <c r="N222" s="164"/>
      <c r="O222" s="320"/>
      <c r="P222" s="164"/>
      <c r="Q222" s="333"/>
      <c r="R222" s="18"/>
      <c r="S222" s="20"/>
      <c r="T222" s="20"/>
      <c r="U222" s="20"/>
      <c r="V222" s="20"/>
      <c r="W222" s="20"/>
      <c r="X222" s="20"/>
      <c r="Y222" s="20"/>
      <c r="Z222" s="20"/>
    </row>
    <row r="223">
      <c r="A223" s="320"/>
      <c r="B223" s="164"/>
      <c r="C223" s="320"/>
      <c r="D223" s="164"/>
      <c r="E223" s="320"/>
      <c r="F223" s="164"/>
      <c r="G223" s="320"/>
      <c r="H223" s="164"/>
      <c r="I223" s="320"/>
      <c r="J223" s="164"/>
      <c r="K223" s="320"/>
      <c r="L223" s="164"/>
      <c r="M223" s="320"/>
      <c r="N223" s="164"/>
      <c r="O223" s="320"/>
      <c r="P223" s="164"/>
      <c r="Q223" s="333"/>
      <c r="R223" s="18"/>
      <c r="S223" s="20"/>
      <c r="T223" s="20"/>
      <c r="U223" s="20"/>
      <c r="V223" s="20"/>
      <c r="W223" s="20"/>
      <c r="X223" s="20"/>
      <c r="Y223" s="20"/>
      <c r="Z223" s="20"/>
    </row>
    <row r="224">
      <c r="A224" s="320"/>
      <c r="B224" s="164"/>
      <c r="C224" s="320"/>
      <c r="D224" s="164"/>
      <c r="E224" s="320"/>
      <c r="F224" s="164"/>
      <c r="G224" s="320"/>
      <c r="H224" s="164"/>
      <c r="I224" s="320"/>
      <c r="J224" s="164"/>
      <c r="K224" s="320"/>
      <c r="L224" s="164"/>
      <c r="M224" s="320"/>
      <c r="N224" s="164"/>
      <c r="O224" s="320"/>
      <c r="P224" s="164"/>
      <c r="Q224" s="333"/>
      <c r="R224" s="18"/>
      <c r="S224" s="20"/>
      <c r="T224" s="20"/>
      <c r="U224" s="20"/>
      <c r="V224" s="20"/>
      <c r="W224" s="20"/>
      <c r="X224" s="20"/>
      <c r="Y224" s="20"/>
      <c r="Z224" s="20"/>
    </row>
    <row r="225">
      <c r="A225" s="320"/>
      <c r="B225" s="164"/>
      <c r="C225" s="320"/>
      <c r="D225" s="164"/>
      <c r="E225" s="320"/>
      <c r="F225" s="164"/>
      <c r="G225" s="320"/>
      <c r="H225" s="164"/>
      <c r="I225" s="320"/>
      <c r="J225" s="164"/>
      <c r="K225" s="320"/>
      <c r="L225" s="164"/>
      <c r="M225" s="320"/>
      <c r="N225" s="164"/>
      <c r="O225" s="320"/>
      <c r="P225" s="164"/>
      <c r="Q225" s="333"/>
      <c r="R225" s="18"/>
      <c r="S225" s="20"/>
      <c r="T225" s="20"/>
      <c r="U225" s="20"/>
      <c r="V225" s="20"/>
      <c r="W225" s="20"/>
      <c r="X225" s="20"/>
      <c r="Y225" s="20"/>
      <c r="Z225" s="20"/>
    </row>
    <row r="226">
      <c r="A226" s="320"/>
      <c r="B226" s="164"/>
      <c r="C226" s="320"/>
      <c r="D226" s="164"/>
      <c r="E226" s="320"/>
      <c r="F226" s="164"/>
      <c r="G226" s="320"/>
      <c r="H226" s="164"/>
      <c r="I226" s="320"/>
      <c r="J226" s="164"/>
      <c r="K226" s="320"/>
      <c r="L226" s="164"/>
      <c r="M226" s="320"/>
      <c r="N226" s="164"/>
      <c r="O226" s="320"/>
      <c r="P226" s="164"/>
      <c r="Q226" s="333"/>
      <c r="R226" s="18"/>
      <c r="S226" s="20"/>
      <c r="T226" s="20"/>
      <c r="U226" s="20"/>
      <c r="V226" s="20"/>
      <c r="W226" s="20"/>
      <c r="X226" s="20"/>
      <c r="Y226" s="20"/>
      <c r="Z226" s="20"/>
    </row>
    <row r="227">
      <c r="A227" s="320"/>
      <c r="B227" s="164"/>
      <c r="C227" s="320"/>
      <c r="D227" s="164"/>
      <c r="E227" s="320"/>
      <c r="F227" s="164"/>
      <c r="G227" s="320"/>
      <c r="H227" s="164"/>
      <c r="I227" s="320"/>
      <c r="J227" s="164"/>
      <c r="K227" s="320"/>
      <c r="L227" s="164"/>
      <c r="M227" s="320"/>
      <c r="N227" s="164"/>
      <c r="O227" s="320"/>
      <c r="P227" s="164"/>
      <c r="Q227" s="333"/>
      <c r="R227" s="18"/>
      <c r="S227" s="20"/>
      <c r="T227" s="20"/>
      <c r="U227" s="20"/>
      <c r="V227" s="20"/>
      <c r="W227" s="20"/>
      <c r="X227" s="20"/>
      <c r="Y227" s="20"/>
      <c r="Z227" s="20"/>
    </row>
    <row r="228">
      <c r="A228" s="320"/>
      <c r="B228" s="164"/>
      <c r="C228" s="320"/>
      <c r="D228" s="164"/>
      <c r="E228" s="320"/>
      <c r="F228" s="164"/>
      <c r="G228" s="320"/>
      <c r="H228" s="164"/>
      <c r="I228" s="320"/>
      <c r="J228" s="164"/>
      <c r="K228" s="320"/>
      <c r="L228" s="164"/>
      <c r="M228" s="320"/>
      <c r="N228" s="164"/>
      <c r="O228" s="320"/>
      <c r="P228" s="164"/>
      <c r="Q228" s="333"/>
      <c r="R228" s="18"/>
      <c r="S228" s="20"/>
      <c r="T228" s="20"/>
      <c r="U228" s="20"/>
      <c r="V228" s="20"/>
      <c r="W228" s="20"/>
      <c r="X228" s="20"/>
      <c r="Y228" s="20"/>
      <c r="Z228" s="20"/>
    </row>
    <row r="229">
      <c r="A229" s="320"/>
      <c r="B229" s="164"/>
      <c r="C229" s="320"/>
      <c r="D229" s="164"/>
      <c r="E229" s="320"/>
      <c r="F229" s="164"/>
      <c r="G229" s="320"/>
      <c r="H229" s="164"/>
      <c r="I229" s="320"/>
      <c r="J229" s="164"/>
      <c r="K229" s="320"/>
      <c r="L229" s="164"/>
      <c r="M229" s="320"/>
      <c r="N229" s="164"/>
      <c r="O229" s="320"/>
      <c r="P229" s="164"/>
      <c r="Q229" s="333"/>
      <c r="R229" s="18"/>
      <c r="S229" s="20"/>
      <c r="T229" s="20"/>
      <c r="U229" s="20"/>
      <c r="V229" s="20"/>
      <c r="W229" s="20"/>
      <c r="X229" s="20"/>
      <c r="Y229" s="20"/>
      <c r="Z229" s="20"/>
    </row>
    <row r="230">
      <c r="A230" s="320"/>
      <c r="B230" s="164"/>
      <c r="C230" s="320"/>
      <c r="D230" s="164"/>
      <c r="E230" s="320"/>
      <c r="F230" s="164"/>
      <c r="G230" s="320"/>
      <c r="H230" s="164"/>
      <c r="I230" s="320"/>
      <c r="J230" s="164"/>
      <c r="K230" s="320"/>
      <c r="L230" s="164"/>
      <c r="M230" s="320"/>
      <c r="N230" s="164"/>
      <c r="O230" s="320"/>
      <c r="P230" s="164"/>
      <c r="Q230" s="333"/>
      <c r="R230" s="18"/>
      <c r="S230" s="20"/>
      <c r="T230" s="20"/>
      <c r="U230" s="20"/>
      <c r="V230" s="20"/>
      <c r="W230" s="20"/>
      <c r="X230" s="20"/>
      <c r="Y230" s="20"/>
      <c r="Z230" s="20"/>
    </row>
    <row r="231">
      <c r="A231" s="320"/>
      <c r="B231" s="164"/>
      <c r="C231" s="320"/>
      <c r="D231" s="164"/>
      <c r="E231" s="320"/>
      <c r="F231" s="164"/>
      <c r="G231" s="320"/>
      <c r="H231" s="164"/>
      <c r="I231" s="320"/>
      <c r="J231" s="164"/>
      <c r="K231" s="320"/>
      <c r="L231" s="164"/>
      <c r="M231" s="320"/>
      <c r="N231" s="164"/>
      <c r="O231" s="320"/>
      <c r="P231" s="164"/>
      <c r="Q231" s="333"/>
      <c r="R231" s="18"/>
      <c r="S231" s="20"/>
      <c r="T231" s="20"/>
      <c r="U231" s="20"/>
      <c r="V231" s="20"/>
      <c r="W231" s="20"/>
      <c r="X231" s="20"/>
      <c r="Y231" s="20"/>
      <c r="Z231" s="20"/>
    </row>
    <row r="232">
      <c r="A232" s="320"/>
      <c r="B232" s="164"/>
      <c r="C232" s="320"/>
      <c r="D232" s="164"/>
      <c r="E232" s="320"/>
      <c r="F232" s="164"/>
      <c r="G232" s="320"/>
      <c r="H232" s="164"/>
      <c r="I232" s="320"/>
      <c r="J232" s="164"/>
      <c r="K232" s="320"/>
      <c r="L232" s="164"/>
      <c r="M232" s="320"/>
      <c r="N232" s="164"/>
      <c r="O232" s="320"/>
      <c r="P232" s="164"/>
      <c r="Q232" s="333"/>
      <c r="R232" s="18"/>
      <c r="S232" s="20"/>
      <c r="T232" s="20"/>
      <c r="U232" s="20"/>
      <c r="V232" s="20"/>
      <c r="W232" s="20"/>
      <c r="X232" s="20"/>
      <c r="Y232" s="20"/>
      <c r="Z232" s="20"/>
    </row>
    <row r="233">
      <c r="A233" s="320"/>
      <c r="B233" s="164"/>
      <c r="C233" s="320"/>
      <c r="D233" s="164"/>
      <c r="E233" s="320"/>
      <c r="F233" s="164"/>
      <c r="G233" s="320"/>
      <c r="H233" s="164"/>
      <c r="I233" s="320"/>
      <c r="J233" s="164"/>
      <c r="K233" s="320"/>
      <c r="L233" s="164"/>
      <c r="M233" s="320"/>
      <c r="N233" s="164"/>
      <c r="O233" s="320"/>
      <c r="P233" s="164"/>
      <c r="Q233" s="333"/>
      <c r="R233" s="18"/>
      <c r="S233" s="20"/>
      <c r="T233" s="20"/>
      <c r="U233" s="20"/>
      <c r="V233" s="20"/>
      <c r="W233" s="20"/>
      <c r="X233" s="20"/>
      <c r="Y233" s="20"/>
      <c r="Z233" s="20"/>
    </row>
    <row r="234">
      <c r="A234" s="320"/>
      <c r="B234" s="164"/>
      <c r="C234" s="320"/>
      <c r="D234" s="164"/>
      <c r="E234" s="320"/>
      <c r="F234" s="164"/>
      <c r="G234" s="320"/>
      <c r="H234" s="164"/>
      <c r="I234" s="320"/>
      <c r="J234" s="164"/>
      <c r="K234" s="320"/>
      <c r="L234" s="164"/>
      <c r="M234" s="320"/>
      <c r="N234" s="164"/>
      <c r="O234" s="320"/>
      <c r="P234" s="164"/>
      <c r="Q234" s="333"/>
      <c r="R234" s="18"/>
      <c r="S234" s="20"/>
      <c r="T234" s="20"/>
      <c r="U234" s="20"/>
      <c r="V234" s="20"/>
      <c r="W234" s="20"/>
      <c r="X234" s="20"/>
      <c r="Y234" s="20"/>
      <c r="Z234" s="20"/>
    </row>
    <row r="235">
      <c r="A235" s="320"/>
      <c r="B235" s="164"/>
      <c r="C235" s="320"/>
      <c r="D235" s="164"/>
      <c r="E235" s="320"/>
      <c r="F235" s="164"/>
      <c r="G235" s="320"/>
      <c r="H235" s="164"/>
      <c r="I235" s="320"/>
      <c r="J235" s="164"/>
      <c r="K235" s="320"/>
      <c r="L235" s="164"/>
      <c r="M235" s="320"/>
      <c r="N235" s="164"/>
      <c r="O235" s="320"/>
      <c r="P235" s="164"/>
      <c r="Q235" s="333"/>
      <c r="R235" s="18"/>
      <c r="S235" s="20"/>
      <c r="T235" s="20"/>
      <c r="U235" s="20"/>
      <c r="V235" s="20"/>
      <c r="W235" s="20"/>
      <c r="X235" s="20"/>
      <c r="Y235" s="20"/>
      <c r="Z235" s="20"/>
    </row>
    <row r="236">
      <c r="A236" s="320"/>
      <c r="B236" s="164"/>
      <c r="C236" s="320"/>
      <c r="D236" s="164"/>
      <c r="E236" s="320"/>
      <c r="F236" s="164"/>
      <c r="G236" s="320"/>
      <c r="H236" s="164"/>
      <c r="I236" s="320"/>
      <c r="J236" s="164"/>
      <c r="K236" s="320"/>
      <c r="L236" s="164"/>
      <c r="M236" s="320"/>
      <c r="N236" s="164"/>
      <c r="O236" s="320"/>
      <c r="P236" s="164"/>
      <c r="Q236" s="333"/>
      <c r="R236" s="18"/>
      <c r="S236" s="20"/>
      <c r="T236" s="20"/>
      <c r="U236" s="20"/>
      <c r="V236" s="20"/>
      <c r="W236" s="20"/>
      <c r="X236" s="20"/>
      <c r="Y236" s="20"/>
      <c r="Z236" s="20"/>
    </row>
    <row r="237">
      <c r="A237" s="320"/>
      <c r="B237" s="164"/>
      <c r="C237" s="320"/>
      <c r="D237" s="164"/>
      <c r="E237" s="320"/>
      <c r="F237" s="164"/>
      <c r="G237" s="320"/>
      <c r="H237" s="164"/>
      <c r="I237" s="320"/>
      <c r="J237" s="164"/>
      <c r="K237" s="320"/>
      <c r="L237" s="164"/>
      <c r="M237" s="320"/>
      <c r="N237" s="164"/>
      <c r="O237" s="320"/>
      <c r="P237" s="164"/>
      <c r="Q237" s="333"/>
      <c r="R237" s="18"/>
      <c r="S237" s="20"/>
      <c r="T237" s="20"/>
      <c r="U237" s="20"/>
      <c r="V237" s="20"/>
      <c r="W237" s="20"/>
      <c r="X237" s="20"/>
      <c r="Y237" s="20"/>
      <c r="Z237" s="20"/>
    </row>
    <row r="238">
      <c r="A238" s="320"/>
      <c r="B238" s="164"/>
      <c r="C238" s="320"/>
      <c r="D238" s="164"/>
      <c r="E238" s="320"/>
      <c r="F238" s="164"/>
      <c r="G238" s="320"/>
      <c r="H238" s="164"/>
      <c r="I238" s="320"/>
      <c r="J238" s="164"/>
      <c r="K238" s="320"/>
      <c r="L238" s="164"/>
      <c r="M238" s="320"/>
      <c r="N238" s="164"/>
      <c r="O238" s="320"/>
      <c r="P238" s="164"/>
      <c r="Q238" s="333"/>
      <c r="R238" s="18"/>
      <c r="S238" s="20"/>
      <c r="T238" s="20"/>
      <c r="U238" s="20"/>
      <c r="V238" s="20"/>
      <c r="W238" s="20"/>
      <c r="X238" s="20"/>
      <c r="Y238" s="20"/>
      <c r="Z238" s="20"/>
    </row>
    <row r="239">
      <c r="A239" s="320"/>
      <c r="B239" s="164"/>
      <c r="C239" s="320"/>
      <c r="D239" s="164"/>
      <c r="E239" s="320"/>
      <c r="F239" s="164"/>
      <c r="G239" s="320"/>
      <c r="H239" s="164"/>
      <c r="I239" s="320"/>
      <c r="J239" s="164"/>
      <c r="K239" s="320"/>
      <c r="L239" s="164"/>
      <c r="M239" s="320"/>
      <c r="N239" s="164"/>
      <c r="O239" s="320"/>
      <c r="P239" s="164"/>
      <c r="Q239" s="333"/>
      <c r="R239" s="18"/>
      <c r="S239" s="20"/>
      <c r="T239" s="20"/>
      <c r="U239" s="20"/>
      <c r="V239" s="20"/>
      <c r="W239" s="20"/>
      <c r="X239" s="20"/>
      <c r="Y239" s="20"/>
      <c r="Z239" s="20"/>
    </row>
    <row r="240">
      <c r="A240" s="320"/>
      <c r="B240" s="164"/>
      <c r="C240" s="320"/>
      <c r="D240" s="164"/>
      <c r="E240" s="320"/>
      <c r="F240" s="164"/>
      <c r="G240" s="320"/>
      <c r="H240" s="164"/>
      <c r="I240" s="320"/>
      <c r="J240" s="164"/>
      <c r="K240" s="320"/>
      <c r="L240" s="164"/>
      <c r="M240" s="320"/>
      <c r="N240" s="164"/>
      <c r="O240" s="320"/>
      <c r="P240" s="164"/>
      <c r="Q240" s="333"/>
      <c r="R240" s="18"/>
      <c r="S240" s="20"/>
      <c r="T240" s="20"/>
      <c r="U240" s="20"/>
      <c r="V240" s="20"/>
      <c r="W240" s="20"/>
      <c r="X240" s="20"/>
      <c r="Y240" s="20"/>
      <c r="Z240" s="20"/>
    </row>
    <row r="241">
      <c r="A241" s="320"/>
      <c r="B241" s="164"/>
      <c r="C241" s="320"/>
      <c r="D241" s="164"/>
      <c r="E241" s="320"/>
      <c r="F241" s="164"/>
      <c r="G241" s="320"/>
      <c r="H241" s="164"/>
      <c r="I241" s="320"/>
      <c r="J241" s="164"/>
      <c r="K241" s="320"/>
      <c r="L241" s="164"/>
      <c r="M241" s="320"/>
      <c r="N241" s="164"/>
      <c r="O241" s="320"/>
      <c r="P241" s="164"/>
      <c r="Q241" s="333"/>
      <c r="R241" s="18"/>
      <c r="S241" s="20"/>
      <c r="T241" s="20"/>
      <c r="U241" s="20"/>
      <c r="V241" s="20"/>
      <c r="W241" s="20"/>
      <c r="X241" s="20"/>
      <c r="Y241" s="20"/>
      <c r="Z241" s="20"/>
    </row>
    <row r="242">
      <c r="A242" s="320"/>
      <c r="B242" s="164"/>
      <c r="C242" s="320"/>
      <c r="D242" s="164"/>
      <c r="E242" s="320"/>
      <c r="F242" s="164"/>
      <c r="G242" s="320"/>
      <c r="H242" s="164"/>
      <c r="I242" s="320"/>
      <c r="J242" s="164"/>
      <c r="K242" s="320"/>
      <c r="L242" s="164"/>
      <c r="M242" s="320"/>
      <c r="N242" s="164"/>
      <c r="O242" s="320"/>
      <c r="P242" s="164"/>
      <c r="Q242" s="333"/>
      <c r="R242" s="18"/>
      <c r="S242" s="20"/>
      <c r="T242" s="20"/>
      <c r="U242" s="20"/>
      <c r="V242" s="20"/>
      <c r="W242" s="20"/>
      <c r="X242" s="20"/>
      <c r="Y242" s="20"/>
      <c r="Z242" s="20"/>
    </row>
    <row r="243">
      <c r="A243" s="320"/>
      <c r="B243" s="164"/>
      <c r="C243" s="320"/>
      <c r="D243" s="164"/>
      <c r="E243" s="320"/>
      <c r="F243" s="164"/>
      <c r="G243" s="320"/>
      <c r="H243" s="164"/>
      <c r="I243" s="320"/>
      <c r="J243" s="164"/>
      <c r="K243" s="320"/>
      <c r="L243" s="164"/>
      <c r="M243" s="320"/>
      <c r="N243" s="164"/>
      <c r="O243" s="320"/>
      <c r="P243" s="164"/>
      <c r="Q243" s="333"/>
      <c r="R243" s="18"/>
      <c r="S243" s="20"/>
      <c r="T243" s="20"/>
      <c r="U243" s="20"/>
      <c r="V243" s="20"/>
      <c r="W243" s="20"/>
      <c r="X243" s="20"/>
      <c r="Y243" s="20"/>
      <c r="Z243" s="20"/>
    </row>
    <row r="244">
      <c r="A244" s="320"/>
      <c r="B244" s="164"/>
      <c r="C244" s="320"/>
      <c r="D244" s="164"/>
      <c r="E244" s="320"/>
      <c r="F244" s="164"/>
      <c r="G244" s="320"/>
      <c r="H244" s="164"/>
      <c r="I244" s="320"/>
      <c r="J244" s="164"/>
      <c r="K244" s="320"/>
      <c r="L244" s="164"/>
      <c r="M244" s="320"/>
      <c r="N244" s="164"/>
      <c r="O244" s="320"/>
      <c r="P244" s="164"/>
      <c r="Q244" s="333"/>
      <c r="R244" s="18"/>
      <c r="S244" s="20"/>
      <c r="T244" s="20"/>
      <c r="U244" s="20"/>
      <c r="V244" s="20"/>
      <c r="W244" s="20"/>
      <c r="X244" s="20"/>
      <c r="Y244" s="20"/>
      <c r="Z244" s="20"/>
    </row>
    <row r="245">
      <c r="A245" s="320"/>
      <c r="B245" s="164"/>
      <c r="C245" s="320"/>
      <c r="D245" s="164"/>
      <c r="E245" s="320"/>
      <c r="F245" s="164"/>
      <c r="G245" s="320"/>
      <c r="H245" s="164"/>
      <c r="I245" s="320"/>
      <c r="J245" s="164"/>
      <c r="K245" s="320"/>
      <c r="L245" s="164"/>
      <c r="M245" s="320"/>
      <c r="N245" s="164"/>
      <c r="O245" s="320"/>
      <c r="P245" s="164"/>
      <c r="Q245" s="333"/>
      <c r="R245" s="18"/>
      <c r="S245" s="20"/>
      <c r="T245" s="20"/>
      <c r="U245" s="20"/>
      <c r="V245" s="20"/>
      <c r="W245" s="20"/>
      <c r="X245" s="20"/>
      <c r="Y245" s="20"/>
      <c r="Z245" s="20"/>
    </row>
    <row r="246">
      <c r="A246" s="320"/>
      <c r="B246" s="164"/>
      <c r="C246" s="320"/>
      <c r="D246" s="164"/>
      <c r="E246" s="320"/>
      <c r="F246" s="164"/>
      <c r="G246" s="320"/>
      <c r="H246" s="164"/>
      <c r="I246" s="320"/>
      <c r="J246" s="164"/>
      <c r="K246" s="320"/>
      <c r="L246" s="164"/>
      <c r="M246" s="320"/>
      <c r="N246" s="164"/>
      <c r="O246" s="320"/>
      <c r="P246" s="164"/>
      <c r="Q246" s="333"/>
      <c r="R246" s="18"/>
      <c r="S246" s="20"/>
      <c r="T246" s="20"/>
      <c r="U246" s="20"/>
      <c r="V246" s="20"/>
      <c r="W246" s="20"/>
      <c r="X246" s="20"/>
      <c r="Y246" s="20"/>
      <c r="Z246" s="20"/>
    </row>
    <row r="247">
      <c r="A247" s="320"/>
      <c r="B247" s="164"/>
      <c r="C247" s="320"/>
      <c r="D247" s="164"/>
      <c r="E247" s="320"/>
      <c r="F247" s="164"/>
      <c r="G247" s="320"/>
      <c r="H247" s="164"/>
      <c r="I247" s="320"/>
      <c r="J247" s="164"/>
      <c r="K247" s="320"/>
      <c r="L247" s="164"/>
      <c r="M247" s="320"/>
      <c r="N247" s="164"/>
      <c r="O247" s="320"/>
      <c r="P247" s="164"/>
      <c r="Q247" s="333"/>
      <c r="R247" s="18"/>
      <c r="S247" s="20"/>
      <c r="T247" s="20"/>
      <c r="U247" s="20"/>
      <c r="V247" s="20"/>
      <c r="W247" s="20"/>
      <c r="X247" s="20"/>
      <c r="Y247" s="20"/>
      <c r="Z247" s="20"/>
    </row>
    <row r="248">
      <c r="A248" s="320"/>
      <c r="B248" s="164"/>
      <c r="C248" s="320"/>
      <c r="D248" s="164"/>
      <c r="E248" s="320"/>
      <c r="F248" s="164"/>
      <c r="G248" s="320"/>
      <c r="H248" s="164"/>
      <c r="I248" s="320"/>
      <c r="J248" s="164"/>
      <c r="K248" s="320"/>
      <c r="L248" s="164"/>
      <c r="M248" s="320"/>
      <c r="N248" s="164"/>
      <c r="O248" s="320"/>
      <c r="P248" s="164"/>
      <c r="Q248" s="333"/>
      <c r="R248" s="18"/>
      <c r="S248" s="20"/>
      <c r="T248" s="20"/>
      <c r="U248" s="20"/>
      <c r="V248" s="20"/>
      <c r="W248" s="20"/>
      <c r="X248" s="20"/>
      <c r="Y248" s="20"/>
      <c r="Z248" s="20"/>
    </row>
    <row r="249">
      <c r="A249" s="320"/>
      <c r="B249" s="164"/>
      <c r="C249" s="320"/>
      <c r="D249" s="164"/>
      <c r="E249" s="320"/>
      <c r="F249" s="164"/>
      <c r="G249" s="320"/>
      <c r="H249" s="164"/>
      <c r="I249" s="320"/>
      <c r="J249" s="164"/>
      <c r="K249" s="320"/>
      <c r="L249" s="164"/>
      <c r="M249" s="320"/>
      <c r="N249" s="164"/>
      <c r="O249" s="320"/>
      <c r="P249" s="164"/>
      <c r="Q249" s="333"/>
      <c r="R249" s="18"/>
      <c r="S249" s="20"/>
      <c r="T249" s="20"/>
      <c r="U249" s="20"/>
      <c r="V249" s="20"/>
      <c r="W249" s="20"/>
      <c r="X249" s="20"/>
      <c r="Y249" s="20"/>
      <c r="Z249" s="20"/>
    </row>
    <row r="250">
      <c r="A250" s="320"/>
      <c r="B250" s="164"/>
      <c r="C250" s="320"/>
      <c r="D250" s="164"/>
      <c r="E250" s="320"/>
      <c r="F250" s="164"/>
      <c r="G250" s="320"/>
      <c r="H250" s="164"/>
      <c r="I250" s="320"/>
      <c r="J250" s="164"/>
      <c r="K250" s="320"/>
      <c r="L250" s="164"/>
      <c r="M250" s="320"/>
      <c r="N250" s="164"/>
      <c r="O250" s="320"/>
      <c r="P250" s="164"/>
      <c r="Q250" s="333"/>
      <c r="R250" s="18"/>
      <c r="S250" s="20"/>
      <c r="T250" s="20"/>
      <c r="U250" s="20"/>
      <c r="V250" s="20"/>
      <c r="W250" s="20"/>
      <c r="X250" s="20"/>
      <c r="Y250" s="20"/>
      <c r="Z250" s="20"/>
    </row>
    <row r="251">
      <c r="A251" s="320"/>
      <c r="B251" s="164"/>
      <c r="C251" s="320"/>
      <c r="D251" s="164"/>
      <c r="E251" s="320"/>
      <c r="F251" s="164"/>
      <c r="G251" s="320"/>
      <c r="H251" s="164"/>
      <c r="I251" s="320"/>
      <c r="J251" s="164"/>
      <c r="K251" s="320"/>
      <c r="L251" s="164"/>
      <c r="M251" s="320"/>
      <c r="N251" s="164"/>
      <c r="O251" s="320"/>
      <c r="P251" s="164"/>
      <c r="Q251" s="333"/>
      <c r="R251" s="18"/>
      <c r="S251" s="20"/>
      <c r="T251" s="20"/>
      <c r="U251" s="20"/>
      <c r="V251" s="20"/>
      <c r="W251" s="20"/>
      <c r="X251" s="20"/>
      <c r="Y251" s="20"/>
      <c r="Z251" s="20"/>
    </row>
    <row r="252">
      <c r="A252" s="320"/>
      <c r="B252" s="164"/>
      <c r="C252" s="320"/>
      <c r="D252" s="164"/>
      <c r="E252" s="320"/>
      <c r="F252" s="164"/>
      <c r="G252" s="320"/>
      <c r="H252" s="164"/>
      <c r="I252" s="320"/>
      <c r="J252" s="164"/>
      <c r="K252" s="320"/>
      <c r="L252" s="164"/>
      <c r="M252" s="320"/>
      <c r="N252" s="164"/>
      <c r="O252" s="320"/>
      <c r="P252" s="164"/>
      <c r="Q252" s="333"/>
      <c r="R252" s="18"/>
      <c r="S252" s="20"/>
      <c r="T252" s="20"/>
      <c r="U252" s="20"/>
      <c r="V252" s="20"/>
      <c r="W252" s="20"/>
      <c r="X252" s="20"/>
      <c r="Y252" s="20"/>
      <c r="Z252" s="20"/>
    </row>
    <row r="253">
      <c r="A253" s="320"/>
      <c r="B253" s="164"/>
      <c r="C253" s="320"/>
      <c r="D253" s="164"/>
      <c r="E253" s="320"/>
      <c r="F253" s="164"/>
      <c r="G253" s="320"/>
      <c r="H253" s="164"/>
      <c r="I253" s="320"/>
      <c r="J253" s="164"/>
      <c r="K253" s="320"/>
      <c r="L253" s="164"/>
      <c r="M253" s="320"/>
      <c r="N253" s="164"/>
      <c r="O253" s="320"/>
      <c r="P253" s="164"/>
      <c r="Q253" s="333"/>
      <c r="R253" s="18"/>
      <c r="S253" s="20"/>
      <c r="T253" s="20"/>
      <c r="U253" s="20"/>
      <c r="V253" s="20"/>
      <c r="W253" s="20"/>
      <c r="X253" s="20"/>
      <c r="Y253" s="20"/>
      <c r="Z253" s="20"/>
    </row>
    <row r="254">
      <c r="A254" s="320"/>
      <c r="B254" s="164"/>
      <c r="C254" s="320"/>
      <c r="D254" s="164"/>
      <c r="E254" s="320"/>
      <c r="F254" s="164"/>
      <c r="G254" s="320"/>
      <c r="H254" s="164"/>
      <c r="I254" s="320"/>
      <c r="J254" s="164"/>
      <c r="K254" s="320"/>
      <c r="L254" s="164"/>
      <c r="M254" s="320"/>
      <c r="N254" s="164"/>
      <c r="O254" s="320"/>
      <c r="P254" s="164"/>
      <c r="Q254" s="333"/>
      <c r="R254" s="18"/>
      <c r="S254" s="20"/>
      <c r="T254" s="20"/>
      <c r="U254" s="20"/>
      <c r="V254" s="20"/>
      <c r="W254" s="20"/>
      <c r="X254" s="20"/>
      <c r="Y254" s="20"/>
      <c r="Z254" s="20"/>
    </row>
    <row r="255">
      <c r="A255" s="320"/>
      <c r="B255" s="164"/>
      <c r="C255" s="320"/>
      <c r="D255" s="164"/>
      <c r="E255" s="320"/>
      <c r="F255" s="164"/>
      <c r="G255" s="320"/>
      <c r="H255" s="164"/>
      <c r="I255" s="320"/>
      <c r="J255" s="164"/>
      <c r="K255" s="320"/>
      <c r="L255" s="164"/>
      <c r="M255" s="320"/>
      <c r="N255" s="164"/>
      <c r="O255" s="320"/>
      <c r="P255" s="164"/>
      <c r="Q255" s="333"/>
      <c r="R255" s="18"/>
      <c r="S255" s="20"/>
      <c r="T255" s="20"/>
      <c r="U255" s="20"/>
      <c r="V255" s="20"/>
      <c r="W255" s="20"/>
      <c r="X255" s="20"/>
      <c r="Y255" s="20"/>
      <c r="Z255" s="20"/>
    </row>
    <row r="256">
      <c r="A256" s="320"/>
      <c r="B256" s="164"/>
      <c r="C256" s="320"/>
      <c r="D256" s="164"/>
      <c r="E256" s="320"/>
      <c r="F256" s="164"/>
      <c r="G256" s="320"/>
      <c r="H256" s="164"/>
      <c r="I256" s="320"/>
      <c r="J256" s="164"/>
      <c r="K256" s="320"/>
      <c r="L256" s="164"/>
      <c r="M256" s="320"/>
      <c r="N256" s="164"/>
      <c r="O256" s="320"/>
      <c r="P256" s="164"/>
      <c r="Q256" s="333"/>
      <c r="R256" s="18"/>
      <c r="S256" s="20"/>
      <c r="T256" s="20"/>
      <c r="U256" s="20"/>
      <c r="V256" s="20"/>
      <c r="W256" s="20"/>
      <c r="X256" s="20"/>
      <c r="Y256" s="20"/>
      <c r="Z256" s="20"/>
    </row>
    <row r="257">
      <c r="A257" s="320"/>
      <c r="B257" s="164"/>
      <c r="C257" s="320"/>
      <c r="D257" s="164"/>
      <c r="E257" s="320"/>
      <c r="F257" s="164"/>
      <c r="G257" s="320"/>
      <c r="H257" s="164"/>
      <c r="I257" s="320"/>
      <c r="J257" s="164"/>
      <c r="K257" s="320"/>
      <c r="L257" s="164"/>
      <c r="M257" s="320"/>
      <c r="N257" s="164"/>
      <c r="O257" s="320"/>
      <c r="P257" s="164"/>
      <c r="Q257" s="333"/>
      <c r="R257" s="18"/>
      <c r="S257" s="20"/>
      <c r="T257" s="20"/>
      <c r="U257" s="20"/>
      <c r="V257" s="20"/>
      <c r="W257" s="20"/>
      <c r="X257" s="20"/>
      <c r="Y257" s="20"/>
      <c r="Z257" s="20"/>
    </row>
    <row r="258">
      <c r="A258" s="320"/>
      <c r="B258" s="164"/>
      <c r="C258" s="320"/>
      <c r="D258" s="164"/>
      <c r="E258" s="320"/>
      <c r="F258" s="164"/>
      <c r="G258" s="320"/>
      <c r="H258" s="164"/>
      <c r="I258" s="320"/>
      <c r="J258" s="164"/>
      <c r="K258" s="320"/>
      <c r="L258" s="164"/>
      <c r="M258" s="320"/>
      <c r="N258" s="164"/>
      <c r="O258" s="320"/>
      <c r="P258" s="164"/>
      <c r="Q258" s="333"/>
      <c r="R258" s="18"/>
      <c r="S258" s="20"/>
      <c r="T258" s="20"/>
      <c r="U258" s="20"/>
      <c r="V258" s="20"/>
      <c r="W258" s="20"/>
      <c r="X258" s="20"/>
      <c r="Y258" s="20"/>
      <c r="Z258" s="20"/>
    </row>
    <row r="259">
      <c r="A259" s="320"/>
      <c r="B259" s="164"/>
      <c r="C259" s="320"/>
      <c r="D259" s="164"/>
      <c r="E259" s="320"/>
      <c r="F259" s="164"/>
      <c r="G259" s="320"/>
      <c r="H259" s="164"/>
      <c r="I259" s="320"/>
      <c r="J259" s="164"/>
      <c r="K259" s="320"/>
      <c r="L259" s="164"/>
      <c r="M259" s="320"/>
      <c r="N259" s="164"/>
      <c r="O259" s="320"/>
      <c r="P259" s="164"/>
      <c r="Q259" s="333"/>
      <c r="R259" s="18"/>
      <c r="S259" s="20"/>
      <c r="T259" s="20"/>
      <c r="U259" s="20"/>
      <c r="V259" s="20"/>
      <c r="W259" s="20"/>
      <c r="X259" s="20"/>
      <c r="Y259" s="20"/>
      <c r="Z259" s="20"/>
    </row>
    <row r="260">
      <c r="A260" s="320"/>
      <c r="B260" s="164"/>
      <c r="C260" s="320"/>
      <c r="D260" s="164"/>
      <c r="E260" s="320"/>
      <c r="F260" s="164"/>
      <c r="G260" s="320"/>
      <c r="H260" s="164"/>
      <c r="I260" s="320"/>
      <c r="J260" s="164"/>
      <c r="K260" s="320"/>
      <c r="L260" s="164"/>
      <c r="M260" s="320"/>
      <c r="N260" s="164"/>
      <c r="O260" s="320"/>
      <c r="P260" s="164"/>
      <c r="Q260" s="333"/>
      <c r="R260" s="18"/>
      <c r="S260" s="20"/>
      <c r="T260" s="20"/>
      <c r="U260" s="20"/>
      <c r="V260" s="20"/>
      <c r="W260" s="20"/>
      <c r="X260" s="20"/>
      <c r="Y260" s="20"/>
      <c r="Z260" s="20"/>
    </row>
    <row r="261">
      <c r="A261" s="320"/>
      <c r="B261" s="164"/>
      <c r="C261" s="320"/>
      <c r="D261" s="164"/>
      <c r="E261" s="320"/>
      <c r="F261" s="164"/>
      <c r="G261" s="320"/>
      <c r="H261" s="164"/>
      <c r="I261" s="320"/>
      <c r="J261" s="164"/>
      <c r="K261" s="320"/>
      <c r="L261" s="164"/>
      <c r="M261" s="320"/>
      <c r="N261" s="164"/>
      <c r="O261" s="320"/>
      <c r="P261" s="164"/>
      <c r="Q261" s="333"/>
      <c r="R261" s="18"/>
      <c r="S261" s="20"/>
      <c r="T261" s="20"/>
      <c r="U261" s="20"/>
      <c r="V261" s="20"/>
      <c r="W261" s="20"/>
      <c r="X261" s="20"/>
      <c r="Y261" s="20"/>
      <c r="Z261" s="20"/>
    </row>
    <row r="262">
      <c r="A262" s="320"/>
      <c r="B262" s="164"/>
      <c r="C262" s="320"/>
      <c r="D262" s="164"/>
      <c r="E262" s="320"/>
      <c r="F262" s="164"/>
      <c r="G262" s="320"/>
      <c r="H262" s="164"/>
      <c r="I262" s="320"/>
      <c r="J262" s="164"/>
      <c r="K262" s="320"/>
      <c r="L262" s="164"/>
      <c r="M262" s="320"/>
      <c r="N262" s="164"/>
      <c r="O262" s="320"/>
      <c r="P262" s="164"/>
      <c r="Q262" s="333"/>
      <c r="R262" s="18"/>
      <c r="S262" s="20"/>
      <c r="T262" s="20"/>
      <c r="U262" s="20"/>
      <c r="V262" s="20"/>
      <c r="W262" s="20"/>
      <c r="X262" s="20"/>
      <c r="Y262" s="20"/>
      <c r="Z262" s="20"/>
    </row>
    <row r="263">
      <c r="A263" s="320"/>
      <c r="B263" s="164"/>
      <c r="C263" s="320"/>
      <c r="D263" s="164"/>
      <c r="E263" s="320"/>
      <c r="F263" s="164"/>
      <c r="G263" s="320"/>
      <c r="H263" s="164"/>
      <c r="I263" s="320"/>
      <c r="J263" s="164"/>
      <c r="K263" s="320"/>
      <c r="L263" s="164"/>
      <c r="M263" s="320"/>
      <c r="N263" s="164"/>
      <c r="O263" s="320"/>
      <c r="P263" s="164"/>
      <c r="Q263" s="333"/>
      <c r="R263" s="18"/>
      <c r="S263" s="20"/>
      <c r="T263" s="20"/>
      <c r="U263" s="20"/>
      <c r="V263" s="20"/>
      <c r="W263" s="20"/>
      <c r="X263" s="20"/>
      <c r="Y263" s="20"/>
      <c r="Z263" s="20"/>
    </row>
    <row r="264">
      <c r="A264" s="320"/>
      <c r="B264" s="164"/>
      <c r="C264" s="320"/>
      <c r="D264" s="164"/>
      <c r="E264" s="320"/>
      <c r="F264" s="164"/>
      <c r="G264" s="320"/>
      <c r="H264" s="164"/>
      <c r="I264" s="320"/>
      <c r="J264" s="164"/>
      <c r="K264" s="320"/>
      <c r="L264" s="164"/>
      <c r="M264" s="320"/>
      <c r="N264" s="164"/>
      <c r="O264" s="320"/>
      <c r="P264" s="164"/>
      <c r="Q264" s="333"/>
      <c r="R264" s="18"/>
      <c r="S264" s="20"/>
      <c r="T264" s="20"/>
      <c r="U264" s="20"/>
      <c r="V264" s="20"/>
      <c r="W264" s="20"/>
      <c r="X264" s="20"/>
      <c r="Y264" s="20"/>
      <c r="Z264" s="20"/>
    </row>
    <row r="265">
      <c r="A265" s="320"/>
      <c r="B265" s="164"/>
      <c r="C265" s="320"/>
      <c r="D265" s="164"/>
      <c r="E265" s="320"/>
      <c r="F265" s="164"/>
      <c r="G265" s="320"/>
      <c r="H265" s="164"/>
      <c r="I265" s="320"/>
      <c r="J265" s="164"/>
      <c r="K265" s="320"/>
      <c r="L265" s="164"/>
      <c r="M265" s="320"/>
      <c r="N265" s="164"/>
      <c r="O265" s="320"/>
      <c r="P265" s="164"/>
      <c r="Q265" s="333"/>
      <c r="R265" s="18"/>
      <c r="S265" s="20"/>
      <c r="T265" s="20"/>
      <c r="U265" s="20"/>
      <c r="V265" s="20"/>
      <c r="W265" s="20"/>
      <c r="X265" s="20"/>
      <c r="Y265" s="20"/>
      <c r="Z265" s="20"/>
    </row>
    <row r="266">
      <c r="A266" s="320"/>
      <c r="B266" s="164"/>
      <c r="C266" s="320"/>
      <c r="D266" s="164"/>
      <c r="E266" s="320"/>
      <c r="F266" s="164"/>
      <c r="G266" s="320"/>
      <c r="H266" s="164"/>
      <c r="I266" s="320"/>
      <c r="J266" s="164"/>
      <c r="K266" s="320"/>
      <c r="L266" s="164"/>
      <c r="M266" s="320"/>
      <c r="N266" s="164"/>
      <c r="O266" s="320"/>
      <c r="P266" s="164"/>
      <c r="Q266" s="333"/>
      <c r="R266" s="18"/>
      <c r="S266" s="20"/>
      <c r="T266" s="20"/>
      <c r="U266" s="20"/>
      <c r="V266" s="20"/>
      <c r="W266" s="20"/>
      <c r="X266" s="20"/>
      <c r="Y266" s="20"/>
      <c r="Z266" s="20"/>
    </row>
    <row r="267">
      <c r="A267" s="320"/>
      <c r="B267" s="164"/>
      <c r="C267" s="320"/>
      <c r="D267" s="164"/>
      <c r="E267" s="320"/>
      <c r="F267" s="164"/>
      <c r="G267" s="320"/>
      <c r="H267" s="164"/>
      <c r="I267" s="320"/>
      <c r="J267" s="164"/>
      <c r="K267" s="320"/>
      <c r="L267" s="164"/>
      <c r="M267" s="320"/>
      <c r="N267" s="164"/>
      <c r="O267" s="320"/>
      <c r="P267" s="164"/>
      <c r="Q267" s="333"/>
      <c r="R267" s="18"/>
      <c r="S267" s="20"/>
      <c r="T267" s="20"/>
      <c r="U267" s="20"/>
      <c r="V267" s="20"/>
      <c r="W267" s="20"/>
      <c r="X267" s="20"/>
      <c r="Y267" s="20"/>
      <c r="Z267" s="20"/>
    </row>
    <row r="268">
      <c r="A268" s="320"/>
      <c r="B268" s="164"/>
      <c r="C268" s="320"/>
      <c r="D268" s="164"/>
      <c r="E268" s="320"/>
      <c r="F268" s="164"/>
      <c r="G268" s="320"/>
      <c r="H268" s="164"/>
      <c r="I268" s="320"/>
      <c r="J268" s="164"/>
      <c r="K268" s="320"/>
      <c r="L268" s="164"/>
      <c r="M268" s="320"/>
      <c r="N268" s="164"/>
      <c r="O268" s="320"/>
      <c r="P268" s="164"/>
      <c r="Q268" s="333"/>
      <c r="R268" s="18"/>
      <c r="S268" s="20"/>
      <c r="T268" s="20"/>
      <c r="U268" s="20"/>
      <c r="V268" s="20"/>
      <c r="W268" s="20"/>
      <c r="X268" s="20"/>
      <c r="Y268" s="20"/>
      <c r="Z268" s="20"/>
    </row>
    <row r="269">
      <c r="A269" s="320"/>
      <c r="B269" s="164"/>
      <c r="C269" s="320"/>
      <c r="D269" s="164"/>
      <c r="E269" s="320"/>
      <c r="F269" s="164"/>
      <c r="G269" s="320"/>
      <c r="H269" s="164"/>
      <c r="I269" s="320"/>
      <c r="J269" s="164"/>
      <c r="K269" s="320"/>
      <c r="L269" s="164"/>
      <c r="M269" s="320"/>
      <c r="N269" s="164"/>
      <c r="O269" s="320"/>
      <c r="P269" s="164"/>
      <c r="Q269" s="333"/>
      <c r="R269" s="18"/>
      <c r="S269" s="20"/>
      <c r="T269" s="20"/>
      <c r="U269" s="20"/>
      <c r="V269" s="20"/>
      <c r="W269" s="20"/>
      <c r="X269" s="20"/>
      <c r="Y269" s="20"/>
      <c r="Z269" s="20"/>
    </row>
    <row r="270">
      <c r="A270" s="320"/>
      <c r="B270" s="164"/>
      <c r="C270" s="320"/>
      <c r="D270" s="164"/>
      <c r="E270" s="320"/>
      <c r="F270" s="164"/>
      <c r="G270" s="320"/>
      <c r="H270" s="164"/>
      <c r="I270" s="320"/>
      <c r="J270" s="164"/>
      <c r="K270" s="320"/>
      <c r="L270" s="164"/>
      <c r="M270" s="320"/>
      <c r="N270" s="164"/>
      <c r="O270" s="320"/>
      <c r="P270" s="164"/>
      <c r="Q270" s="333"/>
      <c r="R270" s="18"/>
      <c r="S270" s="20"/>
      <c r="T270" s="20"/>
      <c r="U270" s="20"/>
      <c r="V270" s="20"/>
      <c r="W270" s="20"/>
      <c r="X270" s="20"/>
      <c r="Y270" s="20"/>
      <c r="Z270" s="20"/>
    </row>
    <row r="271">
      <c r="A271" s="320"/>
      <c r="B271" s="164"/>
      <c r="C271" s="320"/>
      <c r="D271" s="164"/>
      <c r="E271" s="320"/>
      <c r="F271" s="164"/>
      <c r="G271" s="320"/>
      <c r="H271" s="164"/>
      <c r="I271" s="320"/>
      <c r="J271" s="164"/>
      <c r="K271" s="320"/>
      <c r="L271" s="164"/>
      <c r="M271" s="320"/>
      <c r="N271" s="164"/>
      <c r="O271" s="320"/>
      <c r="P271" s="164"/>
      <c r="Q271" s="333"/>
      <c r="R271" s="18"/>
      <c r="S271" s="20"/>
      <c r="T271" s="20"/>
      <c r="U271" s="20"/>
      <c r="V271" s="20"/>
      <c r="W271" s="20"/>
      <c r="X271" s="20"/>
      <c r="Y271" s="20"/>
      <c r="Z271" s="20"/>
    </row>
    <row r="272">
      <c r="A272" s="320"/>
      <c r="B272" s="164"/>
      <c r="C272" s="320"/>
      <c r="D272" s="164"/>
      <c r="E272" s="320"/>
      <c r="F272" s="164"/>
      <c r="G272" s="320"/>
      <c r="H272" s="164"/>
      <c r="I272" s="320"/>
      <c r="J272" s="164"/>
      <c r="K272" s="320"/>
      <c r="L272" s="164"/>
      <c r="M272" s="320"/>
      <c r="N272" s="164"/>
      <c r="O272" s="320"/>
      <c r="P272" s="164"/>
      <c r="Q272" s="333"/>
      <c r="R272" s="18"/>
      <c r="S272" s="20"/>
      <c r="T272" s="20"/>
      <c r="U272" s="20"/>
      <c r="V272" s="20"/>
      <c r="W272" s="20"/>
      <c r="X272" s="20"/>
      <c r="Y272" s="20"/>
      <c r="Z272" s="20"/>
    </row>
    <row r="273">
      <c r="A273" s="320"/>
      <c r="B273" s="164"/>
      <c r="C273" s="320"/>
      <c r="D273" s="164"/>
      <c r="E273" s="320"/>
      <c r="F273" s="164"/>
      <c r="G273" s="320"/>
      <c r="H273" s="164"/>
      <c r="I273" s="320"/>
      <c r="J273" s="164"/>
      <c r="K273" s="320"/>
      <c r="L273" s="164"/>
      <c r="M273" s="320"/>
      <c r="N273" s="164"/>
      <c r="O273" s="320"/>
      <c r="P273" s="164"/>
      <c r="Q273" s="333"/>
      <c r="R273" s="18"/>
      <c r="S273" s="20"/>
      <c r="T273" s="20"/>
      <c r="U273" s="20"/>
      <c r="V273" s="20"/>
      <c r="W273" s="20"/>
      <c r="X273" s="20"/>
      <c r="Y273" s="20"/>
      <c r="Z273" s="20"/>
    </row>
    <row r="274">
      <c r="A274" s="320"/>
      <c r="B274" s="164"/>
      <c r="C274" s="320"/>
      <c r="D274" s="164"/>
      <c r="E274" s="320"/>
      <c r="F274" s="164"/>
      <c r="G274" s="320"/>
      <c r="H274" s="164"/>
      <c r="I274" s="320"/>
      <c r="J274" s="164"/>
      <c r="K274" s="320"/>
      <c r="L274" s="164"/>
      <c r="M274" s="320"/>
      <c r="N274" s="164"/>
      <c r="O274" s="320"/>
      <c r="P274" s="164"/>
      <c r="Q274" s="333"/>
      <c r="R274" s="18"/>
      <c r="S274" s="20"/>
      <c r="T274" s="20"/>
      <c r="U274" s="20"/>
      <c r="V274" s="20"/>
      <c r="W274" s="20"/>
      <c r="X274" s="20"/>
      <c r="Y274" s="20"/>
      <c r="Z274" s="20"/>
    </row>
    <row r="275">
      <c r="A275" s="320"/>
      <c r="B275" s="164"/>
      <c r="C275" s="320"/>
      <c r="D275" s="164"/>
      <c r="E275" s="320"/>
      <c r="F275" s="164"/>
      <c r="G275" s="320"/>
      <c r="H275" s="164"/>
      <c r="I275" s="320"/>
      <c r="J275" s="164"/>
      <c r="K275" s="320"/>
      <c r="L275" s="164"/>
      <c r="M275" s="320"/>
      <c r="N275" s="164"/>
      <c r="O275" s="320"/>
      <c r="P275" s="164"/>
      <c r="Q275" s="333"/>
      <c r="R275" s="18"/>
      <c r="S275" s="20"/>
      <c r="T275" s="20"/>
      <c r="U275" s="20"/>
      <c r="V275" s="20"/>
      <c r="W275" s="20"/>
      <c r="X275" s="20"/>
      <c r="Y275" s="20"/>
      <c r="Z275" s="20"/>
    </row>
    <row r="276">
      <c r="A276" s="320"/>
      <c r="B276" s="164"/>
      <c r="C276" s="320"/>
      <c r="D276" s="164"/>
      <c r="E276" s="320"/>
      <c r="F276" s="164"/>
      <c r="G276" s="320"/>
      <c r="H276" s="164"/>
      <c r="I276" s="320"/>
      <c r="J276" s="164"/>
      <c r="K276" s="320"/>
      <c r="L276" s="164"/>
      <c r="M276" s="320"/>
      <c r="N276" s="164"/>
      <c r="O276" s="320"/>
      <c r="P276" s="164"/>
      <c r="Q276" s="333"/>
      <c r="R276" s="18"/>
      <c r="S276" s="20"/>
      <c r="T276" s="20"/>
      <c r="U276" s="20"/>
      <c r="V276" s="20"/>
      <c r="W276" s="20"/>
      <c r="X276" s="20"/>
      <c r="Y276" s="20"/>
      <c r="Z276" s="20"/>
    </row>
    <row r="277">
      <c r="A277" s="320"/>
      <c r="B277" s="164"/>
      <c r="C277" s="320"/>
      <c r="D277" s="164"/>
      <c r="E277" s="320"/>
      <c r="F277" s="164"/>
      <c r="G277" s="320"/>
      <c r="H277" s="164"/>
      <c r="I277" s="320"/>
      <c r="J277" s="164"/>
      <c r="K277" s="320"/>
      <c r="L277" s="164"/>
      <c r="M277" s="320"/>
      <c r="N277" s="164"/>
      <c r="O277" s="320"/>
      <c r="P277" s="164"/>
      <c r="Q277" s="333"/>
      <c r="R277" s="18"/>
      <c r="S277" s="20"/>
      <c r="T277" s="20"/>
      <c r="U277" s="20"/>
      <c r="V277" s="20"/>
      <c r="W277" s="20"/>
      <c r="X277" s="20"/>
      <c r="Y277" s="20"/>
      <c r="Z277" s="20"/>
    </row>
    <row r="278">
      <c r="A278" s="320"/>
      <c r="B278" s="164"/>
      <c r="C278" s="320"/>
      <c r="D278" s="164"/>
      <c r="E278" s="320"/>
      <c r="F278" s="164"/>
      <c r="G278" s="320"/>
      <c r="H278" s="164"/>
      <c r="I278" s="320"/>
      <c r="J278" s="164"/>
      <c r="K278" s="320"/>
      <c r="L278" s="164"/>
      <c r="M278" s="320"/>
      <c r="N278" s="164"/>
      <c r="O278" s="320"/>
      <c r="P278" s="164"/>
      <c r="Q278" s="333"/>
      <c r="R278" s="18"/>
      <c r="S278" s="20"/>
      <c r="T278" s="20"/>
      <c r="U278" s="20"/>
      <c r="V278" s="20"/>
      <c r="W278" s="20"/>
      <c r="X278" s="20"/>
      <c r="Y278" s="20"/>
      <c r="Z278" s="20"/>
    </row>
    <row r="279">
      <c r="A279" s="320"/>
      <c r="B279" s="164"/>
      <c r="C279" s="320"/>
      <c r="D279" s="164"/>
      <c r="E279" s="320"/>
      <c r="F279" s="164"/>
      <c r="G279" s="320"/>
      <c r="H279" s="164"/>
      <c r="I279" s="320"/>
      <c r="J279" s="164"/>
      <c r="K279" s="320"/>
      <c r="L279" s="164"/>
      <c r="M279" s="320"/>
      <c r="N279" s="164"/>
      <c r="O279" s="320"/>
      <c r="P279" s="164"/>
      <c r="Q279" s="333"/>
      <c r="R279" s="18"/>
      <c r="S279" s="20"/>
      <c r="T279" s="20"/>
      <c r="U279" s="20"/>
      <c r="V279" s="20"/>
      <c r="W279" s="20"/>
      <c r="X279" s="20"/>
      <c r="Y279" s="20"/>
      <c r="Z279" s="20"/>
    </row>
    <row r="280">
      <c r="A280" s="320"/>
      <c r="B280" s="164"/>
      <c r="C280" s="320"/>
      <c r="D280" s="164"/>
      <c r="E280" s="320"/>
      <c r="F280" s="164"/>
      <c r="G280" s="320"/>
      <c r="H280" s="164"/>
      <c r="I280" s="320"/>
      <c r="J280" s="164"/>
      <c r="K280" s="320"/>
      <c r="L280" s="164"/>
      <c r="M280" s="320"/>
      <c r="N280" s="164"/>
      <c r="O280" s="320"/>
      <c r="P280" s="164"/>
      <c r="Q280" s="333"/>
      <c r="R280" s="18"/>
      <c r="S280" s="20"/>
      <c r="T280" s="20"/>
      <c r="U280" s="20"/>
      <c r="V280" s="20"/>
      <c r="W280" s="20"/>
      <c r="X280" s="20"/>
      <c r="Y280" s="20"/>
      <c r="Z280" s="20"/>
    </row>
    <row r="281">
      <c r="A281" s="320"/>
      <c r="B281" s="164"/>
      <c r="C281" s="320"/>
      <c r="D281" s="164"/>
      <c r="E281" s="320"/>
      <c r="F281" s="164"/>
      <c r="G281" s="320"/>
      <c r="H281" s="164"/>
      <c r="I281" s="320"/>
      <c r="J281" s="164"/>
      <c r="K281" s="320"/>
      <c r="L281" s="164"/>
      <c r="M281" s="320"/>
      <c r="N281" s="164"/>
      <c r="O281" s="320"/>
      <c r="P281" s="164"/>
      <c r="Q281" s="333"/>
      <c r="R281" s="18"/>
      <c r="S281" s="20"/>
      <c r="T281" s="20"/>
      <c r="U281" s="20"/>
      <c r="V281" s="20"/>
      <c r="W281" s="20"/>
      <c r="X281" s="20"/>
      <c r="Y281" s="20"/>
      <c r="Z281" s="20"/>
    </row>
    <row r="282">
      <c r="A282" s="320"/>
      <c r="B282" s="164"/>
      <c r="C282" s="320"/>
      <c r="D282" s="164"/>
      <c r="E282" s="320"/>
      <c r="F282" s="164"/>
      <c r="G282" s="320"/>
      <c r="H282" s="164"/>
      <c r="I282" s="320"/>
      <c r="J282" s="164"/>
      <c r="K282" s="320"/>
      <c r="L282" s="164"/>
      <c r="M282" s="320"/>
      <c r="N282" s="164"/>
      <c r="O282" s="320"/>
      <c r="P282" s="164"/>
      <c r="Q282" s="333"/>
      <c r="R282" s="18"/>
      <c r="S282" s="20"/>
      <c r="T282" s="20"/>
      <c r="U282" s="20"/>
      <c r="V282" s="20"/>
      <c r="W282" s="20"/>
      <c r="X282" s="20"/>
      <c r="Y282" s="20"/>
      <c r="Z282" s="20"/>
    </row>
    <row r="283">
      <c r="A283" s="320"/>
      <c r="B283" s="164"/>
      <c r="C283" s="320"/>
      <c r="D283" s="164"/>
      <c r="E283" s="320"/>
      <c r="F283" s="164"/>
      <c r="G283" s="320"/>
      <c r="H283" s="164"/>
      <c r="I283" s="320"/>
      <c r="J283" s="164"/>
      <c r="K283" s="320"/>
      <c r="L283" s="164"/>
      <c r="M283" s="320"/>
      <c r="N283" s="164"/>
      <c r="O283" s="320"/>
      <c r="P283" s="164"/>
      <c r="Q283" s="333"/>
      <c r="R283" s="18"/>
      <c r="S283" s="20"/>
      <c r="T283" s="20"/>
      <c r="U283" s="20"/>
      <c r="V283" s="20"/>
      <c r="W283" s="20"/>
      <c r="X283" s="20"/>
      <c r="Y283" s="20"/>
      <c r="Z283" s="20"/>
    </row>
    <row r="284">
      <c r="A284" s="320"/>
      <c r="B284" s="164"/>
      <c r="C284" s="320"/>
      <c r="D284" s="164"/>
      <c r="E284" s="320"/>
      <c r="F284" s="164"/>
      <c r="G284" s="320"/>
      <c r="H284" s="164"/>
      <c r="I284" s="320"/>
      <c r="J284" s="164"/>
      <c r="K284" s="320"/>
      <c r="L284" s="164"/>
      <c r="M284" s="320"/>
      <c r="N284" s="164"/>
      <c r="O284" s="320"/>
      <c r="P284" s="164"/>
      <c r="Q284" s="333"/>
      <c r="R284" s="18"/>
      <c r="S284" s="20"/>
      <c r="T284" s="20"/>
      <c r="U284" s="20"/>
      <c r="V284" s="20"/>
      <c r="W284" s="20"/>
      <c r="X284" s="20"/>
      <c r="Y284" s="20"/>
      <c r="Z284" s="20"/>
    </row>
    <row r="285">
      <c r="A285" s="320"/>
      <c r="B285" s="164"/>
      <c r="C285" s="320"/>
      <c r="D285" s="164"/>
      <c r="E285" s="320"/>
      <c r="F285" s="164"/>
      <c r="G285" s="320"/>
      <c r="H285" s="164"/>
      <c r="I285" s="320"/>
      <c r="J285" s="164"/>
      <c r="K285" s="320"/>
      <c r="L285" s="164"/>
      <c r="M285" s="320"/>
      <c r="N285" s="164"/>
      <c r="O285" s="320"/>
      <c r="P285" s="164"/>
      <c r="Q285" s="333"/>
      <c r="R285" s="18"/>
      <c r="S285" s="20"/>
      <c r="T285" s="20"/>
      <c r="U285" s="20"/>
      <c r="V285" s="20"/>
      <c r="W285" s="20"/>
      <c r="X285" s="20"/>
      <c r="Y285" s="20"/>
      <c r="Z285" s="20"/>
    </row>
    <row r="286">
      <c r="A286" s="320"/>
      <c r="B286" s="164"/>
      <c r="C286" s="320"/>
      <c r="D286" s="164"/>
      <c r="E286" s="320"/>
      <c r="F286" s="164"/>
      <c r="G286" s="320"/>
      <c r="H286" s="164"/>
      <c r="I286" s="320"/>
      <c r="J286" s="164"/>
      <c r="K286" s="320"/>
      <c r="L286" s="164"/>
      <c r="M286" s="320"/>
      <c r="N286" s="164"/>
      <c r="O286" s="320"/>
      <c r="P286" s="164"/>
      <c r="Q286" s="333"/>
      <c r="R286" s="18"/>
      <c r="S286" s="20"/>
      <c r="T286" s="20"/>
      <c r="U286" s="20"/>
      <c r="V286" s="20"/>
      <c r="W286" s="20"/>
      <c r="X286" s="20"/>
      <c r="Y286" s="20"/>
      <c r="Z286" s="20"/>
    </row>
    <row r="287">
      <c r="A287" s="320"/>
      <c r="B287" s="164"/>
      <c r="C287" s="320"/>
      <c r="D287" s="164"/>
      <c r="E287" s="320"/>
      <c r="F287" s="164"/>
      <c r="G287" s="320"/>
      <c r="H287" s="164"/>
      <c r="I287" s="320"/>
      <c r="J287" s="164"/>
      <c r="K287" s="320"/>
      <c r="L287" s="164"/>
      <c r="M287" s="320"/>
      <c r="N287" s="164"/>
      <c r="O287" s="320"/>
      <c r="P287" s="164"/>
      <c r="Q287" s="333"/>
      <c r="R287" s="18"/>
      <c r="S287" s="20"/>
      <c r="T287" s="20"/>
      <c r="U287" s="20"/>
      <c r="V287" s="20"/>
      <c r="W287" s="20"/>
      <c r="X287" s="20"/>
      <c r="Y287" s="20"/>
      <c r="Z287" s="20"/>
    </row>
    <row r="288">
      <c r="A288" s="320"/>
      <c r="B288" s="164"/>
      <c r="C288" s="320"/>
      <c r="D288" s="164"/>
      <c r="E288" s="320"/>
      <c r="F288" s="164"/>
      <c r="G288" s="320"/>
      <c r="H288" s="164"/>
      <c r="I288" s="320"/>
      <c r="J288" s="164"/>
      <c r="K288" s="320"/>
      <c r="L288" s="164"/>
      <c r="M288" s="320"/>
      <c r="N288" s="164"/>
      <c r="O288" s="320"/>
      <c r="P288" s="164"/>
      <c r="Q288" s="333"/>
      <c r="R288" s="18"/>
      <c r="S288" s="20"/>
      <c r="T288" s="20"/>
      <c r="U288" s="20"/>
      <c r="V288" s="20"/>
      <c r="W288" s="20"/>
      <c r="X288" s="20"/>
      <c r="Y288" s="20"/>
      <c r="Z288" s="20"/>
    </row>
    <row r="289">
      <c r="A289" s="320"/>
      <c r="B289" s="164"/>
      <c r="C289" s="320"/>
      <c r="D289" s="164"/>
      <c r="E289" s="320"/>
      <c r="F289" s="164"/>
      <c r="G289" s="320"/>
      <c r="H289" s="164"/>
      <c r="I289" s="320"/>
      <c r="J289" s="164"/>
      <c r="K289" s="320"/>
      <c r="L289" s="164"/>
      <c r="M289" s="320"/>
      <c r="N289" s="164"/>
      <c r="O289" s="320"/>
      <c r="P289" s="164"/>
      <c r="Q289" s="333"/>
      <c r="R289" s="18"/>
      <c r="S289" s="20"/>
      <c r="T289" s="20"/>
      <c r="U289" s="20"/>
      <c r="V289" s="20"/>
      <c r="W289" s="20"/>
      <c r="X289" s="20"/>
      <c r="Y289" s="20"/>
      <c r="Z289" s="20"/>
    </row>
    <row r="290">
      <c r="A290" s="320"/>
      <c r="B290" s="164"/>
      <c r="C290" s="320"/>
      <c r="D290" s="164"/>
      <c r="E290" s="320"/>
      <c r="F290" s="164"/>
      <c r="G290" s="320"/>
      <c r="H290" s="164"/>
      <c r="I290" s="320"/>
      <c r="J290" s="164"/>
      <c r="K290" s="320"/>
      <c r="L290" s="164"/>
      <c r="M290" s="320"/>
      <c r="N290" s="164"/>
      <c r="O290" s="320"/>
      <c r="P290" s="164"/>
      <c r="Q290" s="333"/>
      <c r="R290" s="18"/>
      <c r="S290" s="20"/>
      <c r="T290" s="20"/>
      <c r="U290" s="20"/>
      <c r="V290" s="20"/>
      <c r="W290" s="20"/>
      <c r="X290" s="20"/>
      <c r="Y290" s="20"/>
      <c r="Z290" s="20"/>
    </row>
    <row r="291">
      <c r="A291" s="320"/>
      <c r="B291" s="164"/>
      <c r="C291" s="320"/>
      <c r="D291" s="164"/>
      <c r="E291" s="320"/>
      <c r="F291" s="164"/>
      <c r="G291" s="320"/>
      <c r="H291" s="164"/>
      <c r="I291" s="320"/>
      <c r="J291" s="164"/>
      <c r="K291" s="320"/>
      <c r="L291" s="164"/>
      <c r="M291" s="320"/>
      <c r="N291" s="164"/>
      <c r="O291" s="320"/>
      <c r="P291" s="164"/>
      <c r="Q291" s="333"/>
      <c r="R291" s="18"/>
      <c r="S291" s="20"/>
      <c r="T291" s="20"/>
      <c r="U291" s="20"/>
      <c r="V291" s="20"/>
      <c r="W291" s="20"/>
      <c r="X291" s="20"/>
      <c r="Y291" s="20"/>
      <c r="Z291" s="20"/>
    </row>
    <row r="292">
      <c r="A292" s="320"/>
      <c r="B292" s="164"/>
      <c r="C292" s="320"/>
      <c r="D292" s="164"/>
      <c r="E292" s="320"/>
      <c r="F292" s="164"/>
      <c r="G292" s="320"/>
      <c r="H292" s="164"/>
      <c r="I292" s="320"/>
      <c r="J292" s="164"/>
      <c r="K292" s="320"/>
      <c r="L292" s="164"/>
      <c r="M292" s="320"/>
      <c r="N292" s="164"/>
      <c r="O292" s="320"/>
      <c r="P292" s="164"/>
      <c r="Q292" s="333"/>
      <c r="R292" s="18"/>
      <c r="S292" s="20"/>
      <c r="T292" s="20"/>
      <c r="U292" s="20"/>
      <c r="V292" s="20"/>
      <c r="W292" s="20"/>
      <c r="X292" s="20"/>
      <c r="Y292" s="20"/>
      <c r="Z292" s="20"/>
    </row>
    <row r="293">
      <c r="A293" s="320"/>
      <c r="B293" s="164"/>
      <c r="C293" s="320"/>
      <c r="D293" s="164"/>
      <c r="E293" s="320"/>
      <c r="F293" s="164"/>
      <c r="G293" s="320"/>
      <c r="H293" s="164"/>
      <c r="I293" s="320"/>
      <c r="J293" s="164"/>
      <c r="K293" s="320"/>
      <c r="L293" s="164"/>
      <c r="M293" s="320"/>
      <c r="N293" s="164"/>
      <c r="O293" s="320"/>
      <c r="P293" s="164"/>
      <c r="Q293" s="333"/>
      <c r="R293" s="18"/>
      <c r="S293" s="20"/>
      <c r="T293" s="20"/>
      <c r="U293" s="20"/>
      <c r="V293" s="20"/>
      <c r="W293" s="20"/>
      <c r="X293" s="20"/>
      <c r="Y293" s="20"/>
      <c r="Z293" s="20"/>
    </row>
    <row r="294">
      <c r="A294" s="320"/>
      <c r="B294" s="164"/>
      <c r="C294" s="320"/>
      <c r="D294" s="164"/>
      <c r="E294" s="320"/>
      <c r="F294" s="164"/>
      <c r="G294" s="320"/>
      <c r="H294" s="164"/>
      <c r="I294" s="320"/>
      <c r="J294" s="164"/>
      <c r="K294" s="320"/>
      <c r="L294" s="164"/>
      <c r="M294" s="320"/>
      <c r="N294" s="164"/>
      <c r="O294" s="320"/>
      <c r="P294" s="164"/>
      <c r="Q294" s="333"/>
      <c r="R294" s="18"/>
      <c r="S294" s="20"/>
      <c r="T294" s="20"/>
      <c r="U294" s="20"/>
      <c r="V294" s="20"/>
      <c r="W294" s="20"/>
      <c r="X294" s="20"/>
      <c r="Y294" s="20"/>
      <c r="Z294" s="20"/>
    </row>
    <row r="295">
      <c r="A295" s="320"/>
      <c r="B295" s="164"/>
      <c r="C295" s="320"/>
      <c r="D295" s="164"/>
      <c r="E295" s="320"/>
      <c r="F295" s="164"/>
      <c r="G295" s="320"/>
      <c r="H295" s="164"/>
      <c r="I295" s="320"/>
      <c r="J295" s="164"/>
      <c r="K295" s="320"/>
      <c r="L295" s="164"/>
      <c r="M295" s="320"/>
      <c r="N295" s="164"/>
      <c r="O295" s="320"/>
      <c r="P295" s="164"/>
      <c r="Q295" s="333"/>
      <c r="R295" s="18"/>
      <c r="S295" s="20"/>
      <c r="T295" s="20"/>
      <c r="U295" s="20"/>
      <c r="V295" s="20"/>
      <c r="W295" s="20"/>
      <c r="X295" s="20"/>
      <c r="Y295" s="20"/>
      <c r="Z295" s="20"/>
    </row>
    <row r="296">
      <c r="A296" s="320"/>
      <c r="B296" s="164"/>
      <c r="C296" s="320"/>
      <c r="D296" s="164"/>
      <c r="E296" s="320"/>
      <c r="F296" s="164"/>
      <c r="G296" s="320"/>
      <c r="H296" s="164"/>
      <c r="I296" s="320"/>
      <c r="J296" s="164"/>
      <c r="K296" s="320"/>
      <c r="L296" s="164"/>
      <c r="M296" s="320"/>
      <c r="N296" s="164"/>
      <c r="O296" s="320"/>
      <c r="P296" s="164"/>
      <c r="Q296" s="333"/>
      <c r="R296" s="18"/>
      <c r="S296" s="20"/>
      <c r="T296" s="20"/>
      <c r="U296" s="20"/>
      <c r="V296" s="20"/>
      <c r="W296" s="20"/>
      <c r="X296" s="20"/>
      <c r="Y296" s="20"/>
      <c r="Z296" s="20"/>
    </row>
    <row r="297">
      <c r="A297" s="320"/>
      <c r="B297" s="164"/>
      <c r="C297" s="320"/>
      <c r="D297" s="164"/>
      <c r="E297" s="320"/>
      <c r="F297" s="164"/>
      <c r="G297" s="320"/>
      <c r="H297" s="164"/>
      <c r="I297" s="320"/>
      <c r="J297" s="164"/>
      <c r="K297" s="320"/>
      <c r="L297" s="164"/>
      <c r="M297" s="320"/>
      <c r="N297" s="164"/>
      <c r="O297" s="320"/>
      <c r="P297" s="164"/>
      <c r="Q297" s="333"/>
      <c r="R297" s="18"/>
      <c r="S297" s="20"/>
      <c r="T297" s="20"/>
      <c r="U297" s="20"/>
      <c r="V297" s="20"/>
      <c r="W297" s="20"/>
      <c r="X297" s="20"/>
      <c r="Y297" s="20"/>
      <c r="Z297" s="20"/>
    </row>
    <row r="298">
      <c r="A298" s="320"/>
      <c r="B298" s="164"/>
      <c r="C298" s="320"/>
      <c r="D298" s="164"/>
      <c r="E298" s="320"/>
      <c r="F298" s="164"/>
      <c r="G298" s="320"/>
      <c r="H298" s="164"/>
      <c r="I298" s="320"/>
      <c r="J298" s="164"/>
      <c r="K298" s="320"/>
      <c r="L298" s="164"/>
      <c r="M298" s="320"/>
      <c r="N298" s="164"/>
      <c r="O298" s="320"/>
      <c r="P298" s="164"/>
      <c r="Q298" s="333"/>
      <c r="R298" s="18"/>
      <c r="S298" s="20"/>
      <c r="T298" s="20"/>
      <c r="U298" s="20"/>
      <c r="V298" s="20"/>
      <c r="W298" s="20"/>
      <c r="X298" s="20"/>
      <c r="Y298" s="20"/>
      <c r="Z298" s="20"/>
    </row>
    <row r="299">
      <c r="A299" s="320"/>
      <c r="B299" s="164"/>
      <c r="C299" s="320"/>
      <c r="D299" s="164"/>
      <c r="E299" s="320"/>
      <c r="F299" s="164"/>
      <c r="G299" s="320"/>
      <c r="H299" s="164"/>
      <c r="I299" s="320"/>
      <c r="J299" s="164"/>
      <c r="K299" s="320"/>
      <c r="L299" s="164"/>
      <c r="M299" s="320"/>
      <c r="N299" s="164"/>
      <c r="O299" s="320"/>
      <c r="P299" s="164"/>
      <c r="Q299" s="333"/>
      <c r="R299" s="18"/>
      <c r="S299" s="20"/>
      <c r="T299" s="20"/>
      <c r="U299" s="20"/>
      <c r="V299" s="20"/>
      <c r="W299" s="20"/>
      <c r="X299" s="20"/>
      <c r="Y299" s="20"/>
      <c r="Z299" s="20"/>
    </row>
    <row r="300">
      <c r="A300" s="320"/>
      <c r="B300" s="164"/>
      <c r="C300" s="320"/>
      <c r="D300" s="164"/>
      <c r="E300" s="320"/>
      <c r="F300" s="164"/>
      <c r="G300" s="320"/>
      <c r="H300" s="164"/>
      <c r="I300" s="320"/>
      <c r="J300" s="164"/>
      <c r="K300" s="320"/>
      <c r="L300" s="164"/>
      <c r="M300" s="320"/>
      <c r="N300" s="164"/>
      <c r="O300" s="320"/>
      <c r="P300" s="164"/>
      <c r="Q300" s="333"/>
      <c r="R300" s="18"/>
      <c r="S300" s="20"/>
      <c r="T300" s="20"/>
      <c r="U300" s="20"/>
      <c r="V300" s="20"/>
      <c r="W300" s="20"/>
      <c r="X300" s="20"/>
      <c r="Y300" s="20"/>
      <c r="Z300" s="20"/>
    </row>
    <row r="301">
      <c r="A301" s="320"/>
      <c r="B301" s="164"/>
      <c r="C301" s="320"/>
      <c r="D301" s="164"/>
      <c r="E301" s="320"/>
      <c r="F301" s="164"/>
      <c r="G301" s="320"/>
      <c r="H301" s="164"/>
      <c r="I301" s="320"/>
      <c r="J301" s="164"/>
      <c r="K301" s="320"/>
      <c r="L301" s="164"/>
      <c r="M301" s="320"/>
      <c r="N301" s="164"/>
      <c r="O301" s="320"/>
      <c r="P301" s="164"/>
      <c r="Q301" s="333"/>
      <c r="R301" s="18"/>
      <c r="S301" s="20"/>
      <c r="T301" s="20"/>
      <c r="U301" s="20"/>
      <c r="V301" s="20"/>
      <c r="W301" s="20"/>
      <c r="X301" s="20"/>
      <c r="Y301" s="20"/>
      <c r="Z301" s="20"/>
    </row>
    <row r="302">
      <c r="A302" s="320"/>
      <c r="B302" s="164"/>
      <c r="C302" s="320"/>
      <c r="D302" s="164"/>
      <c r="E302" s="320"/>
      <c r="F302" s="164"/>
      <c r="G302" s="320"/>
      <c r="H302" s="164"/>
      <c r="I302" s="320"/>
      <c r="J302" s="164"/>
      <c r="K302" s="320"/>
      <c r="L302" s="164"/>
      <c r="M302" s="320"/>
      <c r="N302" s="164"/>
      <c r="O302" s="320"/>
      <c r="P302" s="164"/>
      <c r="Q302" s="333"/>
      <c r="R302" s="18"/>
      <c r="S302" s="20"/>
      <c r="T302" s="20"/>
      <c r="U302" s="20"/>
      <c r="V302" s="20"/>
      <c r="W302" s="20"/>
      <c r="X302" s="20"/>
      <c r="Y302" s="20"/>
      <c r="Z302" s="20"/>
    </row>
    <row r="303">
      <c r="A303" s="320"/>
      <c r="B303" s="164"/>
      <c r="C303" s="320"/>
      <c r="D303" s="164"/>
      <c r="E303" s="320"/>
      <c r="F303" s="164"/>
      <c r="G303" s="320"/>
      <c r="H303" s="164"/>
      <c r="I303" s="320"/>
      <c r="J303" s="164"/>
      <c r="K303" s="320"/>
      <c r="L303" s="164"/>
      <c r="M303" s="320"/>
      <c r="N303" s="164"/>
      <c r="O303" s="320"/>
      <c r="P303" s="164"/>
      <c r="Q303" s="333"/>
      <c r="R303" s="18"/>
      <c r="S303" s="20"/>
      <c r="T303" s="20"/>
      <c r="U303" s="20"/>
      <c r="V303" s="20"/>
      <c r="W303" s="20"/>
      <c r="X303" s="20"/>
      <c r="Y303" s="20"/>
      <c r="Z303" s="20"/>
    </row>
    <row r="304">
      <c r="A304" s="320"/>
      <c r="B304" s="164"/>
      <c r="C304" s="320"/>
      <c r="D304" s="164"/>
      <c r="E304" s="320"/>
      <c r="F304" s="164"/>
      <c r="G304" s="320"/>
      <c r="H304" s="164"/>
      <c r="I304" s="320"/>
      <c r="J304" s="164"/>
      <c r="K304" s="320"/>
      <c r="L304" s="164"/>
      <c r="M304" s="320"/>
      <c r="N304" s="164"/>
      <c r="O304" s="320"/>
      <c r="P304" s="164"/>
      <c r="Q304" s="333"/>
      <c r="R304" s="18"/>
      <c r="S304" s="20"/>
      <c r="T304" s="20"/>
      <c r="U304" s="20"/>
      <c r="V304" s="20"/>
      <c r="W304" s="20"/>
      <c r="X304" s="20"/>
      <c r="Y304" s="20"/>
      <c r="Z304" s="20"/>
    </row>
    <row r="305">
      <c r="A305" s="320"/>
      <c r="B305" s="164"/>
      <c r="C305" s="320"/>
      <c r="D305" s="164"/>
      <c r="E305" s="320"/>
      <c r="F305" s="164"/>
      <c r="G305" s="320"/>
      <c r="H305" s="164"/>
      <c r="I305" s="320"/>
      <c r="J305" s="164"/>
      <c r="K305" s="320"/>
      <c r="L305" s="164"/>
      <c r="M305" s="320"/>
      <c r="N305" s="164"/>
      <c r="O305" s="320"/>
      <c r="P305" s="164"/>
      <c r="Q305" s="333"/>
      <c r="R305" s="18"/>
      <c r="S305" s="20"/>
      <c r="T305" s="20"/>
      <c r="U305" s="20"/>
      <c r="V305" s="20"/>
      <c r="W305" s="20"/>
      <c r="X305" s="20"/>
      <c r="Y305" s="20"/>
      <c r="Z305" s="20"/>
    </row>
    <row r="306">
      <c r="A306" s="320"/>
      <c r="B306" s="164"/>
      <c r="C306" s="320"/>
      <c r="D306" s="164"/>
      <c r="E306" s="320"/>
      <c r="F306" s="164"/>
      <c r="G306" s="320"/>
      <c r="H306" s="164"/>
      <c r="I306" s="320"/>
      <c r="J306" s="164"/>
      <c r="K306" s="320"/>
      <c r="L306" s="164"/>
      <c r="M306" s="320"/>
      <c r="N306" s="164"/>
      <c r="O306" s="320"/>
      <c r="P306" s="164"/>
      <c r="Q306" s="333"/>
      <c r="R306" s="18"/>
      <c r="S306" s="20"/>
      <c r="T306" s="20"/>
      <c r="U306" s="20"/>
      <c r="V306" s="20"/>
      <c r="W306" s="20"/>
      <c r="X306" s="20"/>
      <c r="Y306" s="20"/>
      <c r="Z306" s="20"/>
    </row>
    <row r="307">
      <c r="A307" s="320"/>
      <c r="B307" s="164"/>
      <c r="C307" s="320"/>
      <c r="D307" s="164"/>
      <c r="E307" s="320"/>
      <c r="F307" s="164"/>
      <c r="G307" s="320"/>
      <c r="H307" s="164"/>
      <c r="I307" s="320"/>
      <c r="J307" s="164"/>
      <c r="K307" s="320"/>
      <c r="L307" s="164"/>
      <c r="M307" s="320"/>
      <c r="N307" s="164"/>
      <c r="O307" s="320"/>
      <c r="P307" s="164"/>
      <c r="Q307" s="333"/>
      <c r="R307" s="18"/>
      <c r="S307" s="20"/>
      <c r="T307" s="20"/>
      <c r="U307" s="20"/>
      <c r="V307" s="20"/>
      <c r="W307" s="20"/>
      <c r="X307" s="20"/>
      <c r="Y307" s="20"/>
      <c r="Z307" s="20"/>
    </row>
    <row r="308">
      <c r="A308" s="320"/>
      <c r="B308" s="164"/>
      <c r="C308" s="320"/>
      <c r="D308" s="164"/>
      <c r="E308" s="320"/>
      <c r="F308" s="164"/>
      <c r="G308" s="320"/>
      <c r="H308" s="164"/>
      <c r="I308" s="320"/>
      <c r="J308" s="164"/>
      <c r="K308" s="320"/>
      <c r="L308" s="164"/>
      <c r="M308" s="320"/>
      <c r="N308" s="164"/>
      <c r="O308" s="320"/>
      <c r="P308" s="164"/>
      <c r="Q308" s="333"/>
      <c r="R308" s="18"/>
      <c r="S308" s="20"/>
      <c r="T308" s="20"/>
      <c r="U308" s="20"/>
      <c r="V308" s="20"/>
      <c r="W308" s="20"/>
      <c r="X308" s="20"/>
      <c r="Y308" s="20"/>
      <c r="Z308" s="20"/>
    </row>
    <row r="309">
      <c r="A309" s="320"/>
      <c r="B309" s="164"/>
      <c r="C309" s="320"/>
      <c r="D309" s="164"/>
      <c r="E309" s="320"/>
      <c r="F309" s="164"/>
      <c r="G309" s="320"/>
      <c r="H309" s="164"/>
      <c r="I309" s="320"/>
      <c r="J309" s="164"/>
      <c r="K309" s="320"/>
      <c r="L309" s="164"/>
      <c r="M309" s="320"/>
      <c r="N309" s="164"/>
      <c r="O309" s="320"/>
      <c r="P309" s="164"/>
      <c r="Q309" s="333"/>
      <c r="R309" s="18"/>
      <c r="S309" s="20"/>
      <c r="T309" s="20"/>
      <c r="U309" s="20"/>
      <c r="V309" s="20"/>
      <c r="W309" s="20"/>
      <c r="X309" s="20"/>
      <c r="Y309" s="20"/>
      <c r="Z309" s="20"/>
    </row>
    <row r="310">
      <c r="A310" s="320"/>
      <c r="B310" s="164"/>
      <c r="C310" s="320"/>
      <c r="D310" s="164"/>
      <c r="E310" s="320"/>
      <c r="F310" s="164"/>
      <c r="G310" s="320"/>
      <c r="H310" s="164"/>
      <c r="I310" s="320"/>
      <c r="J310" s="164"/>
      <c r="K310" s="320"/>
      <c r="L310" s="164"/>
      <c r="M310" s="320"/>
      <c r="N310" s="164"/>
      <c r="O310" s="320"/>
      <c r="P310" s="164"/>
      <c r="Q310" s="333"/>
      <c r="R310" s="18"/>
      <c r="S310" s="20"/>
      <c r="T310" s="20"/>
      <c r="U310" s="20"/>
      <c r="V310" s="20"/>
      <c r="W310" s="20"/>
      <c r="X310" s="20"/>
      <c r="Y310" s="20"/>
      <c r="Z310" s="20"/>
    </row>
    <row r="311">
      <c r="A311" s="320"/>
      <c r="B311" s="164"/>
      <c r="C311" s="320"/>
      <c r="D311" s="164"/>
      <c r="E311" s="320"/>
      <c r="F311" s="164"/>
      <c r="G311" s="320"/>
      <c r="H311" s="164"/>
      <c r="I311" s="320"/>
      <c r="J311" s="164"/>
      <c r="K311" s="320"/>
      <c r="L311" s="164"/>
      <c r="M311" s="320"/>
      <c r="N311" s="164"/>
      <c r="O311" s="320"/>
      <c r="P311" s="164"/>
      <c r="Q311" s="333"/>
      <c r="R311" s="18"/>
      <c r="S311" s="20"/>
      <c r="T311" s="20"/>
      <c r="U311" s="20"/>
      <c r="V311" s="20"/>
      <c r="W311" s="20"/>
      <c r="X311" s="20"/>
      <c r="Y311" s="20"/>
      <c r="Z311" s="20"/>
    </row>
    <row r="312">
      <c r="A312" s="320"/>
      <c r="B312" s="164"/>
      <c r="C312" s="320"/>
      <c r="D312" s="164"/>
      <c r="E312" s="320"/>
      <c r="F312" s="164"/>
      <c r="G312" s="320"/>
      <c r="H312" s="164"/>
      <c r="I312" s="320"/>
      <c r="J312" s="164"/>
      <c r="K312" s="320"/>
      <c r="L312" s="164"/>
      <c r="M312" s="320"/>
      <c r="N312" s="164"/>
      <c r="O312" s="320"/>
      <c r="P312" s="164"/>
      <c r="Q312" s="333"/>
      <c r="R312" s="18"/>
      <c r="S312" s="20"/>
      <c r="T312" s="20"/>
      <c r="U312" s="20"/>
      <c r="V312" s="20"/>
      <c r="W312" s="20"/>
      <c r="X312" s="20"/>
      <c r="Y312" s="20"/>
      <c r="Z312" s="20"/>
    </row>
    <row r="313">
      <c r="A313" s="320"/>
      <c r="B313" s="164"/>
      <c r="C313" s="320"/>
      <c r="D313" s="164"/>
      <c r="E313" s="320"/>
      <c r="F313" s="164"/>
      <c r="G313" s="320"/>
      <c r="H313" s="164"/>
      <c r="I313" s="320"/>
      <c r="J313" s="164"/>
      <c r="K313" s="320"/>
      <c r="L313" s="164"/>
      <c r="M313" s="320"/>
      <c r="N313" s="164"/>
      <c r="O313" s="320"/>
      <c r="P313" s="164"/>
      <c r="Q313" s="333"/>
      <c r="R313" s="18"/>
      <c r="S313" s="20"/>
      <c r="T313" s="20"/>
      <c r="U313" s="20"/>
      <c r="V313" s="20"/>
      <c r="W313" s="20"/>
      <c r="X313" s="20"/>
      <c r="Y313" s="20"/>
      <c r="Z313" s="20"/>
    </row>
    <row r="314">
      <c r="A314" s="320"/>
      <c r="B314" s="164"/>
      <c r="C314" s="320"/>
      <c r="D314" s="164"/>
      <c r="E314" s="320"/>
      <c r="F314" s="164"/>
      <c r="G314" s="320"/>
      <c r="H314" s="164"/>
      <c r="I314" s="320"/>
      <c r="J314" s="164"/>
      <c r="K314" s="320"/>
      <c r="L314" s="164"/>
      <c r="M314" s="320"/>
      <c r="N314" s="164"/>
      <c r="O314" s="320"/>
      <c r="P314" s="164"/>
      <c r="Q314" s="333"/>
      <c r="R314" s="18"/>
      <c r="S314" s="20"/>
      <c r="T314" s="20"/>
      <c r="U314" s="20"/>
      <c r="V314" s="20"/>
      <c r="W314" s="20"/>
      <c r="X314" s="20"/>
      <c r="Y314" s="20"/>
      <c r="Z314" s="20"/>
    </row>
    <row r="315">
      <c r="A315" s="320"/>
      <c r="B315" s="164"/>
      <c r="C315" s="320"/>
      <c r="D315" s="164"/>
      <c r="E315" s="320"/>
      <c r="F315" s="164"/>
      <c r="G315" s="320"/>
      <c r="H315" s="164"/>
      <c r="I315" s="320"/>
      <c r="J315" s="164"/>
      <c r="K315" s="320"/>
      <c r="L315" s="164"/>
      <c r="M315" s="320"/>
      <c r="N315" s="164"/>
      <c r="O315" s="320"/>
      <c r="P315" s="164"/>
      <c r="Q315" s="333"/>
      <c r="R315" s="18"/>
      <c r="S315" s="20"/>
      <c r="T315" s="20"/>
      <c r="U315" s="20"/>
      <c r="V315" s="20"/>
      <c r="W315" s="20"/>
      <c r="X315" s="20"/>
      <c r="Y315" s="20"/>
      <c r="Z315" s="20"/>
    </row>
    <row r="316">
      <c r="A316" s="320"/>
      <c r="B316" s="164"/>
      <c r="C316" s="320"/>
      <c r="D316" s="164"/>
      <c r="E316" s="320"/>
      <c r="F316" s="164"/>
      <c r="G316" s="320"/>
      <c r="H316" s="164"/>
      <c r="I316" s="320"/>
      <c r="J316" s="164"/>
      <c r="K316" s="320"/>
      <c r="L316" s="164"/>
      <c r="M316" s="320"/>
      <c r="N316" s="164"/>
      <c r="O316" s="320"/>
      <c r="P316" s="164"/>
      <c r="Q316" s="333"/>
      <c r="R316" s="18"/>
      <c r="S316" s="20"/>
      <c r="T316" s="20"/>
      <c r="U316" s="20"/>
      <c r="V316" s="20"/>
      <c r="W316" s="20"/>
      <c r="X316" s="20"/>
      <c r="Y316" s="20"/>
      <c r="Z316" s="20"/>
    </row>
    <row r="317">
      <c r="A317" s="320"/>
      <c r="B317" s="164"/>
      <c r="C317" s="320"/>
      <c r="D317" s="164"/>
      <c r="E317" s="320"/>
      <c r="F317" s="164"/>
      <c r="G317" s="320"/>
      <c r="H317" s="164"/>
      <c r="I317" s="320"/>
      <c r="J317" s="164"/>
      <c r="K317" s="320"/>
      <c r="L317" s="164"/>
      <c r="M317" s="320"/>
      <c r="N317" s="164"/>
      <c r="O317" s="320"/>
      <c r="P317" s="164"/>
      <c r="Q317" s="333"/>
      <c r="R317" s="18"/>
      <c r="S317" s="20"/>
      <c r="T317" s="20"/>
      <c r="U317" s="20"/>
      <c r="V317" s="20"/>
      <c r="W317" s="20"/>
      <c r="X317" s="20"/>
      <c r="Y317" s="20"/>
      <c r="Z317" s="20"/>
    </row>
    <row r="318">
      <c r="A318" s="320"/>
      <c r="B318" s="164"/>
      <c r="C318" s="320"/>
      <c r="D318" s="164"/>
      <c r="E318" s="320"/>
      <c r="F318" s="164"/>
      <c r="G318" s="320"/>
      <c r="H318" s="164"/>
      <c r="I318" s="320"/>
      <c r="J318" s="164"/>
      <c r="K318" s="320"/>
      <c r="L318" s="164"/>
      <c r="M318" s="320"/>
      <c r="N318" s="164"/>
      <c r="O318" s="320"/>
      <c r="P318" s="164"/>
      <c r="Q318" s="333"/>
      <c r="R318" s="18"/>
      <c r="S318" s="20"/>
      <c r="T318" s="20"/>
      <c r="U318" s="20"/>
      <c r="V318" s="20"/>
      <c r="W318" s="20"/>
      <c r="X318" s="20"/>
      <c r="Y318" s="20"/>
      <c r="Z318" s="20"/>
    </row>
    <row r="319">
      <c r="A319" s="320"/>
      <c r="B319" s="164"/>
      <c r="C319" s="320"/>
      <c r="D319" s="164"/>
      <c r="E319" s="320"/>
      <c r="F319" s="164"/>
      <c r="G319" s="320"/>
      <c r="H319" s="164"/>
      <c r="I319" s="320"/>
      <c r="J319" s="164"/>
      <c r="K319" s="320"/>
      <c r="L319" s="164"/>
      <c r="M319" s="320"/>
      <c r="N319" s="164"/>
      <c r="O319" s="320"/>
      <c r="P319" s="164"/>
      <c r="Q319" s="333"/>
      <c r="R319" s="18"/>
      <c r="S319" s="20"/>
      <c r="T319" s="20"/>
      <c r="U319" s="20"/>
      <c r="V319" s="20"/>
      <c r="W319" s="20"/>
      <c r="X319" s="20"/>
      <c r="Y319" s="20"/>
      <c r="Z319" s="20"/>
    </row>
    <row r="320">
      <c r="A320" s="320"/>
      <c r="B320" s="164"/>
      <c r="C320" s="320"/>
      <c r="D320" s="164"/>
      <c r="E320" s="320"/>
      <c r="F320" s="164"/>
      <c r="G320" s="320"/>
      <c r="H320" s="164"/>
      <c r="I320" s="320"/>
      <c r="J320" s="164"/>
      <c r="K320" s="320"/>
      <c r="L320" s="164"/>
      <c r="M320" s="320"/>
      <c r="N320" s="164"/>
      <c r="O320" s="320"/>
      <c r="P320" s="164"/>
      <c r="Q320" s="333"/>
      <c r="R320" s="18"/>
      <c r="S320" s="20"/>
      <c r="T320" s="20"/>
      <c r="U320" s="20"/>
      <c r="V320" s="20"/>
      <c r="W320" s="20"/>
      <c r="X320" s="20"/>
      <c r="Y320" s="20"/>
      <c r="Z320" s="20"/>
    </row>
    <row r="321">
      <c r="A321" s="320"/>
      <c r="B321" s="164"/>
      <c r="C321" s="320"/>
      <c r="D321" s="164"/>
      <c r="E321" s="320"/>
      <c r="F321" s="164"/>
      <c r="G321" s="320"/>
      <c r="H321" s="164"/>
      <c r="I321" s="320"/>
      <c r="J321" s="164"/>
      <c r="K321" s="320"/>
      <c r="L321" s="164"/>
      <c r="M321" s="320"/>
      <c r="N321" s="164"/>
      <c r="O321" s="320"/>
      <c r="P321" s="164"/>
      <c r="Q321" s="333"/>
      <c r="R321" s="18"/>
      <c r="S321" s="20"/>
      <c r="T321" s="20"/>
      <c r="U321" s="20"/>
      <c r="V321" s="20"/>
      <c r="W321" s="20"/>
      <c r="X321" s="20"/>
      <c r="Y321" s="20"/>
      <c r="Z321" s="20"/>
    </row>
    <row r="322">
      <c r="A322" s="320"/>
      <c r="B322" s="164"/>
      <c r="C322" s="320"/>
      <c r="D322" s="164"/>
      <c r="E322" s="320"/>
      <c r="F322" s="164"/>
      <c r="G322" s="320"/>
      <c r="H322" s="164"/>
      <c r="I322" s="320"/>
      <c r="J322" s="164"/>
      <c r="K322" s="320"/>
      <c r="L322" s="164"/>
      <c r="M322" s="320"/>
      <c r="N322" s="164"/>
      <c r="O322" s="320"/>
      <c r="P322" s="164"/>
      <c r="Q322" s="333"/>
      <c r="R322" s="18"/>
      <c r="S322" s="20"/>
      <c r="T322" s="20"/>
      <c r="U322" s="20"/>
      <c r="V322" s="20"/>
      <c r="W322" s="20"/>
      <c r="X322" s="20"/>
      <c r="Y322" s="20"/>
      <c r="Z322" s="20"/>
    </row>
    <row r="323">
      <c r="A323" s="320"/>
      <c r="B323" s="164"/>
      <c r="C323" s="320"/>
      <c r="D323" s="164"/>
      <c r="E323" s="320"/>
      <c r="F323" s="164"/>
      <c r="G323" s="320"/>
      <c r="H323" s="164"/>
      <c r="I323" s="320"/>
      <c r="J323" s="164"/>
      <c r="K323" s="320"/>
      <c r="L323" s="164"/>
      <c r="M323" s="320"/>
      <c r="N323" s="164"/>
      <c r="O323" s="320"/>
      <c r="P323" s="164"/>
      <c r="Q323" s="333"/>
      <c r="R323" s="18"/>
      <c r="S323" s="20"/>
      <c r="T323" s="20"/>
      <c r="U323" s="20"/>
      <c r="V323" s="20"/>
      <c r="W323" s="20"/>
      <c r="X323" s="20"/>
      <c r="Y323" s="20"/>
      <c r="Z323" s="20"/>
    </row>
    <row r="324">
      <c r="A324" s="320"/>
      <c r="B324" s="164"/>
      <c r="C324" s="320"/>
      <c r="D324" s="164"/>
      <c r="E324" s="320"/>
      <c r="F324" s="164"/>
      <c r="G324" s="320"/>
      <c r="H324" s="164"/>
      <c r="I324" s="320"/>
      <c r="J324" s="164"/>
      <c r="K324" s="320"/>
      <c r="L324" s="164"/>
      <c r="M324" s="320"/>
      <c r="N324" s="164"/>
      <c r="O324" s="320"/>
      <c r="P324" s="164"/>
      <c r="Q324" s="333"/>
      <c r="R324" s="18"/>
      <c r="S324" s="20"/>
      <c r="T324" s="20"/>
      <c r="U324" s="20"/>
      <c r="V324" s="20"/>
      <c r="W324" s="20"/>
      <c r="X324" s="20"/>
      <c r="Y324" s="20"/>
      <c r="Z324" s="20"/>
    </row>
    <row r="325">
      <c r="A325" s="320"/>
      <c r="B325" s="164"/>
      <c r="C325" s="320"/>
      <c r="D325" s="164"/>
      <c r="E325" s="320"/>
      <c r="F325" s="164"/>
      <c r="G325" s="320"/>
      <c r="H325" s="164"/>
      <c r="I325" s="320"/>
      <c r="J325" s="164"/>
      <c r="K325" s="320"/>
      <c r="L325" s="164"/>
      <c r="M325" s="320"/>
      <c r="N325" s="164"/>
      <c r="O325" s="320"/>
      <c r="P325" s="164"/>
      <c r="Q325" s="333"/>
      <c r="R325" s="18"/>
      <c r="S325" s="20"/>
      <c r="T325" s="20"/>
      <c r="U325" s="20"/>
      <c r="V325" s="20"/>
      <c r="W325" s="20"/>
      <c r="X325" s="20"/>
      <c r="Y325" s="20"/>
      <c r="Z325" s="20"/>
    </row>
    <row r="326">
      <c r="A326" s="320"/>
      <c r="B326" s="164"/>
      <c r="C326" s="320"/>
      <c r="D326" s="164"/>
      <c r="E326" s="320"/>
      <c r="F326" s="164"/>
      <c r="G326" s="320"/>
      <c r="H326" s="164"/>
      <c r="I326" s="320"/>
      <c r="J326" s="164"/>
      <c r="K326" s="320"/>
      <c r="L326" s="164"/>
      <c r="M326" s="320"/>
      <c r="N326" s="164"/>
      <c r="O326" s="320"/>
      <c r="P326" s="164"/>
      <c r="Q326" s="333"/>
      <c r="R326" s="18"/>
      <c r="S326" s="20"/>
      <c r="T326" s="20"/>
      <c r="U326" s="20"/>
      <c r="V326" s="20"/>
      <c r="W326" s="20"/>
      <c r="X326" s="20"/>
      <c r="Y326" s="20"/>
      <c r="Z326" s="20"/>
    </row>
    <row r="327">
      <c r="A327" s="320"/>
      <c r="B327" s="164"/>
      <c r="C327" s="320"/>
      <c r="D327" s="164"/>
      <c r="E327" s="320"/>
      <c r="F327" s="164"/>
      <c r="G327" s="320"/>
      <c r="H327" s="164"/>
      <c r="I327" s="320"/>
      <c r="J327" s="164"/>
      <c r="K327" s="320"/>
      <c r="L327" s="164"/>
      <c r="M327" s="320"/>
      <c r="N327" s="164"/>
      <c r="O327" s="320"/>
      <c r="P327" s="164"/>
      <c r="Q327" s="333"/>
      <c r="R327" s="18"/>
      <c r="S327" s="20"/>
      <c r="T327" s="20"/>
      <c r="U327" s="20"/>
      <c r="V327" s="20"/>
      <c r="W327" s="20"/>
      <c r="X327" s="20"/>
      <c r="Y327" s="20"/>
      <c r="Z327" s="20"/>
    </row>
    <row r="328">
      <c r="A328" s="320"/>
      <c r="B328" s="164"/>
      <c r="C328" s="320"/>
      <c r="D328" s="164"/>
      <c r="E328" s="320"/>
      <c r="F328" s="164"/>
      <c r="G328" s="320"/>
      <c r="H328" s="164"/>
      <c r="I328" s="320"/>
      <c r="J328" s="164"/>
      <c r="K328" s="320"/>
      <c r="L328" s="164"/>
      <c r="M328" s="320"/>
      <c r="N328" s="164"/>
      <c r="O328" s="320"/>
      <c r="P328" s="164"/>
      <c r="Q328" s="333"/>
      <c r="R328" s="18"/>
      <c r="S328" s="20"/>
      <c r="T328" s="20"/>
      <c r="U328" s="20"/>
      <c r="V328" s="20"/>
      <c r="W328" s="20"/>
      <c r="X328" s="20"/>
      <c r="Y328" s="20"/>
      <c r="Z328" s="20"/>
    </row>
    <row r="329">
      <c r="A329" s="320"/>
      <c r="B329" s="164"/>
      <c r="C329" s="320"/>
      <c r="D329" s="164"/>
      <c r="E329" s="320"/>
      <c r="F329" s="164"/>
      <c r="G329" s="320"/>
      <c r="H329" s="164"/>
      <c r="I329" s="320"/>
      <c r="J329" s="164"/>
      <c r="K329" s="320"/>
      <c r="L329" s="164"/>
      <c r="M329" s="320"/>
      <c r="N329" s="164"/>
      <c r="O329" s="320"/>
      <c r="P329" s="164"/>
      <c r="Q329" s="333"/>
      <c r="R329" s="18"/>
      <c r="S329" s="20"/>
      <c r="T329" s="20"/>
      <c r="U329" s="20"/>
      <c r="V329" s="20"/>
      <c r="W329" s="20"/>
      <c r="X329" s="20"/>
      <c r="Y329" s="20"/>
      <c r="Z329" s="20"/>
    </row>
    <row r="330">
      <c r="A330" s="320"/>
      <c r="B330" s="164"/>
      <c r="C330" s="320"/>
      <c r="D330" s="164"/>
      <c r="E330" s="320"/>
      <c r="F330" s="164"/>
      <c r="G330" s="320"/>
      <c r="H330" s="164"/>
      <c r="I330" s="320"/>
      <c r="J330" s="164"/>
      <c r="K330" s="320"/>
      <c r="L330" s="164"/>
      <c r="M330" s="320"/>
      <c r="N330" s="164"/>
      <c r="O330" s="320"/>
      <c r="P330" s="164"/>
      <c r="Q330" s="333"/>
      <c r="R330" s="18"/>
      <c r="S330" s="20"/>
      <c r="T330" s="20"/>
      <c r="U330" s="20"/>
      <c r="V330" s="20"/>
      <c r="W330" s="20"/>
      <c r="X330" s="20"/>
      <c r="Y330" s="20"/>
      <c r="Z330" s="20"/>
    </row>
    <row r="331">
      <c r="A331" s="320"/>
      <c r="B331" s="164"/>
      <c r="C331" s="320"/>
      <c r="D331" s="164"/>
      <c r="E331" s="320"/>
      <c r="F331" s="164"/>
      <c r="G331" s="320"/>
      <c r="H331" s="164"/>
      <c r="I331" s="320"/>
      <c r="J331" s="164"/>
      <c r="K331" s="320"/>
      <c r="L331" s="164"/>
      <c r="M331" s="320"/>
      <c r="N331" s="164"/>
      <c r="O331" s="320"/>
      <c r="P331" s="164"/>
      <c r="Q331" s="333"/>
      <c r="R331" s="18"/>
      <c r="S331" s="20"/>
      <c r="T331" s="20"/>
      <c r="U331" s="20"/>
      <c r="V331" s="20"/>
      <c r="W331" s="20"/>
      <c r="X331" s="20"/>
      <c r="Y331" s="20"/>
      <c r="Z331" s="20"/>
    </row>
    <row r="332">
      <c r="A332" s="320"/>
      <c r="B332" s="164"/>
      <c r="C332" s="320"/>
      <c r="D332" s="164"/>
      <c r="E332" s="320"/>
      <c r="F332" s="164"/>
      <c r="G332" s="320"/>
      <c r="H332" s="164"/>
      <c r="I332" s="320"/>
      <c r="J332" s="164"/>
      <c r="K332" s="320"/>
      <c r="L332" s="164"/>
      <c r="M332" s="320"/>
      <c r="N332" s="164"/>
      <c r="O332" s="320"/>
      <c r="P332" s="164"/>
      <c r="Q332" s="333"/>
      <c r="R332" s="18"/>
      <c r="S332" s="20"/>
      <c r="T332" s="20"/>
      <c r="U332" s="20"/>
      <c r="V332" s="20"/>
      <c r="W332" s="20"/>
      <c r="X332" s="20"/>
      <c r="Y332" s="20"/>
      <c r="Z332" s="20"/>
    </row>
    <row r="333">
      <c r="A333" s="320"/>
      <c r="B333" s="164"/>
      <c r="C333" s="320"/>
      <c r="D333" s="164"/>
      <c r="E333" s="320"/>
      <c r="F333" s="164"/>
      <c r="G333" s="320"/>
      <c r="H333" s="164"/>
      <c r="I333" s="320"/>
      <c r="J333" s="164"/>
      <c r="K333" s="320"/>
      <c r="L333" s="164"/>
      <c r="M333" s="320"/>
      <c r="N333" s="164"/>
      <c r="O333" s="320"/>
      <c r="P333" s="164"/>
      <c r="Q333" s="333"/>
      <c r="R333" s="18"/>
      <c r="S333" s="20"/>
      <c r="T333" s="20"/>
      <c r="U333" s="20"/>
      <c r="V333" s="20"/>
      <c r="W333" s="20"/>
      <c r="X333" s="20"/>
      <c r="Y333" s="20"/>
      <c r="Z333" s="20"/>
    </row>
    <row r="334">
      <c r="A334" s="320"/>
      <c r="B334" s="164"/>
      <c r="C334" s="320"/>
      <c r="D334" s="164"/>
      <c r="E334" s="320"/>
      <c r="F334" s="164"/>
      <c r="G334" s="320"/>
      <c r="H334" s="164"/>
      <c r="I334" s="320"/>
      <c r="J334" s="164"/>
      <c r="K334" s="320"/>
      <c r="L334" s="164"/>
      <c r="M334" s="320"/>
      <c r="N334" s="164"/>
      <c r="O334" s="320"/>
      <c r="P334" s="164"/>
      <c r="Q334" s="333"/>
      <c r="R334" s="18"/>
      <c r="S334" s="20"/>
      <c r="T334" s="20"/>
      <c r="U334" s="20"/>
      <c r="V334" s="20"/>
      <c r="W334" s="20"/>
      <c r="X334" s="20"/>
      <c r="Y334" s="20"/>
      <c r="Z334" s="20"/>
    </row>
    <row r="335">
      <c r="A335" s="320"/>
      <c r="B335" s="164"/>
      <c r="C335" s="320"/>
      <c r="D335" s="164"/>
      <c r="E335" s="320"/>
      <c r="F335" s="164"/>
      <c r="G335" s="320"/>
      <c r="H335" s="164"/>
      <c r="I335" s="320"/>
      <c r="J335" s="164"/>
      <c r="K335" s="320"/>
      <c r="L335" s="164"/>
      <c r="M335" s="320"/>
      <c r="N335" s="164"/>
      <c r="O335" s="320"/>
      <c r="P335" s="164"/>
      <c r="Q335" s="333"/>
      <c r="R335" s="18"/>
      <c r="S335" s="20"/>
      <c r="T335" s="20"/>
      <c r="U335" s="20"/>
      <c r="V335" s="20"/>
      <c r="W335" s="20"/>
      <c r="X335" s="20"/>
      <c r="Y335" s="20"/>
      <c r="Z335" s="20"/>
    </row>
    <row r="336">
      <c r="A336" s="320"/>
      <c r="B336" s="164"/>
      <c r="C336" s="320"/>
      <c r="D336" s="164"/>
      <c r="E336" s="320"/>
      <c r="F336" s="164"/>
      <c r="G336" s="320"/>
      <c r="H336" s="164"/>
      <c r="I336" s="320"/>
      <c r="J336" s="164"/>
      <c r="K336" s="320"/>
      <c r="L336" s="164"/>
      <c r="M336" s="320"/>
      <c r="N336" s="164"/>
      <c r="O336" s="320"/>
      <c r="P336" s="164"/>
      <c r="Q336" s="333"/>
      <c r="R336" s="18"/>
      <c r="S336" s="20"/>
      <c r="T336" s="20"/>
      <c r="U336" s="20"/>
      <c r="V336" s="20"/>
      <c r="W336" s="20"/>
      <c r="X336" s="20"/>
      <c r="Y336" s="20"/>
      <c r="Z336" s="20"/>
    </row>
    <row r="337">
      <c r="A337" s="320"/>
      <c r="B337" s="164"/>
      <c r="C337" s="320"/>
      <c r="D337" s="164"/>
      <c r="E337" s="320"/>
      <c r="F337" s="164"/>
      <c r="G337" s="320"/>
      <c r="H337" s="164"/>
      <c r="I337" s="320"/>
      <c r="J337" s="164"/>
      <c r="K337" s="320"/>
      <c r="L337" s="164"/>
      <c r="M337" s="320"/>
      <c r="N337" s="164"/>
      <c r="O337" s="320"/>
      <c r="P337" s="164"/>
      <c r="Q337" s="333"/>
      <c r="R337" s="18"/>
      <c r="S337" s="20"/>
      <c r="T337" s="20"/>
      <c r="U337" s="20"/>
      <c r="V337" s="20"/>
      <c r="W337" s="20"/>
      <c r="X337" s="20"/>
      <c r="Y337" s="20"/>
      <c r="Z337" s="20"/>
    </row>
    <row r="338">
      <c r="A338" s="320"/>
      <c r="B338" s="164"/>
      <c r="C338" s="320"/>
      <c r="D338" s="164"/>
      <c r="E338" s="320"/>
      <c r="F338" s="164"/>
      <c r="G338" s="320"/>
      <c r="H338" s="164"/>
      <c r="I338" s="320"/>
      <c r="J338" s="164"/>
      <c r="K338" s="320"/>
      <c r="L338" s="164"/>
      <c r="M338" s="320"/>
      <c r="N338" s="164"/>
      <c r="O338" s="320"/>
      <c r="P338" s="164"/>
      <c r="Q338" s="333"/>
      <c r="R338" s="18"/>
      <c r="S338" s="20"/>
      <c r="T338" s="20"/>
      <c r="U338" s="20"/>
      <c r="V338" s="20"/>
      <c r="W338" s="20"/>
      <c r="X338" s="20"/>
      <c r="Y338" s="20"/>
      <c r="Z338" s="20"/>
    </row>
    <row r="339">
      <c r="A339" s="320"/>
      <c r="B339" s="164"/>
      <c r="C339" s="320"/>
      <c r="D339" s="164"/>
      <c r="E339" s="320"/>
      <c r="F339" s="164"/>
      <c r="G339" s="320"/>
      <c r="H339" s="164"/>
      <c r="I339" s="320"/>
      <c r="J339" s="164"/>
      <c r="K339" s="320"/>
      <c r="L339" s="164"/>
      <c r="M339" s="320"/>
      <c r="N339" s="164"/>
      <c r="O339" s="320"/>
      <c r="P339" s="164"/>
      <c r="Q339" s="333"/>
      <c r="R339" s="18"/>
      <c r="S339" s="20"/>
      <c r="T339" s="20"/>
      <c r="U339" s="20"/>
      <c r="V339" s="20"/>
      <c r="W339" s="20"/>
      <c r="X339" s="20"/>
      <c r="Y339" s="20"/>
      <c r="Z339" s="20"/>
    </row>
    <row r="340">
      <c r="A340" s="320"/>
      <c r="B340" s="164"/>
      <c r="C340" s="320"/>
      <c r="D340" s="164"/>
      <c r="E340" s="320"/>
      <c r="F340" s="164"/>
      <c r="G340" s="320"/>
      <c r="H340" s="164"/>
      <c r="I340" s="320"/>
      <c r="J340" s="164"/>
      <c r="K340" s="320"/>
      <c r="L340" s="164"/>
      <c r="M340" s="320"/>
      <c r="N340" s="164"/>
      <c r="O340" s="320"/>
      <c r="P340" s="164"/>
      <c r="Q340" s="333"/>
      <c r="R340" s="18"/>
      <c r="S340" s="20"/>
      <c r="T340" s="20"/>
      <c r="U340" s="20"/>
      <c r="V340" s="20"/>
      <c r="W340" s="20"/>
      <c r="X340" s="20"/>
      <c r="Y340" s="20"/>
      <c r="Z340" s="20"/>
    </row>
    <row r="341">
      <c r="A341" s="320"/>
      <c r="B341" s="164"/>
      <c r="C341" s="320"/>
      <c r="D341" s="164"/>
      <c r="E341" s="320"/>
      <c r="F341" s="164"/>
      <c r="G341" s="320"/>
      <c r="H341" s="164"/>
      <c r="I341" s="320"/>
      <c r="J341" s="164"/>
      <c r="K341" s="320"/>
      <c r="L341" s="164"/>
      <c r="M341" s="320"/>
      <c r="N341" s="164"/>
      <c r="O341" s="320"/>
      <c r="P341" s="164"/>
      <c r="Q341" s="333"/>
      <c r="R341" s="18"/>
      <c r="S341" s="20"/>
      <c r="T341" s="20"/>
      <c r="U341" s="20"/>
      <c r="V341" s="20"/>
      <c r="W341" s="20"/>
      <c r="X341" s="20"/>
      <c r="Y341" s="20"/>
      <c r="Z341" s="20"/>
    </row>
    <row r="342">
      <c r="A342" s="320"/>
      <c r="B342" s="164"/>
      <c r="C342" s="320"/>
      <c r="D342" s="164"/>
      <c r="E342" s="320"/>
      <c r="F342" s="164"/>
      <c r="G342" s="320"/>
      <c r="H342" s="164"/>
      <c r="I342" s="320"/>
      <c r="J342" s="164"/>
      <c r="K342" s="320"/>
      <c r="L342" s="164"/>
      <c r="M342" s="320"/>
      <c r="N342" s="164"/>
      <c r="O342" s="320"/>
      <c r="P342" s="164"/>
      <c r="Q342" s="333"/>
      <c r="R342" s="18"/>
      <c r="S342" s="20"/>
      <c r="T342" s="20"/>
      <c r="U342" s="20"/>
      <c r="V342" s="20"/>
      <c r="W342" s="20"/>
      <c r="X342" s="20"/>
      <c r="Y342" s="20"/>
      <c r="Z342" s="20"/>
    </row>
    <row r="343">
      <c r="A343" s="320"/>
      <c r="B343" s="164"/>
      <c r="C343" s="320"/>
      <c r="D343" s="164"/>
      <c r="E343" s="320"/>
      <c r="F343" s="164"/>
      <c r="G343" s="320"/>
      <c r="H343" s="164"/>
      <c r="I343" s="320"/>
      <c r="J343" s="164"/>
      <c r="K343" s="320"/>
      <c r="L343" s="164"/>
      <c r="M343" s="320"/>
      <c r="N343" s="164"/>
      <c r="O343" s="320"/>
      <c r="P343" s="164"/>
      <c r="Q343" s="333"/>
      <c r="R343" s="18"/>
      <c r="S343" s="20"/>
      <c r="T343" s="20"/>
      <c r="U343" s="20"/>
      <c r="V343" s="20"/>
      <c r="W343" s="20"/>
      <c r="X343" s="20"/>
      <c r="Y343" s="20"/>
      <c r="Z343" s="20"/>
    </row>
    <row r="344">
      <c r="A344" s="320"/>
      <c r="B344" s="164"/>
      <c r="C344" s="320"/>
      <c r="D344" s="164"/>
      <c r="E344" s="320"/>
      <c r="F344" s="164"/>
      <c r="G344" s="320"/>
      <c r="H344" s="164"/>
      <c r="I344" s="320"/>
      <c r="J344" s="164"/>
      <c r="K344" s="320"/>
      <c r="L344" s="164"/>
      <c r="M344" s="320"/>
      <c r="N344" s="164"/>
      <c r="O344" s="320"/>
      <c r="P344" s="164"/>
      <c r="Q344" s="333"/>
      <c r="R344" s="18"/>
      <c r="S344" s="20"/>
      <c r="T344" s="20"/>
      <c r="U344" s="20"/>
      <c r="V344" s="20"/>
      <c r="W344" s="20"/>
      <c r="X344" s="20"/>
      <c r="Y344" s="20"/>
      <c r="Z344" s="20"/>
    </row>
    <row r="345">
      <c r="A345" s="320"/>
      <c r="B345" s="164"/>
      <c r="C345" s="320"/>
      <c r="D345" s="164"/>
      <c r="E345" s="320"/>
      <c r="F345" s="164"/>
      <c r="G345" s="320"/>
      <c r="H345" s="164"/>
      <c r="I345" s="320"/>
      <c r="J345" s="164"/>
      <c r="K345" s="320"/>
      <c r="L345" s="164"/>
      <c r="M345" s="320"/>
      <c r="N345" s="164"/>
      <c r="O345" s="320"/>
      <c r="P345" s="164"/>
      <c r="Q345" s="333"/>
      <c r="R345" s="18"/>
      <c r="S345" s="20"/>
      <c r="T345" s="20"/>
      <c r="U345" s="20"/>
      <c r="V345" s="20"/>
      <c r="W345" s="20"/>
      <c r="X345" s="20"/>
      <c r="Y345" s="20"/>
      <c r="Z345" s="20"/>
    </row>
    <row r="346">
      <c r="A346" s="320"/>
      <c r="B346" s="164"/>
      <c r="C346" s="320"/>
      <c r="D346" s="164"/>
      <c r="E346" s="320"/>
      <c r="F346" s="164"/>
      <c r="G346" s="320"/>
      <c r="H346" s="164"/>
      <c r="I346" s="320"/>
      <c r="J346" s="164"/>
      <c r="K346" s="320"/>
      <c r="L346" s="164"/>
      <c r="M346" s="320"/>
      <c r="N346" s="164"/>
      <c r="O346" s="320"/>
      <c r="P346" s="164"/>
      <c r="Q346" s="333"/>
      <c r="R346" s="18"/>
      <c r="S346" s="20"/>
      <c r="T346" s="20"/>
      <c r="U346" s="20"/>
      <c r="V346" s="20"/>
      <c r="W346" s="20"/>
      <c r="X346" s="20"/>
      <c r="Y346" s="20"/>
      <c r="Z346" s="20"/>
    </row>
    <row r="347">
      <c r="A347" s="320"/>
      <c r="B347" s="164"/>
      <c r="C347" s="320"/>
      <c r="D347" s="164"/>
      <c r="E347" s="320"/>
      <c r="F347" s="164"/>
      <c r="G347" s="320"/>
      <c r="H347" s="164"/>
      <c r="I347" s="320"/>
      <c r="J347" s="164"/>
      <c r="K347" s="320"/>
      <c r="L347" s="164"/>
      <c r="M347" s="320"/>
      <c r="N347" s="164"/>
      <c r="O347" s="320"/>
      <c r="P347" s="164"/>
      <c r="Q347" s="333"/>
      <c r="R347" s="18"/>
      <c r="S347" s="20"/>
      <c r="T347" s="20"/>
      <c r="U347" s="20"/>
      <c r="V347" s="20"/>
      <c r="W347" s="20"/>
      <c r="X347" s="20"/>
      <c r="Y347" s="20"/>
      <c r="Z347" s="20"/>
    </row>
    <row r="348">
      <c r="A348" s="320"/>
      <c r="B348" s="164"/>
      <c r="C348" s="320"/>
      <c r="D348" s="164"/>
      <c r="E348" s="320"/>
      <c r="F348" s="164"/>
      <c r="G348" s="320"/>
      <c r="H348" s="164"/>
      <c r="I348" s="320"/>
      <c r="J348" s="164"/>
      <c r="K348" s="320"/>
      <c r="L348" s="164"/>
      <c r="M348" s="320"/>
      <c r="N348" s="164"/>
      <c r="O348" s="320"/>
      <c r="P348" s="164"/>
      <c r="Q348" s="333"/>
      <c r="R348" s="18"/>
      <c r="S348" s="20"/>
      <c r="T348" s="20"/>
      <c r="U348" s="20"/>
      <c r="V348" s="20"/>
      <c r="W348" s="20"/>
      <c r="X348" s="20"/>
      <c r="Y348" s="20"/>
      <c r="Z348" s="20"/>
    </row>
    <row r="349">
      <c r="A349" s="320"/>
      <c r="B349" s="164"/>
      <c r="C349" s="320"/>
      <c r="D349" s="164"/>
      <c r="E349" s="320"/>
      <c r="F349" s="164"/>
      <c r="G349" s="320"/>
      <c r="H349" s="164"/>
      <c r="I349" s="320"/>
      <c r="J349" s="164"/>
      <c r="K349" s="320"/>
      <c r="L349" s="164"/>
      <c r="M349" s="320"/>
      <c r="N349" s="164"/>
      <c r="O349" s="320"/>
      <c r="P349" s="164"/>
      <c r="Q349" s="333"/>
      <c r="R349" s="18"/>
      <c r="S349" s="20"/>
      <c r="T349" s="20"/>
      <c r="U349" s="20"/>
      <c r="V349" s="20"/>
      <c r="W349" s="20"/>
      <c r="X349" s="20"/>
      <c r="Y349" s="20"/>
      <c r="Z349" s="20"/>
    </row>
    <row r="350">
      <c r="A350" s="320"/>
      <c r="B350" s="164"/>
      <c r="C350" s="320"/>
      <c r="D350" s="164"/>
      <c r="E350" s="320"/>
      <c r="F350" s="164"/>
      <c r="G350" s="320"/>
      <c r="H350" s="164"/>
      <c r="I350" s="320"/>
      <c r="J350" s="164"/>
      <c r="K350" s="320"/>
      <c r="L350" s="164"/>
      <c r="M350" s="320"/>
      <c r="N350" s="164"/>
      <c r="O350" s="320"/>
      <c r="P350" s="164"/>
      <c r="Q350" s="333"/>
      <c r="R350" s="18"/>
      <c r="S350" s="20"/>
      <c r="T350" s="20"/>
      <c r="U350" s="20"/>
      <c r="V350" s="20"/>
      <c r="W350" s="20"/>
      <c r="X350" s="20"/>
      <c r="Y350" s="20"/>
      <c r="Z350" s="20"/>
    </row>
    <row r="351">
      <c r="A351" s="320"/>
      <c r="B351" s="164"/>
      <c r="C351" s="320"/>
      <c r="D351" s="164"/>
      <c r="E351" s="320"/>
      <c r="F351" s="164"/>
      <c r="G351" s="320"/>
      <c r="H351" s="164"/>
      <c r="I351" s="320"/>
      <c r="J351" s="164"/>
      <c r="K351" s="320"/>
      <c r="L351" s="164"/>
      <c r="M351" s="320"/>
      <c r="N351" s="164"/>
      <c r="O351" s="320"/>
      <c r="P351" s="164"/>
      <c r="Q351" s="333"/>
      <c r="R351" s="18"/>
      <c r="S351" s="20"/>
      <c r="T351" s="20"/>
      <c r="U351" s="20"/>
      <c r="V351" s="20"/>
      <c r="W351" s="20"/>
      <c r="X351" s="20"/>
      <c r="Y351" s="20"/>
      <c r="Z351" s="20"/>
    </row>
    <row r="352">
      <c r="A352" s="320"/>
      <c r="B352" s="164"/>
      <c r="C352" s="320"/>
      <c r="D352" s="164"/>
      <c r="E352" s="320"/>
      <c r="F352" s="164"/>
      <c r="G352" s="320"/>
      <c r="H352" s="164"/>
      <c r="I352" s="320"/>
      <c r="J352" s="164"/>
      <c r="K352" s="320"/>
      <c r="L352" s="164"/>
      <c r="M352" s="320"/>
      <c r="N352" s="164"/>
      <c r="O352" s="320"/>
      <c r="P352" s="164"/>
      <c r="Q352" s="333"/>
      <c r="R352" s="18"/>
      <c r="S352" s="20"/>
      <c r="T352" s="20"/>
      <c r="U352" s="20"/>
      <c r="V352" s="20"/>
      <c r="W352" s="20"/>
      <c r="X352" s="20"/>
      <c r="Y352" s="20"/>
      <c r="Z352" s="20"/>
    </row>
    <row r="353">
      <c r="A353" s="320"/>
      <c r="B353" s="164"/>
      <c r="C353" s="320"/>
      <c r="D353" s="164"/>
      <c r="E353" s="320"/>
      <c r="F353" s="164"/>
      <c r="G353" s="320"/>
      <c r="H353" s="164"/>
      <c r="I353" s="320"/>
      <c r="J353" s="164"/>
      <c r="K353" s="320"/>
      <c r="L353" s="164"/>
      <c r="M353" s="320"/>
      <c r="N353" s="164"/>
      <c r="O353" s="320"/>
      <c r="P353" s="164"/>
      <c r="Q353" s="333"/>
      <c r="R353" s="18"/>
      <c r="S353" s="20"/>
      <c r="T353" s="20"/>
      <c r="U353" s="20"/>
      <c r="V353" s="20"/>
      <c r="W353" s="20"/>
      <c r="X353" s="20"/>
      <c r="Y353" s="20"/>
      <c r="Z353" s="20"/>
    </row>
    <row r="354">
      <c r="A354" s="320"/>
      <c r="B354" s="164"/>
      <c r="C354" s="320"/>
      <c r="D354" s="164"/>
      <c r="E354" s="320"/>
      <c r="F354" s="164"/>
      <c r="G354" s="320"/>
      <c r="H354" s="164"/>
      <c r="I354" s="320"/>
      <c r="J354" s="164"/>
      <c r="K354" s="320"/>
      <c r="L354" s="164"/>
      <c r="M354" s="320"/>
      <c r="N354" s="164"/>
      <c r="O354" s="320"/>
      <c r="P354" s="164"/>
      <c r="Q354" s="333"/>
      <c r="R354" s="18"/>
      <c r="S354" s="20"/>
      <c r="T354" s="20"/>
      <c r="U354" s="20"/>
      <c r="V354" s="20"/>
      <c r="W354" s="20"/>
      <c r="X354" s="20"/>
      <c r="Y354" s="20"/>
      <c r="Z354" s="20"/>
    </row>
    <row r="355">
      <c r="A355" s="320"/>
      <c r="B355" s="164"/>
      <c r="C355" s="320"/>
      <c r="D355" s="164"/>
      <c r="E355" s="320"/>
      <c r="F355" s="164"/>
      <c r="G355" s="320"/>
      <c r="H355" s="164"/>
      <c r="I355" s="320"/>
      <c r="J355" s="164"/>
      <c r="K355" s="320"/>
      <c r="L355" s="164"/>
      <c r="M355" s="320"/>
      <c r="N355" s="164"/>
      <c r="O355" s="320"/>
      <c r="P355" s="164"/>
      <c r="Q355" s="333"/>
      <c r="R355" s="18"/>
      <c r="S355" s="20"/>
      <c r="T355" s="20"/>
      <c r="U355" s="20"/>
      <c r="V355" s="20"/>
      <c r="W355" s="20"/>
      <c r="X355" s="20"/>
      <c r="Y355" s="20"/>
      <c r="Z355" s="20"/>
    </row>
    <row r="356">
      <c r="A356" s="320"/>
      <c r="B356" s="164"/>
      <c r="C356" s="320"/>
      <c r="D356" s="164"/>
      <c r="E356" s="320"/>
      <c r="F356" s="164"/>
      <c r="G356" s="320"/>
      <c r="H356" s="164"/>
      <c r="I356" s="320"/>
      <c r="J356" s="164"/>
      <c r="K356" s="320"/>
      <c r="L356" s="164"/>
      <c r="M356" s="320"/>
      <c r="N356" s="164"/>
      <c r="O356" s="320"/>
      <c r="P356" s="164"/>
      <c r="Q356" s="333"/>
      <c r="R356" s="18"/>
      <c r="S356" s="20"/>
      <c r="T356" s="20"/>
      <c r="U356" s="20"/>
      <c r="V356" s="20"/>
      <c r="W356" s="20"/>
      <c r="X356" s="20"/>
      <c r="Y356" s="20"/>
      <c r="Z356" s="20"/>
    </row>
    <row r="357">
      <c r="A357" s="320"/>
      <c r="B357" s="164"/>
      <c r="C357" s="320"/>
      <c r="D357" s="164"/>
      <c r="E357" s="320"/>
      <c r="F357" s="164"/>
      <c r="G357" s="320"/>
      <c r="H357" s="164"/>
      <c r="I357" s="320"/>
      <c r="J357" s="164"/>
      <c r="K357" s="320"/>
      <c r="L357" s="164"/>
      <c r="M357" s="320"/>
      <c r="N357" s="164"/>
      <c r="O357" s="320"/>
      <c r="P357" s="164"/>
      <c r="Q357" s="333"/>
      <c r="R357" s="18"/>
      <c r="S357" s="20"/>
      <c r="T357" s="20"/>
      <c r="U357" s="20"/>
      <c r="V357" s="20"/>
      <c r="W357" s="20"/>
      <c r="X357" s="20"/>
      <c r="Y357" s="20"/>
      <c r="Z357" s="20"/>
    </row>
    <row r="358">
      <c r="A358" s="320"/>
      <c r="B358" s="164"/>
      <c r="C358" s="320"/>
      <c r="D358" s="164"/>
      <c r="E358" s="320"/>
      <c r="F358" s="164"/>
      <c r="G358" s="320"/>
      <c r="H358" s="164"/>
      <c r="I358" s="320"/>
      <c r="J358" s="164"/>
      <c r="K358" s="320"/>
      <c r="L358" s="164"/>
      <c r="M358" s="320"/>
      <c r="N358" s="164"/>
      <c r="O358" s="320"/>
      <c r="P358" s="164"/>
      <c r="Q358" s="333"/>
      <c r="R358" s="18"/>
      <c r="S358" s="20"/>
      <c r="T358" s="20"/>
      <c r="U358" s="20"/>
      <c r="V358" s="20"/>
      <c r="W358" s="20"/>
      <c r="X358" s="20"/>
      <c r="Y358" s="20"/>
      <c r="Z358" s="20"/>
    </row>
    <row r="359">
      <c r="A359" s="320"/>
      <c r="B359" s="164"/>
      <c r="C359" s="320"/>
      <c r="D359" s="164"/>
      <c r="E359" s="320"/>
      <c r="F359" s="164"/>
      <c r="G359" s="320"/>
      <c r="H359" s="164"/>
      <c r="I359" s="320"/>
      <c r="J359" s="164"/>
      <c r="K359" s="320"/>
      <c r="L359" s="164"/>
      <c r="M359" s="320"/>
      <c r="N359" s="164"/>
      <c r="O359" s="320"/>
      <c r="P359" s="164"/>
      <c r="Q359" s="333"/>
      <c r="R359" s="18"/>
      <c r="S359" s="20"/>
      <c r="T359" s="20"/>
      <c r="U359" s="20"/>
      <c r="V359" s="20"/>
      <c r="W359" s="20"/>
      <c r="X359" s="20"/>
      <c r="Y359" s="20"/>
      <c r="Z359" s="20"/>
    </row>
    <row r="360">
      <c r="A360" s="320"/>
      <c r="B360" s="164"/>
      <c r="C360" s="320"/>
      <c r="D360" s="164"/>
      <c r="E360" s="320"/>
      <c r="F360" s="164"/>
      <c r="G360" s="320"/>
      <c r="H360" s="164"/>
      <c r="I360" s="320"/>
      <c r="J360" s="164"/>
      <c r="K360" s="320"/>
      <c r="L360" s="164"/>
      <c r="M360" s="320"/>
      <c r="N360" s="164"/>
      <c r="O360" s="320"/>
      <c r="P360" s="164"/>
      <c r="Q360" s="333"/>
      <c r="R360" s="18"/>
      <c r="S360" s="20"/>
      <c r="T360" s="20"/>
      <c r="U360" s="20"/>
      <c r="V360" s="20"/>
      <c r="W360" s="20"/>
      <c r="X360" s="20"/>
      <c r="Y360" s="20"/>
      <c r="Z360" s="20"/>
    </row>
    <row r="361">
      <c r="A361" s="320"/>
      <c r="B361" s="164"/>
      <c r="C361" s="320"/>
      <c r="D361" s="164"/>
      <c r="E361" s="320"/>
      <c r="F361" s="164"/>
      <c r="G361" s="320"/>
      <c r="H361" s="164"/>
      <c r="I361" s="320"/>
      <c r="J361" s="164"/>
      <c r="K361" s="320"/>
      <c r="L361" s="164"/>
      <c r="M361" s="320"/>
      <c r="N361" s="164"/>
      <c r="O361" s="320"/>
      <c r="P361" s="164"/>
      <c r="Q361" s="333"/>
      <c r="R361" s="18"/>
      <c r="S361" s="20"/>
      <c r="T361" s="20"/>
      <c r="U361" s="20"/>
      <c r="V361" s="20"/>
      <c r="W361" s="20"/>
      <c r="X361" s="20"/>
      <c r="Y361" s="20"/>
      <c r="Z361" s="20"/>
    </row>
    <row r="362">
      <c r="A362" s="320"/>
      <c r="B362" s="164"/>
      <c r="C362" s="320"/>
      <c r="D362" s="164"/>
      <c r="E362" s="320"/>
      <c r="F362" s="164"/>
      <c r="G362" s="320"/>
      <c r="H362" s="164"/>
      <c r="I362" s="320"/>
      <c r="J362" s="164"/>
      <c r="K362" s="320"/>
      <c r="L362" s="164"/>
      <c r="M362" s="320"/>
      <c r="N362" s="164"/>
      <c r="O362" s="320"/>
      <c r="P362" s="164"/>
      <c r="Q362" s="333"/>
      <c r="R362" s="18"/>
      <c r="S362" s="20"/>
      <c r="T362" s="20"/>
      <c r="U362" s="20"/>
      <c r="V362" s="20"/>
      <c r="W362" s="20"/>
      <c r="X362" s="20"/>
      <c r="Y362" s="20"/>
      <c r="Z362" s="20"/>
    </row>
    <row r="363">
      <c r="A363" s="320"/>
      <c r="B363" s="164"/>
      <c r="C363" s="320"/>
      <c r="D363" s="164"/>
      <c r="E363" s="320"/>
      <c r="F363" s="164"/>
      <c r="G363" s="320"/>
      <c r="H363" s="164"/>
      <c r="I363" s="320"/>
      <c r="J363" s="164"/>
      <c r="K363" s="320"/>
      <c r="L363" s="164"/>
      <c r="M363" s="320"/>
      <c r="N363" s="164"/>
      <c r="O363" s="320"/>
      <c r="P363" s="164"/>
      <c r="Q363" s="333"/>
      <c r="R363" s="18"/>
      <c r="S363" s="20"/>
      <c r="T363" s="20"/>
      <c r="U363" s="20"/>
      <c r="V363" s="20"/>
      <c r="W363" s="20"/>
      <c r="X363" s="20"/>
      <c r="Y363" s="20"/>
      <c r="Z363" s="20"/>
    </row>
    <row r="364">
      <c r="A364" s="320"/>
      <c r="B364" s="164"/>
      <c r="C364" s="320"/>
      <c r="D364" s="164"/>
      <c r="E364" s="320"/>
      <c r="F364" s="164"/>
      <c r="G364" s="320"/>
      <c r="H364" s="164"/>
      <c r="I364" s="320"/>
      <c r="J364" s="164"/>
      <c r="K364" s="320"/>
      <c r="L364" s="164"/>
      <c r="M364" s="320"/>
      <c r="N364" s="164"/>
      <c r="O364" s="320"/>
      <c r="P364" s="164"/>
      <c r="Q364" s="333"/>
      <c r="R364" s="18"/>
      <c r="S364" s="20"/>
      <c r="T364" s="20"/>
      <c r="U364" s="20"/>
      <c r="V364" s="20"/>
      <c r="W364" s="20"/>
      <c r="X364" s="20"/>
      <c r="Y364" s="20"/>
      <c r="Z364" s="20"/>
    </row>
    <row r="365">
      <c r="A365" s="320"/>
      <c r="B365" s="164"/>
      <c r="C365" s="320"/>
      <c r="D365" s="164"/>
      <c r="E365" s="320"/>
      <c r="F365" s="164"/>
      <c r="G365" s="320"/>
      <c r="H365" s="164"/>
      <c r="I365" s="320"/>
      <c r="J365" s="164"/>
      <c r="K365" s="320"/>
      <c r="L365" s="164"/>
      <c r="M365" s="320"/>
      <c r="N365" s="164"/>
      <c r="O365" s="320"/>
      <c r="P365" s="164"/>
      <c r="Q365" s="333"/>
      <c r="R365" s="18"/>
      <c r="S365" s="20"/>
      <c r="T365" s="20"/>
      <c r="U365" s="20"/>
      <c r="V365" s="20"/>
      <c r="W365" s="20"/>
      <c r="X365" s="20"/>
      <c r="Y365" s="20"/>
      <c r="Z365" s="20"/>
    </row>
    <row r="366">
      <c r="A366" s="320"/>
      <c r="B366" s="164"/>
      <c r="C366" s="320"/>
      <c r="D366" s="164"/>
      <c r="E366" s="320"/>
      <c r="F366" s="164"/>
      <c r="G366" s="320"/>
      <c r="H366" s="164"/>
      <c r="I366" s="320"/>
      <c r="J366" s="164"/>
      <c r="K366" s="320"/>
      <c r="L366" s="164"/>
      <c r="M366" s="320"/>
      <c r="N366" s="164"/>
      <c r="O366" s="320"/>
      <c r="P366" s="164"/>
      <c r="Q366" s="333"/>
      <c r="R366" s="18"/>
      <c r="S366" s="20"/>
      <c r="T366" s="20"/>
      <c r="U366" s="20"/>
      <c r="V366" s="20"/>
      <c r="W366" s="20"/>
      <c r="X366" s="20"/>
      <c r="Y366" s="20"/>
      <c r="Z366" s="20"/>
    </row>
    <row r="367">
      <c r="A367" s="320"/>
      <c r="B367" s="164"/>
      <c r="C367" s="320"/>
      <c r="D367" s="164"/>
      <c r="E367" s="320"/>
      <c r="F367" s="164"/>
      <c r="G367" s="320"/>
      <c r="H367" s="164"/>
      <c r="I367" s="320"/>
      <c r="J367" s="164"/>
      <c r="K367" s="320"/>
      <c r="L367" s="164"/>
      <c r="M367" s="320"/>
      <c r="N367" s="164"/>
      <c r="O367" s="320"/>
      <c r="P367" s="164"/>
      <c r="Q367" s="333"/>
      <c r="R367" s="18"/>
      <c r="S367" s="20"/>
      <c r="T367" s="20"/>
      <c r="U367" s="20"/>
      <c r="V367" s="20"/>
      <c r="W367" s="20"/>
      <c r="X367" s="20"/>
      <c r="Y367" s="20"/>
      <c r="Z367" s="20"/>
    </row>
    <row r="368">
      <c r="A368" s="320"/>
      <c r="B368" s="164"/>
      <c r="C368" s="320"/>
      <c r="D368" s="164"/>
      <c r="E368" s="320"/>
      <c r="F368" s="164"/>
      <c r="G368" s="320"/>
      <c r="H368" s="164"/>
      <c r="I368" s="320"/>
      <c r="J368" s="164"/>
      <c r="K368" s="320"/>
      <c r="L368" s="164"/>
      <c r="M368" s="320"/>
      <c r="N368" s="164"/>
      <c r="O368" s="320"/>
      <c r="P368" s="164"/>
      <c r="Q368" s="333"/>
      <c r="R368" s="18"/>
      <c r="S368" s="20"/>
      <c r="T368" s="20"/>
      <c r="U368" s="20"/>
      <c r="V368" s="20"/>
      <c r="W368" s="20"/>
      <c r="X368" s="20"/>
      <c r="Y368" s="20"/>
      <c r="Z368" s="20"/>
    </row>
    <row r="369">
      <c r="A369" s="320"/>
      <c r="B369" s="164"/>
      <c r="C369" s="320"/>
      <c r="D369" s="164"/>
      <c r="E369" s="320"/>
      <c r="F369" s="164"/>
      <c r="G369" s="320"/>
      <c r="H369" s="164"/>
      <c r="I369" s="320"/>
      <c r="J369" s="164"/>
      <c r="K369" s="320"/>
      <c r="L369" s="164"/>
      <c r="M369" s="320"/>
      <c r="N369" s="164"/>
      <c r="O369" s="320"/>
      <c r="P369" s="164"/>
      <c r="Q369" s="333"/>
      <c r="R369" s="18"/>
      <c r="S369" s="20"/>
      <c r="T369" s="20"/>
      <c r="U369" s="20"/>
      <c r="V369" s="20"/>
      <c r="W369" s="20"/>
      <c r="X369" s="20"/>
      <c r="Y369" s="20"/>
      <c r="Z369" s="20"/>
    </row>
    <row r="370">
      <c r="A370" s="320"/>
      <c r="B370" s="164"/>
      <c r="C370" s="320"/>
      <c r="D370" s="164"/>
      <c r="E370" s="320"/>
      <c r="F370" s="164"/>
      <c r="G370" s="320"/>
      <c r="H370" s="164"/>
      <c r="I370" s="320"/>
      <c r="J370" s="164"/>
      <c r="K370" s="320"/>
      <c r="L370" s="164"/>
      <c r="M370" s="320"/>
      <c r="N370" s="164"/>
      <c r="O370" s="320"/>
      <c r="P370" s="164"/>
      <c r="Q370" s="333"/>
      <c r="R370" s="18"/>
      <c r="S370" s="20"/>
      <c r="T370" s="20"/>
      <c r="U370" s="20"/>
      <c r="V370" s="20"/>
      <c r="W370" s="20"/>
      <c r="X370" s="20"/>
      <c r="Y370" s="20"/>
      <c r="Z370" s="20"/>
    </row>
    <row r="371">
      <c r="A371" s="320"/>
      <c r="B371" s="164"/>
      <c r="C371" s="320"/>
      <c r="D371" s="164"/>
      <c r="E371" s="320"/>
      <c r="F371" s="164"/>
      <c r="G371" s="320"/>
      <c r="H371" s="164"/>
      <c r="I371" s="320"/>
      <c r="J371" s="164"/>
      <c r="K371" s="320"/>
      <c r="L371" s="164"/>
      <c r="M371" s="320"/>
      <c r="N371" s="164"/>
      <c r="O371" s="320"/>
      <c r="P371" s="164"/>
      <c r="Q371" s="333"/>
      <c r="R371" s="18"/>
      <c r="S371" s="20"/>
      <c r="T371" s="20"/>
      <c r="U371" s="20"/>
      <c r="V371" s="20"/>
      <c r="W371" s="20"/>
      <c r="X371" s="20"/>
      <c r="Y371" s="20"/>
      <c r="Z371" s="20"/>
    </row>
    <row r="372">
      <c r="A372" s="320"/>
      <c r="B372" s="164"/>
      <c r="C372" s="320"/>
      <c r="D372" s="164"/>
      <c r="E372" s="320"/>
      <c r="F372" s="164"/>
      <c r="G372" s="320"/>
      <c r="H372" s="164"/>
      <c r="I372" s="320"/>
      <c r="J372" s="164"/>
      <c r="K372" s="320"/>
      <c r="L372" s="164"/>
      <c r="M372" s="320"/>
      <c r="N372" s="164"/>
      <c r="O372" s="320"/>
      <c r="P372" s="164"/>
      <c r="Q372" s="333"/>
      <c r="R372" s="18"/>
      <c r="S372" s="20"/>
      <c r="T372" s="20"/>
      <c r="U372" s="20"/>
      <c r="V372" s="20"/>
      <c r="W372" s="20"/>
      <c r="X372" s="20"/>
      <c r="Y372" s="20"/>
      <c r="Z372" s="20"/>
    </row>
    <row r="373">
      <c r="A373" s="320"/>
      <c r="B373" s="164"/>
      <c r="C373" s="320"/>
      <c r="D373" s="164"/>
      <c r="E373" s="320"/>
      <c r="F373" s="164"/>
      <c r="G373" s="320"/>
      <c r="H373" s="164"/>
      <c r="I373" s="320"/>
      <c r="J373" s="164"/>
      <c r="K373" s="320"/>
      <c r="L373" s="164"/>
      <c r="M373" s="320"/>
      <c r="N373" s="164"/>
      <c r="O373" s="320"/>
      <c r="P373" s="164"/>
      <c r="Q373" s="333"/>
      <c r="R373" s="18"/>
      <c r="S373" s="20"/>
      <c r="T373" s="20"/>
      <c r="U373" s="20"/>
      <c r="V373" s="20"/>
      <c r="W373" s="20"/>
      <c r="X373" s="20"/>
      <c r="Y373" s="20"/>
      <c r="Z373" s="20"/>
    </row>
    <row r="374">
      <c r="A374" s="320"/>
      <c r="B374" s="164"/>
      <c r="C374" s="320"/>
      <c r="D374" s="164"/>
      <c r="E374" s="320"/>
      <c r="F374" s="164"/>
      <c r="G374" s="320"/>
      <c r="H374" s="164"/>
      <c r="I374" s="320"/>
      <c r="J374" s="164"/>
      <c r="K374" s="320"/>
      <c r="L374" s="164"/>
      <c r="M374" s="320"/>
      <c r="N374" s="164"/>
      <c r="O374" s="320"/>
      <c r="P374" s="164"/>
      <c r="Q374" s="333"/>
      <c r="R374" s="18"/>
      <c r="S374" s="20"/>
      <c r="T374" s="20"/>
      <c r="U374" s="20"/>
      <c r="V374" s="20"/>
      <c r="W374" s="20"/>
      <c r="X374" s="20"/>
      <c r="Y374" s="20"/>
      <c r="Z374" s="20"/>
    </row>
    <row r="375">
      <c r="A375" s="320"/>
      <c r="B375" s="164"/>
      <c r="C375" s="320"/>
      <c r="D375" s="164"/>
      <c r="E375" s="320"/>
      <c r="F375" s="164"/>
      <c r="G375" s="320"/>
      <c r="H375" s="164"/>
      <c r="I375" s="320"/>
      <c r="J375" s="164"/>
      <c r="K375" s="320"/>
      <c r="L375" s="164"/>
      <c r="M375" s="320"/>
      <c r="N375" s="164"/>
      <c r="O375" s="320"/>
      <c r="P375" s="164"/>
      <c r="Q375" s="333"/>
      <c r="R375" s="18"/>
      <c r="S375" s="20"/>
      <c r="T375" s="20"/>
      <c r="U375" s="20"/>
      <c r="V375" s="20"/>
      <c r="W375" s="20"/>
      <c r="X375" s="20"/>
      <c r="Y375" s="20"/>
      <c r="Z375" s="20"/>
    </row>
    <row r="376">
      <c r="A376" s="320"/>
      <c r="B376" s="164"/>
      <c r="C376" s="320"/>
      <c r="D376" s="164"/>
      <c r="E376" s="320"/>
      <c r="F376" s="164"/>
      <c r="G376" s="320"/>
      <c r="H376" s="164"/>
      <c r="I376" s="320"/>
      <c r="J376" s="164"/>
      <c r="K376" s="320"/>
      <c r="L376" s="164"/>
      <c r="M376" s="320"/>
      <c r="N376" s="164"/>
      <c r="O376" s="320"/>
      <c r="P376" s="164"/>
      <c r="Q376" s="333"/>
      <c r="R376" s="18"/>
      <c r="S376" s="20"/>
      <c r="T376" s="20"/>
      <c r="U376" s="20"/>
      <c r="V376" s="20"/>
      <c r="W376" s="20"/>
      <c r="X376" s="20"/>
      <c r="Y376" s="20"/>
      <c r="Z376" s="20"/>
    </row>
    <row r="377">
      <c r="A377" s="320"/>
      <c r="B377" s="164"/>
      <c r="C377" s="320"/>
      <c r="D377" s="164"/>
      <c r="E377" s="320"/>
      <c r="F377" s="164"/>
      <c r="G377" s="320"/>
      <c r="H377" s="164"/>
      <c r="I377" s="320"/>
      <c r="J377" s="164"/>
      <c r="K377" s="320"/>
      <c r="L377" s="164"/>
      <c r="M377" s="320"/>
      <c r="N377" s="164"/>
      <c r="O377" s="320"/>
      <c r="P377" s="164"/>
      <c r="Q377" s="333"/>
      <c r="R377" s="18"/>
      <c r="S377" s="20"/>
      <c r="T377" s="20"/>
      <c r="U377" s="20"/>
      <c r="V377" s="20"/>
      <c r="W377" s="20"/>
      <c r="X377" s="20"/>
      <c r="Y377" s="20"/>
      <c r="Z377" s="20"/>
    </row>
    <row r="378">
      <c r="A378" s="320"/>
      <c r="B378" s="164"/>
      <c r="C378" s="320"/>
      <c r="D378" s="164"/>
      <c r="E378" s="320"/>
      <c r="F378" s="164"/>
      <c r="G378" s="320"/>
      <c r="H378" s="164"/>
      <c r="I378" s="320"/>
      <c r="J378" s="164"/>
      <c r="K378" s="320"/>
      <c r="L378" s="164"/>
      <c r="M378" s="320"/>
      <c r="N378" s="164"/>
      <c r="O378" s="320"/>
      <c r="P378" s="164"/>
      <c r="Q378" s="333"/>
      <c r="R378" s="18"/>
      <c r="S378" s="20"/>
      <c r="T378" s="20"/>
      <c r="U378" s="20"/>
      <c r="V378" s="20"/>
      <c r="W378" s="20"/>
      <c r="X378" s="20"/>
      <c r="Y378" s="20"/>
      <c r="Z378" s="20"/>
    </row>
    <row r="379">
      <c r="A379" s="320"/>
      <c r="B379" s="164"/>
      <c r="C379" s="320"/>
      <c r="D379" s="164"/>
      <c r="E379" s="320"/>
      <c r="F379" s="164"/>
      <c r="G379" s="320"/>
      <c r="H379" s="164"/>
      <c r="I379" s="320"/>
      <c r="J379" s="164"/>
      <c r="K379" s="320"/>
      <c r="L379" s="164"/>
      <c r="M379" s="320"/>
      <c r="N379" s="164"/>
      <c r="O379" s="320"/>
      <c r="P379" s="164"/>
      <c r="Q379" s="333"/>
      <c r="R379" s="18"/>
      <c r="S379" s="20"/>
      <c r="T379" s="20"/>
      <c r="U379" s="20"/>
      <c r="V379" s="20"/>
      <c r="W379" s="20"/>
      <c r="X379" s="20"/>
      <c r="Y379" s="20"/>
      <c r="Z379" s="20"/>
    </row>
    <row r="380">
      <c r="A380" s="320"/>
      <c r="B380" s="164"/>
      <c r="C380" s="320"/>
      <c r="D380" s="164"/>
      <c r="E380" s="320"/>
      <c r="F380" s="164"/>
      <c r="G380" s="320"/>
      <c r="H380" s="164"/>
      <c r="I380" s="320"/>
      <c r="J380" s="164"/>
      <c r="K380" s="320"/>
      <c r="L380" s="164"/>
      <c r="M380" s="320"/>
      <c r="N380" s="164"/>
      <c r="O380" s="320"/>
      <c r="P380" s="164"/>
      <c r="Q380" s="333"/>
      <c r="R380" s="18"/>
      <c r="S380" s="20"/>
      <c r="T380" s="20"/>
      <c r="U380" s="20"/>
      <c r="V380" s="20"/>
      <c r="W380" s="20"/>
      <c r="X380" s="20"/>
      <c r="Y380" s="20"/>
      <c r="Z380" s="20"/>
    </row>
    <row r="381">
      <c r="A381" s="320"/>
      <c r="B381" s="164"/>
      <c r="C381" s="320"/>
      <c r="D381" s="164"/>
      <c r="E381" s="320"/>
      <c r="F381" s="164"/>
      <c r="G381" s="320"/>
      <c r="H381" s="164"/>
      <c r="I381" s="320"/>
      <c r="J381" s="164"/>
      <c r="K381" s="320"/>
      <c r="L381" s="164"/>
      <c r="M381" s="320"/>
      <c r="N381" s="164"/>
      <c r="O381" s="320"/>
      <c r="P381" s="164"/>
      <c r="Q381" s="333"/>
      <c r="R381" s="18"/>
      <c r="S381" s="20"/>
      <c r="T381" s="20"/>
      <c r="U381" s="20"/>
      <c r="V381" s="20"/>
      <c r="W381" s="20"/>
      <c r="X381" s="20"/>
      <c r="Y381" s="20"/>
      <c r="Z381" s="20"/>
    </row>
    <row r="382">
      <c r="A382" s="320"/>
      <c r="B382" s="164"/>
      <c r="C382" s="320"/>
      <c r="D382" s="164"/>
      <c r="E382" s="320"/>
      <c r="F382" s="164"/>
      <c r="G382" s="320"/>
      <c r="H382" s="164"/>
      <c r="I382" s="320"/>
      <c r="J382" s="164"/>
      <c r="K382" s="320"/>
      <c r="L382" s="164"/>
      <c r="M382" s="320"/>
      <c r="N382" s="164"/>
      <c r="O382" s="320"/>
      <c r="P382" s="164"/>
      <c r="Q382" s="333"/>
      <c r="R382" s="18"/>
      <c r="S382" s="20"/>
      <c r="T382" s="20"/>
      <c r="U382" s="20"/>
      <c r="V382" s="20"/>
      <c r="W382" s="20"/>
      <c r="X382" s="20"/>
      <c r="Y382" s="20"/>
      <c r="Z382" s="20"/>
    </row>
    <row r="383">
      <c r="A383" s="320"/>
      <c r="B383" s="164"/>
      <c r="C383" s="320"/>
      <c r="D383" s="164"/>
      <c r="E383" s="320"/>
      <c r="F383" s="164"/>
      <c r="G383" s="320"/>
      <c r="H383" s="164"/>
      <c r="I383" s="320"/>
      <c r="J383" s="164"/>
      <c r="K383" s="320"/>
      <c r="L383" s="164"/>
      <c r="M383" s="320"/>
      <c r="N383" s="164"/>
      <c r="O383" s="320"/>
      <c r="P383" s="164"/>
      <c r="Q383" s="333"/>
      <c r="R383" s="18"/>
      <c r="S383" s="20"/>
      <c r="T383" s="20"/>
      <c r="U383" s="20"/>
      <c r="V383" s="20"/>
      <c r="W383" s="20"/>
      <c r="X383" s="20"/>
      <c r="Y383" s="20"/>
      <c r="Z383" s="20"/>
    </row>
    <row r="384">
      <c r="A384" s="320"/>
      <c r="B384" s="164"/>
      <c r="C384" s="320"/>
      <c r="D384" s="164"/>
      <c r="E384" s="320"/>
      <c r="F384" s="164"/>
      <c r="G384" s="320"/>
      <c r="H384" s="164"/>
      <c r="I384" s="320"/>
      <c r="J384" s="164"/>
      <c r="K384" s="320"/>
      <c r="L384" s="164"/>
      <c r="M384" s="320"/>
      <c r="N384" s="164"/>
      <c r="O384" s="320"/>
      <c r="P384" s="164"/>
      <c r="Q384" s="333"/>
      <c r="R384" s="18"/>
      <c r="S384" s="20"/>
      <c r="T384" s="20"/>
      <c r="U384" s="20"/>
      <c r="V384" s="20"/>
      <c r="W384" s="20"/>
      <c r="X384" s="20"/>
      <c r="Y384" s="20"/>
      <c r="Z384" s="20"/>
    </row>
    <row r="385">
      <c r="A385" s="320"/>
      <c r="B385" s="164"/>
      <c r="C385" s="320"/>
      <c r="D385" s="164"/>
      <c r="E385" s="320"/>
      <c r="F385" s="164"/>
      <c r="G385" s="320"/>
      <c r="H385" s="164"/>
      <c r="I385" s="320"/>
      <c r="J385" s="164"/>
      <c r="K385" s="320"/>
      <c r="L385" s="164"/>
      <c r="M385" s="320"/>
      <c r="N385" s="164"/>
      <c r="O385" s="320"/>
      <c r="P385" s="164"/>
      <c r="Q385" s="333"/>
      <c r="R385" s="18"/>
      <c r="S385" s="20"/>
      <c r="T385" s="20"/>
      <c r="U385" s="20"/>
      <c r="V385" s="20"/>
      <c r="W385" s="20"/>
      <c r="X385" s="20"/>
      <c r="Y385" s="20"/>
      <c r="Z385" s="20"/>
    </row>
    <row r="386">
      <c r="A386" s="320"/>
      <c r="B386" s="164"/>
      <c r="C386" s="320"/>
      <c r="D386" s="164"/>
      <c r="E386" s="320"/>
      <c r="F386" s="164"/>
      <c r="G386" s="320"/>
      <c r="H386" s="164"/>
      <c r="I386" s="320"/>
      <c r="J386" s="164"/>
      <c r="K386" s="320"/>
      <c r="L386" s="164"/>
      <c r="M386" s="320"/>
      <c r="N386" s="164"/>
      <c r="O386" s="320"/>
      <c r="P386" s="164"/>
      <c r="Q386" s="333"/>
      <c r="R386" s="18"/>
      <c r="S386" s="20"/>
      <c r="T386" s="20"/>
      <c r="U386" s="20"/>
      <c r="V386" s="20"/>
      <c r="W386" s="20"/>
      <c r="X386" s="20"/>
      <c r="Y386" s="20"/>
      <c r="Z386" s="20"/>
    </row>
    <row r="387">
      <c r="A387" s="320"/>
      <c r="B387" s="164"/>
      <c r="C387" s="320"/>
      <c r="D387" s="164"/>
      <c r="E387" s="320"/>
      <c r="F387" s="164"/>
      <c r="G387" s="320"/>
      <c r="H387" s="164"/>
      <c r="I387" s="320"/>
      <c r="J387" s="164"/>
      <c r="K387" s="320"/>
      <c r="L387" s="164"/>
      <c r="M387" s="320"/>
      <c r="N387" s="164"/>
      <c r="O387" s="320"/>
      <c r="P387" s="164"/>
      <c r="Q387" s="333"/>
      <c r="R387" s="18"/>
      <c r="S387" s="20"/>
      <c r="T387" s="20"/>
      <c r="U387" s="20"/>
      <c r="V387" s="20"/>
      <c r="W387" s="20"/>
      <c r="X387" s="20"/>
      <c r="Y387" s="20"/>
      <c r="Z387" s="20"/>
    </row>
    <row r="388">
      <c r="A388" s="320"/>
      <c r="B388" s="164"/>
      <c r="C388" s="320"/>
      <c r="D388" s="164"/>
      <c r="E388" s="320"/>
      <c r="F388" s="164"/>
      <c r="G388" s="320"/>
      <c r="H388" s="164"/>
      <c r="I388" s="320"/>
      <c r="J388" s="164"/>
      <c r="K388" s="320"/>
      <c r="L388" s="164"/>
      <c r="M388" s="320"/>
      <c r="N388" s="164"/>
      <c r="O388" s="320"/>
      <c r="P388" s="164"/>
      <c r="Q388" s="333"/>
      <c r="R388" s="18"/>
      <c r="S388" s="20"/>
      <c r="T388" s="20"/>
      <c r="U388" s="20"/>
      <c r="V388" s="20"/>
      <c r="W388" s="20"/>
      <c r="X388" s="20"/>
      <c r="Y388" s="20"/>
      <c r="Z388" s="20"/>
    </row>
    <row r="389">
      <c r="A389" s="320"/>
      <c r="B389" s="164"/>
      <c r="C389" s="320"/>
      <c r="D389" s="164"/>
      <c r="E389" s="320"/>
      <c r="F389" s="164"/>
      <c r="G389" s="320"/>
      <c r="H389" s="164"/>
      <c r="I389" s="320"/>
      <c r="J389" s="164"/>
      <c r="K389" s="320"/>
      <c r="L389" s="164"/>
      <c r="M389" s="320"/>
      <c r="N389" s="164"/>
      <c r="O389" s="320"/>
      <c r="P389" s="164"/>
      <c r="Q389" s="333"/>
      <c r="R389" s="18"/>
      <c r="S389" s="20"/>
      <c r="T389" s="20"/>
      <c r="U389" s="20"/>
      <c r="V389" s="20"/>
      <c r="W389" s="20"/>
      <c r="X389" s="20"/>
      <c r="Y389" s="20"/>
      <c r="Z389" s="20"/>
    </row>
    <row r="390">
      <c r="A390" s="320"/>
      <c r="B390" s="164"/>
      <c r="C390" s="320"/>
      <c r="D390" s="164"/>
      <c r="E390" s="320"/>
      <c r="F390" s="164"/>
      <c r="G390" s="320"/>
      <c r="H390" s="164"/>
      <c r="I390" s="320"/>
      <c r="J390" s="164"/>
      <c r="K390" s="320"/>
      <c r="L390" s="164"/>
      <c r="M390" s="320"/>
      <c r="N390" s="164"/>
      <c r="O390" s="320"/>
      <c r="P390" s="164"/>
      <c r="Q390" s="333"/>
      <c r="R390" s="18"/>
      <c r="S390" s="20"/>
      <c r="T390" s="20"/>
      <c r="U390" s="20"/>
      <c r="V390" s="20"/>
      <c r="W390" s="20"/>
      <c r="X390" s="20"/>
      <c r="Y390" s="20"/>
      <c r="Z390" s="20"/>
    </row>
    <row r="391">
      <c r="A391" s="320"/>
      <c r="B391" s="164"/>
      <c r="C391" s="320"/>
      <c r="D391" s="164"/>
      <c r="E391" s="320"/>
      <c r="F391" s="164"/>
      <c r="G391" s="320"/>
      <c r="H391" s="164"/>
      <c r="I391" s="320"/>
      <c r="J391" s="164"/>
      <c r="K391" s="320"/>
      <c r="L391" s="164"/>
      <c r="M391" s="320"/>
      <c r="N391" s="164"/>
      <c r="O391" s="320"/>
      <c r="P391" s="164"/>
      <c r="Q391" s="333"/>
      <c r="R391" s="18"/>
      <c r="S391" s="20"/>
      <c r="T391" s="20"/>
      <c r="U391" s="20"/>
      <c r="V391" s="20"/>
      <c r="W391" s="20"/>
      <c r="X391" s="20"/>
      <c r="Y391" s="20"/>
      <c r="Z391" s="20"/>
    </row>
    <row r="392">
      <c r="A392" s="320"/>
      <c r="B392" s="164"/>
      <c r="C392" s="320"/>
      <c r="D392" s="164"/>
      <c r="E392" s="320"/>
      <c r="F392" s="164"/>
      <c r="G392" s="320"/>
      <c r="H392" s="164"/>
      <c r="I392" s="320"/>
      <c r="J392" s="164"/>
      <c r="K392" s="320"/>
      <c r="L392" s="164"/>
      <c r="M392" s="320"/>
      <c r="N392" s="164"/>
      <c r="O392" s="320"/>
      <c r="P392" s="164"/>
      <c r="Q392" s="333"/>
      <c r="R392" s="18"/>
      <c r="S392" s="20"/>
      <c r="T392" s="20"/>
      <c r="U392" s="20"/>
      <c r="V392" s="20"/>
      <c r="W392" s="20"/>
      <c r="X392" s="20"/>
      <c r="Y392" s="20"/>
      <c r="Z392" s="20"/>
    </row>
    <row r="393">
      <c r="A393" s="320"/>
      <c r="B393" s="164"/>
      <c r="C393" s="320"/>
      <c r="D393" s="164"/>
      <c r="E393" s="320"/>
      <c r="F393" s="164"/>
      <c r="G393" s="320"/>
      <c r="H393" s="164"/>
      <c r="I393" s="320"/>
      <c r="J393" s="164"/>
      <c r="K393" s="320"/>
      <c r="L393" s="164"/>
      <c r="M393" s="320"/>
      <c r="N393" s="164"/>
      <c r="O393" s="320"/>
      <c r="P393" s="164"/>
      <c r="Q393" s="333"/>
      <c r="R393" s="18"/>
      <c r="S393" s="20"/>
      <c r="T393" s="20"/>
      <c r="U393" s="20"/>
      <c r="V393" s="20"/>
      <c r="W393" s="20"/>
      <c r="X393" s="20"/>
      <c r="Y393" s="20"/>
      <c r="Z393" s="20"/>
    </row>
    <row r="394">
      <c r="A394" s="320"/>
      <c r="B394" s="164"/>
      <c r="C394" s="320"/>
      <c r="D394" s="164"/>
      <c r="E394" s="320"/>
      <c r="F394" s="164"/>
      <c r="G394" s="320"/>
      <c r="H394" s="164"/>
      <c r="I394" s="320"/>
      <c r="J394" s="164"/>
      <c r="K394" s="320"/>
      <c r="L394" s="164"/>
      <c r="M394" s="320"/>
      <c r="N394" s="164"/>
      <c r="O394" s="320"/>
      <c r="P394" s="164"/>
      <c r="Q394" s="333"/>
      <c r="R394" s="18"/>
      <c r="S394" s="20"/>
      <c r="T394" s="20"/>
      <c r="U394" s="20"/>
      <c r="V394" s="20"/>
      <c r="W394" s="20"/>
      <c r="X394" s="20"/>
      <c r="Y394" s="20"/>
      <c r="Z394" s="20"/>
    </row>
    <row r="395">
      <c r="A395" s="320"/>
      <c r="B395" s="164"/>
      <c r="C395" s="320"/>
      <c r="D395" s="164"/>
      <c r="E395" s="320"/>
      <c r="F395" s="164"/>
      <c r="G395" s="320"/>
      <c r="H395" s="164"/>
      <c r="I395" s="320"/>
      <c r="J395" s="164"/>
      <c r="K395" s="320"/>
      <c r="L395" s="164"/>
      <c r="M395" s="320"/>
      <c r="N395" s="164"/>
      <c r="O395" s="320"/>
      <c r="P395" s="164"/>
      <c r="Q395" s="333"/>
      <c r="R395" s="18"/>
      <c r="S395" s="20"/>
      <c r="T395" s="20"/>
      <c r="U395" s="20"/>
      <c r="V395" s="20"/>
      <c r="W395" s="20"/>
      <c r="X395" s="20"/>
      <c r="Y395" s="20"/>
      <c r="Z395" s="20"/>
    </row>
    <row r="396">
      <c r="A396" s="320"/>
      <c r="B396" s="164"/>
      <c r="C396" s="320"/>
      <c r="D396" s="164"/>
      <c r="E396" s="320"/>
      <c r="F396" s="164"/>
      <c r="G396" s="320"/>
      <c r="H396" s="164"/>
      <c r="I396" s="320"/>
      <c r="J396" s="164"/>
      <c r="K396" s="320"/>
      <c r="L396" s="164"/>
      <c r="M396" s="320"/>
      <c r="N396" s="164"/>
      <c r="O396" s="320"/>
      <c r="P396" s="164"/>
      <c r="Q396" s="333"/>
      <c r="R396" s="18"/>
      <c r="S396" s="20"/>
      <c r="T396" s="20"/>
      <c r="U396" s="20"/>
      <c r="V396" s="20"/>
      <c r="W396" s="20"/>
      <c r="X396" s="20"/>
      <c r="Y396" s="20"/>
      <c r="Z396" s="20"/>
    </row>
    <row r="397">
      <c r="A397" s="320"/>
      <c r="B397" s="164"/>
      <c r="C397" s="320"/>
      <c r="D397" s="164"/>
      <c r="E397" s="320"/>
      <c r="F397" s="164"/>
      <c r="G397" s="320"/>
      <c r="H397" s="164"/>
      <c r="I397" s="320"/>
      <c r="J397" s="164"/>
      <c r="K397" s="320"/>
      <c r="L397" s="164"/>
      <c r="M397" s="320"/>
      <c r="N397" s="164"/>
      <c r="O397" s="320"/>
      <c r="P397" s="164"/>
      <c r="Q397" s="333"/>
      <c r="R397" s="18"/>
      <c r="S397" s="20"/>
      <c r="T397" s="20"/>
      <c r="U397" s="20"/>
      <c r="V397" s="20"/>
      <c r="W397" s="20"/>
      <c r="X397" s="20"/>
      <c r="Y397" s="20"/>
      <c r="Z397" s="20"/>
    </row>
    <row r="398">
      <c r="A398" s="320"/>
      <c r="B398" s="164"/>
      <c r="C398" s="320"/>
      <c r="D398" s="164"/>
      <c r="E398" s="320"/>
      <c r="F398" s="164"/>
      <c r="G398" s="320"/>
      <c r="H398" s="164"/>
      <c r="I398" s="320"/>
      <c r="J398" s="164"/>
      <c r="K398" s="320"/>
      <c r="L398" s="164"/>
      <c r="M398" s="320"/>
      <c r="N398" s="164"/>
      <c r="O398" s="320"/>
      <c r="P398" s="164"/>
      <c r="Q398" s="333"/>
      <c r="R398" s="18"/>
      <c r="S398" s="20"/>
      <c r="T398" s="20"/>
      <c r="U398" s="20"/>
      <c r="V398" s="20"/>
      <c r="W398" s="20"/>
      <c r="X398" s="20"/>
      <c r="Y398" s="20"/>
      <c r="Z398" s="20"/>
    </row>
    <row r="399">
      <c r="A399" s="320"/>
      <c r="B399" s="164"/>
      <c r="C399" s="320"/>
      <c r="D399" s="164"/>
      <c r="E399" s="320"/>
      <c r="F399" s="164"/>
      <c r="G399" s="320"/>
      <c r="H399" s="164"/>
      <c r="I399" s="320"/>
      <c r="J399" s="164"/>
      <c r="K399" s="320"/>
      <c r="L399" s="164"/>
      <c r="M399" s="320"/>
      <c r="N399" s="164"/>
      <c r="O399" s="320"/>
      <c r="P399" s="164"/>
      <c r="Q399" s="333"/>
      <c r="R399" s="18"/>
      <c r="S399" s="20"/>
      <c r="T399" s="20"/>
      <c r="U399" s="20"/>
      <c r="V399" s="20"/>
      <c r="W399" s="20"/>
      <c r="X399" s="20"/>
      <c r="Y399" s="20"/>
      <c r="Z399" s="20"/>
    </row>
    <row r="400">
      <c r="A400" s="320"/>
      <c r="B400" s="164"/>
      <c r="C400" s="320"/>
      <c r="D400" s="164"/>
      <c r="E400" s="320"/>
      <c r="F400" s="164"/>
      <c r="G400" s="320"/>
      <c r="H400" s="164"/>
      <c r="I400" s="320"/>
      <c r="J400" s="164"/>
      <c r="K400" s="320"/>
      <c r="L400" s="164"/>
      <c r="M400" s="320"/>
      <c r="N400" s="164"/>
      <c r="O400" s="320"/>
      <c r="P400" s="164"/>
      <c r="Q400" s="333"/>
      <c r="R400" s="18"/>
      <c r="S400" s="20"/>
      <c r="T400" s="20"/>
      <c r="U400" s="20"/>
      <c r="V400" s="20"/>
      <c r="W400" s="20"/>
      <c r="X400" s="20"/>
      <c r="Y400" s="20"/>
      <c r="Z400" s="20"/>
    </row>
    <row r="401">
      <c r="A401" s="320"/>
      <c r="B401" s="164"/>
      <c r="C401" s="320"/>
      <c r="D401" s="164"/>
      <c r="E401" s="320"/>
      <c r="F401" s="164"/>
      <c r="G401" s="320"/>
      <c r="H401" s="164"/>
      <c r="I401" s="320"/>
      <c r="J401" s="164"/>
      <c r="K401" s="320"/>
      <c r="L401" s="164"/>
      <c r="M401" s="320"/>
      <c r="N401" s="164"/>
      <c r="O401" s="320"/>
      <c r="P401" s="164"/>
      <c r="Q401" s="333"/>
      <c r="R401" s="18"/>
      <c r="S401" s="20"/>
      <c r="T401" s="20"/>
      <c r="U401" s="20"/>
      <c r="V401" s="20"/>
      <c r="W401" s="20"/>
      <c r="X401" s="20"/>
      <c r="Y401" s="20"/>
      <c r="Z401" s="20"/>
    </row>
    <row r="402">
      <c r="A402" s="320"/>
      <c r="B402" s="164"/>
      <c r="C402" s="320"/>
      <c r="D402" s="164"/>
      <c r="E402" s="320"/>
      <c r="F402" s="164"/>
      <c r="G402" s="320"/>
      <c r="H402" s="164"/>
      <c r="I402" s="320"/>
      <c r="J402" s="164"/>
      <c r="K402" s="320"/>
      <c r="L402" s="164"/>
      <c r="M402" s="320"/>
      <c r="N402" s="164"/>
      <c r="O402" s="320"/>
      <c r="P402" s="164"/>
      <c r="Q402" s="333"/>
      <c r="R402" s="18"/>
      <c r="S402" s="20"/>
      <c r="T402" s="20"/>
      <c r="U402" s="20"/>
      <c r="V402" s="20"/>
      <c r="W402" s="20"/>
      <c r="X402" s="20"/>
      <c r="Y402" s="20"/>
      <c r="Z402" s="20"/>
    </row>
    <row r="403">
      <c r="A403" s="320"/>
      <c r="B403" s="164"/>
      <c r="C403" s="320"/>
      <c r="D403" s="164"/>
      <c r="E403" s="320"/>
      <c r="F403" s="164"/>
      <c r="G403" s="320"/>
      <c r="H403" s="164"/>
      <c r="I403" s="320"/>
      <c r="J403" s="164"/>
      <c r="K403" s="320"/>
      <c r="L403" s="164"/>
      <c r="M403" s="320"/>
      <c r="N403" s="164"/>
      <c r="O403" s="320"/>
      <c r="P403" s="164"/>
      <c r="Q403" s="333"/>
      <c r="R403" s="18"/>
      <c r="S403" s="20"/>
      <c r="T403" s="20"/>
      <c r="U403" s="20"/>
      <c r="V403" s="20"/>
      <c r="W403" s="20"/>
      <c r="X403" s="20"/>
      <c r="Y403" s="20"/>
      <c r="Z403" s="20"/>
    </row>
    <row r="404">
      <c r="A404" s="320"/>
      <c r="B404" s="164"/>
      <c r="C404" s="320"/>
      <c r="D404" s="164"/>
      <c r="E404" s="320"/>
      <c r="F404" s="164"/>
      <c r="G404" s="320"/>
      <c r="H404" s="164"/>
      <c r="I404" s="320"/>
      <c r="J404" s="164"/>
      <c r="K404" s="320"/>
      <c r="L404" s="164"/>
      <c r="M404" s="320"/>
      <c r="N404" s="164"/>
      <c r="O404" s="320"/>
      <c r="P404" s="164"/>
      <c r="Q404" s="333"/>
      <c r="R404" s="18"/>
      <c r="S404" s="20"/>
      <c r="T404" s="20"/>
      <c r="U404" s="20"/>
      <c r="V404" s="20"/>
      <c r="W404" s="20"/>
      <c r="X404" s="20"/>
      <c r="Y404" s="20"/>
      <c r="Z404" s="20"/>
    </row>
    <row r="405">
      <c r="A405" s="320"/>
      <c r="B405" s="164"/>
      <c r="C405" s="320"/>
      <c r="D405" s="164"/>
      <c r="E405" s="320"/>
      <c r="F405" s="164"/>
      <c r="G405" s="320"/>
      <c r="H405" s="164"/>
      <c r="I405" s="320"/>
      <c r="J405" s="164"/>
      <c r="K405" s="320"/>
      <c r="L405" s="164"/>
      <c r="M405" s="320"/>
      <c r="N405" s="164"/>
      <c r="O405" s="320"/>
      <c r="P405" s="164"/>
      <c r="Q405" s="333"/>
      <c r="R405" s="18"/>
      <c r="S405" s="20"/>
      <c r="T405" s="20"/>
      <c r="U405" s="20"/>
      <c r="V405" s="20"/>
      <c r="W405" s="20"/>
      <c r="X405" s="20"/>
      <c r="Y405" s="20"/>
      <c r="Z405" s="20"/>
    </row>
    <row r="406">
      <c r="A406" s="320"/>
      <c r="B406" s="164"/>
      <c r="C406" s="320"/>
      <c r="D406" s="164"/>
      <c r="E406" s="320"/>
      <c r="F406" s="164"/>
      <c r="G406" s="320"/>
      <c r="H406" s="164"/>
      <c r="I406" s="320"/>
      <c r="J406" s="164"/>
      <c r="K406" s="320"/>
      <c r="L406" s="164"/>
      <c r="M406" s="320"/>
      <c r="N406" s="164"/>
      <c r="O406" s="320"/>
      <c r="P406" s="164"/>
      <c r="Q406" s="333"/>
      <c r="R406" s="18"/>
      <c r="S406" s="20"/>
      <c r="T406" s="20"/>
      <c r="U406" s="20"/>
      <c r="V406" s="20"/>
      <c r="W406" s="20"/>
      <c r="X406" s="20"/>
      <c r="Y406" s="20"/>
      <c r="Z406" s="20"/>
    </row>
    <row r="407">
      <c r="A407" s="320"/>
      <c r="B407" s="164"/>
      <c r="C407" s="320"/>
      <c r="D407" s="164"/>
      <c r="E407" s="320"/>
      <c r="F407" s="164"/>
      <c r="G407" s="320"/>
      <c r="H407" s="164"/>
      <c r="I407" s="320"/>
      <c r="J407" s="164"/>
      <c r="K407" s="320"/>
      <c r="L407" s="164"/>
      <c r="M407" s="320"/>
      <c r="N407" s="164"/>
      <c r="O407" s="320"/>
      <c r="P407" s="164"/>
      <c r="Q407" s="333"/>
      <c r="R407" s="18"/>
      <c r="S407" s="20"/>
      <c r="T407" s="20"/>
      <c r="U407" s="20"/>
      <c r="V407" s="20"/>
      <c r="W407" s="20"/>
      <c r="X407" s="20"/>
      <c r="Y407" s="20"/>
      <c r="Z407" s="20"/>
    </row>
    <row r="408">
      <c r="A408" s="320"/>
      <c r="B408" s="164"/>
      <c r="C408" s="320"/>
      <c r="D408" s="164"/>
      <c r="E408" s="320"/>
      <c r="F408" s="164"/>
      <c r="G408" s="320"/>
      <c r="H408" s="164"/>
      <c r="I408" s="320"/>
      <c r="J408" s="164"/>
      <c r="K408" s="320"/>
      <c r="L408" s="164"/>
      <c r="M408" s="320"/>
      <c r="N408" s="164"/>
      <c r="O408" s="320"/>
      <c r="P408" s="164"/>
      <c r="Q408" s="333"/>
      <c r="R408" s="18"/>
      <c r="S408" s="20"/>
      <c r="T408" s="20"/>
      <c r="U408" s="20"/>
      <c r="V408" s="20"/>
      <c r="W408" s="20"/>
      <c r="X408" s="20"/>
      <c r="Y408" s="20"/>
      <c r="Z408" s="20"/>
    </row>
    <row r="409">
      <c r="A409" s="320"/>
      <c r="B409" s="164"/>
      <c r="C409" s="320"/>
      <c r="D409" s="164"/>
      <c r="E409" s="320"/>
      <c r="F409" s="164"/>
      <c r="G409" s="320"/>
      <c r="H409" s="164"/>
      <c r="I409" s="320"/>
      <c r="J409" s="164"/>
      <c r="K409" s="320"/>
      <c r="L409" s="164"/>
      <c r="M409" s="320"/>
      <c r="N409" s="164"/>
      <c r="O409" s="320"/>
      <c r="P409" s="164"/>
      <c r="Q409" s="333"/>
      <c r="R409" s="18"/>
      <c r="S409" s="20"/>
      <c r="T409" s="20"/>
      <c r="U409" s="20"/>
      <c r="V409" s="20"/>
      <c r="W409" s="20"/>
      <c r="X409" s="20"/>
      <c r="Y409" s="20"/>
      <c r="Z409" s="20"/>
    </row>
    <row r="410">
      <c r="A410" s="320"/>
      <c r="B410" s="164"/>
      <c r="C410" s="320"/>
      <c r="D410" s="164"/>
      <c r="E410" s="320"/>
      <c r="F410" s="164"/>
      <c r="G410" s="320"/>
      <c r="H410" s="164"/>
      <c r="I410" s="320"/>
      <c r="J410" s="164"/>
      <c r="K410" s="320"/>
      <c r="L410" s="164"/>
      <c r="M410" s="320"/>
      <c r="N410" s="164"/>
      <c r="O410" s="320"/>
      <c r="P410" s="164"/>
      <c r="Q410" s="333"/>
      <c r="R410" s="18"/>
      <c r="S410" s="20"/>
      <c r="T410" s="20"/>
      <c r="U410" s="20"/>
      <c r="V410" s="20"/>
      <c r="W410" s="20"/>
      <c r="X410" s="20"/>
      <c r="Y410" s="20"/>
      <c r="Z410" s="20"/>
    </row>
    <row r="411">
      <c r="A411" s="320"/>
      <c r="B411" s="164"/>
      <c r="C411" s="320"/>
      <c r="D411" s="164"/>
      <c r="E411" s="320"/>
      <c r="F411" s="164"/>
      <c r="G411" s="320"/>
      <c r="H411" s="164"/>
      <c r="I411" s="320"/>
      <c r="J411" s="164"/>
      <c r="K411" s="320"/>
      <c r="L411" s="164"/>
      <c r="M411" s="320"/>
      <c r="N411" s="164"/>
      <c r="O411" s="320"/>
      <c r="P411" s="164"/>
      <c r="Q411" s="333"/>
      <c r="R411" s="18"/>
      <c r="S411" s="20"/>
      <c r="T411" s="20"/>
      <c r="U411" s="20"/>
      <c r="V411" s="20"/>
      <c r="W411" s="20"/>
      <c r="X411" s="20"/>
      <c r="Y411" s="20"/>
      <c r="Z411" s="20"/>
    </row>
    <row r="412">
      <c r="A412" s="320"/>
      <c r="B412" s="164"/>
      <c r="C412" s="320"/>
      <c r="D412" s="164"/>
      <c r="E412" s="320"/>
      <c r="F412" s="164"/>
      <c r="G412" s="320"/>
      <c r="H412" s="164"/>
      <c r="I412" s="320"/>
      <c r="J412" s="164"/>
      <c r="K412" s="320"/>
      <c r="L412" s="164"/>
      <c r="M412" s="320"/>
      <c r="N412" s="164"/>
      <c r="O412" s="320"/>
      <c r="P412" s="164"/>
      <c r="Q412" s="333"/>
      <c r="R412" s="18"/>
      <c r="S412" s="20"/>
      <c r="T412" s="20"/>
      <c r="U412" s="20"/>
      <c r="V412" s="20"/>
      <c r="W412" s="20"/>
      <c r="X412" s="20"/>
      <c r="Y412" s="20"/>
      <c r="Z412" s="20"/>
    </row>
    <row r="413">
      <c r="A413" s="320"/>
      <c r="B413" s="164"/>
      <c r="C413" s="320"/>
      <c r="D413" s="164"/>
      <c r="E413" s="320"/>
      <c r="F413" s="164"/>
      <c r="G413" s="320"/>
      <c r="H413" s="164"/>
      <c r="I413" s="320"/>
      <c r="J413" s="164"/>
      <c r="K413" s="320"/>
      <c r="L413" s="164"/>
      <c r="M413" s="320"/>
      <c r="N413" s="164"/>
      <c r="O413" s="320"/>
      <c r="P413" s="164"/>
      <c r="Q413" s="333"/>
      <c r="R413" s="18"/>
      <c r="S413" s="20"/>
      <c r="T413" s="20"/>
      <c r="U413" s="20"/>
      <c r="V413" s="20"/>
      <c r="W413" s="20"/>
      <c r="X413" s="20"/>
      <c r="Y413" s="20"/>
      <c r="Z413" s="20"/>
    </row>
    <row r="414">
      <c r="A414" s="320"/>
      <c r="B414" s="164"/>
      <c r="C414" s="320"/>
      <c r="D414" s="164"/>
      <c r="E414" s="320"/>
      <c r="F414" s="164"/>
      <c r="G414" s="320"/>
      <c r="H414" s="164"/>
      <c r="I414" s="320"/>
      <c r="J414" s="164"/>
      <c r="K414" s="320"/>
      <c r="L414" s="164"/>
      <c r="M414" s="320"/>
      <c r="N414" s="164"/>
      <c r="O414" s="320"/>
      <c r="P414" s="164"/>
      <c r="Q414" s="333"/>
      <c r="R414" s="18"/>
      <c r="S414" s="20"/>
      <c r="T414" s="20"/>
      <c r="U414" s="20"/>
      <c r="V414" s="20"/>
      <c r="W414" s="20"/>
      <c r="X414" s="20"/>
      <c r="Y414" s="20"/>
      <c r="Z414" s="20"/>
    </row>
    <row r="415">
      <c r="A415" s="320"/>
      <c r="B415" s="164"/>
      <c r="C415" s="320"/>
      <c r="D415" s="164"/>
      <c r="E415" s="320"/>
      <c r="F415" s="164"/>
      <c r="G415" s="320"/>
      <c r="H415" s="164"/>
      <c r="I415" s="320"/>
      <c r="J415" s="164"/>
      <c r="K415" s="320"/>
      <c r="L415" s="164"/>
      <c r="M415" s="320"/>
      <c r="N415" s="164"/>
      <c r="O415" s="320"/>
      <c r="P415" s="164"/>
      <c r="Q415" s="333"/>
      <c r="R415" s="18"/>
      <c r="S415" s="20"/>
      <c r="T415" s="20"/>
      <c r="U415" s="20"/>
      <c r="V415" s="20"/>
      <c r="W415" s="20"/>
      <c r="X415" s="20"/>
      <c r="Y415" s="20"/>
      <c r="Z415" s="20"/>
    </row>
    <row r="416">
      <c r="A416" s="320"/>
      <c r="B416" s="164"/>
      <c r="C416" s="320"/>
      <c r="D416" s="164"/>
      <c r="E416" s="320"/>
      <c r="F416" s="164"/>
      <c r="G416" s="320"/>
      <c r="H416" s="164"/>
      <c r="I416" s="320"/>
      <c r="J416" s="164"/>
      <c r="K416" s="320"/>
      <c r="L416" s="164"/>
      <c r="M416" s="320"/>
      <c r="N416" s="164"/>
      <c r="O416" s="320"/>
      <c r="P416" s="164"/>
      <c r="Q416" s="333"/>
      <c r="R416" s="18"/>
      <c r="S416" s="20"/>
      <c r="T416" s="20"/>
      <c r="U416" s="20"/>
      <c r="V416" s="20"/>
      <c r="W416" s="20"/>
      <c r="X416" s="20"/>
      <c r="Y416" s="20"/>
      <c r="Z416" s="20"/>
    </row>
    <row r="417">
      <c r="A417" s="320"/>
      <c r="B417" s="164"/>
      <c r="C417" s="320"/>
      <c r="D417" s="164"/>
      <c r="E417" s="320"/>
      <c r="F417" s="164"/>
      <c r="G417" s="320"/>
      <c r="H417" s="164"/>
      <c r="I417" s="320"/>
      <c r="J417" s="164"/>
      <c r="K417" s="320"/>
      <c r="L417" s="164"/>
      <c r="M417" s="320"/>
      <c r="N417" s="164"/>
      <c r="O417" s="320"/>
      <c r="P417" s="164"/>
      <c r="Q417" s="333"/>
      <c r="R417" s="18"/>
      <c r="S417" s="20"/>
      <c r="T417" s="20"/>
      <c r="U417" s="20"/>
      <c r="V417" s="20"/>
      <c r="W417" s="20"/>
      <c r="X417" s="20"/>
      <c r="Y417" s="20"/>
      <c r="Z417" s="20"/>
    </row>
    <row r="418">
      <c r="A418" s="320"/>
      <c r="B418" s="164"/>
      <c r="C418" s="320"/>
      <c r="D418" s="164"/>
      <c r="E418" s="320"/>
      <c r="F418" s="164"/>
      <c r="G418" s="320"/>
      <c r="H418" s="164"/>
      <c r="I418" s="320"/>
      <c r="J418" s="164"/>
      <c r="K418" s="320"/>
      <c r="L418" s="164"/>
      <c r="M418" s="320"/>
      <c r="N418" s="164"/>
      <c r="O418" s="320"/>
      <c r="P418" s="164"/>
      <c r="Q418" s="333"/>
      <c r="R418" s="18"/>
      <c r="S418" s="20"/>
      <c r="T418" s="20"/>
      <c r="U418" s="20"/>
      <c r="V418" s="20"/>
      <c r="W418" s="20"/>
      <c r="X418" s="20"/>
      <c r="Y418" s="20"/>
      <c r="Z418" s="20"/>
    </row>
    <row r="419">
      <c r="A419" s="320"/>
      <c r="B419" s="164"/>
      <c r="C419" s="320"/>
      <c r="D419" s="164"/>
      <c r="E419" s="320"/>
      <c r="F419" s="164"/>
      <c r="G419" s="320"/>
      <c r="H419" s="164"/>
      <c r="I419" s="320"/>
      <c r="J419" s="164"/>
      <c r="K419" s="320"/>
      <c r="L419" s="164"/>
      <c r="M419" s="320"/>
      <c r="N419" s="164"/>
      <c r="O419" s="320"/>
      <c r="P419" s="164"/>
      <c r="Q419" s="333"/>
      <c r="R419" s="18"/>
      <c r="S419" s="20"/>
      <c r="T419" s="20"/>
      <c r="U419" s="20"/>
      <c r="V419" s="20"/>
      <c r="W419" s="20"/>
      <c r="X419" s="20"/>
      <c r="Y419" s="20"/>
      <c r="Z419" s="20"/>
    </row>
    <row r="420">
      <c r="A420" s="320"/>
      <c r="B420" s="164"/>
      <c r="C420" s="320"/>
      <c r="D420" s="164"/>
      <c r="E420" s="320"/>
      <c r="F420" s="164"/>
      <c r="G420" s="320"/>
      <c r="H420" s="164"/>
      <c r="I420" s="320"/>
      <c r="J420" s="164"/>
      <c r="K420" s="320"/>
      <c r="L420" s="164"/>
      <c r="M420" s="320"/>
      <c r="N420" s="164"/>
      <c r="O420" s="320"/>
      <c r="P420" s="164"/>
      <c r="Q420" s="333"/>
      <c r="R420" s="18"/>
      <c r="S420" s="20"/>
      <c r="T420" s="20"/>
      <c r="U420" s="20"/>
      <c r="V420" s="20"/>
      <c r="W420" s="20"/>
      <c r="X420" s="20"/>
      <c r="Y420" s="20"/>
      <c r="Z420" s="20"/>
    </row>
    <row r="421">
      <c r="A421" s="320"/>
      <c r="B421" s="164"/>
      <c r="C421" s="320"/>
      <c r="D421" s="164"/>
      <c r="E421" s="320"/>
      <c r="F421" s="164"/>
      <c r="G421" s="320"/>
      <c r="H421" s="164"/>
      <c r="I421" s="320"/>
      <c r="J421" s="164"/>
      <c r="K421" s="320"/>
      <c r="L421" s="164"/>
      <c r="M421" s="320"/>
      <c r="N421" s="164"/>
      <c r="O421" s="320"/>
      <c r="P421" s="164"/>
      <c r="Q421" s="333"/>
      <c r="R421" s="18"/>
      <c r="S421" s="20"/>
      <c r="T421" s="20"/>
      <c r="U421" s="20"/>
      <c r="V421" s="20"/>
      <c r="W421" s="20"/>
      <c r="X421" s="20"/>
      <c r="Y421" s="20"/>
      <c r="Z421" s="20"/>
    </row>
    <row r="422">
      <c r="A422" s="320"/>
      <c r="B422" s="164"/>
      <c r="C422" s="320"/>
      <c r="D422" s="164"/>
      <c r="E422" s="320"/>
      <c r="F422" s="164"/>
      <c r="G422" s="320"/>
      <c r="H422" s="164"/>
      <c r="I422" s="320"/>
      <c r="J422" s="164"/>
      <c r="K422" s="320"/>
      <c r="L422" s="164"/>
      <c r="M422" s="320"/>
      <c r="N422" s="164"/>
      <c r="O422" s="320"/>
      <c r="P422" s="164"/>
      <c r="Q422" s="333"/>
      <c r="R422" s="18"/>
      <c r="S422" s="20"/>
      <c r="T422" s="20"/>
      <c r="U422" s="20"/>
      <c r="V422" s="20"/>
      <c r="W422" s="20"/>
      <c r="X422" s="20"/>
      <c r="Y422" s="20"/>
      <c r="Z422" s="20"/>
    </row>
    <row r="423">
      <c r="A423" s="320"/>
      <c r="B423" s="164"/>
      <c r="C423" s="320"/>
      <c r="D423" s="164"/>
      <c r="E423" s="320"/>
      <c r="F423" s="164"/>
      <c r="G423" s="320"/>
      <c r="H423" s="164"/>
      <c r="I423" s="320"/>
      <c r="J423" s="164"/>
      <c r="K423" s="320"/>
      <c r="L423" s="164"/>
      <c r="M423" s="320"/>
      <c r="N423" s="164"/>
      <c r="O423" s="320"/>
      <c r="P423" s="164"/>
      <c r="Q423" s="333"/>
      <c r="R423" s="18"/>
      <c r="S423" s="20"/>
      <c r="T423" s="20"/>
      <c r="U423" s="20"/>
      <c r="V423" s="20"/>
      <c r="W423" s="20"/>
      <c r="X423" s="20"/>
      <c r="Y423" s="20"/>
      <c r="Z423" s="20"/>
    </row>
    <row r="424">
      <c r="A424" s="320"/>
      <c r="B424" s="164"/>
      <c r="C424" s="320"/>
      <c r="D424" s="164"/>
      <c r="E424" s="320"/>
      <c r="F424" s="164"/>
      <c r="G424" s="320"/>
      <c r="H424" s="164"/>
      <c r="I424" s="320"/>
      <c r="J424" s="164"/>
      <c r="K424" s="320"/>
      <c r="L424" s="164"/>
      <c r="M424" s="320"/>
      <c r="N424" s="164"/>
      <c r="O424" s="320"/>
      <c r="P424" s="164"/>
      <c r="Q424" s="333"/>
      <c r="R424" s="18"/>
      <c r="S424" s="20"/>
      <c r="T424" s="20"/>
      <c r="U424" s="20"/>
      <c r="V424" s="20"/>
      <c r="W424" s="20"/>
      <c r="X424" s="20"/>
      <c r="Y424" s="20"/>
      <c r="Z424" s="20"/>
    </row>
    <row r="425">
      <c r="A425" s="320"/>
      <c r="B425" s="164"/>
      <c r="C425" s="320"/>
      <c r="D425" s="164"/>
      <c r="E425" s="320"/>
      <c r="F425" s="164"/>
      <c r="G425" s="320"/>
      <c r="H425" s="164"/>
      <c r="I425" s="320"/>
      <c r="J425" s="164"/>
      <c r="K425" s="320"/>
      <c r="L425" s="164"/>
      <c r="M425" s="320"/>
      <c r="N425" s="164"/>
      <c r="O425" s="320"/>
      <c r="P425" s="164"/>
      <c r="Q425" s="333"/>
      <c r="R425" s="18"/>
      <c r="S425" s="20"/>
      <c r="T425" s="20"/>
      <c r="U425" s="20"/>
      <c r="V425" s="20"/>
      <c r="W425" s="20"/>
      <c r="X425" s="20"/>
      <c r="Y425" s="20"/>
      <c r="Z425" s="20"/>
    </row>
    <row r="426">
      <c r="A426" s="320"/>
      <c r="B426" s="164"/>
      <c r="C426" s="320"/>
      <c r="D426" s="164"/>
      <c r="E426" s="320"/>
      <c r="F426" s="164"/>
      <c r="G426" s="320"/>
      <c r="H426" s="164"/>
      <c r="I426" s="320"/>
      <c r="J426" s="164"/>
      <c r="K426" s="320"/>
      <c r="L426" s="164"/>
      <c r="M426" s="320"/>
      <c r="N426" s="164"/>
      <c r="O426" s="320"/>
      <c r="P426" s="164"/>
      <c r="Q426" s="333"/>
      <c r="R426" s="18"/>
      <c r="S426" s="20"/>
      <c r="T426" s="20"/>
      <c r="U426" s="20"/>
      <c r="V426" s="20"/>
      <c r="W426" s="20"/>
      <c r="X426" s="20"/>
      <c r="Y426" s="20"/>
      <c r="Z426" s="20"/>
    </row>
    <row r="427">
      <c r="A427" s="320"/>
      <c r="B427" s="164"/>
      <c r="C427" s="320"/>
      <c r="D427" s="164"/>
      <c r="E427" s="320"/>
      <c r="F427" s="164"/>
      <c r="G427" s="320"/>
      <c r="H427" s="164"/>
      <c r="I427" s="320"/>
      <c r="J427" s="164"/>
      <c r="K427" s="320"/>
      <c r="L427" s="164"/>
      <c r="M427" s="320"/>
      <c r="N427" s="164"/>
      <c r="O427" s="320"/>
      <c r="P427" s="164"/>
      <c r="Q427" s="333"/>
      <c r="R427" s="18"/>
      <c r="S427" s="20"/>
      <c r="T427" s="20"/>
      <c r="U427" s="20"/>
      <c r="V427" s="20"/>
      <c r="W427" s="20"/>
      <c r="X427" s="20"/>
      <c r="Y427" s="20"/>
      <c r="Z427" s="20"/>
    </row>
    <row r="428">
      <c r="A428" s="320"/>
      <c r="B428" s="164"/>
      <c r="C428" s="320"/>
      <c r="D428" s="164"/>
      <c r="E428" s="320"/>
      <c r="F428" s="164"/>
      <c r="G428" s="320"/>
      <c r="H428" s="164"/>
      <c r="I428" s="320"/>
      <c r="J428" s="164"/>
      <c r="K428" s="320"/>
      <c r="L428" s="164"/>
      <c r="M428" s="320"/>
      <c r="N428" s="164"/>
      <c r="O428" s="320"/>
      <c r="P428" s="164"/>
      <c r="Q428" s="333"/>
      <c r="R428" s="18"/>
      <c r="S428" s="20"/>
      <c r="T428" s="20"/>
      <c r="U428" s="20"/>
      <c r="V428" s="20"/>
      <c r="W428" s="20"/>
      <c r="X428" s="20"/>
      <c r="Y428" s="20"/>
      <c r="Z428" s="20"/>
    </row>
    <row r="429">
      <c r="A429" s="320"/>
      <c r="B429" s="164"/>
      <c r="C429" s="320"/>
      <c r="D429" s="164"/>
      <c r="E429" s="320"/>
      <c r="F429" s="164"/>
      <c r="G429" s="320"/>
      <c r="H429" s="164"/>
      <c r="I429" s="320"/>
      <c r="J429" s="164"/>
      <c r="K429" s="320"/>
      <c r="L429" s="164"/>
      <c r="M429" s="320"/>
      <c r="N429" s="164"/>
      <c r="O429" s="320"/>
      <c r="P429" s="164"/>
      <c r="Q429" s="333"/>
      <c r="R429" s="18"/>
      <c r="S429" s="20"/>
      <c r="T429" s="20"/>
      <c r="U429" s="20"/>
      <c r="V429" s="20"/>
      <c r="W429" s="20"/>
      <c r="X429" s="20"/>
      <c r="Y429" s="20"/>
      <c r="Z429" s="20"/>
    </row>
    <row r="430">
      <c r="A430" s="320"/>
      <c r="B430" s="164"/>
      <c r="C430" s="320"/>
      <c r="D430" s="164"/>
      <c r="E430" s="320"/>
      <c r="F430" s="164"/>
      <c r="G430" s="320"/>
      <c r="H430" s="164"/>
      <c r="I430" s="320"/>
      <c r="J430" s="164"/>
      <c r="K430" s="320"/>
      <c r="L430" s="164"/>
      <c r="M430" s="320"/>
      <c r="N430" s="164"/>
      <c r="O430" s="320"/>
      <c r="P430" s="164"/>
      <c r="Q430" s="333"/>
      <c r="R430" s="18"/>
      <c r="S430" s="20"/>
      <c r="T430" s="20"/>
      <c r="U430" s="20"/>
      <c r="V430" s="20"/>
      <c r="W430" s="20"/>
      <c r="X430" s="20"/>
      <c r="Y430" s="20"/>
      <c r="Z430" s="20"/>
    </row>
    <row r="431">
      <c r="A431" s="320"/>
      <c r="B431" s="164"/>
      <c r="C431" s="320"/>
      <c r="D431" s="164"/>
      <c r="E431" s="320"/>
      <c r="F431" s="164"/>
      <c r="G431" s="320"/>
      <c r="H431" s="164"/>
      <c r="I431" s="320"/>
      <c r="J431" s="164"/>
      <c r="K431" s="320"/>
      <c r="L431" s="164"/>
      <c r="M431" s="320"/>
      <c r="N431" s="164"/>
      <c r="O431" s="320"/>
      <c r="P431" s="164"/>
      <c r="Q431" s="333"/>
      <c r="R431" s="18"/>
      <c r="S431" s="20"/>
      <c r="T431" s="20"/>
      <c r="U431" s="20"/>
      <c r="V431" s="20"/>
      <c r="W431" s="20"/>
      <c r="X431" s="20"/>
      <c r="Y431" s="20"/>
      <c r="Z431" s="20"/>
    </row>
    <row r="432">
      <c r="A432" s="320"/>
      <c r="B432" s="164"/>
      <c r="C432" s="320"/>
      <c r="D432" s="164"/>
      <c r="E432" s="320"/>
      <c r="F432" s="164"/>
      <c r="G432" s="320"/>
      <c r="H432" s="164"/>
      <c r="I432" s="320"/>
      <c r="J432" s="164"/>
      <c r="K432" s="320"/>
      <c r="L432" s="164"/>
      <c r="M432" s="320"/>
      <c r="N432" s="164"/>
      <c r="O432" s="320"/>
      <c r="P432" s="164"/>
      <c r="Q432" s="333"/>
      <c r="R432" s="18"/>
      <c r="S432" s="20"/>
      <c r="T432" s="20"/>
      <c r="U432" s="20"/>
      <c r="V432" s="20"/>
      <c r="W432" s="20"/>
      <c r="X432" s="20"/>
      <c r="Y432" s="20"/>
      <c r="Z432" s="20"/>
    </row>
    <row r="433">
      <c r="A433" s="320"/>
      <c r="B433" s="164"/>
      <c r="C433" s="320"/>
      <c r="D433" s="164"/>
      <c r="E433" s="320"/>
      <c r="F433" s="164"/>
      <c r="G433" s="320"/>
      <c r="H433" s="164"/>
      <c r="I433" s="320"/>
      <c r="J433" s="164"/>
      <c r="K433" s="320"/>
      <c r="L433" s="164"/>
      <c r="M433" s="320"/>
      <c r="N433" s="164"/>
      <c r="O433" s="320"/>
      <c r="P433" s="164"/>
      <c r="Q433" s="333"/>
      <c r="R433" s="18"/>
      <c r="S433" s="20"/>
      <c r="T433" s="20"/>
      <c r="U433" s="20"/>
      <c r="V433" s="20"/>
      <c r="W433" s="20"/>
      <c r="X433" s="20"/>
      <c r="Y433" s="20"/>
      <c r="Z433" s="20"/>
    </row>
    <row r="434">
      <c r="A434" s="320"/>
      <c r="B434" s="164"/>
      <c r="C434" s="320"/>
      <c r="D434" s="164"/>
      <c r="E434" s="320"/>
      <c r="F434" s="164"/>
      <c r="G434" s="320"/>
      <c r="H434" s="164"/>
      <c r="I434" s="320"/>
      <c r="J434" s="164"/>
      <c r="K434" s="320"/>
      <c r="L434" s="164"/>
      <c r="M434" s="320"/>
      <c r="N434" s="164"/>
      <c r="O434" s="320"/>
      <c r="P434" s="164"/>
      <c r="Q434" s="333"/>
      <c r="R434" s="18"/>
      <c r="S434" s="20"/>
      <c r="T434" s="20"/>
      <c r="U434" s="20"/>
      <c r="V434" s="20"/>
      <c r="W434" s="20"/>
      <c r="X434" s="20"/>
      <c r="Y434" s="20"/>
      <c r="Z434" s="20"/>
    </row>
    <row r="435">
      <c r="A435" s="320"/>
      <c r="B435" s="164"/>
      <c r="C435" s="320"/>
      <c r="D435" s="164"/>
      <c r="E435" s="320"/>
      <c r="F435" s="164"/>
      <c r="G435" s="320"/>
      <c r="H435" s="164"/>
      <c r="I435" s="320"/>
      <c r="J435" s="164"/>
      <c r="K435" s="320"/>
      <c r="L435" s="164"/>
      <c r="M435" s="320"/>
      <c r="N435" s="164"/>
      <c r="O435" s="320"/>
      <c r="P435" s="164"/>
      <c r="Q435" s="333"/>
      <c r="R435" s="18"/>
      <c r="S435" s="20"/>
      <c r="T435" s="20"/>
      <c r="U435" s="20"/>
      <c r="V435" s="20"/>
      <c r="W435" s="20"/>
      <c r="X435" s="20"/>
      <c r="Y435" s="20"/>
      <c r="Z435" s="20"/>
    </row>
    <row r="436">
      <c r="A436" s="320"/>
      <c r="B436" s="164"/>
      <c r="C436" s="320"/>
      <c r="D436" s="164"/>
      <c r="E436" s="320"/>
      <c r="F436" s="164"/>
      <c r="G436" s="320"/>
      <c r="H436" s="164"/>
      <c r="I436" s="320"/>
      <c r="J436" s="164"/>
      <c r="K436" s="320"/>
      <c r="L436" s="164"/>
      <c r="M436" s="320"/>
      <c r="N436" s="164"/>
      <c r="O436" s="320"/>
      <c r="P436" s="164"/>
      <c r="Q436" s="333"/>
      <c r="R436" s="18"/>
      <c r="S436" s="20"/>
      <c r="T436" s="20"/>
      <c r="U436" s="20"/>
      <c r="V436" s="20"/>
      <c r="W436" s="20"/>
      <c r="X436" s="20"/>
      <c r="Y436" s="20"/>
      <c r="Z436" s="20"/>
    </row>
    <row r="437">
      <c r="A437" s="320"/>
      <c r="B437" s="164"/>
      <c r="C437" s="320"/>
      <c r="D437" s="164"/>
      <c r="E437" s="320"/>
      <c r="F437" s="164"/>
      <c r="G437" s="320"/>
      <c r="H437" s="164"/>
      <c r="I437" s="320"/>
      <c r="J437" s="164"/>
      <c r="K437" s="320"/>
      <c r="L437" s="164"/>
      <c r="M437" s="320"/>
      <c r="N437" s="164"/>
      <c r="O437" s="320"/>
      <c r="P437" s="164"/>
      <c r="Q437" s="333"/>
      <c r="R437" s="18"/>
      <c r="S437" s="20"/>
      <c r="T437" s="20"/>
      <c r="U437" s="20"/>
      <c r="V437" s="20"/>
      <c r="W437" s="20"/>
      <c r="X437" s="20"/>
      <c r="Y437" s="20"/>
      <c r="Z437" s="20"/>
    </row>
    <row r="438">
      <c r="A438" s="320"/>
      <c r="B438" s="164"/>
      <c r="C438" s="320"/>
      <c r="D438" s="164"/>
      <c r="E438" s="320"/>
      <c r="F438" s="164"/>
      <c r="G438" s="320"/>
      <c r="H438" s="164"/>
      <c r="I438" s="320"/>
      <c r="J438" s="164"/>
      <c r="K438" s="320"/>
      <c r="L438" s="164"/>
      <c r="M438" s="320"/>
      <c r="N438" s="164"/>
      <c r="O438" s="320"/>
      <c r="P438" s="164"/>
      <c r="Q438" s="333"/>
      <c r="R438" s="18"/>
      <c r="S438" s="20"/>
      <c r="T438" s="20"/>
      <c r="U438" s="20"/>
      <c r="V438" s="20"/>
      <c r="W438" s="20"/>
      <c r="X438" s="20"/>
      <c r="Y438" s="20"/>
      <c r="Z438" s="20"/>
    </row>
    <row r="439">
      <c r="A439" s="320"/>
      <c r="B439" s="164"/>
      <c r="C439" s="320"/>
      <c r="D439" s="164"/>
      <c r="E439" s="320"/>
      <c r="F439" s="164"/>
      <c r="G439" s="320"/>
      <c r="H439" s="164"/>
      <c r="I439" s="320"/>
      <c r="J439" s="164"/>
      <c r="K439" s="320"/>
      <c r="L439" s="164"/>
      <c r="M439" s="320"/>
      <c r="N439" s="164"/>
      <c r="O439" s="320"/>
      <c r="P439" s="164"/>
      <c r="Q439" s="333"/>
      <c r="R439" s="18"/>
      <c r="S439" s="20"/>
      <c r="T439" s="20"/>
      <c r="U439" s="20"/>
      <c r="V439" s="20"/>
      <c r="W439" s="20"/>
      <c r="X439" s="20"/>
      <c r="Y439" s="20"/>
      <c r="Z439" s="20"/>
    </row>
    <row r="440">
      <c r="A440" s="320"/>
      <c r="B440" s="164"/>
      <c r="C440" s="320"/>
      <c r="D440" s="164"/>
      <c r="E440" s="320"/>
      <c r="F440" s="164"/>
      <c r="G440" s="320"/>
      <c r="H440" s="164"/>
      <c r="I440" s="320"/>
      <c r="J440" s="164"/>
      <c r="K440" s="320"/>
      <c r="L440" s="164"/>
      <c r="M440" s="320"/>
      <c r="N440" s="164"/>
      <c r="O440" s="320"/>
      <c r="P440" s="164"/>
      <c r="Q440" s="333"/>
      <c r="R440" s="18"/>
      <c r="S440" s="20"/>
      <c r="T440" s="20"/>
      <c r="U440" s="20"/>
      <c r="V440" s="20"/>
      <c r="W440" s="20"/>
      <c r="X440" s="20"/>
      <c r="Y440" s="20"/>
      <c r="Z440" s="20"/>
    </row>
    <row r="441">
      <c r="A441" s="320"/>
      <c r="B441" s="164"/>
      <c r="C441" s="320"/>
      <c r="D441" s="164"/>
      <c r="E441" s="320"/>
      <c r="F441" s="164"/>
      <c r="G441" s="320"/>
      <c r="H441" s="164"/>
      <c r="I441" s="320"/>
      <c r="J441" s="164"/>
      <c r="K441" s="320"/>
      <c r="L441" s="164"/>
      <c r="M441" s="320"/>
      <c r="N441" s="164"/>
      <c r="O441" s="320"/>
      <c r="P441" s="164"/>
      <c r="Q441" s="333"/>
      <c r="R441" s="18"/>
      <c r="S441" s="20"/>
      <c r="T441" s="20"/>
      <c r="U441" s="20"/>
      <c r="V441" s="20"/>
      <c r="W441" s="20"/>
      <c r="X441" s="20"/>
      <c r="Y441" s="20"/>
      <c r="Z441" s="20"/>
    </row>
    <row r="442">
      <c r="A442" s="320"/>
      <c r="B442" s="164"/>
      <c r="C442" s="320"/>
      <c r="D442" s="164"/>
      <c r="E442" s="320"/>
      <c r="F442" s="164"/>
      <c r="G442" s="320"/>
      <c r="H442" s="164"/>
      <c r="I442" s="320"/>
      <c r="J442" s="164"/>
      <c r="K442" s="320"/>
      <c r="L442" s="164"/>
      <c r="M442" s="320"/>
      <c r="N442" s="164"/>
      <c r="O442" s="320"/>
      <c r="P442" s="164"/>
      <c r="Q442" s="333"/>
      <c r="R442" s="18"/>
      <c r="S442" s="20"/>
      <c r="T442" s="20"/>
      <c r="U442" s="20"/>
      <c r="V442" s="20"/>
      <c r="W442" s="20"/>
      <c r="X442" s="20"/>
      <c r="Y442" s="20"/>
      <c r="Z442" s="20"/>
    </row>
    <row r="443">
      <c r="A443" s="320"/>
      <c r="B443" s="164"/>
      <c r="C443" s="320"/>
      <c r="D443" s="164"/>
      <c r="E443" s="320"/>
      <c r="F443" s="164"/>
      <c r="G443" s="320"/>
      <c r="H443" s="164"/>
      <c r="I443" s="320"/>
      <c r="J443" s="164"/>
      <c r="K443" s="320"/>
      <c r="L443" s="164"/>
      <c r="M443" s="320"/>
      <c r="N443" s="164"/>
      <c r="O443" s="320"/>
      <c r="P443" s="164"/>
      <c r="Q443" s="333"/>
      <c r="R443" s="18"/>
      <c r="S443" s="20"/>
      <c r="T443" s="20"/>
      <c r="U443" s="20"/>
      <c r="V443" s="20"/>
      <c r="W443" s="20"/>
      <c r="X443" s="20"/>
      <c r="Y443" s="20"/>
      <c r="Z443" s="20"/>
    </row>
    <row r="444">
      <c r="A444" s="320"/>
      <c r="B444" s="164"/>
      <c r="C444" s="320"/>
      <c r="D444" s="164"/>
      <c r="E444" s="320"/>
      <c r="F444" s="164"/>
      <c r="G444" s="320"/>
      <c r="H444" s="164"/>
      <c r="I444" s="320"/>
      <c r="J444" s="164"/>
      <c r="K444" s="320"/>
      <c r="L444" s="164"/>
      <c r="M444" s="320"/>
      <c r="N444" s="164"/>
      <c r="O444" s="320"/>
      <c r="P444" s="164"/>
      <c r="Q444" s="333"/>
      <c r="R444" s="18"/>
      <c r="S444" s="20"/>
      <c r="T444" s="20"/>
      <c r="U444" s="20"/>
      <c r="V444" s="20"/>
      <c r="W444" s="20"/>
      <c r="X444" s="20"/>
      <c r="Y444" s="20"/>
      <c r="Z444" s="20"/>
    </row>
    <row r="445">
      <c r="A445" s="320"/>
      <c r="B445" s="164"/>
      <c r="C445" s="320"/>
      <c r="D445" s="164"/>
      <c r="E445" s="320"/>
      <c r="F445" s="164"/>
      <c r="G445" s="320"/>
      <c r="H445" s="164"/>
      <c r="I445" s="320"/>
      <c r="J445" s="164"/>
      <c r="K445" s="320"/>
      <c r="L445" s="164"/>
      <c r="M445" s="320"/>
      <c r="N445" s="164"/>
      <c r="O445" s="320"/>
      <c r="P445" s="164"/>
      <c r="Q445" s="333"/>
      <c r="R445" s="18"/>
      <c r="S445" s="20"/>
      <c r="T445" s="20"/>
      <c r="U445" s="20"/>
      <c r="V445" s="20"/>
      <c r="W445" s="20"/>
      <c r="X445" s="20"/>
      <c r="Y445" s="20"/>
      <c r="Z445" s="20"/>
    </row>
    <row r="446">
      <c r="A446" s="320"/>
      <c r="B446" s="164"/>
      <c r="C446" s="320"/>
      <c r="D446" s="164"/>
      <c r="E446" s="320"/>
      <c r="F446" s="164"/>
      <c r="G446" s="320"/>
      <c r="H446" s="164"/>
      <c r="I446" s="320"/>
      <c r="J446" s="164"/>
      <c r="K446" s="320"/>
      <c r="L446" s="164"/>
      <c r="M446" s="320"/>
      <c r="N446" s="164"/>
      <c r="O446" s="320"/>
      <c r="P446" s="164"/>
      <c r="Q446" s="333"/>
      <c r="R446" s="18"/>
      <c r="S446" s="20"/>
      <c r="T446" s="20"/>
      <c r="U446" s="20"/>
      <c r="V446" s="20"/>
      <c r="W446" s="20"/>
      <c r="X446" s="20"/>
      <c r="Y446" s="20"/>
      <c r="Z446" s="20"/>
    </row>
    <row r="447">
      <c r="A447" s="320"/>
      <c r="B447" s="164"/>
      <c r="C447" s="320"/>
      <c r="D447" s="164"/>
      <c r="E447" s="320"/>
      <c r="F447" s="164"/>
      <c r="G447" s="320"/>
      <c r="H447" s="164"/>
      <c r="I447" s="320"/>
      <c r="J447" s="164"/>
      <c r="K447" s="320"/>
      <c r="L447" s="164"/>
      <c r="M447" s="320"/>
      <c r="N447" s="164"/>
      <c r="O447" s="320"/>
      <c r="P447" s="164"/>
      <c r="Q447" s="333"/>
      <c r="R447" s="18"/>
      <c r="S447" s="20"/>
      <c r="T447" s="20"/>
      <c r="U447" s="20"/>
      <c r="V447" s="20"/>
      <c r="W447" s="20"/>
      <c r="X447" s="20"/>
      <c r="Y447" s="20"/>
      <c r="Z447" s="20"/>
    </row>
    <row r="448">
      <c r="A448" s="320"/>
      <c r="B448" s="164"/>
      <c r="C448" s="320"/>
      <c r="D448" s="164"/>
      <c r="E448" s="320"/>
      <c r="F448" s="164"/>
      <c r="G448" s="320"/>
      <c r="H448" s="164"/>
      <c r="I448" s="320"/>
      <c r="J448" s="164"/>
      <c r="K448" s="320"/>
      <c r="L448" s="164"/>
      <c r="M448" s="320"/>
      <c r="N448" s="164"/>
      <c r="O448" s="320"/>
      <c r="P448" s="164"/>
      <c r="Q448" s="333"/>
      <c r="R448" s="18"/>
      <c r="S448" s="20"/>
      <c r="T448" s="20"/>
      <c r="U448" s="20"/>
      <c r="V448" s="20"/>
      <c r="W448" s="20"/>
      <c r="X448" s="20"/>
      <c r="Y448" s="20"/>
      <c r="Z448" s="20"/>
    </row>
    <row r="449">
      <c r="A449" s="320"/>
      <c r="B449" s="164"/>
      <c r="C449" s="320"/>
      <c r="D449" s="164"/>
      <c r="E449" s="320"/>
      <c r="F449" s="164"/>
      <c r="G449" s="320"/>
      <c r="H449" s="164"/>
      <c r="I449" s="320"/>
      <c r="J449" s="164"/>
      <c r="K449" s="320"/>
      <c r="L449" s="164"/>
      <c r="M449" s="320"/>
      <c r="N449" s="164"/>
      <c r="O449" s="320"/>
      <c r="P449" s="164"/>
      <c r="Q449" s="333"/>
      <c r="R449" s="18"/>
      <c r="S449" s="20"/>
      <c r="T449" s="20"/>
      <c r="U449" s="20"/>
      <c r="V449" s="20"/>
      <c r="W449" s="20"/>
      <c r="X449" s="20"/>
      <c r="Y449" s="20"/>
      <c r="Z449" s="20"/>
    </row>
    <row r="450">
      <c r="A450" s="320"/>
      <c r="B450" s="164"/>
      <c r="C450" s="320"/>
      <c r="D450" s="164"/>
      <c r="E450" s="320"/>
      <c r="F450" s="164"/>
      <c r="G450" s="320"/>
      <c r="H450" s="164"/>
      <c r="I450" s="320"/>
      <c r="J450" s="164"/>
      <c r="K450" s="320"/>
      <c r="L450" s="164"/>
      <c r="M450" s="320"/>
      <c r="N450" s="164"/>
      <c r="O450" s="320"/>
      <c r="P450" s="164"/>
      <c r="Q450" s="333"/>
      <c r="R450" s="18"/>
      <c r="S450" s="20"/>
      <c r="T450" s="20"/>
      <c r="U450" s="20"/>
      <c r="V450" s="20"/>
      <c r="W450" s="20"/>
      <c r="X450" s="20"/>
      <c r="Y450" s="20"/>
      <c r="Z450" s="20"/>
    </row>
    <row r="451">
      <c r="A451" s="320"/>
      <c r="B451" s="164"/>
      <c r="C451" s="320"/>
      <c r="D451" s="164"/>
      <c r="E451" s="320"/>
      <c r="F451" s="164"/>
      <c r="G451" s="320"/>
      <c r="H451" s="164"/>
      <c r="I451" s="320"/>
      <c r="J451" s="164"/>
      <c r="K451" s="320"/>
      <c r="L451" s="164"/>
      <c r="M451" s="320"/>
      <c r="N451" s="164"/>
      <c r="O451" s="320"/>
      <c r="P451" s="164"/>
      <c r="Q451" s="333"/>
      <c r="R451" s="18"/>
      <c r="S451" s="20"/>
      <c r="T451" s="20"/>
      <c r="U451" s="20"/>
      <c r="V451" s="20"/>
      <c r="W451" s="20"/>
      <c r="X451" s="20"/>
      <c r="Y451" s="20"/>
      <c r="Z451" s="20"/>
    </row>
    <row r="452">
      <c r="A452" s="320"/>
      <c r="B452" s="164"/>
      <c r="C452" s="320"/>
      <c r="D452" s="164"/>
      <c r="E452" s="320"/>
      <c r="F452" s="164"/>
      <c r="G452" s="320"/>
      <c r="H452" s="164"/>
      <c r="I452" s="320"/>
      <c r="J452" s="164"/>
      <c r="K452" s="320"/>
      <c r="L452" s="164"/>
      <c r="M452" s="320"/>
      <c r="N452" s="164"/>
      <c r="O452" s="320"/>
      <c r="P452" s="164"/>
      <c r="Q452" s="333"/>
      <c r="R452" s="18"/>
      <c r="S452" s="20"/>
      <c r="T452" s="20"/>
      <c r="U452" s="20"/>
      <c r="V452" s="20"/>
      <c r="W452" s="20"/>
      <c r="X452" s="20"/>
      <c r="Y452" s="20"/>
      <c r="Z452" s="20"/>
    </row>
    <row r="453">
      <c r="A453" s="320"/>
      <c r="B453" s="164"/>
      <c r="C453" s="320"/>
      <c r="D453" s="164"/>
      <c r="E453" s="320"/>
      <c r="F453" s="164"/>
      <c r="G453" s="320"/>
      <c r="H453" s="164"/>
      <c r="I453" s="320"/>
      <c r="J453" s="164"/>
      <c r="K453" s="320"/>
      <c r="L453" s="164"/>
      <c r="M453" s="320"/>
      <c r="N453" s="164"/>
      <c r="O453" s="320"/>
      <c r="P453" s="164"/>
      <c r="Q453" s="333"/>
      <c r="R453" s="18"/>
      <c r="S453" s="20"/>
      <c r="T453" s="20"/>
      <c r="U453" s="20"/>
      <c r="V453" s="20"/>
      <c r="W453" s="20"/>
      <c r="X453" s="20"/>
      <c r="Y453" s="20"/>
      <c r="Z453" s="20"/>
    </row>
    <row r="454">
      <c r="A454" s="320"/>
      <c r="B454" s="164"/>
      <c r="C454" s="320"/>
      <c r="D454" s="164"/>
      <c r="E454" s="320"/>
      <c r="F454" s="164"/>
      <c r="G454" s="320"/>
      <c r="H454" s="164"/>
      <c r="I454" s="320"/>
      <c r="J454" s="164"/>
      <c r="K454" s="320"/>
      <c r="L454" s="164"/>
      <c r="M454" s="320"/>
      <c r="N454" s="164"/>
      <c r="O454" s="320"/>
      <c r="P454" s="164"/>
      <c r="Q454" s="333"/>
      <c r="R454" s="18"/>
      <c r="S454" s="20"/>
      <c r="T454" s="20"/>
      <c r="U454" s="20"/>
      <c r="V454" s="20"/>
      <c r="W454" s="20"/>
      <c r="X454" s="20"/>
      <c r="Y454" s="20"/>
      <c r="Z454" s="20"/>
    </row>
    <row r="455">
      <c r="A455" s="320"/>
      <c r="B455" s="164"/>
      <c r="C455" s="320"/>
      <c r="D455" s="164"/>
      <c r="E455" s="320"/>
      <c r="F455" s="164"/>
      <c r="G455" s="320"/>
      <c r="H455" s="164"/>
      <c r="I455" s="320"/>
      <c r="J455" s="164"/>
      <c r="K455" s="320"/>
      <c r="L455" s="164"/>
      <c r="M455" s="320"/>
      <c r="N455" s="164"/>
      <c r="O455" s="320"/>
      <c r="P455" s="164"/>
      <c r="Q455" s="333"/>
      <c r="R455" s="18"/>
      <c r="S455" s="20"/>
      <c r="T455" s="20"/>
      <c r="U455" s="20"/>
      <c r="V455" s="20"/>
      <c r="W455" s="20"/>
      <c r="X455" s="20"/>
      <c r="Y455" s="20"/>
      <c r="Z455" s="20"/>
    </row>
    <row r="456">
      <c r="A456" s="320"/>
      <c r="B456" s="164"/>
      <c r="C456" s="320"/>
      <c r="D456" s="164"/>
      <c r="E456" s="320"/>
      <c r="F456" s="164"/>
      <c r="G456" s="320"/>
      <c r="H456" s="164"/>
      <c r="I456" s="320"/>
      <c r="J456" s="164"/>
      <c r="K456" s="320"/>
      <c r="L456" s="164"/>
      <c r="M456" s="320"/>
      <c r="N456" s="164"/>
      <c r="O456" s="320"/>
      <c r="P456" s="164"/>
      <c r="Q456" s="333"/>
      <c r="R456" s="18"/>
      <c r="S456" s="20"/>
      <c r="T456" s="20"/>
      <c r="U456" s="20"/>
      <c r="V456" s="20"/>
      <c r="W456" s="20"/>
      <c r="X456" s="20"/>
      <c r="Y456" s="20"/>
      <c r="Z456" s="20"/>
    </row>
    <row r="457">
      <c r="A457" s="320"/>
      <c r="B457" s="164"/>
      <c r="C457" s="320"/>
      <c r="D457" s="164"/>
      <c r="E457" s="320"/>
      <c r="F457" s="164"/>
      <c r="G457" s="320"/>
      <c r="H457" s="164"/>
      <c r="I457" s="320"/>
      <c r="J457" s="164"/>
      <c r="K457" s="320"/>
      <c r="L457" s="164"/>
      <c r="M457" s="320"/>
      <c r="N457" s="164"/>
      <c r="O457" s="320"/>
      <c r="P457" s="164"/>
      <c r="Q457" s="333"/>
      <c r="R457" s="18"/>
      <c r="S457" s="20"/>
      <c r="T457" s="20"/>
      <c r="U457" s="20"/>
      <c r="V457" s="20"/>
      <c r="W457" s="20"/>
      <c r="X457" s="20"/>
      <c r="Y457" s="20"/>
      <c r="Z457" s="20"/>
    </row>
    <row r="458">
      <c r="A458" s="320"/>
      <c r="B458" s="164"/>
      <c r="C458" s="320"/>
      <c r="D458" s="164"/>
      <c r="E458" s="320"/>
      <c r="F458" s="164"/>
      <c r="G458" s="320"/>
      <c r="H458" s="164"/>
      <c r="I458" s="320"/>
      <c r="J458" s="164"/>
      <c r="K458" s="320"/>
      <c r="L458" s="164"/>
      <c r="M458" s="320"/>
      <c r="N458" s="164"/>
      <c r="O458" s="320"/>
      <c r="P458" s="164"/>
      <c r="Q458" s="333"/>
      <c r="R458" s="18"/>
      <c r="S458" s="20"/>
      <c r="T458" s="20"/>
      <c r="U458" s="20"/>
      <c r="V458" s="20"/>
      <c r="W458" s="20"/>
      <c r="X458" s="20"/>
      <c r="Y458" s="20"/>
      <c r="Z458" s="20"/>
    </row>
    <row r="459">
      <c r="A459" s="320"/>
      <c r="B459" s="164"/>
      <c r="C459" s="320"/>
      <c r="D459" s="164"/>
      <c r="E459" s="320"/>
      <c r="F459" s="164"/>
      <c r="G459" s="320"/>
      <c r="H459" s="164"/>
      <c r="I459" s="320"/>
      <c r="J459" s="164"/>
      <c r="K459" s="320"/>
      <c r="L459" s="164"/>
      <c r="M459" s="320"/>
      <c r="N459" s="164"/>
      <c r="O459" s="320"/>
      <c r="P459" s="164"/>
      <c r="Q459" s="333"/>
      <c r="R459" s="18"/>
      <c r="S459" s="20"/>
      <c r="T459" s="20"/>
      <c r="U459" s="20"/>
      <c r="V459" s="20"/>
      <c r="W459" s="20"/>
      <c r="X459" s="20"/>
      <c r="Y459" s="20"/>
      <c r="Z459" s="20"/>
    </row>
    <row r="460">
      <c r="A460" s="320"/>
      <c r="B460" s="164"/>
      <c r="C460" s="320"/>
      <c r="D460" s="164"/>
      <c r="E460" s="320"/>
      <c r="F460" s="164"/>
      <c r="G460" s="320"/>
      <c r="H460" s="164"/>
      <c r="I460" s="320"/>
      <c r="J460" s="164"/>
      <c r="K460" s="320"/>
      <c r="L460" s="164"/>
      <c r="M460" s="320"/>
      <c r="N460" s="164"/>
      <c r="O460" s="320"/>
      <c r="P460" s="164"/>
      <c r="Q460" s="333"/>
      <c r="R460" s="18"/>
      <c r="S460" s="20"/>
      <c r="T460" s="20"/>
      <c r="U460" s="20"/>
      <c r="V460" s="20"/>
      <c r="W460" s="20"/>
      <c r="X460" s="20"/>
      <c r="Y460" s="20"/>
      <c r="Z460" s="20"/>
    </row>
    <row r="461">
      <c r="A461" s="320"/>
      <c r="B461" s="164"/>
      <c r="C461" s="320"/>
      <c r="D461" s="164"/>
      <c r="E461" s="320"/>
      <c r="F461" s="164"/>
      <c r="G461" s="320"/>
      <c r="H461" s="164"/>
      <c r="I461" s="320"/>
      <c r="J461" s="164"/>
      <c r="K461" s="320"/>
      <c r="L461" s="164"/>
      <c r="M461" s="320"/>
      <c r="N461" s="164"/>
      <c r="O461" s="320"/>
      <c r="P461" s="164"/>
      <c r="Q461" s="333"/>
      <c r="R461" s="18"/>
      <c r="S461" s="20"/>
      <c r="T461" s="20"/>
      <c r="U461" s="20"/>
      <c r="V461" s="20"/>
      <c r="W461" s="20"/>
      <c r="X461" s="20"/>
      <c r="Y461" s="20"/>
      <c r="Z461" s="20"/>
    </row>
    <row r="462">
      <c r="A462" s="320"/>
      <c r="B462" s="164"/>
      <c r="C462" s="320"/>
      <c r="D462" s="164"/>
      <c r="E462" s="320"/>
      <c r="F462" s="164"/>
      <c r="G462" s="320"/>
      <c r="H462" s="164"/>
      <c r="I462" s="320"/>
      <c r="J462" s="164"/>
      <c r="K462" s="320"/>
      <c r="L462" s="164"/>
      <c r="M462" s="320"/>
      <c r="N462" s="164"/>
      <c r="O462" s="320"/>
      <c r="P462" s="164"/>
      <c r="Q462" s="333"/>
      <c r="R462" s="18"/>
      <c r="S462" s="20"/>
      <c r="T462" s="20"/>
      <c r="U462" s="20"/>
      <c r="V462" s="20"/>
      <c r="W462" s="20"/>
      <c r="X462" s="20"/>
      <c r="Y462" s="20"/>
      <c r="Z462" s="20"/>
    </row>
    <row r="463">
      <c r="A463" s="320"/>
      <c r="B463" s="164"/>
      <c r="C463" s="320"/>
      <c r="D463" s="164"/>
      <c r="E463" s="320"/>
      <c r="F463" s="164"/>
      <c r="G463" s="320"/>
      <c r="H463" s="164"/>
      <c r="I463" s="320"/>
      <c r="J463" s="164"/>
      <c r="K463" s="320"/>
      <c r="L463" s="164"/>
      <c r="M463" s="320"/>
      <c r="N463" s="164"/>
      <c r="O463" s="320"/>
      <c r="P463" s="164"/>
      <c r="Q463" s="333"/>
      <c r="R463" s="18"/>
      <c r="S463" s="20"/>
      <c r="T463" s="20"/>
      <c r="U463" s="20"/>
      <c r="V463" s="20"/>
      <c r="W463" s="20"/>
      <c r="X463" s="20"/>
      <c r="Y463" s="20"/>
      <c r="Z463" s="20"/>
    </row>
    <row r="464">
      <c r="A464" s="320"/>
      <c r="B464" s="164"/>
      <c r="C464" s="320"/>
      <c r="D464" s="164"/>
      <c r="E464" s="320"/>
      <c r="F464" s="164"/>
      <c r="G464" s="320"/>
      <c r="H464" s="164"/>
      <c r="I464" s="320"/>
      <c r="J464" s="164"/>
      <c r="K464" s="320"/>
      <c r="L464" s="164"/>
      <c r="M464" s="320"/>
      <c r="N464" s="164"/>
      <c r="O464" s="320"/>
      <c r="P464" s="164"/>
      <c r="Q464" s="333"/>
      <c r="R464" s="18"/>
      <c r="S464" s="20"/>
      <c r="T464" s="20"/>
      <c r="U464" s="20"/>
      <c r="V464" s="20"/>
      <c r="W464" s="20"/>
      <c r="X464" s="20"/>
      <c r="Y464" s="20"/>
      <c r="Z464" s="20"/>
    </row>
    <row r="465">
      <c r="A465" s="320"/>
      <c r="B465" s="164"/>
      <c r="C465" s="320"/>
      <c r="D465" s="164"/>
      <c r="E465" s="320"/>
      <c r="F465" s="164"/>
      <c r="G465" s="320"/>
      <c r="H465" s="164"/>
      <c r="I465" s="320"/>
      <c r="J465" s="164"/>
      <c r="K465" s="320"/>
      <c r="L465" s="164"/>
      <c r="M465" s="320"/>
      <c r="N465" s="164"/>
      <c r="O465" s="320"/>
      <c r="P465" s="164"/>
      <c r="Q465" s="333"/>
      <c r="R465" s="18"/>
      <c r="S465" s="20"/>
      <c r="T465" s="20"/>
      <c r="U465" s="20"/>
      <c r="V465" s="20"/>
      <c r="W465" s="20"/>
      <c r="X465" s="20"/>
      <c r="Y465" s="20"/>
      <c r="Z465" s="20"/>
    </row>
    <row r="466">
      <c r="A466" s="320"/>
      <c r="B466" s="164"/>
      <c r="C466" s="320"/>
      <c r="D466" s="164"/>
      <c r="E466" s="320"/>
      <c r="F466" s="164"/>
      <c r="G466" s="320"/>
      <c r="H466" s="164"/>
      <c r="I466" s="320"/>
      <c r="J466" s="164"/>
      <c r="K466" s="320"/>
      <c r="L466" s="164"/>
      <c r="M466" s="320"/>
      <c r="N466" s="164"/>
      <c r="O466" s="320"/>
      <c r="P466" s="164"/>
      <c r="Q466" s="333"/>
      <c r="R466" s="18"/>
      <c r="S466" s="20"/>
      <c r="T466" s="20"/>
      <c r="U466" s="20"/>
      <c r="V466" s="20"/>
      <c r="W466" s="20"/>
      <c r="X466" s="20"/>
      <c r="Y466" s="20"/>
      <c r="Z466" s="20"/>
    </row>
    <row r="467">
      <c r="A467" s="320"/>
      <c r="B467" s="164"/>
      <c r="C467" s="320"/>
      <c r="D467" s="164"/>
      <c r="E467" s="320"/>
      <c r="F467" s="164"/>
      <c r="G467" s="320"/>
      <c r="H467" s="164"/>
      <c r="I467" s="320"/>
      <c r="J467" s="164"/>
      <c r="K467" s="320"/>
      <c r="L467" s="164"/>
      <c r="M467" s="320"/>
      <c r="N467" s="164"/>
      <c r="O467" s="320"/>
      <c r="P467" s="164"/>
      <c r="Q467" s="333"/>
      <c r="R467" s="18"/>
      <c r="S467" s="20"/>
      <c r="T467" s="20"/>
      <c r="U467" s="20"/>
      <c r="V467" s="20"/>
      <c r="W467" s="20"/>
      <c r="X467" s="20"/>
      <c r="Y467" s="20"/>
      <c r="Z467" s="20"/>
    </row>
    <row r="468">
      <c r="A468" s="320"/>
      <c r="B468" s="164"/>
      <c r="C468" s="320"/>
      <c r="D468" s="164"/>
      <c r="E468" s="320"/>
      <c r="F468" s="164"/>
      <c r="G468" s="320"/>
      <c r="H468" s="164"/>
      <c r="I468" s="320"/>
      <c r="J468" s="164"/>
      <c r="K468" s="320"/>
      <c r="L468" s="164"/>
      <c r="M468" s="320"/>
      <c r="N468" s="164"/>
      <c r="O468" s="320"/>
      <c r="P468" s="164"/>
      <c r="Q468" s="333"/>
      <c r="R468" s="18"/>
      <c r="S468" s="20"/>
      <c r="T468" s="20"/>
      <c r="U468" s="20"/>
      <c r="V468" s="20"/>
      <c r="W468" s="20"/>
      <c r="X468" s="20"/>
      <c r="Y468" s="20"/>
      <c r="Z468" s="20"/>
    </row>
    <row r="469">
      <c r="A469" s="320"/>
      <c r="B469" s="164"/>
      <c r="C469" s="320"/>
      <c r="D469" s="164"/>
      <c r="E469" s="320"/>
      <c r="F469" s="164"/>
      <c r="G469" s="320"/>
      <c r="H469" s="164"/>
      <c r="I469" s="320"/>
      <c r="J469" s="164"/>
      <c r="K469" s="320"/>
      <c r="L469" s="164"/>
      <c r="M469" s="320"/>
      <c r="N469" s="164"/>
      <c r="O469" s="320"/>
      <c r="P469" s="164"/>
      <c r="Q469" s="333"/>
      <c r="R469" s="18"/>
      <c r="S469" s="20"/>
      <c r="T469" s="20"/>
      <c r="U469" s="20"/>
      <c r="V469" s="20"/>
      <c r="W469" s="20"/>
      <c r="X469" s="20"/>
      <c r="Y469" s="20"/>
      <c r="Z469" s="20"/>
    </row>
    <row r="470">
      <c r="A470" s="320"/>
      <c r="B470" s="164"/>
      <c r="C470" s="320"/>
      <c r="D470" s="164"/>
      <c r="E470" s="320"/>
      <c r="F470" s="164"/>
      <c r="G470" s="320"/>
      <c r="H470" s="164"/>
      <c r="I470" s="320"/>
      <c r="J470" s="164"/>
      <c r="K470" s="320"/>
      <c r="L470" s="164"/>
      <c r="M470" s="320"/>
      <c r="N470" s="164"/>
      <c r="O470" s="320"/>
      <c r="P470" s="164"/>
      <c r="Q470" s="333"/>
      <c r="R470" s="18"/>
      <c r="S470" s="20"/>
      <c r="T470" s="20"/>
      <c r="U470" s="20"/>
      <c r="V470" s="20"/>
      <c r="W470" s="20"/>
      <c r="X470" s="20"/>
      <c r="Y470" s="20"/>
      <c r="Z470" s="20"/>
    </row>
    <row r="471">
      <c r="A471" s="320"/>
      <c r="B471" s="164"/>
      <c r="C471" s="320"/>
      <c r="D471" s="164"/>
      <c r="E471" s="320"/>
      <c r="F471" s="164"/>
      <c r="G471" s="320"/>
      <c r="H471" s="164"/>
      <c r="I471" s="320"/>
      <c r="J471" s="164"/>
      <c r="K471" s="320"/>
      <c r="L471" s="164"/>
      <c r="M471" s="320"/>
      <c r="N471" s="164"/>
      <c r="O471" s="320"/>
      <c r="P471" s="164"/>
      <c r="Q471" s="333"/>
      <c r="R471" s="18"/>
      <c r="S471" s="20"/>
      <c r="T471" s="20"/>
      <c r="U471" s="20"/>
      <c r="V471" s="20"/>
      <c r="W471" s="20"/>
      <c r="X471" s="20"/>
      <c r="Y471" s="20"/>
      <c r="Z471" s="20"/>
    </row>
    <row r="472">
      <c r="A472" s="320"/>
      <c r="B472" s="164"/>
      <c r="C472" s="320"/>
      <c r="D472" s="164"/>
      <c r="E472" s="320"/>
      <c r="F472" s="164"/>
      <c r="G472" s="320"/>
      <c r="H472" s="164"/>
      <c r="I472" s="320"/>
      <c r="J472" s="164"/>
      <c r="K472" s="320"/>
      <c r="L472" s="164"/>
      <c r="M472" s="320"/>
      <c r="N472" s="164"/>
      <c r="O472" s="320"/>
      <c r="P472" s="164"/>
      <c r="Q472" s="333"/>
      <c r="R472" s="18"/>
      <c r="S472" s="20"/>
      <c r="T472" s="20"/>
      <c r="U472" s="20"/>
      <c r="V472" s="20"/>
      <c r="W472" s="20"/>
      <c r="X472" s="20"/>
      <c r="Y472" s="20"/>
      <c r="Z472" s="20"/>
    </row>
    <row r="473">
      <c r="A473" s="320"/>
      <c r="B473" s="164"/>
      <c r="C473" s="320"/>
      <c r="D473" s="164"/>
      <c r="E473" s="320"/>
      <c r="F473" s="164"/>
      <c r="G473" s="320"/>
      <c r="H473" s="164"/>
      <c r="I473" s="320"/>
      <c r="J473" s="164"/>
      <c r="K473" s="320"/>
      <c r="L473" s="164"/>
      <c r="M473" s="320"/>
      <c r="N473" s="164"/>
      <c r="O473" s="320"/>
      <c r="P473" s="164"/>
      <c r="Q473" s="333"/>
      <c r="R473" s="18"/>
      <c r="S473" s="20"/>
      <c r="T473" s="20"/>
      <c r="U473" s="20"/>
      <c r="V473" s="20"/>
      <c r="W473" s="20"/>
      <c r="X473" s="20"/>
      <c r="Y473" s="20"/>
      <c r="Z473" s="20"/>
    </row>
    <row r="474">
      <c r="A474" s="320"/>
      <c r="B474" s="164"/>
      <c r="C474" s="320"/>
      <c r="D474" s="164"/>
      <c r="E474" s="320"/>
      <c r="F474" s="164"/>
      <c r="G474" s="320"/>
      <c r="H474" s="164"/>
      <c r="I474" s="320"/>
      <c r="J474" s="164"/>
      <c r="K474" s="320"/>
      <c r="L474" s="164"/>
      <c r="M474" s="320"/>
      <c r="N474" s="164"/>
      <c r="O474" s="320"/>
      <c r="P474" s="164"/>
      <c r="Q474" s="333"/>
      <c r="R474" s="18"/>
      <c r="S474" s="20"/>
      <c r="T474" s="20"/>
      <c r="U474" s="20"/>
      <c r="V474" s="20"/>
      <c r="W474" s="20"/>
      <c r="X474" s="20"/>
      <c r="Y474" s="20"/>
      <c r="Z474" s="20"/>
    </row>
    <row r="475">
      <c r="A475" s="320"/>
      <c r="B475" s="164"/>
      <c r="C475" s="320"/>
      <c r="D475" s="164"/>
      <c r="E475" s="320"/>
      <c r="F475" s="164"/>
      <c r="G475" s="320"/>
      <c r="H475" s="164"/>
      <c r="I475" s="320"/>
      <c r="J475" s="164"/>
      <c r="K475" s="320"/>
      <c r="L475" s="164"/>
      <c r="M475" s="320"/>
      <c r="N475" s="164"/>
      <c r="O475" s="320"/>
      <c r="P475" s="164"/>
      <c r="Q475" s="333"/>
      <c r="R475" s="18"/>
      <c r="S475" s="20"/>
      <c r="T475" s="20"/>
      <c r="U475" s="20"/>
      <c r="V475" s="20"/>
      <c r="W475" s="20"/>
      <c r="X475" s="20"/>
      <c r="Y475" s="20"/>
      <c r="Z475" s="20"/>
    </row>
    <row r="476">
      <c r="A476" s="320"/>
      <c r="B476" s="164"/>
      <c r="C476" s="320"/>
      <c r="D476" s="164"/>
      <c r="E476" s="320"/>
      <c r="F476" s="164"/>
      <c r="G476" s="320"/>
      <c r="H476" s="164"/>
      <c r="I476" s="320"/>
      <c r="J476" s="164"/>
      <c r="K476" s="320"/>
      <c r="L476" s="164"/>
      <c r="M476" s="320"/>
      <c r="N476" s="164"/>
      <c r="O476" s="320"/>
      <c r="P476" s="164"/>
      <c r="Q476" s="333"/>
      <c r="R476" s="18"/>
      <c r="S476" s="20"/>
      <c r="T476" s="20"/>
      <c r="U476" s="20"/>
      <c r="V476" s="20"/>
      <c r="W476" s="20"/>
      <c r="X476" s="20"/>
      <c r="Y476" s="20"/>
      <c r="Z476" s="20"/>
    </row>
    <row r="477">
      <c r="A477" s="320"/>
      <c r="B477" s="164"/>
      <c r="C477" s="320"/>
      <c r="D477" s="164"/>
      <c r="E477" s="320"/>
      <c r="F477" s="164"/>
      <c r="G477" s="320"/>
      <c r="H477" s="164"/>
      <c r="I477" s="320"/>
      <c r="J477" s="164"/>
      <c r="K477" s="320"/>
      <c r="L477" s="164"/>
      <c r="M477" s="320"/>
      <c r="N477" s="164"/>
      <c r="O477" s="320"/>
      <c r="P477" s="164"/>
      <c r="Q477" s="333"/>
      <c r="R477" s="18"/>
      <c r="S477" s="20"/>
      <c r="T477" s="20"/>
      <c r="U477" s="20"/>
      <c r="V477" s="20"/>
      <c r="W477" s="20"/>
      <c r="X477" s="20"/>
      <c r="Y477" s="20"/>
      <c r="Z477" s="20"/>
    </row>
    <row r="478">
      <c r="A478" s="320"/>
      <c r="B478" s="164"/>
      <c r="C478" s="320"/>
      <c r="D478" s="164"/>
      <c r="E478" s="320"/>
      <c r="F478" s="164"/>
      <c r="G478" s="320"/>
      <c r="H478" s="164"/>
      <c r="I478" s="320"/>
      <c r="J478" s="164"/>
      <c r="K478" s="320"/>
      <c r="L478" s="164"/>
      <c r="M478" s="320"/>
      <c r="N478" s="164"/>
      <c r="O478" s="320"/>
      <c r="P478" s="164"/>
      <c r="Q478" s="333"/>
      <c r="R478" s="18"/>
      <c r="S478" s="20"/>
      <c r="T478" s="20"/>
      <c r="U478" s="20"/>
      <c r="V478" s="20"/>
      <c r="W478" s="20"/>
      <c r="X478" s="20"/>
      <c r="Y478" s="20"/>
      <c r="Z478" s="20"/>
    </row>
    <row r="479">
      <c r="A479" s="320"/>
      <c r="B479" s="164"/>
      <c r="C479" s="320"/>
      <c r="D479" s="164"/>
      <c r="E479" s="320"/>
      <c r="F479" s="164"/>
      <c r="G479" s="320"/>
      <c r="H479" s="164"/>
      <c r="I479" s="320"/>
      <c r="J479" s="164"/>
      <c r="K479" s="320"/>
      <c r="L479" s="164"/>
      <c r="M479" s="320"/>
      <c r="N479" s="164"/>
      <c r="O479" s="320"/>
      <c r="P479" s="164"/>
      <c r="Q479" s="333"/>
      <c r="R479" s="18"/>
      <c r="S479" s="20"/>
      <c r="T479" s="20"/>
      <c r="U479" s="20"/>
      <c r="V479" s="20"/>
      <c r="W479" s="20"/>
      <c r="X479" s="20"/>
      <c r="Y479" s="20"/>
      <c r="Z479" s="20"/>
    </row>
    <row r="480">
      <c r="A480" s="320"/>
      <c r="B480" s="164"/>
      <c r="C480" s="320"/>
      <c r="D480" s="164"/>
      <c r="E480" s="320"/>
      <c r="F480" s="164"/>
      <c r="G480" s="320"/>
      <c r="H480" s="164"/>
      <c r="I480" s="320"/>
      <c r="J480" s="164"/>
      <c r="K480" s="320"/>
      <c r="L480" s="164"/>
      <c r="M480" s="320"/>
      <c r="N480" s="164"/>
      <c r="O480" s="320"/>
      <c r="P480" s="164"/>
      <c r="Q480" s="333"/>
      <c r="R480" s="18"/>
      <c r="S480" s="20"/>
      <c r="T480" s="20"/>
      <c r="U480" s="20"/>
      <c r="V480" s="20"/>
      <c r="W480" s="20"/>
      <c r="X480" s="20"/>
      <c r="Y480" s="20"/>
      <c r="Z480" s="20"/>
    </row>
    <row r="481">
      <c r="A481" s="320"/>
      <c r="B481" s="164"/>
      <c r="C481" s="320"/>
      <c r="D481" s="164"/>
      <c r="E481" s="320"/>
      <c r="F481" s="164"/>
      <c r="G481" s="320"/>
      <c r="H481" s="164"/>
      <c r="I481" s="320"/>
      <c r="J481" s="164"/>
      <c r="K481" s="320"/>
      <c r="L481" s="164"/>
      <c r="M481" s="320"/>
      <c r="N481" s="164"/>
      <c r="O481" s="320"/>
      <c r="P481" s="164"/>
      <c r="Q481" s="333"/>
      <c r="R481" s="18"/>
      <c r="S481" s="20"/>
      <c r="T481" s="20"/>
      <c r="U481" s="20"/>
      <c r="V481" s="20"/>
      <c r="W481" s="20"/>
      <c r="X481" s="20"/>
      <c r="Y481" s="20"/>
      <c r="Z481" s="20"/>
    </row>
    <row r="482">
      <c r="A482" s="320"/>
      <c r="B482" s="164"/>
      <c r="C482" s="320"/>
      <c r="D482" s="164"/>
      <c r="E482" s="320"/>
      <c r="F482" s="164"/>
      <c r="G482" s="320"/>
      <c r="H482" s="164"/>
      <c r="I482" s="320"/>
      <c r="J482" s="164"/>
      <c r="K482" s="320"/>
      <c r="L482" s="164"/>
      <c r="M482" s="320"/>
      <c r="N482" s="164"/>
      <c r="O482" s="320"/>
      <c r="P482" s="164"/>
      <c r="Q482" s="333"/>
      <c r="R482" s="18"/>
      <c r="S482" s="20"/>
      <c r="T482" s="20"/>
      <c r="U482" s="20"/>
      <c r="V482" s="20"/>
      <c r="W482" s="20"/>
      <c r="X482" s="20"/>
      <c r="Y482" s="20"/>
      <c r="Z482" s="20"/>
    </row>
    <row r="483">
      <c r="A483" s="320"/>
      <c r="B483" s="164"/>
      <c r="C483" s="320"/>
      <c r="D483" s="164"/>
      <c r="E483" s="320"/>
      <c r="F483" s="164"/>
      <c r="G483" s="320"/>
      <c r="H483" s="164"/>
      <c r="I483" s="320"/>
      <c r="J483" s="164"/>
      <c r="K483" s="320"/>
      <c r="L483" s="164"/>
      <c r="M483" s="320"/>
      <c r="N483" s="164"/>
      <c r="O483" s="320"/>
      <c r="P483" s="164"/>
      <c r="Q483" s="333"/>
      <c r="R483" s="18"/>
      <c r="S483" s="20"/>
      <c r="T483" s="20"/>
      <c r="U483" s="20"/>
      <c r="V483" s="20"/>
      <c r="W483" s="20"/>
      <c r="X483" s="20"/>
      <c r="Y483" s="20"/>
      <c r="Z483" s="20"/>
    </row>
    <row r="484">
      <c r="A484" s="320"/>
      <c r="B484" s="164"/>
      <c r="C484" s="320"/>
      <c r="D484" s="164"/>
      <c r="E484" s="320"/>
      <c r="F484" s="164"/>
      <c r="G484" s="320"/>
      <c r="H484" s="164"/>
      <c r="I484" s="320"/>
      <c r="J484" s="164"/>
      <c r="K484" s="320"/>
      <c r="L484" s="164"/>
      <c r="M484" s="320"/>
      <c r="N484" s="164"/>
      <c r="O484" s="320"/>
      <c r="P484" s="164"/>
      <c r="Q484" s="333"/>
      <c r="R484" s="18"/>
      <c r="S484" s="20"/>
      <c r="T484" s="20"/>
      <c r="U484" s="20"/>
      <c r="V484" s="20"/>
      <c r="W484" s="20"/>
      <c r="X484" s="20"/>
      <c r="Y484" s="20"/>
      <c r="Z484" s="20"/>
    </row>
    <row r="485">
      <c r="A485" s="320"/>
      <c r="B485" s="164"/>
      <c r="C485" s="320"/>
      <c r="D485" s="164"/>
      <c r="E485" s="320"/>
      <c r="F485" s="164"/>
      <c r="G485" s="320"/>
      <c r="H485" s="164"/>
      <c r="I485" s="320"/>
      <c r="J485" s="164"/>
      <c r="K485" s="320"/>
      <c r="L485" s="164"/>
      <c r="M485" s="320"/>
      <c r="N485" s="164"/>
      <c r="O485" s="320"/>
      <c r="P485" s="164"/>
      <c r="Q485" s="333"/>
      <c r="R485" s="18"/>
      <c r="S485" s="20"/>
      <c r="T485" s="20"/>
      <c r="U485" s="20"/>
      <c r="V485" s="20"/>
      <c r="W485" s="20"/>
      <c r="X485" s="20"/>
      <c r="Y485" s="20"/>
      <c r="Z485" s="20"/>
    </row>
    <row r="486">
      <c r="A486" s="320"/>
      <c r="B486" s="164"/>
      <c r="C486" s="320"/>
      <c r="D486" s="164"/>
      <c r="E486" s="320"/>
      <c r="F486" s="164"/>
      <c r="G486" s="320"/>
      <c r="H486" s="164"/>
      <c r="I486" s="320"/>
      <c r="J486" s="164"/>
      <c r="K486" s="320"/>
      <c r="L486" s="164"/>
      <c r="M486" s="320"/>
      <c r="N486" s="164"/>
      <c r="O486" s="320"/>
      <c r="P486" s="164"/>
      <c r="Q486" s="333"/>
      <c r="R486" s="18"/>
      <c r="S486" s="20"/>
      <c r="T486" s="20"/>
      <c r="U486" s="20"/>
      <c r="V486" s="20"/>
      <c r="W486" s="20"/>
      <c r="X486" s="20"/>
      <c r="Y486" s="20"/>
      <c r="Z486" s="20"/>
    </row>
    <row r="487">
      <c r="A487" s="320"/>
      <c r="B487" s="164"/>
      <c r="C487" s="320"/>
      <c r="D487" s="164"/>
      <c r="E487" s="320"/>
      <c r="F487" s="164"/>
      <c r="G487" s="320"/>
      <c r="H487" s="164"/>
      <c r="I487" s="320"/>
      <c r="J487" s="164"/>
      <c r="K487" s="320"/>
      <c r="L487" s="164"/>
      <c r="M487" s="320"/>
      <c r="N487" s="164"/>
      <c r="O487" s="320"/>
      <c r="P487" s="164"/>
      <c r="Q487" s="333"/>
      <c r="R487" s="18"/>
      <c r="S487" s="20"/>
      <c r="T487" s="20"/>
      <c r="U487" s="20"/>
      <c r="V487" s="20"/>
      <c r="W487" s="20"/>
      <c r="X487" s="20"/>
      <c r="Y487" s="20"/>
      <c r="Z487" s="20"/>
    </row>
    <row r="488">
      <c r="A488" s="320"/>
      <c r="B488" s="164"/>
      <c r="C488" s="320"/>
      <c r="D488" s="164"/>
      <c r="E488" s="320"/>
      <c r="F488" s="164"/>
      <c r="G488" s="320"/>
      <c r="H488" s="164"/>
      <c r="I488" s="320"/>
      <c r="J488" s="164"/>
      <c r="K488" s="320"/>
      <c r="L488" s="164"/>
      <c r="M488" s="320"/>
      <c r="N488" s="164"/>
      <c r="O488" s="320"/>
      <c r="P488" s="164"/>
      <c r="Q488" s="333"/>
      <c r="R488" s="18"/>
      <c r="S488" s="20"/>
      <c r="T488" s="20"/>
      <c r="U488" s="20"/>
      <c r="V488" s="20"/>
      <c r="W488" s="20"/>
      <c r="X488" s="20"/>
      <c r="Y488" s="20"/>
      <c r="Z488" s="20"/>
    </row>
    <row r="489">
      <c r="A489" s="320"/>
      <c r="B489" s="164"/>
      <c r="C489" s="320"/>
      <c r="D489" s="164"/>
      <c r="E489" s="320"/>
      <c r="F489" s="164"/>
      <c r="G489" s="320"/>
      <c r="H489" s="164"/>
      <c r="I489" s="320"/>
      <c r="J489" s="164"/>
      <c r="K489" s="320"/>
      <c r="L489" s="164"/>
      <c r="M489" s="320"/>
      <c r="N489" s="164"/>
      <c r="O489" s="320"/>
      <c r="P489" s="164"/>
      <c r="Q489" s="333"/>
      <c r="R489" s="18"/>
      <c r="S489" s="20"/>
      <c r="T489" s="20"/>
      <c r="U489" s="20"/>
      <c r="V489" s="20"/>
      <c r="W489" s="20"/>
      <c r="X489" s="20"/>
      <c r="Y489" s="20"/>
      <c r="Z489" s="20"/>
    </row>
    <row r="490">
      <c r="A490" s="320"/>
      <c r="B490" s="164"/>
      <c r="C490" s="320"/>
      <c r="D490" s="164"/>
      <c r="E490" s="320"/>
      <c r="F490" s="164"/>
      <c r="G490" s="320"/>
      <c r="H490" s="164"/>
      <c r="I490" s="320"/>
      <c r="J490" s="164"/>
      <c r="K490" s="320"/>
      <c r="L490" s="164"/>
      <c r="M490" s="320"/>
      <c r="N490" s="164"/>
      <c r="O490" s="320"/>
      <c r="P490" s="164"/>
      <c r="Q490" s="333"/>
      <c r="R490" s="18"/>
      <c r="S490" s="20"/>
      <c r="T490" s="20"/>
      <c r="U490" s="20"/>
      <c r="V490" s="20"/>
      <c r="W490" s="20"/>
      <c r="X490" s="20"/>
      <c r="Y490" s="20"/>
      <c r="Z490" s="20"/>
    </row>
    <row r="491">
      <c r="A491" s="320"/>
      <c r="B491" s="164"/>
      <c r="C491" s="320"/>
      <c r="D491" s="164"/>
      <c r="E491" s="320"/>
      <c r="F491" s="164"/>
      <c r="G491" s="320"/>
      <c r="H491" s="164"/>
      <c r="I491" s="320"/>
      <c r="J491" s="164"/>
      <c r="K491" s="320"/>
      <c r="L491" s="164"/>
      <c r="M491" s="320"/>
      <c r="N491" s="164"/>
      <c r="O491" s="320"/>
      <c r="P491" s="164"/>
      <c r="Q491" s="333"/>
      <c r="R491" s="18"/>
      <c r="S491" s="20"/>
      <c r="T491" s="20"/>
      <c r="U491" s="20"/>
      <c r="V491" s="20"/>
      <c r="W491" s="20"/>
      <c r="X491" s="20"/>
      <c r="Y491" s="20"/>
      <c r="Z491" s="20"/>
    </row>
    <row r="492">
      <c r="A492" s="320"/>
      <c r="B492" s="164"/>
      <c r="C492" s="320"/>
      <c r="D492" s="164"/>
      <c r="E492" s="320"/>
      <c r="F492" s="164"/>
      <c r="G492" s="320"/>
      <c r="H492" s="164"/>
      <c r="I492" s="320"/>
      <c r="J492" s="164"/>
      <c r="K492" s="320"/>
      <c r="L492" s="164"/>
      <c r="M492" s="320"/>
      <c r="N492" s="164"/>
      <c r="O492" s="320"/>
      <c r="P492" s="164"/>
      <c r="Q492" s="333"/>
      <c r="R492" s="18"/>
      <c r="S492" s="20"/>
      <c r="T492" s="20"/>
      <c r="U492" s="20"/>
      <c r="V492" s="20"/>
      <c r="W492" s="20"/>
      <c r="X492" s="20"/>
      <c r="Y492" s="20"/>
      <c r="Z492" s="20"/>
    </row>
    <row r="493">
      <c r="A493" s="320"/>
      <c r="B493" s="164"/>
      <c r="C493" s="320"/>
      <c r="D493" s="164"/>
      <c r="E493" s="320"/>
      <c r="F493" s="164"/>
      <c r="G493" s="320"/>
      <c r="H493" s="164"/>
      <c r="I493" s="320"/>
      <c r="J493" s="164"/>
      <c r="K493" s="320"/>
      <c r="L493" s="164"/>
      <c r="M493" s="320"/>
      <c r="N493" s="164"/>
      <c r="O493" s="320"/>
      <c r="P493" s="164"/>
      <c r="Q493" s="333"/>
      <c r="R493" s="18"/>
      <c r="S493" s="20"/>
      <c r="T493" s="20"/>
      <c r="U493" s="20"/>
      <c r="V493" s="20"/>
      <c r="W493" s="20"/>
      <c r="X493" s="20"/>
      <c r="Y493" s="20"/>
      <c r="Z493" s="20"/>
    </row>
    <row r="494">
      <c r="A494" s="320"/>
      <c r="B494" s="164"/>
      <c r="C494" s="320"/>
      <c r="D494" s="164"/>
      <c r="E494" s="320"/>
      <c r="F494" s="164"/>
      <c r="G494" s="320"/>
      <c r="H494" s="164"/>
      <c r="I494" s="320"/>
      <c r="J494" s="164"/>
      <c r="K494" s="320"/>
      <c r="L494" s="164"/>
      <c r="M494" s="320"/>
      <c r="N494" s="164"/>
      <c r="O494" s="320"/>
      <c r="P494" s="164"/>
      <c r="Q494" s="333"/>
      <c r="R494" s="18"/>
      <c r="S494" s="20"/>
      <c r="T494" s="20"/>
      <c r="U494" s="20"/>
      <c r="V494" s="20"/>
      <c r="W494" s="20"/>
      <c r="X494" s="20"/>
      <c r="Y494" s="20"/>
      <c r="Z494" s="20"/>
    </row>
    <row r="495">
      <c r="A495" s="320"/>
      <c r="B495" s="164"/>
      <c r="C495" s="320"/>
      <c r="D495" s="164"/>
      <c r="E495" s="320"/>
      <c r="F495" s="164"/>
      <c r="G495" s="320"/>
      <c r="H495" s="164"/>
      <c r="I495" s="320"/>
      <c r="J495" s="164"/>
      <c r="K495" s="320"/>
      <c r="L495" s="164"/>
      <c r="M495" s="320"/>
      <c r="N495" s="164"/>
      <c r="O495" s="320"/>
      <c r="P495" s="164"/>
      <c r="Q495" s="333"/>
      <c r="R495" s="18"/>
      <c r="S495" s="20"/>
      <c r="T495" s="20"/>
      <c r="U495" s="20"/>
      <c r="V495" s="20"/>
      <c r="W495" s="20"/>
      <c r="X495" s="20"/>
      <c r="Y495" s="20"/>
      <c r="Z495" s="20"/>
    </row>
    <row r="496">
      <c r="A496" s="320"/>
      <c r="B496" s="164"/>
      <c r="C496" s="320"/>
      <c r="D496" s="164"/>
      <c r="E496" s="320"/>
      <c r="F496" s="164"/>
      <c r="G496" s="320"/>
      <c r="H496" s="164"/>
      <c r="I496" s="320"/>
      <c r="J496" s="164"/>
      <c r="K496" s="320"/>
      <c r="L496" s="164"/>
      <c r="M496" s="320"/>
      <c r="N496" s="164"/>
      <c r="O496" s="320"/>
      <c r="P496" s="164"/>
      <c r="Q496" s="333"/>
      <c r="R496" s="18"/>
      <c r="S496" s="20"/>
      <c r="T496" s="20"/>
      <c r="U496" s="20"/>
      <c r="V496" s="20"/>
      <c r="W496" s="20"/>
      <c r="X496" s="20"/>
      <c r="Y496" s="20"/>
      <c r="Z496" s="20"/>
    </row>
    <row r="497">
      <c r="A497" s="320"/>
      <c r="B497" s="164"/>
      <c r="C497" s="320"/>
      <c r="D497" s="164"/>
      <c r="E497" s="320"/>
      <c r="F497" s="164"/>
      <c r="G497" s="320"/>
      <c r="H497" s="164"/>
      <c r="I497" s="320"/>
      <c r="J497" s="164"/>
      <c r="K497" s="320"/>
      <c r="L497" s="164"/>
      <c r="M497" s="320"/>
      <c r="N497" s="164"/>
      <c r="O497" s="320"/>
      <c r="P497" s="164"/>
      <c r="Q497" s="333"/>
      <c r="R497" s="18"/>
      <c r="S497" s="20"/>
      <c r="T497" s="20"/>
      <c r="U497" s="20"/>
      <c r="V497" s="20"/>
      <c r="W497" s="20"/>
      <c r="X497" s="20"/>
      <c r="Y497" s="20"/>
      <c r="Z497" s="20"/>
    </row>
    <row r="498">
      <c r="A498" s="320"/>
      <c r="B498" s="164"/>
      <c r="C498" s="320"/>
      <c r="D498" s="164"/>
      <c r="E498" s="320"/>
      <c r="F498" s="164"/>
      <c r="G498" s="320"/>
      <c r="H498" s="164"/>
      <c r="I498" s="320"/>
      <c r="J498" s="164"/>
      <c r="K498" s="320"/>
      <c r="L498" s="164"/>
      <c r="M498" s="320"/>
      <c r="N498" s="164"/>
      <c r="O498" s="320"/>
      <c r="P498" s="164"/>
      <c r="Q498" s="333"/>
      <c r="R498" s="18"/>
      <c r="S498" s="20"/>
      <c r="T498" s="20"/>
      <c r="U498" s="20"/>
      <c r="V498" s="20"/>
      <c r="W498" s="20"/>
      <c r="X498" s="20"/>
      <c r="Y498" s="20"/>
      <c r="Z498" s="20"/>
    </row>
    <row r="499">
      <c r="A499" s="320"/>
      <c r="B499" s="164"/>
      <c r="C499" s="320"/>
      <c r="D499" s="164"/>
      <c r="E499" s="320"/>
      <c r="F499" s="164"/>
      <c r="G499" s="320"/>
      <c r="H499" s="164"/>
      <c r="I499" s="320"/>
      <c r="J499" s="164"/>
      <c r="K499" s="320"/>
      <c r="L499" s="164"/>
      <c r="M499" s="320"/>
      <c r="N499" s="164"/>
      <c r="O499" s="320"/>
      <c r="P499" s="164"/>
      <c r="Q499" s="333"/>
      <c r="R499" s="18"/>
      <c r="S499" s="20"/>
      <c r="T499" s="20"/>
      <c r="U499" s="20"/>
      <c r="V499" s="20"/>
      <c r="W499" s="20"/>
      <c r="X499" s="20"/>
      <c r="Y499" s="20"/>
      <c r="Z499" s="20"/>
    </row>
    <row r="500">
      <c r="A500" s="320"/>
      <c r="B500" s="164"/>
      <c r="C500" s="320"/>
      <c r="D500" s="164"/>
      <c r="E500" s="320"/>
      <c r="F500" s="164"/>
      <c r="G500" s="320"/>
      <c r="H500" s="164"/>
      <c r="I500" s="320"/>
      <c r="J500" s="164"/>
      <c r="K500" s="320"/>
      <c r="L500" s="164"/>
      <c r="M500" s="320"/>
      <c r="N500" s="164"/>
      <c r="O500" s="320"/>
      <c r="P500" s="164"/>
      <c r="Q500" s="333"/>
      <c r="R500" s="18"/>
      <c r="S500" s="20"/>
      <c r="T500" s="20"/>
      <c r="U500" s="20"/>
      <c r="V500" s="20"/>
      <c r="W500" s="20"/>
      <c r="X500" s="20"/>
      <c r="Y500" s="20"/>
      <c r="Z500" s="20"/>
    </row>
    <row r="501">
      <c r="A501" s="320"/>
      <c r="B501" s="164"/>
      <c r="C501" s="320"/>
      <c r="D501" s="164"/>
      <c r="E501" s="320"/>
      <c r="F501" s="164"/>
      <c r="G501" s="320"/>
      <c r="H501" s="164"/>
      <c r="I501" s="320"/>
      <c r="J501" s="164"/>
      <c r="K501" s="320"/>
      <c r="L501" s="164"/>
      <c r="M501" s="320"/>
      <c r="N501" s="164"/>
      <c r="O501" s="320"/>
      <c r="P501" s="164"/>
      <c r="Q501" s="333"/>
      <c r="R501" s="18"/>
      <c r="S501" s="20"/>
      <c r="T501" s="20"/>
      <c r="U501" s="20"/>
      <c r="V501" s="20"/>
      <c r="W501" s="20"/>
      <c r="X501" s="20"/>
      <c r="Y501" s="20"/>
      <c r="Z501" s="20"/>
    </row>
    <row r="502">
      <c r="A502" s="320"/>
      <c r="B502" s="164"/>
      <c r="C502" s="320"/>
      <c r="D502" s="164"/>
      <c r="E502" s="320"/>
      <c r="F502" s="164"/>
      <c r="G502" s="320"/>
      <c r="H502" s="164"/>
      <c r="I502" s="320"/>
      <c r="J502" s="164"/>
      <c r="K502" s="320"/>
      <c r="L502" s="164"/>
      <c r="M502" s="320"/>
      <c r="N502" s="164"/>
      <c r="O502" s="320"/>
      <c r="P502" s="164"/>
      <c r="Q502" s="333"/>
      <c r="R502" s="18"/>
      <c r="S502" s="20"/>
      <c r="T502" s="20"/>
      <c r="U502" s="20"/>
      <c r="V502" s="20"/>
      <c r="W502" s="20"/>
      <c r="X502" s="20"/>
      <c r="Y502" s="20"/>
      <c r="Z502" s="20"/>
    </row>
    <row r="503">
      <c r="A503" s="320"/>
      <c r="B503" s="164"/>
      <c r="C503" s="320"/>
      <c r="D503" s="164"/>
      <c r="E503" s="320"/>
      <c r="F503" s="164"/>
      <c r="G503" s="320"/>
      <c r="H503" s="164"/>
      <c r="I503" s="320"/>
      <c r="J503" s="164"/>
      <c r="K503" s="320"/>
      <c r="L503" s="164"/>
      <c r="M503" s="320"/>
      <c r="N503" s="164"/>
      <c r="O503" s="320"/>
      <c r="P503" s="164"/>
      <c r="Q503" s="333"/>
      <c r="R503" s="18"/>
      <c r="S503" s="20"/>
      <c r="T503" s="20"/>
      <c r="U503" s="20"/>
      <c r="V503" s="20"/>
      <c r="W503" s="20"/>
      <c r="X503" s="20"/>
      <c r="Y503" s="20"/>
      <c r="Z503" s="20"/>
    </row>
    <row r="504">
      <c r="A504" s="320"/>
      <c r="B504" s="164"/>
      <c r="C504" s="320"/>
      <c r="D504" s="164"/>
      <c r="E504" s="320"/>
      <c r="F504" s="164"/>
      <c r="G504" s="320"/>
      <c r="H504" s="164"/>
      <c r="I504" s="320"/>
      <c r="J504" s="164"/>
      <c r="K504" s="320"/>
      <c r="L504" s="164"/>
      <c r="M504" s="320"/>
      <c r="N504" s="164"/>
      <c r="O504" s="320"/>
      <c r="P504" s="164"/>
      <c r="Q504" s="333"/>
      <c r="R504" s="18"/>
      <c r="S504" s="20"/>
      <c r="T504" s="20"/>
      <c r="U504" s="20"/>
      <c r="V504" s="20"/>
      <c r="W504" s="20"/>
      <c r="X504" s="20"/>
      <c r="Y504" s="20"/>
      <c r="Z504" s="20"/>
    </row>
    <row r="505">
      <c r="A505" s="320"/>
      <c r="B505" s="164"/>
      <c r="C505" s="320"/>
      <c r="D505" s="164"/>
      <c r="E505" s="320"/>
      <c r="F505" s="164"/>
      <c r="G505" s="320"/>
      <c r="H505" s="164"/>
      <c r="I505" s="320"/>
      <c r="J505" s="164"/>
      <c r="K505" s="320"/>
      <c r="L505" s="164"/>
      <c r="M505" s="320"/>
      <c r="N505" s="164"/>
      <c r="O505" s="320"/>
      <c r="P505" s="164"/>
      <c r="Q505" s="333"/>
      <c r="R505" s="18"/>
      <c r="S505" s="20"/>
      <c r="T505" s="20"/>
      <c r="U505" s="20"/>
      <c r="V505" s="20"/>
      <c r="W505" s="20"/>
      <c r="X505" s="20"/>
      <c r="Y505" s="20"/>
      <c r="Z505" s="20"/>
    </row>
    <row r="506">
      <c r="A506" s="320"/>
      <c r="B506" s="164"/>
      <c r="C506" s="320"/>
      <c r="D506" s="164"/>
      <c r="E506" s="320"/>
      <c r="F506" s="164"/>
      <c r="G506" s="320"/>
      <c r="H506" s="164"/>
      <c r="I506" s="320"/>
      <c r="J506" s="164"/>
      <c r="K506" s="320"/>
      <c r="L506" s="164"/>
      <c r="M506" s="320"/>
      <c r="N506" s="164"/>
      <c r="O506" s="320"/>
      <c r="P506" s="164"/>
      <c r="Q506" s="333"/>
      <c r="R506" s="18"/>
      <c r="S506" s="20"/>
      <c r="T506" s="20"/>
      <c r="U506" s="20"/>
      <c r="V506" s="20"/>
      <c r="W506" s="20"/>
      <c r="X506" s="20"/>
      <c r="Y506" s="20"/>
      <c r="Z506" s="20"/>
    </row>
    <row r="507">
      <c r="A507" s="320"/>
      <c r="B507" s="164"/>
      <c r="C507" s="320"/>
      <c r="D507" s="164"/>
      <c r="E507" s="320"/>
      <c r="F507" s="164"/>
      <c r="G507" s="320"/>
      <c r="H507" s="164"/>
      <c r="I507" s="320"/>
      <c r="J507" s="164"/>
      <c r="K507" s="320"/>
      <c r="L507" s="164"/>
      <c r="M507" s="320"/>
      <c r="N507" s="164"/>
      <c r="O507" s="320"/>
      <c r="P507" s="164"/>
      <c r="Q507" s="333"/>
      <c r="R507" s="18"/>
      <c r="S507" s="20"/>
      <c r="T507" s="20"/>
      <c r="U507" s="20"/>
      <c r="V507" s="20"/>
      <c r="W507" s="20"/>
      <c r="X507" s="20"/>
      <c r="Y507" s="20"/>
      <c r="Z507" s="20"/>
    </row>
    <row r="508">
      <c r="A508" s="320"/>
      <c r="B508" s="164"/>
      <c r="C508" s="320"/>
      <c r="D508" s="164"/>
      <c r="E508" s="320"/>
      <c r="F508" s="164"/>
      <c r="G508" s="320"/>
      <c r="H508" s="164"/>
      <c r="I508" s="320"/>
      <c r="J508" s="164"/>
      <c r="K508" s="320"/>
      <c r="L508" s="164"/>
      <c r="M508" s="320"/>
      <c r="N508" s="164"/>
      <c r="O508" s="320"/>
      <c r="P508" s="164"/>
      <c r="Q508" s="333"/>
      <c r="R508" s="18"/>
      <c r="S508" s="20"/>
      <c r="T508" s="20"/>
      <c r="U508" s="20"/>
      <c r="V508" s="20"/>
      <c r="W508" s="20"/>
      <c r="X508" s="20"/>
      <c r="Y508" s="20"/>
      <c r="Z508" s="20"/>
    </row>
    <row r="509">
      <c r="A509" s="320"/>
      <c r="B509" s="164"/>
      <c r="C509" s="320"/>
      <c r="D509" s="164"/>
      <c r="E509" s="320"/>
      <c r="F509" s="164"/>
      <c r="G509" s="320"/>
      <c r="H509" s="164"/>
      <c r="I509" s="320"/>
      <c r="J509" s="164"/>
      <c r="K509" s="320"/>
      <c r="L509" s="164"/>
      <c r="M509" s="320"/>
      <c r="N509" s="164"/>
      <c r="O509" s="320"/>
      <c r="P509" s="164"/>
      <c r="Q509" s="333"/>
      <c r="R509" s="18"/>
      <c r="S509" s="20"/>
      <c r="T509" s="20"/>
      <c r="U509" s="20"/>
      <c r="V509" s="20"/>
      <c r="W509" s="20"/>
      <c r="X509" s="20"/>
      <c r="Y509" s="20"/>
      <c r="Z509" s="20"/>
    </row>
    <row r="510">
      <c r="A510" s="320"/>
      <c r="B510" s="164"/>
      <c r="C510" s="320"/>
      <c r="D510" s="164"/>
      <c r="E510" s="320"/>
      <c r="F510" s="164"/>
      <c r="G510" s="320"/>
      <c r="H510" s="164"/>
      <c r="I510" s="320"/>
      <c r="J510" s="164"/>
      <c r="K510" s="320"/>
      <c r="L510" s="164"/>
      <c r="M510" s="320"/>
      <c r="N510" s="164"/>
      <c r="O510" s="320"/>
      <c r="P510" s="164"/>
      <c r="Q510" s="333"/>
      <c r="R510" s="18"/>
      <c r="S510" s="20"/>
      <c r="T510" s="20"/>
      <c r="U510" s="20"/>
      <c r="V510" s="20"/>
      <c r="W510" s="20"/>
      <c r="X510" s="20"/>
      <c r="Y510" s="20"/>
      <c r="Z510" s="20"/>
    </row>
    <row r="511">
      <c r="A511" s="320"/>
      <c r="B511" s="164"/>
      <c r="C511" s="320"/>
      <c r="D511" s="164"/>
      <c r="E511" s="320"/>
      <c r="F511" s="164"/>
      <c r="G511" s="320"/>
      <c r="H511" s="164"/>
      <c r="I511" s="320"/>
      <c r="J511" s="164"/>
      <c r="K511" s="320"/>
      <c r="L511" s="164"/>
      <c r="M511" s="320"/>
      <c r="N511" s="164"/>
      <c r="O511" s="320"/>
      <c r="P511" s="164"/>
      <c r="Q511" s="333"/>
      <c r="R511" s="18"/>
      <c r="S511" s="20"/>
      <c r="T511" s="20"/>
      <c r="U511" s="20"/>
      <c r="V511" s="20"/>
      <c r="W511" s="20"/>
      <c r="X511" s="20"/>
      <c r="Y511" s="20"/>
      <c r="Z511" s="20"/>
    </row>
    <row r="512">
      <c r="A512" s="320"/>
      <c r="B512" s="164"/>
      <c r="C512" s="320"/>
      <c r="D512" s="164"/>
      <c r="E512" s="320"/>
      <c r="F512" s="164"/>
      <c r="G512" s="320"/>
      <c r="H512" s="164"/>
      <c r="I512" s="320"/>
      <c r="J512" s="164"/>
      <c r="K512" s="320"/>
      <c r="L512" s="164"/>
      <c r="M512" s="320"/>
      <c r="N512" s="164"/>
      <c r="O512" s="320"/>
      <c r="P512" s="164"/>
      <c r="Q512" s="333"/>
      <c r="R512" s="18"/>
      <c r="S512" s="20"/>
      <c r="T512" s="20"/>
      <c r="U512" s="20"/>
      <c r="V512" s="20"/>
      <c r="W512" s="20"/>
      <c r="X512" s="20"/>
      <c r="Y512" s="20"/>
      <c r="Z512" s="20"/>
    </row>
    <row r="513">
      <c r="A513" s="320"/>
      <c r="B513" s="164"/>
      <c r="C513" s="320"/>
      <c r="D513" s="164"/>
      <c r="E513" s="320"/>
      <c r="F513" s="164"/>
      <c r="G513" s="320"/>
      <c r="H513" s="164"/>
      <c r="I513" s="320"/>
      <c r="J513" s="164"/>
      <c r="K513" s="320"/>
      <c r="L513" s="164"/>
      <c r="M513" s="320"/>
      <c r="N513" s="164"/>
      <c r="O513" s="320"/>
      <c r="P513" s="164"/>
      <c r="Q513" s="188"/>
      <c r="R513" s="18"/>
      <c r="S513" s="20"/>
      <c r="T513" s="20"/>
      <c r="U513" s="20"/>
      <c r="V513" s="20"/>
      <c r="W513" s="20"/>
      <c r="X513" s="20"/>
      <c r="Y513" s="20"/>
      <c r="Z513" s="20"/>
    </row>
    <row r="514">
      <c r="A514" s="320"/>
      <c r="B514" s="164"/>
      <c r="C514" s="320"/>
      <c r="D514" s="164"/>
      <c r="E514" s="320"/>
      <c r="F514" s="164"/>
      <c r="G514" s="320"/>
      <c r="H514" s="164"/>
      <c r="I514" s="320"/>
      <c r="J514" s="164"/>
      <c r="K514" s="320"/>
      <c r="L514" s="164"/>
      <c r="M514" s="320"/>
      <c r="N514" s="164"/>
      <c r="O514" s="320"/>
      <c r="P514" s="164"/>
      <c r="Q514" s="188"/>
      <c r="R514" s="18"/>
      <c r="S514" s="20"/>
      <c r="T514" s="20"/>
      <c r="U514" s="20"/>
      <c r="V514" s="20"/>
      <c r="W514" s="20"/>
      <c r="X514" s="20"/>
      <c r="Y514" s="20"/>
      <c r="Z514" s="20"/>
    </row>
    <row r="515">
      <c r="A515" s="320"/>
      <c r="B515" s="164"/>
      <c r="C515" s="320"/>
      <c r="D515" s="164"/>
      <c r="E515" s="320"/>
      <c r="F515" s="164"/>
      <c r="G515" s="320"/>
      <c r="H515" s="164"/>
      <c r="I515" s="320"/>
      <c r="J515" s="164"/>
      <c r="K515" s="320"/>
      <c r="L515" s="164"/>
      <c r="M515" s="320"/>
      <c r="N515" s="164"/>
      <c r="O515" s="320"/>
      <c r="P515" s="164"/>
      <c r="Q515" s="188"/>
      <c r="R515" s="18"/>
      <c r="S515" s="20"/>
      <c r="T515" s="20"/>
      <c r="U515" s="20"/>
      <c r="V515" s="20"/>
      <c r="W515" s="20"/>
      <c r="X515" s="20"/>
      <c r="Y515" s="20"/>
      <c r="Z515" s="20"/>
    </row>
    <row r="516">
      <c r="A516" s="320"/>
      <c r="B516" s="164"/>
      <c r="C516" s="320"/>
      <c r="D516" s="164"/>
      <c r="E516" s="320"/>
      <c r="F516" s="164"/>
      <c r="G516" s="320"/>
      <c r="H516" s="164"/>
      <c r="I516" s="320"/>
      <c r="J516" s="164"/>
      <c r="K516" s="320"/>
      <c r="L516" s="164"/>
      <c r="M516" s="320"/>
      <c r="N516" s="164"/>
      <c r="O516" s="320"/>
      <c r="P516" s="164"/>
      <c r="Q516" s="188"/>
      <c r="R516" s="18"/>
      <c r="S516" s="20"/>
      <c r="T516" s="20"/>
      <c r="U516" s="20"/>
      <c r="V516" s="20"/>
      <c r="W516" s="20"/>
      <c r="X516" s="20"/>
      <c r="Y516" s="20"/>
      <c r="Z516" s="20"/>
    </row>
    <row r="517">
      <c r="A517" s="320"/>
      <c r="B517" s="164"/>
      <c r="C517" s="320"/>
      <c r="D517" s="164"/>
      <c r="E517" s="320"/>
      <c r="F517" s="164"/>
      <c r="G517" s="320"/>
      <c r="H517" s="164"/>
      <c r="I517" s="320"/>
      <c r="J517" s="164"/>
      <c r="K517" s="320"/>
      <c r="L517" s="164"/>
      <c r="M517" s="320"/>
      <c r="N517" s="164"/>
      <c r="O517" s="320"/>
      <c r="P517" s="164"/>
      <c r="Q517" s="188"/>
      <c r="R517" s="18"/>
      <c r="S517" s="20"/>
      <c r="T517" s="20"/>
      <c r="U517" s="20"/>
      <c r="V517" s="20"/>
      <c r="W517" s="20"/>
      <c r="X517" s="20"/>
      <c r="Y517" s="20"/>
      <c r="Z517" s="20"/>
    </row>
    <row r="518">
      <c r="A518" s="320"/>
      <c r="B518" s="164"/>
      <c r="C518" s="320"/>
      <c r="D518" s="164"/>
      <c r="E518" s="320"/>
      <c r="F518" s="164"/>
      <c r="G518" s="320"/>
      <c r="H518" s="164"/>
      <c r="I518" s="320"/>
      <c r="J518" s="164"/>
      <c r="K518" s="320"/>
      <c r="L518" s="164"/>
      <c r="M518" s="320"/>
      <c r="N518" s="164"/>
      <c r="O518" s="320"/>
      <c r="P518" s="164"/>
      <c r="Q518" s="188"/>
      <c r="R518" s="18"/>
      <c r="S518" s="20"/>
      <c r="T518" s="20"/>
      <c r="U518" s="20"/>
      <c r="V518" s="20"/>
      <c r="W518" s="20"/>
      <c r="X518" s="20"/>
      <c r="Y518" s="20"/>
      <c r="Z518" s="20"/>
    </row>
    <row r="519">
      <c r="A519" s="320"/>
      <c r="B519" s="164"/>
      <c r="C519" s="320"/>
      <c r="D519" s="164"/>
      <c r="E519" s="320"/>
      <c r="F519" s="164"/>
      <c r="G519" s="320"/>
      <c r="H519" s="164"/>
      <c r="I519" s="320"/>
      <c r="J519" s="164"/>
      <c r="K519" s="320"/>
      <c r="L519" s="164"/>
      <c r="M519" s="320"/>
      <c r="N519" s="164"/>
      <c r="O519" s="320"/>
      <c r="P519" s="164"/>
      <c r="Q519" s="188"/>
      <c r="R519" s="18"/>
      <c r="S519" s="20"/>
      <c r="T519" s="20"/>
      <c r="U519" s="20"/>
      <c r="V519" s="20"/>
      <c r="W519" s="20"/>
      <c r="X519" s="20"/>
      <c r="Y519" s="20"/>
      <c r="Z519" s="20"/>
    </row>
    <row r="520">
      <c r="A520" s="320"/>
      <c r="B520" s="164"/>
      <c r="C520" s="320"/>
      <c r="D520" s="164"/>
      <c r="E520" s="320"/>
      <c r="F520" s="164"/>
      <c r="G520" s="320"/>
      <c r="H520" s="164"/>
      <c r="I520" s="320"/>
      <c r="J520" s="164"/>
      <c r="K520" s="320"/>
      <c r="L520" s="164"/>
      <c r="M520" s="320"/>
      <c r="N520" s="164"/>
      <c r="O520" s="320"/>
      <c r="P520" s="164"/>
      <c r="Q520" s="188"/>
      <c r="R520" s="18"/>
      <c r="S520" s="20"/>
      <c r="T520" s="20"/>
      <c r="U520" s="20"/>
      <c r="V520" s="20"/>
      <c r="W520" s="20"/>
      <c r="X520" s="20"/>
      <c r="Y520" s="20"/>
      <c r="Z520" s="20"/>
    </row>
    <row r="521">
      <c r="A521" s="320"/>
      <c r="B521" s="164"/>
      <c r="C521" s="320"/>
      <c r="D521" s="164"/>
      <c r="E521" s="320"/>
      <c r="F521" s="164"/>
      <c r="G521" s="320"/>
      <c r="H521" s="164"/>
      <c r="I521" s="320"/>
      <c r="J521" s="164"/>
      <c r="K521" s="320"/>
      <c r="L521" s="164"/>
      <c r="M521" s="320"/>
      <c r="N521" s="164"/>
      <c r="O521" s="320"/>
      <c r="P521" s="164"/>
      <c r="Q521" s="188"/>
      <c r="R521" s="18"/>
      <c r="S521" s="20"/>
      <c r="T521" s="20"/>
      <c r="U521" s="20"/>
      <c r="V521" s="20"/>
      <c r="W521" s="20"/>
      <c r="X521" s="20"/>
      <c r="Y521" s="20"/>
      <c r="Z521" s="20"/>
    </row>
    <row r="522">
      <c r="A522" s="320"/>
      <c r="B522" s="164"/>
      <c r="C522" s="320"/>
      <c r="D522" s="164"/>
      <c r="E522" s="320"/>
      <c r="F522" s="164"/>
      <c r="G522" s="320"/>
      <c r="H522" s="164"/>
      <c r="I522" s="320"/>
      <c r="J522" s="164"/>
      <c r="K522" s="320"/>
      <c r="L522" s="164"/>
      <c r="M522" s="320"/>
      <c r="N522" s="164"/>
      <c r="O522" s="320"/>
      <c r="P522" s="164"/>
      <c r="Q522" s="188"/>
      <c r="R522" s="18"/>
      <c r="S522" s="20"/>
      <c r="T522" s="20"/>
      <c r="U522" s="20"/>
      <c r="V522" s="20"/>
      <c r="W522" s="20"/>
      <c r="X522" s="20"/>
      <c r="Y522" s="20"/>
      <c r="Z522" s="20"/>
    </row>
    <row r="523">
      <c r="A523" s="320"/>
      <c r="B523" s="164"/>
      <c r="C523" s="320"/>
      <c r="D523" s="164"/>
      <c r="E523" s="320"/>
      <c r="F523" s="164"/>
      <c r="G523" s="320"/>
      <c r="H523" s="164"/>
      <c r="I523" s="320"/>
      <c r="J523" s="164"/>
      <c r="K523" s="320"/>
      <c r="L523" s="164"/>
      <c r="M523" s="320"/>
      <c r="N523" s="164"/>
      <c r="O523" s="320"/>
      <c r="P523" s="164"/>
      <c r="Q523" s="188"/>
      <c r="R523" s="18"/>
      <c r="S523" s="20"/>
      <c r="T523" s="20"/>
      <c r="U523" s="20"/>
      <c r="V523" s="20"/>
      <c r="W523" s="20"/>
      <c r="X523" s="20"/>
      <c r="Y523" s="20"/>
      <c r="Z523" s="20"/>
    </row>
    <row r="524">
      <c r="A524" s="320"/>
      <c r="B524" s="164"/>
      <c r="C524" s="320"/>
      <c r="D524" s="164"/>
      <c r="E524" s="320"/>
      <c r="F524" s="164"/>
      <c r="G524" s="320"/>
      <c r="H524" s="164"/>
      <c r="I524" s="320"/>
      <c r="J524" s="164"/>
      <c r="K524" s="320"/>
      <c r="L524" s="164"/>
      <c r="M524" s="320"/>
      <c r="N524" s="164"/>
      <c r="O524" s="320"/>
      <c r="P524" s="164"/>
      <c r="Q524" s="188"/>
      <c r="R524" s="18"/>
      <c r="S524" s="20"/>
      <c r="T524" s="20"/>
      <c r="U524" s="20"/>
      <c r="V524" s="20"/>
      <c r="W524" s="20"/>
      <c r="X524" s="20"/>
      <c r="Y524" s="20"/>
      <c r="Z524" s="20"/>
    </row>
    <row r="525">
      <c r="A525" s="320"/>
      <c r="B525" s="164"/>
      <c r="C525" s="320"/>
      <c r="D525" s="164"/>
      <c r="E525" s="320"/>
      <c r="F525" s="164"/>
      <c r="G525" s="320"/>
      <c r="H525" s="164"/>
      <c r="I525" s="320"/>
      <c r="J525" s="164"/>
      <c r="K525" s="320"/>
      <c r="L525" s="164"/>
      <c r="M525" s="320"/>
      <c r="N525" s="164"/>
      <c r="O525" s="320"/>
      <c r="P525" s="164"/>
      <c r="Q525" s="188"/>
      <c r="R525" s="18"/>
      <c r="S525" s="20"/>
      <c r="T525" s="20"/>
      <c r="U525" s="20"/>
      <c r="V525" s="20"/>
      <c r="W525" s="20"/>
      <c r="X525" s="20"/>
      <c r="Y525" s="20"/>
      <c r="Z525" s="20"/>
    </row>
    <row r="526">
      <c r="A526" s="320"/>
      <c r="B526" s="164"/>
      <c r="C526" s="320"/>
      <c r="D526" s="164"/>
      <c r="E526" s="320"/>
      <c r="F526" s="164"/>
      <c r="G526" s="320"/>
      <c r="H526" s="164"/>
      <c r="I526" s="320"/>
      <c r="J526" s="164"/>
      <c r="K526" s="320"/>
      <c r="L526" s="164"/>
      <c r="M526" s="320"/>
      <c r="N526" s="164"/>
      <c r="O526" s="320"/>
      <c r="P526" s="164"/>
      <c r="Q526" s="188"/>
      <c r="R526" s="18"/>
      <c r="S526" s="20"/>
      <c r="T526" s="20"/>
      <c r="U526" s="20"/>
      <c r="V526" s="20"/>
      <c r="W526" s="20"/>
      <c r="X526" s="20"/>
      <c r="Y526" s="20"/>
      <c r="Z526" s="20"/>
    </row>
    <row r="527">
      <c r="A527" s="320"/>
      <c r="B527" s="164"/>
      <c r="C527" s="320"/>
      <c r="D527" s="164"/>
      <c r="E527" s="320"/>
      <c r="F527" s="164"/>
      <c r="G527" s="320"/>
      <c r="H527" s="164"/>
      <c r="I527" s="320"/>
      <c r="J527" s="164"/>
      <c r="K527" s="320"/>
      <c r="L527" s="164"/>
      <c r="M527" s="320"/>
      <c r="N527" s="164"/>
      <c r="O527" s="320"/>
      <c r="P527" s="164"/>
      <c r="Q527" s="188"/>
      <c r="R527" s="18"/>
      <c r="S527" s="20"/>
      <c r="T527" s="20"/>
      <c r="U527" s="20"/>
      <c r="V527" s="20"/>
      <c r="W527" s="20"/>
      <c r="X527" s="20"/>
      <c r="Y527" s="20"/>
      <c r="Z527" s="20"/>
    </row>
    <row r="528">
      <c r="A528" s="320"/>
      <c r="B528" s="164"/>
      <c r="C528" s="320"/>
      <c r="D528" s="164"/>
      <c r="E528" s="320"/>
      <c r="F528" s="164"/>
      <c r="G528" s="320"/>
      <c r="H528" s="164"/>
      <c r="I528" s="320"/>
      <c r="J528" s="164"/>
      <c r="K528" s="320"/>
      <c r="L528" s="164"/>
      <c r="M528" s="320"/>
      <c r="N528" s="164"/>
      <c r="O528" s="320"/>
      <c r="P528" s="164"/>
      <c r="Q528" s="188"/>
      <c r="R528" s="18"/>
      <c r="S528" s="20"/>
      <c r="T528" s="20"/>
      <c r="U528" s="20"/>
      <c r="V528" s="20"/>
      <c r="W528" s="20"/>
      <c r="X528" s="20"/>
      <c r="Y528" s="20"/>
      <c r="Z528" s="20"/>
    </row>
    <row r="529">
      <c r="A529" s="320"/>
      <c r="B529" s="164"/>
      <c r="C529" s="320"/>
      <c r="D529" s="164"/>
      <c r="E529" s="320"/>
      <c r="F529" s="164"/>
      <c r="G529" s="320"/>
      <c r="H529" s="164"/>
      <c r="I529" s="320"/>
      <c r="J529" s="164"/>
      <c r="K529" s="320"/>
      <c r="L529" s="164"/>
      <c r="M529" s="320"/>
      <c r="N529" s="164"/>
      <c r="O529" s="320"/>
      <c r="P529" s="164"/>
      <c r="Q529" s="188"/>
      <c r="R529" s="18"/>
      <c r="S529" s="20"/>
      <c r="T529" s="20"/>
      <c r="U529" s="20"/>
      <c r="V529" s="20"/>
      <c r="W529" s="20"/>
      <c r="X529" s="20"/>
      <c r="Y529" s="20"/>
      <c r="Z529" s="20"/>
    </row>
    <row r="530">
      <c r="A530" s="320"/>
      <c r="B530" s="164"/>
      <c r="C530" s="320"/>
      <c r="D530" s="164"/>
      <c r="E530" s="320"/>
      <c r="F530" s="164"/>
      <c r="G530" s="320"/>
      <c r="H530" s="164"/>
      <c r="I530" s="320"/>
      <c r="J530" s="164"/>
      <c r="K530" s="320"/>
      <c r="L530" s="164"/>
      <c r="M530" s="320"/>
      <c r="N530" s="164"/>
      <c r="O530" s="320"/>
      <c r="P530" s="164"/>
      <c r="Q530" s="188"/>
      <c r="R530" s="18"/>
      <c r="S530" s="20"/>
      <c r="T530" s="20"/>
      <c r="U530" s="20"/>
      <c r="V530" s="20"/>
      <c r="W530" s="20"/>
      <c r="X530" s="20"/>
      <c r="Y530" s="20"/>
      <c r="Z530" s="20"/>
    </row>
    <row r="531">
      <c r="A531" s="320"/>
      <c r="B531" s="164"/>
      <c r="C531" s="320"/>
      <c r="D531" s="164"/>
      <c r="E531" s="320"/>
      <c r="F531" s="164"/>
      <c r="G531" s="320"/>
      <c r="H531" s="164"/>
      <c r="I531" s="320"/>
      <c r="J531" s="164"/>
      <c r="K531" s="320"/>
      <c r="L531" s="164"/>
      <c r="M531" s="320"/>
      <c r="N531" s="164"/>
      <c r="O531" s="320"/>
      <c r="P531" s="164"/>
      <c r="Q531" s="188"/>
      <c r="R531" s="188"/>
      <c r="S531" s="20"/>
      <c r="T531" s="20"/>
      <c r="U531" s="20"/>
      <c r="V531" s="20"/>
      <c r="W531" s="20"/>
      <c r="X531" s="20"/>
      <c r="Y531" s="20"/>
      <c r="Z531" s="20"/>
    </row>
    <row r="532">
      <c r="A532" s="320"/>
      <c r="B532" s="164"/>
      <c r="C532" s="320"/>
      <c r="D532" s="164"/>
      <c r="E532" s="320"/>
      <c r="F532" s="164"/>
      <c r="G532" s="320"/>
      <c r="H532" s="164"/>
      <c r="I532" s="320"/>
      <c r="J532" s="164"/>
      <c r="K532" s="320"/>
      <c r="L532" s="164"/>
      <c r="M532" s="320"/>
      <c r="N532" s="164"/>
      <c r="O532" s="320"/>
      <c r="P532" s="164"/>
      <c r="Q532" s="188"/>
      <c r="R532" s="188"/>
      <c r="S532" s="20"/>
      <c r="T532" s="20"/>
      <c r="U532" s="20"/>
      <c r="V532" s="20"/>
      <c r="W532" s="20"/>
      <c r="X532" s="20"/>
      <c r="Y532" s="20"/>
      <c r="Z532" s="20"/>
    </row>
    <row r="533">
      <c r="A533" s="320"/>
      <c r="B533" s="164"/>
      <c r="C533" s="320"/>
      <c r="D533" s="164"/>
      <c r="E533" s="320"/>
      <c r="F533" s="164"/>
      <c r="G533" s="320"/>
      <c r="H533" s="164"/>
      <c r="I533" s="320"/>
      <c r="J533" s="164"/>
      <c r="K533" s="320"/>
      <c r="L533" s="164"/>
      <c r="M533" s="320"/>
      <c r="N533" s="164"/>
      <c r="O533" s="320"/>
      <c r="P533" s="164"/>
      <c r="Q533" s="188"/>
      <c r="R533" s="188"/>
      <c r="S533" s="20"/>
      <c r="T533" s="20"/>
      <c r="U533" s="20"/>
      <c r="V533" s="20"/>
      <c r="W533" s="20"/>
      <c r="X533" s="20"/>
      <c r="Y533" s="20"/>
      <c r="Z533" s="20"/>
    </row>
    <row r="534">
      <c r="A534" s="320"/>
      <c r="B534" s="164"/>
      <c r="C534" s="320"/>
      <c r="D534" s="164"/>
      <c r="E534" s="320"/>
      <c r="F534" s="164"/>
      <c r="G534" s="320"/>
      <c r="H534" s="164"/>
      <c r="I534" s="320"/>
      <c r="J534" s="164"/>
      <c r="K534" s="320"/>
      <c r="L534" s="164"/>
      <c r="M534" s="320"/>
      <c r="N534" s="164"/>
      <c r="O534" s="320"/>
      <c r="P534" s="164"/>
      <c r="Q534" s="188"/>
      <c r="R534" s="188"/>
      <c r="S534" s="20"/>
      <c r="T534" s="20"/>
      <c r="U534" s="20"/>
      <c r="V534" s="20"/>
      <c r="W534" s="20"/>
      <c r="X534" s="20"/>
      <c r="Y534" s="20"/>
      <c r="Z534" s="20"/>
    </row>
    <row r="535">
      <c r="A535" s="320"/>
      <c r="B535" s="164"/>
      <c r="C535" s="320"/>
      <c r="D535" s="164"/>
      <c r="E535" s="320"/>
      <c r="F535" s="164"/>
      <c r="G535" s="320"/>
      <c r="H535" s="164"/>
      <c r="I535" s="320"/>
      <c r="J535" s="164"/>
      <c r="K535" s="320"/>
      <c r="L535" s="164"/>
      <c r="M535" s="320"/>
      <c r="N535" s="164"/>
      <c r="O535" s="320"/>
      <c r="P535" s="164"/>
      <c r="Q535" s="188"/>
      <c r="R535" s="188"/>
      <c r="S535" s="20"/>
      <c r="T535" s="20"/>
      <c r="U535" s="20"/>
      <c r="V535" s="20"/>
      <c r="W535" s="20"/>
      <c r="X535" s="20"/>
      <c r="Y535" s="20"/>
      <c r="Z535" s="20"/>
    </row>
    <row r="536">
      <c r="A536" s="320"/>
      <c r="B536" s="164"/>
      <c r="C536" s="320"/>
      <c r="D536" s="164"/>
      <c r="E536" s="320"/>
      <c r="F536" s="164"/>
      <c r="G536" s="320"/>
      <c r="H536" s="164"/>
      <c r="I536" s="320"/>
      <c r="J536" s="164"/>
      <c r="K536" s="320"/>
      <c r="L536" s="164"/>
      <c r="M536" s="320"/>
      <c r="N536" s="164"/>
      <c r="O536" s="320"/>
      <c r="P536" s="164"/>
      <c r="Q536" s="188"/>
      <c r="R536" s="188"/>
      <c r="S536" s="20"/>
      <c r="T536" s="20"/>
      <c r="U536" s="20"/>
      <c r="V536" s="20"/>
      <c r="W536" s="20"/>
      <c r="X536" s="20"/>
      <c r="Y536" s="20"/>
      <c r="Z536" s="20"/>
    </row>
    <row r="537">
      <c r="A537" s="320"/>
      <c r="B537" s="164"/>
      <c r="C537" s="320"/>
      <c r="D537" s="164"/>
      <c r="E537" s="320"/>
      <c r="F537" s="164"/>
      <c r="G537" s="320"/>
      <c r="H537" s="164"/>
      <c r="I537" s="320"/>
      <c r="J537" s="164"/>
      <c r="K537" s="320"/>
      <c r="L537" s="164"/>
      <c r="M537" s="320"/>
      <c r="N537" s="164"/>
      <c r="O537" s="320"/>
      <c r="P537" s="164"/>
      <c r="Q537" s="188"/>
      <c r="R537" s="188"/>
      <c r="S537" s="20"/>
      <c r="T537" s="20"/>
      <c r="U537" s="20"/>
      <c r="V537" s="20"/>
      <c r="W537" s="20"/>
      <c r="X537" s="20"/>
      <c r="Y537" s="20"/>
      <c r="Z537" s="20"/>
    </row>
    <row r="538">
      <c r="A538" s="320"/>
      <c r="B538" s="164"/>
      <c r="C538" s="320"/>
      <c r="D538" s="164"/>
      <c r="E538" s="320"/>
      <c r="F538" s="164"/>
      <c r="G538" s="320"/>
      <c r="H538" s="164"/>
      <c r="I538" s="320"/>
      <c r="J538" s="164"/>
      <c r="K538" s="320"/>
      <c r="L538" s="164"/>
      <c r="M538" s="320"/>
      <c r="N538" s="164"/>
      <c r="O538" s="320"/>
      <c r="P538" s="164"/>
      <c r="Q538" s="188"/>
      <c r="R538" s="188"/>
      <c r="S538" s="20"/>
      <c r="T538" s="20"/>
      <c r="U538" s="20"/>
      <c r="V538" s="20"/>
      <c r="W538" s="20"/>
      <c r="X538" s="20"/>
      <c r="Y538" s="20"/>
      <c r="Z538" s="20"/>
    </row>
    <row r="539">
      <c r="A539" s="320"/>
      <c r="B539" s="164"/>
      <c r="C539" s="320"/>
      <c r="D539" s="164"/>
      <c r="E539" s="320"/>
      <c r="F539" s="164"/>
      <c r="G539" s="320"/>
      <c r="H539" s="164"/>
      <c r="I539" s="320"/>
      <c r="J539" s="164"/>
      <c r="K539" s="320"/>
      <c r="L539" s="164"/>
      <c r="M539" s="320"/>
      <c r="N539" s="164"/>
      <c r="O539" s="320"/>
      <c r="P539" s="164"/>
      <c r="Q539" s="188"/>
      <c r="R539" s="188"/>
      <c r="S539" s="20"/>
      <c r="T539" s="20"/>
      <c r="U539" s="20"/>
      <c r="V539" s="20"/>
      <c r="W539" s="20"/>
      <c r="X539" s="20"/>
      <c r="Y539" s="20"/>
      <c r="Z539" s="20"/>
    </row>
    <row r="540">
      <c r="A540" s="320"/>
      <c r="B540" s="164"/>
      <c r="C540" s="320"/>
      <c r="D540" s="164"/>
      <c r="E540" s="320"/>
      <c r="F540" s="164"/>
      <c r="G540" s="320"/>
      <c r="H540" s="164"/>
      <c r="I540" s="320"/>
      <c r="J540" s="164"/>
      <c r="K540" s="320"/>
      <c r="L540" s="164"/>
      <c r="M540" s="320"/>
      <c r="N540" s="164"/>
      <c r="O540" s="320"/>
      <c r="P540" s="164"/>
      <c r="Q540" s="188"/>
      <c r="R540" s="188"/>
      <c r="S540" s="20"/>
      <c r="T540" s="20"/>
      <c r="U540" s="20"/>
      <c r="V540" s="20"/>
      <c r="W540" s="20"/>
      <c r="X540" s="20"/>
      <c r="Y540" s="20"/>
      <c r="Z540" s="20"/>
    </row>
    <row r="541">
      <c r="A541" s="320"/>
      <c r="B541" s="164"/>
      <c r="C541" s="320"/>
      <c r="D541" s="164"/>
      <c r="E541" s="320"/>
      <c r="F541" s="164"/>
      <c r="G541" s="320"/>
      <c r="H541" s="164"/>
      <c r="I541" s="320"/>
      <c r="J541" s="164"/>
      <c r="K541" s="320"/>
      <c r="L541" s="164"/>
      <c r="M541" s="320"/>
      <c r="N541" s="164"/>
      <c r="O541" s="320"/>
      <c r="P541" s="164"/>
      <c r="Q541" s="188"/>
      <c r="R541" s="188"/>
      <c r="S541" s="20"/>
      <c r="T541" s="20"/>
      <c r="U541" s="20"/>
      <c r="V541" s="20"/>
      <c r="W541" s="20"/>
      <c r="X541" s="20"/>
      <c r="Y541" s="20"/>
      <c r="Z541" s="20"/>
    </row>
    <row r="542">
      <c r="A542" s="320"/>
      <c r="B542" s="164"/>
      <c r="C542" s="320"/>
      <c r="D542" s="164"/>
      <c r="E542" s="320"/>
      <c r="F542" s="164"/>
      <c r="G542" s="320"/>
      <c r="H542" s="164"/>
      <c r="I542" s="320"/>
      <c r="J542" s="164"/>
      <c r="K542" s="320"/>
      <c r="L542" s="164"/>
      <c r="M542" s="320"/>
      <c r="N542" s="164"/>
      <c r="O542" s="320"/>
      <c r="P542" s="164"/>
      <c r="Q542" s="188"/>
      <c r="R542" s="188"/>
      <c r="S542" s="20"/>
      <c r="T542" s="20"/>
      <c r="U542" s="20"/>
      <c r="V542" s="20"/>
      <c r="W542" s="20"/>
      <c r="X542" s="20"/>
      <c r="Y542" s="20"/>
      <c r="Z542" s="20"/>
    </row>
    <row r="543">
      <c r="A543" s="320"/>
      <c r="B543" s="164"/>
      <c r="C543" s="320"/>
      <c r="D543" s="164"/>
      <c r="E543" s="320"/>
      <c r="F543" s="164"/>
      <c r="G543" s="320"/>
      <c r="H543" s="164"/>
      <c r="I543" s="320"/>
      <c r="J543" s="164"/>
      <c r="K543" s="320"/>
      <c r="L543" s="164"/>
      <c r="M543" s="320"/>
      <c r="N543" s="164"/>
      <c r="O543" s="320"/>
      <c r="P543" s="164"/>
      <c r="Q543" s="188"/>
      <c r="R543" s="188"/>
      <c r="S543" s="20"/>
      <c r="T543" s="20"/>
      <c r="U543" s="20"/>
      <c r="V543" s="20"/>
      <c r="W543" s="20"/>
      <c r="X543" s="20"/>
      <c r="Y543" s="20"/>
      <c r="Z543" s="20"/>
    </row>
    <row r="544">
      <c r="A544" s="320"/>
      <c r="B544" s="164"/>
      <c r="C544" s="320"/>
      <c r="D544" s="164"/>
      <c r="E544" s="320"/>
      <c r="F544" s="164"/>
      <c r="G544" s="320"/>
      <c r="H544" s="164"/>
      <c r="I544" s="320"/>
      <c r="J544" s="164"/>
      <c r="K544" s="320"/>
      <c r="L544" s="164"/>
      <c r="M544" s="320"/>
      <c r="N544" s="164"/>
      <c r="O544" s="320"/>
      <c r="P544" s="164"/>
      <c r="Q544" s="188"/>
      <c r="R544" s="188"/>
      <c r="S544" s="20"/>
      <c r="T544" s="20"/>
      <c r="U544" s="20"/>
      <c r="V544" s="20"/>
      <c r="W544" s="20"/>
      <c r="X544" s="20"/>
      <c r="Y544" s="20"/>
      <c r="Z544" s="20"/>
    </row>
    <row r="545">
      <c r="A545" s="320"/>
      <c r="B545" s="164"/>
      <c r="C545" s="320"/>
      <c r="D545" s="164"/>
      <c r="E545" s="320"/>
      <c r="F545" s="164"/>
      <c r="G545" s="320"/>
      <c r="H545" s="164"/>
      <c r="I545" s="320"/>
      <c r="J545" s="164"/>
      <c r="K545" s="320"/>
      <c r="L545" s="164"/>
      <c r="M545" s="320"/>
      <c r="N545" s="164"/>
      <c r="O545" s="320"/>
      <c r="P545" s="164"/>
      <c r="Q545" s="188"/>
      <c r="R545" s="188"/>
      <c r="S545" s="20"/>
      <c r="T545" s="20"/>
      <c r="U545" s="20"/>
      <c r="V545" s="20"/>
      <c r="W545" s="20"/>
      <c r="X545" s="20"/>
      <c r="Y545" s="20"/>
      <c r="Z545" s="20"/>
    </row>
    <row r="546">
      <c r="A546" s="320"/>
      <c r="B546" s="164"/>
      <c r="C546" s="320"/>
      <c r="D546" s="164"/>
      <c r="E546" s="320"/>
      <c r="F546" s="164"/>
      <c r="G546" s="320"/>
      <c r="H546" s="164"/>
      <c r="I546" s="320"/>
      <c r="J546" s="164"/>
      <c r="K546" s="320"/>
      <c r="L546" s="164"/>
      <c r="M546" s="320"/>
      <c r="N546" s="164"/>
      <c r="O546" s="320"/>
      <c r="P546" s="164"/>
      <c r="Q546" s="188"/>
      <c r="R546" s="188"/>
      <c r="S546" s="20"/>
      <c r="T546" s="20"/>
      <c r="U546" s="20"/>
      <c r="V546" s="20"/>
      <c r="W546" s="20"/>
      <c r="X546" s="20"/>
      <c r="Y546" s="20"/>
      <c r="Z546" s="20"/>
    </row>
    <row r="547">
      <c r="A547" s="320"/>
      <c r="B547" s="164"/>
      <c r="C547" s="320"/>
      <c r="D547" s="164"/>
      <c r="E547" s="320"/>
      <c r="F547" s="164"/>
      <c r="G547" s="320"/>
      <c r="H547" s="164"/>
      <c r="I547" s="320"/>
      <c r="J547" s="164"/>
      <c r="K547" s="320"/>
      <c r="L547" s="164"/>
      <c r="M547" s="320"/>
      <c r="N547" s="164"/>
      <c r="O547" s="320"/>
      <c r="P547" s="164"/>
      <c r="Q547" s="188"/>
      <c r="R547" s="188"/>
      <c r="S547" s="20"/>
      <c r="T547" s="20"/>
      <c r="U547" s="20"/>
      <c r="V547" s="20"/>
      <c r="W547" s="20"/>
      <c r="X547" s="20"/>
      <c r="Y547" s="20"/>
      <c r="Z547" s="20"/>
    </row>
    <row r="548">
      <c r="A548" s="320"/>
      <c r="B548" s="164"/>
      <c r="C548" s="320"/>
      <c r="D548" s="164"/>
      <c r="E548" s="320"/>
      <c r="F548" s="164"/>
      <c r="G548" s="320"/>
      <c r="H548" s="164"/>
      <c r="I548" s="320"/>
      <c r="J548" s="164"/>
      <c r="K548" s="320"/>
      <c r="L548" s="164"/>
      <c r="M548" s="320"/>
      <c r="N548" s="164"/>
      <c r="O548" s="320"/>
      <c r="P548" s="164"/>
      <c r="Q548" s="188"/>
      <c r="R548" s="188"/>
      <c r="S548" s="20"/>
      <c r="T548" s="20"/>
      <c r="U548" s="20"/>
      <c r="V548" s="20"/>
      <c r="W548" s="20"/>
      <c r="X548" s="20"/>
      <c r="Y548" s="20"/>
      <c r="Z548" s="20"/>
    </row>
    <row r="549">
      <c r="A549" s="320"/>
      <c r="B549" s="164"/>
      <c r="C549" s="320"/>
      <c r="D549" s="164"/>
      <c r="E549" s="320"/>
      <c r="F549" s="164"/>
      <c r="G549" s="320"/>
      <c r="H549" s="164"/>
      <c r="I549" s="320"/>
      <c r="J549" s="164"/>
      <c r="K549" s="320"/>
      <c r="L549" s="164"/>
      <c r="M549" s="320"/>
      <c r="N549" s="164"/>
      <c r="O549" s="320"/>
      <c r="P549" s="164"/>
      <c r="Q549" s="188"/>
      <c r="R549" s="188"/>
      <c r="S549" s="20"/>
      <c r="T549" s="20"/>
      <c r="U549" s="20"/>
      <c r="V549" s="20"/>
      <c r="W549" s="20"/>
      <c r="X549" s="20"/>
      <c r="Y549" s="20"/>
      <c r="Z549" s="20"/>
    </row>
    <row r="550">
      <c r="A550" s="320"/>
      <c r="B550" s="164"/>
      <c r="C550" s="320"/>
      <c r="D550" s="164"/>
      <c r="E550" s="320"/>
      <c r="F550" s="164"/>
      <c r="G550" s="320"/>
      <c r="H550" s="164"/>
      <c r="I550" s="320"/>
      <c r="J550" s="164"/>
      <c r="K550" s="320"/>
      <c r="L550" s="164"/>
      <c r="M550" s="320"/>
      <c r="N550" s="164"/>
      <c r="O550" s="320"/>
      <c r="P550" s="164"/>
      <c r="Q550" s="188"/>
      <c r="R550" s="188"/>
      <c r="S550" s="20"/>
      <c r="T550" s="20"/>
      <c r="U550" s="20"/>
      <c r="V550" s="20"/>
      <c r="W550" s="20"/>
      <c r="X550" s="20"/>
      <c r="Y550" s="20"/>
      <c r="Z550" s="20"/>
    </row>
    <row r="551">
      <c r="A551" s="320"/>
      <c r="B551" s="164"/>
      <c r="C551" s="320"/>
      <c r="D551" s="164"/>
      <c r="E551" s="320"/>
      <c r="F551" s="164"/>
      <c r="G551" s="320"/>
      <c r="H551" s="164"/>
      <c r="I551" s="320"/>
      <c r="J551" s="164"/>
      <c r="K551" s="320"/>
      <c r="L551" s="164"/>
      <c r="M551" s="320"/>
      <c r="N551" s="164"/>
      <c r="O551" s="320"/>
      <c r="P551" s="164"/>
      <c r="Q551" s="188"/>
      <c r="R551" s="188"/>
      <c r="S551" s="20"/>
      <c r="T551" s="20"/>
      <c r="U551" s="20"/>
      <c r="V551" s="20"/>
      <c r="W551" s="20"/>
      <c r="X551" s="20"/>
      <c r="Y551" s="20"/>
      <c r="Z551" s="20"/>
    </row>
    <row r="552">
      <c r="A552" s="320"/>
      <c r="B552" s="164"/>
      <c r="C552" s="320"/>
      <c r="D552" s="164"/>
      <c r="E552" s="320"/>
      <c r="F552" s="164"/>
      <c r="G552" s="320"/>
      <c r="H552" s="164"/>
      <c r="I552" s="320"/>
      <c r="J552" s="164"/>
      <c r="K552" s="320"/>
      <c r="L552" s="164"/>
      <c r="M552" s="320"/>
      <c r="N552" s="164"/>
      <c r="O552" s="320"/>
      <c r="P552" s="164"/>
      <c r="Q552" s="188"/>
      <c r="R552" s="188"/>
      <c r="S552" s="20"/>
      <c r="T552" s="20"/>
      <c r="U552" s="20"/>
      <c r="V552" s="20"/>
      <c r="W552" s="20"/>
      <c r="X552" s="20"/>
      <c r="Y552" s="20"/>
      <c r="Z552" s="20"/>
    </row>
    <row r="553">
      <c r="A553" s="320"/>
      <c r="B553" s="164"/>
      <c r="C553" s="320"/>
      <c r="D553" s="164"/>
      <c r="E553" s="320"/>
      <c r="F553" s="164"/>
      <c r="G553" s="320"/>
      <c r="H553" s="164"/>
      <c r="I553" s="320"/>
      <c r="J553" s="164"/>
      <c r="K553" s="320"/>
      <c r="L553" s="164"/>
      <c r="M553" s="320"/>
      <c r="N553" s="164"/>
      <c r="O553" s="320"/>
      <c r="P553" s="164"/>
      <c r="Q553" s="188"/>
      <c r="R553" s="188"/>
      <c r="S553" s="20"/>
      <c r="T553" s="20"/>
      <c r="U553" s="20"/>
      <c r="V553" s="20"/>
      <c r="W553" s="20"/>
      <c r="X553" s="20"/>
      <c r="Y553" s="20"/>
      <c r="Z553" s="20"/>
    </row>
    <row r="554">
      <c r="A554" s="320"/>
      <c r="B554" s="164"/>
      <c r="C554" s="320"/>
      <c r="D554" s="164"/>
      <c r="E554" s="320"/>
      <c r="F554" s="164"/>
      <c r="G554" s="320"/>
      <c r="H554" s="164"/>
      <c r="I554" s="320"/>
      <c r="J554" s="164"/>
      <c r="K554" s="320"/>
      <c r="L554" s="164"/>
      <c r="M554" s="320"/>
      <c r="N554" s="164"/>
      <c r="O554" s="320"/>
      <c r="P554" s="164"/>
      <c r="Q554" s="188"/>
      <c r="R554" s="188"/>
      <c r="S554" s="20"/>
      <c r="T554" s="20"/>
      <c r="U554" s="20"/>
      <c r="V554" s="20"/>
      <c r="W554" s="20"/>
      <c r="X554" s="20"/>
      <c r="Y554" s="20"/>
      <c r="Z554" s="20"/>
    </row>
    <row r="555">
      <c r="A555" s="320"/>
      <c r="B555" s="164"/>
      <c r="C555" s="320"/>
      <c r="D555" s="164"/>
      <c r="E555" s="320"/>
      <c r="F555" s="164"/>
      <c r="G555" s="320"/>
      <c r="H555" s="164"/>
      <c r="I555" s="320"/>
      <c r="J555" s="164"/>
      <c r="K555" s="320"/>
      <c r="L555" s="164"/>
      <c r="M555" s="320"/>
      <c r="N555" s="164"/>
      <c r="O555" s="320"/>
      <c r="P555" s="164"/>
      <c r="Q555" s="188"/>
      <c r="R555" s="188"/>
      <c r="S555" s="20"/>
      <c r="T555" s="20"/>
      <c r="U555" s="20"/>
      <c r="V555" s="20"/>
      <c r="W555" s="20"/>
      <c r="X555" s="20"/>
      <c r="Y555" s="20"/>
      <c r="Z555" s="20"/>
    </row>
    <row r="556">
      <c r="A556" s="320"/>
      <c r="B556" s="164"/>
      <c r="C556" s="320"/>
      <c r="D556" s="164"/>
      <c r="E556" s="320"/>
      <c r="F556" s="164"/>
      <c r="G556" s="320"/>
      <c r="H556" s="164"/>
      <c r="I556" s="320"/>
      <c r="J556" s="164"/>
      <c r="K556" s="320"/>
      <c r="L556" s="164"/>
      <c r="M556" s="320"/>
      <c r="N556" s="164"/>
      <c r="O556" s="320"/>
      <c r="P556" s="164"/>
      <c r="Q556" s="188"/>
      <c r="R556" s="188"/>
      <c r="S556" s="20"/>
      <c r="T556" s="20"/>
      <c r="U556" s="20"/>
      <c r="V556" s="20"/>
      <c r="W556" s="20"/>
      <c r="X556" s="20"/>
      <c r="Y556" s="20"/>
      <c r="Z556" s="20"/>
    </row>
    <row r="557">
      <c r="A557" s="320"/>
      <c r="B557" s="164"/>
      <c r="C557" s="320"/>
      <c r="D557" s="164"/>
      <c r="E557" s="320"/>
      <c r="F557" s="164"/>
      <c r="G557" s="320"/>
      <c r="H557" s="164"/>
      <c r="I557" s="320"/>
      <c r="J557" s="164"/>
      <c r="K557" s="320"/>
      <c r="L557" s="164"/>
      <c r="M557" s="320"/>
      <c r="N557" s="164"/>
      <c r="O557" s="320"/>
      <c r="P557" s="164"/>
      <c r="Q557" s="188"/>
      <c r="R557" s="188"/>
      <c r="S557" s="20"/>
      <c r="T557" s="20"/>
      <c r="U557" s="20"/>
      <c r="V557" s="20"/>
      <c r="W557" s="20"/>
      <c r="X557" s="20"/>
      <c r="Y557" s="20"/>
      <c r="Z557" s="20"/>
    </row>
    <row r="558">
      <c r="A558" s="320"/>
      <c r="B558" s="164"/>
      <c r="C558" s="320"/>
      <c r="D558" s="164"/>
      <c r="E558" s="320"/>
      <c r="F558" s="164"/>
      <c r="G558" s="320"/>
      <c r="H558" s="164"/>
      <c r="I558" s="320"/>
      <c r="J558" s="164"/>
      <c r="K558" s="320"/>
      <c r="L558" s="164"/>
      <c r="M558" s="320"/>
      <c r="N558" s="164"/>
      <c r="O558" s="320"/>
      <c r="P558" s="164"/>
      <c r="Q558" s="188"/>
      <c r="R558" s="188"/>
      <c r="S558" s="20"/>
      <c r="T558" s="20"/>
      <c r="U558" s="20"/>
      <c r="V558" s="20"/>
      <c r="W558" s="20"/>
      <c r="X558" s="20"/>
      <c r="Y558" s="20"/>
      <c r="Z558" s="20"/>
    </row>
    <row r="559">
      <c r="A559" s="320"/>
      <c r="B559" s="164"/>
      <c r="C559" s="320"/>
      <c r="D559" s="164"/>
      <c r="E559" s="320"/>
      <c r="F559" s="164"/>
      <c r="G559" s="320"/>
      <c r="H559" s="164"/>
      <c r="I559" s="320"/>
      <c r="J559" s="164"/>
      <c r="K559" s="320"/>
      <c r="L559" s="164"/>
      <c r="M559" s="320"/>
      <c r="N559" s="164"/>
      <c r="O559" s="320"/>
      <c r="P559" s="164"/>
      <c r="Q559" s="188"/>
      <c r="R559" s="188"/>
      <c r="S559" s="20"/>
      <c r="T559" s="20"/>
      <c r="U559" s="20"/>
      <c r="V559" s="20"/>
      <c r="W559" s="20"/>
      <c r="X559" s="20"/>
      <c r="Y559" s="20"/>
      <c r="Z559" s="20"/>
    </row>
    <row r="560">
      <c r="A560" s="320"/>
      <c r="B560" s="164"/>
      <c r="C560" s="320"/>
      <c r="D560" s="164"/>
      <c r="E560" s="320"/>
      <c r="F560" s="164"/>
      <c r="G560" s="320"/>
      <c r="H560" s="164"/>
      <c r="I560" s="320"/>
      <c r="J560" s="164"/>
      <c r="K560" s="320"/>
      <c r="L560" s="164"/>
      <c r="M560" s="320"/>
      <c r="N560" s="164"/>
      <c r="O560" s="320"/>
      <c r="P560" s="164"/>
      <c r="Q560" s="188"/>
      <c r="R560" s="188"/>
      <c r="S560" s="20"/>
      <c r="T560" s="20"/>
      <c r="U560" s="20"/>
      <c r="V560" s="20"/>
      <c r="W560" s="20"/>
      <c r="X560" s="20"/>
      <c r="Y560" s="20"/>
      <c r="Z560" s="20"/>
    </row>
    <row r="561">
      <c r="A561" s="320"/>
      <c r="B561" s="164"/>
      <c r="C561" s="320"/>
      <c r="D561" s="164"/>
      <c r="E561" s="320"/>
      <c r="F561" s="164"/>
      <c r="G561" s="320"/>
      <c r="H561" s="164"/>
      <c r="I561" s="320"/>
      <c r="J561" s="164"/>
      <c r="K561" s="320"/>
      <c r="L561" s="164"/>
      <c r="M561" s="320"/>
      <c r="N561" s="164"/>
      <c r="O561" s="320"/>
      <c r="P561" s="164"/>
      <c r="Q561" s="188"/>
      <c r="R561" s="188"/>
      <c r="S561" s="20"/>
      <c r="T561" s="20"/>
      <c r="U561" s="20"/>
      <c r="V561" s="20"/>
      <c r="W561" s="20"/>
      <c r="X561" s="20"/>
      <c r="Y561" s="20"/>
      <c r="Z561" s="20"/>
    </row>
    <row r="562">
      <c r="A562" s="320"/>
      <c r="B562" s="164"/>
      <c r="C562" s="320"/>
      <c r="D562" s="164"/>
      <c r="E562" s="320"/>
      <c r="F562" s="164"/>
      <c r="G562" s="320"/>
      <c r="H562" s="164"/>
      <c r="I562" s="320"/>
      <c r="J562" s="164"/>
      <c r="K562" s="320"/>
      <c r="L562" s="164"/>
      <c r="M562" s="320"/>
      <c r="N562" s="164"/>
      <c r="O562" s="320"/>
      <c r="P562" s="164"/>
      <c r="Q562" s="188"/>
      <c r="R562" s="188"/>
      <c r="S562" s="20"/>
      <c r="T562" s="20"/>
      <c r="U562" s="20"/>
      <c r="V562" s="20"/>
      <c r="W562" s="20"/>
      <c r="X562" s="20"/>
      <c r="Y562" s="20"/>
      <c r="Z562" s="20"/>
    </row>
    <row r="563">
      <c r="A563" s="320"/>
      <c r="B563" s="164"/>
      <c r="C563" s="320"/>
      <c r="D563" s="164"/>
      <c r="E563" s="320"/>
      <c r="F563" s="164"/>
      <c r="G563" s="320"/>
      <c r="H563" s="164"/>
      <c r="I563" s="320"/>
      <c r="J563" s="164"/>
      <c r="K563" s="320"/>
      <c r="L563" s="164"/>
      <c r="M563" s="320"/>
      <c r="N563" s="164"/>
      <c r="O563" s="320"/>
      <c r="P563" s="164"/>
      <c r="Q563" s="188"/>
      <c r="R563" s="188"/>
      <c r="S563" s="20"/>
      <c r="T563" s="20"/>
      <c r="U563" s="20"/>
      <c r="V563" s="20"/>
      <c r="W563" s="20"/>
      <c r="X563" s="20"/>
      <c r="Y563" s="20"/>
      <c r="Z563" s="20"/>
    </row>
    <row r="564">
      <c r="A564" s="320"/>
      <c r="B564" s="164"/>
      <c r="C564" s="320"/>
      <c r="D564" s="164"/>
      <c r="E564" s="320"/>
      <c r="F564" s="164"/>
      <c r="G564" s="320"/>
      <c r="H564" s="164"/>
      <c r="I564" s="320"/>
      <c r="J564" s="164"/>
      <c r="K564" s="320"/>
      <c r="L564" s="164"/>
      <c r="M564" s="320"/>
      <c r="N564" s="164"/>
      <c r="O564" s="320"/>
      <c r="P564" s="164"/>
      <c r="Q564" s="188"/>
      <c r="R564" s="188"/>
      <c r="S564" s="20"/>
      <c r="T564" s="20"/>
      <c r="U564" s="20"/>
      <c r="V564" s="20"/>
      <c r="W564" s="20"/>
      <c r="X564" s="20"/>
      <c r="Y564" s="20"/>
      <c r="Z564" s="20"/>
    </row>
    <row r="565">
      <c r="A565" s="320"/>
      <c r="B565" s="164"/>
      <c r="C565" s="320"/>
      <c r="D565" s="164"/>
      <c r="E565" s="320"/>
      <c r="F565" s="164"/>
      <c r="G565" s="320"/>
      <c r="H565" s="164"/>
      <c r="I565" s="320"/>
      <c r="J565" s="164"/>
      <c r="K565" s="320"/>
      <c r="L565" s="164"/>
      <c r="M565" s="320"/>
      <c r="N565" s="164"/>
      <c r="O565" s="320"/>
      <c r="P565" s="164"/>
      <c r="Q565" s="188"/>
      <c r="R565" s="188"/>
      <c r="S565" s="20"/>
      <c r="T565" s="20"/>
      <c r="U565" s="20"/>
      <c r="V565" s="20"/>
      <c r="W565" s="20"/>
      <c r="X565" s="20"/>
      <c r="Y565" s="20"/>
      <c r="Z565" s="20"/>
    </row>
    <row r="566">
      <c r="A566" s="320"/>
      <c r="B566" s="164"/>
      <c r="C566" s="320"/>
      <c r="D566" s="164"/>
      <c r="E566" s="320"/>
      <c r="F566" s="164"/>
      <c r="G566" s="320"/>
      <c r="H566" s="164"/>
      <c r="I566" s="320"/>
      <c r="J566" s="164"/>
      <c r="K566" s="320"/>
      <c r="L566" s="164"/>
      <c r="M566" s="320"/>
      <c r="N566" s="164"/>
      <c r="O566" s="320"/>
      <c r="P566" s="164"/>
      <c r="Q566" s="188"/>
      <c r="R566" s="188"/>
      <c r="S566" s="20"/>
      <c r="T566" s="20"/>
      <c r="U566" s="20"/>
      <c r="V566" s="20"/>
      <c r="W566" s="20"/>
      <c r="X566" s="20"/>
      <c r="Y566" s="20"/>
      <c r="Z566" s="20"/>
    </row>
    <row r="567">
      <c r="A567" s="320"/>
      <c r="B567" s="164"/>
      <c r="C567" s="320"/>
      <c r="D567" s="164"/>
      <c r="E567" s="320"/>
      <c r="F567" s="164"/>
      <c r="G567" s="320"/>
      <c r="H567" s="164"/>
      <c r="I567" s="320"/>
      <c r="J567" s="164"/>
      <c r="K567" s="320"/>
      <c r="L567" s="164"/>
      <c r="M567" s="320"/>
      <c r="N567" s="164"/>
      <c r="O567" s="320"/>
      <c r="P567" s="164"/>
      <c r="Q567" s="188"/>
      <c r="R567" s="188"/>
      <c r="S567" s="20"/>
      <c r="T567" s="20"/>
      <c r="U567" s="20"/>
      <c r="V567" s="20"/>
      <c r="W567" s="20"/>
      <c r="X567" s="20"/>
      <c r="Y567" s="20"/>
      <c r="Z567" s="20"/>
    </row>
    <row r="568">
      <c r="A568" s="320"/>
      <c r="B568" s="164"/>
      <c r="C568" s="320"/>
      <c r="D568" s="164"/>
      <c r="E568" s="320"/>
      <c r="F568" s="164"/>
      <c r="G568" s="320"/>
      <c r="H568" s="164"/>
      <c r="I568" s="320"/>
      <c r="J568" s="164"/>
      <c r="K568" s="320"/>
      <c r="L568" s="164"/>
      <c r="M568" s="320"/>
      <c r="N568" s="164"/>
      <c r="O568" s="320"/>
      <c r="P568" s="164"/>
      <c r="Q568" s="188"/>
      <c r="R568" s="188"/>
      <c r="S568" s="20"/>
      <c r="T568" s="20"/>
      <c r="U568" s="20"/>
      <c r="V568" s="20"/>
      <c r="W568" s="20"/>
      <c r="X568" s="20"/>
      <c r="Y568" s="20"/>
      <c r="Z568" s="20"/>
    </row>
    <row r="569">
      <c r="A569" s="320"/>
      <c r="B569" s="164"/>
      <c r="C569" s="320"/>
      <c r="D569" s="164"/>
      <c r="E569" s="320"/>
      <c r="F569" s="164"/>
      <c r="G569" s="320"/>
      <c r="H569" s="164"/>
      <c r="I569" s="320"/>
      <c r="J569" s="164"/>
      <c r="K569" s="320"/>
      <c r="L569" s="164"/>
      <c r="M569" s="320"/>
      <c r="N569" s="164"/>
      <c r="O569" s="320"/>
      <c r="P569" s="164"/>
      <c r="Q569" s="188"/>
      <c r="R569" s="188"/>
      <c r="S569" s="20"/>
      <c r="T569" s="20"/>
      <c r="U569" s="20"/>
      <c r="V569" s="20"/>
      <c r="W569" s="20"/>
      <c r="X569" s="20"/>
      <c r="Y569" s="20"/>
      <c r="Z569" s="20"/>
    </row>
    <row r="570">
      <c r="A570" s="320"/>
      <c r="B570" s="164"/>
      <c r="C570" s="320"/>
      <c r="D570" s="164"/>
      <c r="E570" s="320"/>
      <c r="F570" s="164"/>
      <c r="G570" s="320"/>
      <c r="H570" s="164"/>
      <c r="I570" s="320"/>
      <c r="J570" s="164"/>
      <c r="K570" s="320"/>
      <c r="L570" s="164"/>
      <c r="M570" s="320"/>
      <c r="N570" s="164"/>
      <c r="O570" s="320"/>
      <c r="P570" s="164"/>
      <c r="Q570" s="188"/>
      <c r="R570" s="188"/>
      <c r="S570" s="20"/>
      <c r="T570" s="20"/>
      <c r="U570" s="20"/>
      <c r="V570" s="20"/>
      <c r="W570" s="20"/>
      <c r="X570" s="20"/>
      <c r="Y570" s="20"/>
      <c r="Z570" s="20"/>
    </row>
    <row r="571">
      <c r="A571" s="320"/>
      <c r="B571" s="164"/>
      <c r="C571" s="320"/>
      <c r="D571" s="164"/>
      <c r="E571" s="320"/>
      <c r="F571" s="164"/>
      <c r="G571" s="320"/>
      <c r="H571" s="164"/>
      <c r="I571" s="320"/>
      <c r="J571" s="164"/>
      <c r="K571" s="320"/>
      <c r="L571" s="164"/>
      <c r="M571" s="320"/>
      <c r="N571" s="164"/>
      <c r="O571" s="320"/>
      <c r="P571" s="164"/>
      <c r="Q571" s="188"/>
      <c r="R571" s="188"/>
      <c r="S571" s="20"/>
      <c r="T571" s="20"/>
      <c r="U571" s="20"/>
      <c r="V571" s="20"/>
      <c r="W571" s="20"/>
      <c r="X571" s="20"/>
      <c r="Y571" s="20"/>
      <c r="Z571" s="20"/>
    </row>
    <row r="572">
      <c r="A572" s="320"/>
      <c r="B572" s="164"/>
      <c r="C572" s="320"/>
      <c r="D572" s="164"/>
      <c r="E572" s="320"/>
      <c r="F572" s="164"/>
      <c r="G572" s="320"/>
      <c r="H572" s="164"/>
      <c r="I572" s="320"/>
      <c r="J572" s="164"/>
      <c r="K572" s="320"/>
      <c r="L572" s="164"/>
      <c r="M572" s="320"/>
      <c r="N572" s="164"/>
      <c r="O572" s="320"/>
      <c r="P572" s="164"/>
      <c r="Q572" s="188"/>
      <c r="R572" s="188"/>
      <c r="S572" s="20"/>
      <c r="T572" s="20"/>
      <c r="U572" s="20"/>
      <c r="V572" s="20"/>
      <c r="W572" s="20"/>
      <c r="X572" s="20"/>
      <c r="Y572" s="20"/>
      <c r="Z572" s="20"/>
    </row>
    <row r="573">
      <c r="A573" s="320"/>
      <c r="B573" s="164"/>
      <c r="C573" s="320"/>
      <c r="D573" s="164"/>
      <c r="E573" s="320"/>
      <c r="F573" s="164"/>
      <c r="G573" s="320"/>
      <c r="H573" s="164"/>
      <c r="I573" s="320"/>
      <c r="J573" s="164"/>
      <c r="K573" s="320"/>
      <c r="L573" s="164"/>
      <c r="M573" s="320"/>
      <c r="N573" s="164"/>
      <c r="O573" s="320"/>
      <c r="P573" s="164"/>
      <c r="Q573" s="188"/>
      <c r="R573" s="188"/>
      <c r="S573" s="20"/>
      <c r="T573" s="20"/>
      <c r="U573" s="20"/>
      <c r="V573" s="20"/>
      <c r="W573" s="20"/>
      <c r="X573" s="20"/>
      <c r="Y573" s="20"/>
      <c r="Z573" s="20"/>
    </row>
    <row r="574">
      <c r="A574" s="320"/>
      <c r="B574" s="164"/>
      <c r="C574" s="320"/>
      <c r="D574" s="164"/>
      <c r="E574" s="320"/>
      <c r="F574" s="164"/>
      <c r="G574" s="320"/>
      <c r="H574" s="164"/>
      <c r="I574" s="320"/>
      <c r="J574" s="164"/>
      <c r="K574" s="320"/>
      <c r="L574" s="164"/>
      <c r="M574" s="320"/>
      <c r="N574" s="164"/>
      <c r="O574" s="320"/>
      <c r="P574" s="164"/>
      <c r="Q574" s="188"/>
      <c r="R574" s="188"/>
      <c r="S574" s="20"/>
      <c r="T574" s="20"/>
      <c r="U574" s="20"/>
      <c r="V574" s="20"/>
      <c r="W574" s="20"/>
      <c r="X574" s="20"/>
      <c r="Y574" s="20"/>
      <c r="Z574" s="20"/>
    </row>
    <row r="575">
      <c r="A575" s="320"/>
      <c r="B575" s="164"/>
      <c r="C575" s="320"/>
      <c r="D575" s="164"/>
      <c r="E575" s="320"/>
      <c r="F575" s="164"/>
      <c r="G575" s="320"/>
      <c r="H575" s="164"/>
      <c r="I575" s="320"/>
      <c r="J575" s="164"/>
      <c r="K575" s="320"/>
      <c r="L575" s="164"/>
      <c r="M575" s="320"/>
      <c r="N575" s="164"/>
      <c r="O575" s="320"/>
      <c r="P575" s="164"/>
      <c r="Q575" s="188"/>
      <c r="R575" s="188"/>
      <c r="S575" s="20"/>
      <c r="T575" s="20"/>
      <c r="U575" s="20"/>
      <c r="V575" s="20"/>
      <c r="W575" s="20"/>
      <c r="X575" s="20"/>
      <c r="Y575" s="20"/>
      <c r="Z575" s="20"/>
    </row>
    <row r="576">
      <c r="A576" s="320"/>
      <c r="B576" s="164"/>
      <c r="C576" s="320"/>
      <c r="D576" s="164"/>
      <c r="E576" s="320"/>
      <c r="F576" s="164"/>
      <c r="G576" s="320"/>
      <c r="H576" s="164"/>
      <c r="I576" s="320"/>
      <c r="J576" s="164"/>
      <c r="K576" s="320"/>
      <c r="L576" s="164"/>
      <c r="M576" s="320"/>
      <c r="N576" s="164"/>
      <c r="O576" s="320"/>
      <c r="P576" s="164"/>
      <c r="Q576" s="188"/>
      <c r="R576" s="188"/>
      <c r="S576" s="20"/>
      <c r="T576" s="20"/>
      <c r="U576" s="20"/>
      <c r="V576" s="20"/>
      <c r="W576" s="20"/>
      <c r="X576" s="20"/>
      <c r="Y576" s="20"/>
      <c r="Z576" s="20"/>
    </row>
    <row r="577">
      <c r="A577" s="320"/>
      <c r="B577" s="164"/>
      <c r="C577" s="320"/>
      <c r="D577" s="164"/>
      <c r="E577" s="320"/>
      <c r="F577" s="164"/>
      <c r="G577" s="320"/>
      <c r="H577" s="164"/>
      <c r="I577" s="320"/>
      <c r="J577" s="164"/>
      <c r="K577" s="320"/>
      <c r="L577" s="164"/>
      <c r="M577" s="320"/>
      <c r="N577" s="164"/>
      <c r="O577" s="320"/>
      <c r="P577" s="164"/>
      <c r="Q577" s="188"/>
      <c r="R577" s="188"/>
      <c r="S577" s="20"/>
      <c r="T577" s="20"/>
      <c r="U577" s="20"/>
      <c r="V577" s="20"/>
      <c r="W577" s="20"/>
      <c r="X577" s="20"/>
      <c r="Y577" s="20"/>
      <c r="Z577" s="20"/>
    </row>
    <row r="578">
      <c r="A578" s="320"/>
      <c r="B578" s="164"/>
      <c r="C578" s="320"/>
      <c r="D578" s="164"/>
      <c r="E578" s="320"/>
      <c r="F578" s="164"/>
      <c r="G578" s="320"/>
      <c r="H578" s="164"/>
      <c r="I578" s="320"/>
      <c r="J578" s="164"/>
      <c r="K578" s="320"/>
      <c r="L578" s="164"/>
      <c r="M578" s="320"/>
      <c r="N578" s="164"/>
      <c r="O578" s="320"/>
      <c r="P578" s="164"/>
      <c r="Q578" s="188"/>
      <c r="R578" s="188"/>
      <c r="S578" s="20"/>
      <c r="T578" s="20"/>
      <c r="U578" s="20"/>
      <c r="V578" s="20"/>
      <c r="W578" s="20"/>
      <c r="X578" s="20"/>
      <c r="Y578" s="20"/>
      <c r="Z578" s="20"/>
    </row>
    <row r="579">
      <c r="A579" s="320"/>
      <c r="B579" s="164"/>
      <c r="C579" s="320"/>
      <c r="D579" s="164"/>
      <c r="E579" s="320"/>
      <c r="F579" s="164"/>
      <c r="G579" s="320"/>
      <c r="H579" s="164"/>
      <c r="I579" s="320"/>
      <c r="J579" s="164"/>
      <c r="K579" s="320"/>
      <c r="L579" s="164"/>
      <c r="M579" s="320"/>
      <c r="N579" s="164"/>
      <c r="O579" s="320"/>
      <c r="P579" s="164"/>
      <c r="Q579" s="188"/>
      <c r="R579" s="188"/>
      <c r="S579" s="20"/>
      <c r="T579" s="20"/>
      <c r="U579" s="20"/>
      <c r="V579" s="20"/>
      <c r="W579" s="20"/>
      <c r="X579" s="20"/>
      <c r="Y579" s="20"/>
      <c r="Z579" s="20"/>
    </row>
    <row r="580">
      <c r="A580" s="320"/>
      <c r="B580" s="164"/>
      <c r="C580" s="320"/>
      <c r="D580" s="164"/>
      <c r="E580" s="320"/>
      <c r="F580" s="164"/>
      <c r="G580" s="320"/>
      <c r="H580" s="164"/>
      <c r="I580" s="320"/>
      <c r="J580" s="164"/>
      <c r="K580" s="320"/>
      <c r="L580" s="164"/>
      <c r="M580" s="320"/>
      <c r="N580" s="164"/>
      <c r="O580" s="320"/>
      <c r="P580" s="164"/>
      <c r="Q580" s="188"/>
      <c r="R580" s="188"/>
      <c r="S580" s="20"/>
      <c r="T580" s="20"/>
      <c r="U580" s="20"/>
      <c r="V580" s="20"/>
      <c r="W580" s="20"/>
      <c r="X580" s="20"/>
      <c r="Y580" s="20"/>
      <c r="Z580" s="20"/>
    </row>
    <row r="581">
      <c r="A581" s="320"/>
      <c r="B581" s="164"/>
      <c r="C581" s="320"/>
      <c r="D581" s="164"/>
      <c r="E581" s="320"/>
      <c r="F581" s="164"/>
      <c r="G581" s="320"/>
      <c r="H581" s="164"/>
      <c r="I581" s="320"/>
      <c r="J581" s="164"/>
      <c r="K581" s="320"/>
      <c r="L581" s="164"/>
      <c r="M581" s="320"/>
      <c r="N581" s="164"/>
      <c r="O581" s="320"/>
      <c r="P581" s="164"/>
      <c r="Q581" s="188"/>
      <c r="R581" s="188"/>
      <c r="S581" s="20"/>
      <c r="T581" s="20"/>
      <c r="U581" s="20"/>
      <c r="V581" s="20"/>
      <c r="W581" s="20"/>
      <c r="X581" s="20"/>
      <c r="Y581" s="20"/>
      <c r="Z581" s="20"/>
    </row>
    <row r="582">
      <c r="A582" s="320"/>
      <c r="B582" s="164"/>
      <c r="C582" s="320"/>
      <c r="D582" s="164"/>
      <c r="E582" s="320"/>
      <c r="F582" s="164"/>
      <c r="G582" s="320"/>
      <c r="H582" s="164"/>
      <c r="I582" s="320"/>
      <c r="J582" s="164"/>
      <c r="K582" s="320"/>
      <c r="L582" s="164"/>
      <c r="M582" s="320"/>
      <c r="N582" s="164"/>
      <c r="O582" s="320"/>
      <c r="P582" s="164"/>
      <c r="Q582" s="188"/>
      <c r="R582" s="188"/>
      <c r="S582" s="20"/>
      <c r="T582" s="20"/>
      <c r="U582" s="20"/>
      <c r="V582" s="20"/>
      <c r="W582" s="20"/>
      <c r="X582" s="20"/>
      <c r="Y582" s="20"/>
      <c r="Z582" s="20"/>
    </row>
    <row r="583">
      <c r="A583" s="320"/>
      <c r="B583" s="164"/>
      <c r="C583" s="320"/>
      <c r="D583" s="164"/>
      <c r="E583" s="320"/>
      <c r="F583" s="164"/>
      <c r="G583" s="320"/>
      <c r="H583" s="164"/>
      <c r="I583" s="320"/>
      <c r="J583" s="164"/>
      <c r="K583" s="320"/>
      <c r="L583" s="164"/>
      <c r="M583" s="320"/>
      <c r="N583" s="164"/>
      <c r="O583" s="320"/>
      <c r="P583" s="164"/>
      <c r="Q583" s="188"/>
      <c r="R583" s="188"/>
      <c r="S583" s="20"/>
      <c r="T583" s="20"/>
      <c r="U583" s="20"/>
      <c r="V583" s="20"/>
      <c r="W583" s="20"/>
      <c r="X583" s="20"/>
      <c r="Y583" s="20"/>
      <c r="Z583" s="20"/>
    </row>
    <row r="584">
      <c r="A584" s="320"/>
      <c r="B584" s="164"/>
      <c r="C584" s="320"/>
      <c r="D584" s="164"/>
      <c r="E584" s="320"/>
      <c r="F584" s="164"/>
      <c r="G584" s="320"/>
      <c r="H584" s="164"/>
      <c r="I584" s="320"/>
      <c r="J584" s="164"/>
      <c r="K584" s="320"/>
      <c r="L584" s="164"/>
      <c r="M584" s="320"/>
      <c r="N584" s="164"/>
      <c r="O584" s="320"/>
      <c r="P584" s="164"/>
      <c r="Q584" s="188"/>
      <c r="R584" s="188"/>
      <c r="S584" s="20"/>
      <c r="T584" s="20"/>
      <c r="U584" s="20"/>
      <c r="V584" s="20"/>
      <c r="W584" s="20"/>
      <c r="X584" s="20"/>
      <c r="Y584" s="20"/>
      <c r="Z584" s="20"/>
    </row>
    <row r="585">
      <c r="A585" s="320"/>
      <c r="B585" s="164"/>
      <c r="C585" s="320"/>
      <c r="D585" s="164"/>
      <c r="E585" s="320"/>
      <c r="F585" s="164"/>
      <c r="G585" s="320"/>
      <c r="H585" s="164"/>
      <c r="I585" s="320"/>
      <c r="J585" s="164"/>
      <c r="K585" s="320"/>
      <c r="L585" s="164"/>
      <c r="M585" s="320"/>
      <c r="N585" s="164"/>
      <c r="O585" s="320"/>
      <c r="P585" s="164"/>
      <c r="Q585" s="188"/>
      <c r="R585" s="188"/>
      <c r="S585" s="20"/>
      <c r="T585" s="20"/>
      <c r="U585" s="20"/>
      <c r="V585" s="20"/>
      <c r="W585" s="20"/>
      <c r="X585" s="20"/>
      <c r="Y585" s="20"/>
      <c r="Z585" s="20"/>
    </row>
    <row r="586">
      <c r="A586" s="320"/>
      <c r="B586" s="164"/>
      <c r="C586" s="320"/>
      <c r="D586" s="164"/>
      <c r="E586" s="320"/>
      <c r="F586" s="164"/>
      <c r="G586" s="320"/>
      <c r="H586" s="164"/>
      <c r="I586" s="320"/>
      <c r="J586" s="164"/>
      <c r="K586" s="320"/>
      <c r="L586" s="164"/>
      <c r="M586" s="320"/>
      <c r="N586" s="164"/>
      <c r="O586" s="320"/>
      <c r="P586" s="164"/>
      <c r="Q586" s="188"/>
      <c r="R586" s="188"/>
      <c r="S586" s="20"/>
      <c r="T586" s="20"/>
      <c r="U586" s="20"/>
      <c r="V586" s="20"/>
      <c r="W586" s="20"/>
      <c r="X586" s="20"/>
      <c r="Y586" s="20"/>
      <c r="Z586" s="20"/>
    </row>
    <row r="587">
      <c r="A587" s="320"/>
      <c r="B587" s="164"/>
      <c r="C587" s="320"/>
      <c r="D587" s="164"/>
      <c r="E587" s="320"/>
      <c r="F587" s="164"/>
      <c r="G587" s="320"/>
      <c r="H587" s="164"/>
      <c r="I587" s="320"/>
      <c r="J587" s="164"/>
      <c r="K587" s="320"/>
      <c r="L587" s="164"/>
      <c r="M587" s="320"/>
      <c r="N587" s="164"/>
      <c r="O587" s="320"/>
      <c r="P587" s="164"/>
      <c r="Q587" s="188"/>
      <c r="R587" s="188"/>
      <c r="S587" s="20"/>
      <c r="T587" s="20"/>
      <c r="U587" s="20"/>
      <c r="V587" s="20"/>
      <c r="W587" s="20"/>
      <c r="X587" s="20"/>
      <c r="Y587" s="20"/>
      <c r="Z587" s="20"/>
    </row>
    <row r="588">
      <c r="A588" s="320"/>
      <c r="B588" s="164"/>
      <c r="C588" s="320"/>
      <c r="D588" s="164"/>
      <c r="E588" s="320"/>
      <c r="F588" s="164"/>
      <c r="G588" s="320"/>
      <c r="H588" s="164"/>
      <c r="I588" s="320"/>
      <c r="J588" s="164"/>
      <c r="K588" s="320"/>
      <c r="L588" s="164"/>
      <c r="M588" s="320"/>
      <c r="N588" s="164"/>
      <c r="O588" s="320"/>
      <c r="P588" s="164"/>
      <c r="Q588" s="188"/>
      <c r="R588" s="188"/>
      <c r="S588" s="20"/>
      <c r="T588" s="20"/>
      <c r="U588" s="20"/>
      <c r="V588" s="20"/>
      <c r="W588" s="20"/>
      <c r="X588" s="20"/>
      <c r="Y588" s="20"/>
      <c r="Z588" s="20"/>
    </row>
    <row r="589">
      <c r="A589" s="320"/>
      <c r="B589" s="164"/>
      <c r="C589" s="320"/>
      <c r="D589" s="164"/>
      <c r="E589" s="320"/>
      <c r="F589" s="164"/>
      <c r="G589" s="320"/>
      <c r="H589" s="164"/>
      <c r="I589" s="320"/>
      <c r="J589" s="164"/>
      <c r="K589" s="320"/>
      <c r="L589" s="164"/>
      <c r="M589" s="320"/>
      <c r="N589" s="164"/>
      <c r="O589" s="320"/>
      <c r="P589" s="164"/>
      <c r="Q589" s="188"/>
      <c r="R589" s="188"/>
      <c r="S589" s="20"/>
      <c r="T589" s="20"/>
      <c r="U589" s="20"/>
      <c r="V589" s="20"/>
      <c r="W589" s="20"/>
      <c r="X589" s="20"/>
      <c r="Y589" s="20"/>
      <c r="Z589" s="20"/>
    </row>
    <row r="590">
      <c r="A590" s="320"/>
      <c r="B590" s="164"/>
      <c r="C590" s="320"/>
      <c r="D590" s="164"/>
      <c r="E590" s="320"/>
      <c r="F590" s="164"/>
      <c r="G590" s="320"/>
      <c r="H590" s="164"/>
      <c r="I590" s="320"/>
      <c r="J590" s="164"/>
      <c r="K590" s="320"/>
      <c r="L590" s="164"/>
      <c r="M590" s="320"/>
      <c r="N590" s="164"/>
      <c r="O590" s="320"/>
      <c r="P590" s="164"/>
      <c r="Q590" s="188"/>
      <c r="R590" s="188"/>
      <c r="S590" s="20"/>
      <c r="T590" s="20"/>
      <c r="U590" s="20"/>
      <c r="V590" s="20"/>
      <c r="W590" s="20"/>
      <c r="X590" s="20"/>
      <c r="Y590" s="20"/>
      <c r="Z590" s="20"/>
    </row>
    <row r="591">
      <c r="A591" s="320"/>
      <c r="B591" s="164"/>
      <c r="C591" s="320"/>
      <c r="D591" s="164"/>
      <c r="E591" s="320"/>
      <c r="F591" s="164"/>
      <c r="G591" s="320"/>
      <c r="H591" s="164"/>
      <c r="I591" s="320"/>
      <c r="J591" s="164"/>
      <c r="K591" s="320"/>
      <c r="L591" s="164"/>
      <c r="M591" s="320"/>
      <c r="N591" s="164"/>
      <c r="O591" s="320"/>
      <c r="P591" s="164"/>
      <c r="Q591" s="188"/>
      <c r="R591" s="188"/>
      <c r="S591" s="20"/>
      <c r="T591" s="20"/>
      <c r="U591" s="20"/>
      <c r="V591" s="20"/>
      <c r="W591" s="20"/>
      <c r="X591" s="20"/>
      <c r="Y591" s="20"/>
      <c r="Z591" s="20"/>
    </row>
    <row r="592">
      <c r="A592" s="320"/>
      <c r="B592" s="164"/>
      <c r="C592" s="320"/>
      <c r="D592" s="164"/>
      <c r="E592" s="320"/>
      <c r="F592" s="164"/>
      <c r="G592" s="320"/>
      <c r="H592" s="164"/>
      <c r="I592" s="320"/>
      <c r="J592" s="164"/>
      <c r="K592" s="320"/>
      <c r="L592" s="164"/>
      <c r="M592" s="320"/>
      <c r="N592" s="164"/>
      <c r="O592" s="320"/>
      <c r="P592" s="164"/>
      <c r="Q592" s="188"/>
      <c r="R592" s="188"/>
      <c r="S592" s="20"/>
      <c r="T592" s="20"/>
      <c r="U592" s="20"/>
      <c r="V592" s="20"/>
      <c r="W592" s="20"/>
      <c r="X592" s="20"/>
      <c r="Y592" s="20"/>
      <c r="Z592" s="20"/>
    </row>
    <row r="593">
      <c r="A593" s="320"/>
      <c r="B593" s="164"/>
      <c r="C593" s="320"/>
      <c r="D593" s="164"/>
      <c r="E593" s="320"/>
      <c r="F593" s="164"/>
      <c r="G593" s="320"/>
      <c r="H593" s="164"/>
      <c r="I593" s="320"/>
      <c r="J593" s="164"/>
      <c r="K593" s="320"/>
      <c r="L593" s="164"/>
      <c r="M593" s="320"/>
      <c r="N593" s="164"/>
      <c r="O593" s="320"/>
      <c r="P593" s="164"/>
      <c r="Q593" s="188"/>
      <c r="R593" s="188"/>
      <c r="S593" s="20"/>
      <c r="T593" s="20"/>
      <c r="U593" s="20"/>
      <c r="V593" s="20"/>
      <c r="W593" s="20"/>
      <c r="X593" s="20"/>
      <c r="Y593" s="20"/>
      <c r="Z593" s="20"/>
    </row>
    <row r="594">
      <c r="A594" s="320"/>
      <c r="B594" s="164"/>
      <c r="C594" s="320"/>
      <c r="D594" s="164"/>
      <c r="E594" s="320"/>
      <c r="F594" s="164"/>
      <c r="G594" s="320"/>
      <c r="H594" s="164"/>
      <c r="I594" s="320"/>
      <c r="J594" s="164"/>
      <c r="K594" s="320"/>
      <c r="L594" s="164"/>
      <c r="M594" s="320"/>
      <c r="N594" s="164"/>
      <c r="O594" s="320"/>
      <c r="P594" s="164"/>
      <c r="Q594" s="188"/>
      <c r="R594" s="188"/>
      <c r="S594" s="20"/>
      <c r="T594" s="20"/>
      <c r="U594" s="20"/>
      <c r="V594" s="20"/>
      <c r="W594" s="20"/>
      <c r="X594" s="20"/>
      <c r="Y594" s="20"/>
      <c r="Z594" s="20"/>
    </row>
    <row r="595">
      <c r="A595" s="320"/>
      <c r="B595" s="164"/>
      <c r="C595" s="320"/>
      <c r="D595" s="164"/>
      <c r="E595" s="320"/>
      <c r="F595" s="164"/>
      <c r="G595" s="320"/>
      <c r="H595" s="164"/>
      <c r="I595" s="320"/>
      <c r="J595" s="164"/>
      <c r="K595" s="320"/>
      <c r="L595" s="164"/>
      <c r="M595" s="320"/>
      <c r="N595" s="164"/>
      <c r="O595" s="320"/>
      <c r="P595" s="164"/>
      <c r="Q595" s="188"/>
      <c r="R595" s="188"/>
      <c r="S595" s="20"/>
      <c r="T595" s="20"/>
      <c r="U595" s="20"/>
      <c r="V595" s="20"/>
      <c r="W595" s="20"/>
      <c r="X595" s="20"/>
      <c r="Y595" s="20"/>
      <c r="Z595" s="20"/>
    </row>
    <row r="596">
      <c r="A596" s="320"/>
      <c r="B596" s="164"/>
      <c r="C596" s="320"/>
      <c r="D596" s="164"/>
      <c r="E596" s="320"/>
      <c r="F596" s="164"/>
      <c r="G596" s="320"/>
      <c r="H596" s="164"/>
      <c r="I596" s="320"/>
      <c r="J596" s="164"/>
      <c r="K596" s="320"/>
      <c r="L596" s="164"/>
      <c r="M596" s="320"/>
      <c r="N596" s="164"/>
      <c r="O596" s="320"/>
      <c r="P596" s="164"/>
      <c r="Q596" s="188"/>
      <c r="R596" s="188"/>
      <c r="S596" s="20"/>
      <c r="T596" s="20"/>
      <c r="U596" s="20"/>
      <c r="V596" s="20"/>
      <c r="W596" s="20"/>
      <c r="X596" s="20"/>
      <c r="Y596" s="20"/>
      <c r="Z596" s="20"/>
    </row>
    <row r="597">
      <c r="A597" s="320"/>
      <c r="B597" s="164"/>
      <c r="C597" s="320"/>
      <c r="D597" s="164"/>
      <c r="E597" s="320"/>
      <c r="F597" s="164"/>
      <c r="G597" s="320"/>
      <c r="H597" s="164"/>
      <c r="I597" s="320"/>
      <c r="J597" s="164"/>
      <c r="K597" s="320"/>
      <c r="L597" s="164"/>
      <c r="M597" s="320"/>
      <c r="N597" s="164"/>
      <c r="O597" s="320"/>
      <c r="P597" s="164"/>
      <c r="Q597" s="188"/>
      <c r="R597" s="188"/>
      <c r="S597" s="20"/>
      <c r="T597" s="20"/>
      <c r="U597" s="20"/>
      <c r="V597" s="20"/>
      <c r="W597" s="20"/>
      <c r="X597" s="20"/>
      <c r="Y597" s="20"/>
      <c r="Z597" s="20"/>
    </row>
    <row r="598">
      <c r="A598" s="320"/>
      <c r="B598" s="164"/>
      <c r="C598" s="320"/>
      <c r="D598" s="164"/>
      <c r="E598" s="320"/>
      <c r="F598" s="164"/>
      <c r="G598" s="320"/>
      <c r="H598" s="164"/>
      <c r="I598" s="320"/>
      <c r="J598" s="164"/>
      <c r="K598" s="320"/>
      <c r="L598" s="164"/>
      <c r="M598" s="320"/>
      <c r="N598" s="164"/>
      <c r="O598" s="320"/>
      <c r="P598" s="164"/>
      <c r="Q598" s="188"/>
      <c r="R598" s="188"/>
      <c r="S598" s="20"/>
      <c r="T598" s="20"/>
      <c r="U598" s="20"/>
      <c r="V598" s="20"/>
      <c r="W598" s="20"/>
      <c r="X598" s="20"/>
      <c r="Y598" s="20"/>
      <c r="Z598" s="20"/>
    </row>
    <row r="599">
      <c r="A599" s="320"/>
      <c r="B599" s="164"/>
      <c r="C599" s="320"/>
      <c r="D599" s="164"/>
      <c r="E599" s="320"/>
      <c r="F599" s="164"/>
      <c r="G599" s="320"/>
      <c r="H599" s="164"/>
      <c r="I599" s="320"/>
      <c r="J599" s="164"/>
      <c r="K599" s="320"/>
      <c r="L599" s="164"/>
      <c r="M599" s="320"/>
      <c r="N599" s="164"/>
      <c r="O599" s="320"/>
      <c r="P599" s="164"/>
      <c r="Q599" s="188"/>
      <c r="R599" s="188"/>
      <c r="S599" s="20"/>
      <c r="T599" s="20"/>
      <c r="U599" s="20"/>
      <c r="V599" s="20"/>
      <c r="W599" s="20"/>
      <c r="X599" s="20"/>
      <c r="Y599" s="20"/>
      <c r="Z599" s="20"/>
    </row>
    <row r="600">
      <c r="A600" s="320"/>
      <c r="B600" s="164"/>
      <c r="C600" s="320"/>
      <c r="D600" s="164"/>
      <c r="E600" s="320"/>
      <c r="F600" s="164"/>
      <c r="G600" s="320"/>
      <c r="H600" s="164"/>
      <c r="I600" s="320"/>
      <c r="J600" s="164"/>
      <c r="K600" s="320"/>
      <c r="L600" s="164"/>
      <c r="M600" s="320"/>
      <c r="N600" s="164"/>
      <c r="O600" s="320"/>
      <c r="P600" s="164"/>
      <c r="Q600" s="188"/>
      <c r="R600" s="188"/>
      <c r="S600" s="20"/>
      <c r="T600" s="20"/>
      <c r="U600" s="20"/>
      <c r="V600" s="20"/>
      <c r="W600" s="20"/>
      <c r="X600" s="20"/>
      <c r="Y600" s="20"/>
      <c r="Z600" s="20"/>
    </row>
    <row r="601">
      <c r="A601" s="320"/>
      <c r="B601" s="164"/>
      <c r="C601" s="320"/>
      <c r="D601" s="164"/>
      <c r="E601" s="320"/>
      <c r="F601" s="164"/>
      <c r="G601" s="320"/>
      <c r="H601" s="164"/>
      <c r="I601" s="320"/>
      <c r="J601" s="164"/>
      <c r="K601" s="320"/>
      <c r="L601" s="164"/>
      <c r="M601" s="320"/>
      <c r="N601" s="164"/>
      <c r="O601" s="320"/>
      <c r="P601" s="164"/>
      <c r="Q601" s="188"/>
      <c r="R601" s="188"/>
      <c r="S601" s="20"/>
      <c r="T601" s="20"/>
      <c r="U601" s="20"/>
      <c r="V601" s="20"/>
      <c r="W601" s="20"/>
      <c r="X601" s="20"/>
      <c r="Y601" s="20"/>
      <c r="Z601" s="20"/>
    </row>
    <row r="602">
      <c r="A602" s="320"/>
      <c r="B602" s="164"/>
      <c r="C602" s="320"/>
      <c r="D602" s="164"/>
      <c r="E602" s="320"/>
      <c r="F602" s="164"/>
      <c r="G602" s="320"/>
      <c r="H602" s="164"/>
      <c r="I602" s="320"/>
      <c r="J602" s="164"/>
      <c r="K602" s="320"/>
      <c r="L602" s="164"/>
      <c r="M602" s="320"/>
      <c r="N602" s="164"/>
      <c r="O602" s="320"/>
      <c r="P602" s="164"/>
      <c r="Q602" s="188"/>
      <c r="R602" s="188"/>
      <c r="S602" s="20"/>
      <c r="T602" s="20"/>
      <c r="U602" s="20"/>
      <c r="V602" s="20"/>
      <c r="W602" s="20"/>
      <c r="X602" s="20"/>
      <c r="Y602" s="20"/>
      <c r="Z602" s="20"/>
    </row>
    <row r="603">
      <c r="A603" s="320"/>
      <c r="B603" s="164"/>
      <c r="C603" s="320"/>
      <c r="D603" s="164"/>
      <c r="E603" s="320"/>
      <c r="F603" s="164"/>
      <c r="G603" s="320"/>
      <c r="H603" s="164"/>
      <c r="I603" s="320"/>
      <c r="J603" s="164"/>
      <c r="K603" s="320"/>
      <c r="L603" s="164"/>
      <c r="M603" s="320"/>
      <c r="N603" s="164"/>
      <c r="O603" s="320"/>
      <c r="P603" s="164"/>
      <c r="Q603" s="188"/>
      <c r="R603" s="188"/>
      <c r="S603" s="20"/>
      <c r="T603" s="20"/>
      <c r="U603" s="20"/>
      <c r="V603" s="20"/>
      <c r="W603" s="20"/>
      <c r="X603" s="20"/>
      <c r="Y603" s="20"/>
      <c r="Z603" s="20"/>
    </row>
    <row r="604">
      <c r="A604" s="320"/>
      <c r="B604" s="164"/>
      <c r="C604" s="320"/>
      <c r="D604" s="164"/>
      <c r="E604" s="320"/>
      <c r="F604" s="164"/>
      <c r="G604" s="320"/>
      <c r="H604" s="164"/>
      <c r="I604" s="320"/>
      <c r="J604" s="164"/>
      <c r="K604" s="320"/>
      <c r="L604" s="164"/>
      <c r="M604" s="320"/>
      <c r="N604" s="164"/>
      <c r="O604" s="320"/>
      <c r="P604" s="164"/>
      <c r="Q604" s="188"/>
      <c r="R604" s="188"/>
      <c r="S604" s="20"/>
      <c r="T604" s="20"/>
      <c r="U604" s="20"/>
      <c r="V604" s="20"/>
      <c r="W604" s="20"/>
      <c r="X604" s="20"/>
      <c r="Y604" s="20"/>
      <c r="Z604" s="20"/>
    </row>
    <row r="605">
      <c r="A605" s="320"/>
      <c r="B605" s="164"/>
      <c r="C605" s="320"/>
      <c r="D605" s="164"/>
      <c r="E605" s="320"/>
      <c r="F605" s="164"/>
      <c r="G605" s="320"/>
      <c r="H605" s="164"/>
      <c r="I605" s="320"/>
      <c r="J605" s="164"/>
      <c r="K605" s="320"/>
      <c r="L605" s="164"/>
      <c r="M605" s="320"/>
      <c r="N605" s="164"/>
      <c r="O605" s="320"/>
      <c r="P605" s="164"/>
      <c r="Q605" s="188"/>
      <c r="R605" s="188"/>
      <c r="S605" s="20"/>
      <c r="T605" s="20"/>
      <c r="U605" s="20"/>
      <c r="V605" s="20"/>
      <c r="W605" s="20"/>
      <c r="X605" s="20"/>
      <c r="Y605" s="20"/>
      <c r="Z605" s="20"/>
    </row>
    <row r="606">
      <c r="A606" s="320"/>
      <c r="B606" s="164"/>
      <c r="C606" s="320"/>
      <c r="D606" s="164"/>
      <c r="E606" s="320"/>
      <c r="F606" s="164"/>
      <c r="G606" s="320"/>
      <c r="H606" s="164"/>
      <c r="I606" s="320"/>
      <c r="J606" s="164"/>
      <c r="K606" s="320"/>
      <c r="L606" s="164"/>
      <c r="M606" s="320"/>
      <c r="N606" s="164"/>
      <c r="O606" s="320"/>
      <c r="P606" s="164"/>
      <c r="Q606" s="188"/>
      <c r="R606" s="188"/>
      <c r="S606" s="20"/>
      <c r="T606" s="20"/>
      <c r="U606" s="20"/>
      <c r="V606" s="20"/>
      <c r="W606" s="20"/>
      <c r="X606" s="20"/>
      <c r="Y606" s="20"/>
      <c r="Z606" s="20"/>
    </row>
    <row r="607">
      <c r="A607" s="320"/>
      <c r="B607" s="164"/>
      <c r="C607" s="320"/>
      <c r="D607" s="164"/>
      <c r="E607" s="320"/>
      <c r="F607" s="164"/>
      <c r="G607" s="320"/>
      <c r="H607" s="164"/>
      <c r="I607" s="320"/>
      <c r="J607" s="164"/>
      <c r="K607" s="320"/>
      <c r="L607" s="164"/>
      <c r="M607" s="320"/>
      <c r="N607" s="164"/>
      <c r="O607" s="320"/>
      <c r="P607" s="164"/>
      <c r="Q607" s="188"/>
      <c r="R607" s="188"/>
      <c r="S607" s="20"/>
      <c r="T607" s="20"/>
      <c r="U607" s="20"/>
      <c r="V607" s="20"/>
      <c r="W607" s="20"/>
      <c r="X607" s="20"/>
      <c r="Y607" s="20"/>
      <c r="Z607" s="20"/>
    </row>
    <row r="608">
      <c r="A608" s="320"/>
      <c r="B608" s="164"/>
      <c r="C608" s="320"/>
      <c r="D608" s="164"/>
      <c r="E608" s="320"/>
      <c r="F608" s="164"/>
      <c r="G608" s="320"/>
      <c r="H608" s="164"/>
      <c r="I608" s="320"/>
      <c r="J608" s="164"/>
      <c r="K608" s="320"/>
      <c r="L608" s="164"/>
      <c r="M608" s="320"/>
      <c r="N608" s="164"/>
      <c r="O608" s="320"/>
      <c r="P608" s="164"/>
      <c r="Q608" s="188"/>
      <c r="R608" s="188"/>
      <c r="S608" s="20"/>
      <c r="T608" s="20"/>
      <c r="U608" s="20"/>
      <c r="V608" s="20"/>
      <c r="W608" s="20"/>
      <c r="X608" s="20"/>
      <c r="Y608" s="20"/>
      <c r="Z608" s="20"/>
    </row>
    <row r="609">
      <c r="A609" s="320"/>
      <c r="B609" s="164"/>
      <c r="C609" s="320"/>
      <c r="D609" s="164"/>
      <c r="E609" s="320"/>
      <c r="F609" s="164"/>
      <c r="G609" s="320"/>
      <c r="H609" s="164"/>
      <c r="I609" s="320"/>
      <c r="J609" s="164"/>
      <c r="K609" s="320"/>
      <c r="L609" s="164"/>
      <c r="M609" s="320"/>
      <c r="N609" s="164"/>
      <c r="O609" s="320"/>
      <c r="P609" s="164"/>
      <c r="Q609" s="188"/>
      <c r="R609" s="188"/>
      <c r="S609" s="20"/>
      <c r="T609" s="20"/>
      <c r="U609" s="20"/>
      <c r="V609" s="20"/>
      <c r="W609" s="20"/>
      <c r="X609" s="20"/>
      <c r="Y609" s="20"/>
      <c r="Z609" s="20"/>
    </row>
    <row r="610">
      <c r="A610" s="320"/>
      <c r="B610" s="164"/>
      <c r="C610" s="320"/>
      <c r="D610" s="164"/>
      <c r="E610" s="320"/>
      <c r="F610" s="164"/>
      <c r="G610" s="320"/>
      <c r="H610" s="164"/>
      <c r="I610" s="320"/>
      <c r="J610" s="164"/>
      <c r="K610" s="320"/>
      <c r="L610" s="164"/>
      <c r="M610" s="320"/>
      <c r="N610" s="164"/>
      <c r="O610" s="320"/>
      <c r="P610" s="164"/>
      <c r="Q610" s="188"/>
      <c r="R610" s="188"/>
      <c r="S610" s="20"/>
      <c r="T610" s="20"/>
      <c r="U610" s="20"/>
      <c r="V610" s="20"/>
      <c r="W610" s="20"/>
      <c r="X610" s="20"/>
      <c r="Y610" s="20"/>
      <c r="Z610" s="20"/>
    </row>
    <row r="611">
      <c r="A611" s="320"/>
      <c r="B611" s="164"/>
      <c r="C611" s="320"/>
      <c r="D611" s="164"/>
      <c r="E611" s="320"/>
      <c r="F611" s="164"/>
      <c r="G611" s="320"/>
      <c r="H611" s="164"/>
      <c r="I611" s="320"/>
      <c r="J611" s="164"/>
      <c r="K611" s="320"/>
      <c r="L611" s="164"/>
      <c r="M611" s="320"/>
      <c r="N611" s="164"/>
      <c r="O611" s="320"/>
      <c r="P611" s="164"/>
      <c r="Q611" s="188"/>
      <c r="R611" s="188"/>
      <c r="S611" s="20"/>
      <c r="T611" s="20"/>
      <c r="U611" s="20"/>
      <c r="V611" s="20"/>
      <c r="W611" s="20"/>
      <c r="X611" s="20"/>
      <c r="Y611" s="20"/>
      <c r="Z611" s="20"/>
    </row>
    <row r="612">
      <c r="A612" s="320"/>
      <c r="B612" s="164"/>
      <c r="C612" s="320"/>
      <c r="D612" s="164"/>
      <c r="E612" s="320"/>
      <c r="F612" s="164"/>
      <c r="G612" s="320"/>
      <c r="H612" s="164"/>
      <c r="I612" s="320"/>
      <c r="J612" s="164"/>
      <c r="K612" s="320"/>
      <c r="L612" s="164"/>
      <c r="M612" s="320"/>
      <c r="N612" s="164"/>
      <c r="O612" s="320"/>
      <c r="P612" s="164"/>
      <c r="Q612" s="188"/>
      <c r="R612" s="188"/>
      <c r="S612" s="20"/>
      <c r="T612" s="20"/>
      <c r="U612" s="20"/>
      <c r="V612" s="20"/>
      <c r="W612" s="20"/>
      <c r="X612" s="20"/>
      <c r="Y612" s="20"/>
      <c r="Z612" s="20"/>
    </row>
    <row r="613">
      <c r="A613" s="320"/>
      <c r="B613" s="164"/>
      <c r="C613" s="320"/>
      <c r="D613" s="164"/>
      <c r="E613" s="320"/>
      <c r="F613" s="164"/>
      <c r="G613" s="320"/>
      <c r="H613" s="164"/>
      <c r="I613" s="320"/>
      <c r="J613" s="164"/>
      <c r="K613" s="320"/>
      <c r="L613" s="164"/>
      <c r="M613" s="320"/>
      <c r="N613" s="164"/>
      <c r="O613" s="320"/>
      <c r="P613" s="164"/>
      <c r="Q613" s="188"/>
      <c r="R613" s="188"/>
      <c r="S613" s="20"/>
      <c r="T613" s="20"/>
      <c r="U613" s="20"/>
      <c r="V613" s="20"/>
      <c r="W613" s="20"/>
      <c r="X613" s="20"/>
      <c r="Y613" s="20"/>
      <c r="Z613" s="20"/>
    </row>
    <row r="614">
      <c r="A614" s="320"/>
      <c r="B614" s="164"/>
      <c r="C614" s="320"/>
      <c r="D614" s="164"/>
      <c r="E614" s="320"/>
      <c r="F614" s="164"/>
      <c r="G614" s="320"/>
      <c r="H614" s="164"/>
      <c r="I614" s="320"/>
      <c r="J614" s="164"/>
      <c r="K614" s="320"/>
      <c r="L614" s="164"/>
      <c r="M614" s="320"/>
      <c r="N614" s="164"/>
      <c r="O614" s="320"/>
      <c r="P614" s="164"/>
      <c r="Q614" s="188"/>
      <c r="R614" s="188"/>
      <c r="S614" s="20"/>
      <c r="T614" s="20"/>
      <c r="U614" s="20"/>
      <c r="V614" s="20"/>
      <c r="W614" s="20"/>
      <c r="X614" s="20"/>
      <c r="Y614" s="20"/>
      <c r="Z614" s="20"/>
    </row>
    <row r="615">
      <c r="A615" s="320"/>
      <c r="B615" s="164"/>
      <c r="C615" s="320"/>
      <c r="D615" s="164"/>
      <c r="E615" s="320"/>
      <c r="F615" s="164"/>
      <c r="G615" s="320"/>
      <c r="H615" s="164"/>
      <c r="I615" s="320"/>
      <c r="J615" s="164"/>
      <c r="K615" s="320"/>
      <c r="L615" s="164"/>
      <c r="M615" s="320"/>
      <c r="N615" s="164"/>
      <c r="O615" s="320"/>
      <c r="P615" s="164"/>
      <c r="Q615" s="188"/>
      <c r="R615" s="188"/>
      <c r="S615" s="20"/>
      <c r="T615" s="20"/>
      <c r="U615" s="20"/>
      <c r="V615" s="20"/>
      <c r="W615" s="20"/>
      <c r="X615" s="20"/>
      <c r="Y615" s="20"/>
      <c r="Z615" s="20"/>
    </row>
    <row r="616">
      <c r="A616" s="320"/>
      <c r="B616" s="164"/>
      <c r="C616" s="320"/>
      <c r="D616" s="164"/>
      <c r="E616" s="320"/>
      <c r="F616" s="164"/>
      <c r="G616" s="320"/>
      <c r="H616" s="164"/>
      <c r="I616" s="320"/>
      <c r="J616" s="164"/>
      <c r="K616" s="320"/>
      <c r="L616" s="164"/>
      <c r="M616" s="320"/>
      <c r="N616" s="164"/>
      <c r="O616" s="320"/>
      <c r="P616" s="164"/>
      <c r="Q616" s="188"/>
      <c r="R616" s="188"/>
      <c r="S616" s="20"/>
      <c r="T616" s="20"/>
      <c r="U616" s="20"/>
      <c r="V616" s="20"/>
      <c r="W616" s="20"/>
      <c r="X616" s="20"/>
      <c r="Y616" s="20"/>
      <c r="Z616" s="20"/>
    </row>
    <row r="617">
      <c r="A617" s="320"/>
      <c r="B617" s="164"/>
      <c r="C617" s="320"/>
      <c r="D617" s="164"/>
      <c r="E617" s="320"/>
      <c r="F617" s="164"/>
      <c r="G617" s="320"/>
      <c r="H617" s="164"/>
      <c r="I617" s="320"/>
      <c r="J617" s="164"/>
      <c r="K617" s="320"/>
      <c r="L617" s="164"/>
      <c r="M617" s="320"/>
      <c r="N617" s="164"/>
      <c r="O617" s="320"/>
      <c r="P617" s="164"/>
      <c r="Q617" s="188"/>
      <c r="R617" s="188"/>
      <c r="S617" s="20"/>
      <c r="T617" s="20"/>
      <c r="U617" s="20"/>
      <c r="V617" s="20"/>
      <c r="W617" s="20"/>
      <c r="X617" s="20"/>
      <c r="Y617" s="20"/>
      <c r="Z617" s="20"/>
    </row>
    <row r="618">
      <c r="A618" s="320"/>
      <c r="B618" s="164"/>
      <c r="C618" s="320"/>
      <c r="D618" s="164"/>
      <c r="E618" s="320"/>
      <c r="F618" s="164"/>
      <c r="G618" s="320"/>
      <c r="H618" s="164"/>
      <c r="I618" s="320"/>
      <c r="J618" s="164"/>
      <c r="K618" s="320"/>
      <c r="L618" s="164"/>
      <c r="M618" s="320"/>
      <c r="N618" s="164"/>
      <c r="O618" s="320"/>
      <c r="P618" s="164"/>
      <c r="Q618" s="188"/>
      <c r="R618" s="188"/>
      <c r="S618" s="20"/>
      <c r="T618" s="20"/>
      <c r="U618" s="20"/>
      <c r="V618" s="20"/>
      <c r="W618" s="20"/>
      <c r="X618" s="20"/>
      <c r="Y618" s="20"/>
      <c r="Z618" s="20"/>
    </row>
    <row r="619">
      <c r="A619" s="320"/>
      <c r="B619" s="164"/>
      <c r="C619" s="320"/>
      <c r="D619" s="164"/>
      <c r="E619" s="320"/>
      <c r="F619" s="164"/>
      <c r="G619" s="320"/>
      <c r="H619" s="164"/>
      <c r="I619" s="320"/>
      <c r="J619" s="164"/>
      <c r="K619" s="320"/>
      <c r="L619" s="164"/>
      <c r="M619" s="320"/>
      <c r="N619" s="164"/>
      <c r="O619" s="320"/>
      <c r="P619" s="164"/>
      <c r="Q619" s="188"/>
      <c r="R619" s="188"/>
      <c r="S619" s="20"/>
      <c r="T619" s="20"/>
      <c r="U619" s="20"/>
      <c r="V619" s="20"/>
      <c r="W619" s="20"/>
      <c r="X619" s="20"/>
      <c r="Y619" s="20"/>
      <c r="Z619" s="20"/>
    </row>
    <row r="620">
      <c r="A620" s="320"/>
      <c r="B620" s="164"/>
      <c r="C620" s="320"/>
      <c r="D620" s="164"/>
      <c r="E620" s="320"/>
      <c r="F620" s="164"/>
      <c r="G620" s="320"/>
      <c r="H620" s="164"/>
      <c r="I620" s="320"/>
      <c r="J620" s="164"/>
      <c r="K620" s="320"/>
      <c r="L620" s="164"/>
      <c r="M620" s="320"/>
      <c r="N620" s="164"/>
      <c r="O620" s="320"/>
      <c r="P620" s="164"/>
      <c r="Q620" s="188"/>
      <c r="R620" s="188"/>
      <c r="S620" s="20"/>
      <c r="T620" s="20"/>
      <c r="U620" s="20"/>
      <c r="V620" s="20"/>
      <c r="W620" s="20"/>
      <c r="X620" s="20"/>
      <c r="Y620" s="20"/>
      <c r="Z620" s="20"/>
    </row>
    <row r="621">
      <c r="A621" s="320"/>
      <c r="B621" s="164"/>
      <c r="C621" s="320"/>
      <c r="D621" s="164"/>
      <c r="E621" s="320"/>
      <c r="F621" s="164"/>
      <c r="G621" s="320"/>
      <c r="H621" s="164"/>
      <c r="I621" s="320"/>
      <c r="J621" s="164"/>
      <c r="K621" s="320"/>
      <c r="L621" s="164"/>
      <c r="M621" s="320"/>
      <c r="N621" s="164"/>
      <c r="O621" s="320"/>
      <c r="P621" s="164"/>
      <c r="Q621" s="188"/>
      <c r="R621" s="188"/>
      <c r="S621" s="20"/>
      <c r="T621" s="20"/>
      <c r="U621" s="20"/>
      <c r="V621" s="20"/>
      <c r="W621" s="20"/>
      <c r="X621" s="20"/>
      <c r="Y621" s="20"/>
      <c r="Z621" s="20"/>
    </row>
    <row r="622">
      <c r="A622" s="320"/>
      <c r="B622" s="164"/>
      <c r="C622" s="320"/>
      <c r="D622" s="164"/>
      <c r="E622" s="320"/>
      <c r="F622" s="164"/>
      <c r="G622" s="320"/>
      <c r="H622" s="164"/>
      <c r="I622" s="320"/>
      <c r="J622" s="164"/>
      <c r="K622" s="320"/>
      <c r="L622" s="164"/>
      <c r="M622" s="320"/>
      <c r="N622" s="164"/>
      <c r="O622" s="320"/>
      <c r="P622" s="164"/>
      <c r="Q622" s="188"/>
      <c r="R622" s="188"/>
      <c r="S622" s="20"/>
      <c r="T622" s="20"/>
      <c r="U622" s="20"/>
      <c r="V622" s="20"/>
      <c r="W622" s="20"/>
      <c r="X622" s="20"/>
      <c r="Y622" s="20"/>
      <c r="Z622" s="20"/>
    </row>
    <row r="623">
      <c r="A623" s="320"/>
      <c r="B623" s="164"/>
      <c r="C623" s="320"/>
      <c r="D623" s="164"/>
      <c r="E623" s="320"/>
      <c r="F623" s="164"/>
      <c r="G623" s="320"/>
      <c r="H623" s="164"/>
      <c r="I623" s="320"/>
      <c r="J623" s="164"/>
      <c r="K623" s="320"/>
      <c r="L623" s="164"/>
      <c r="M623" s="320"/>
      <c r="N623" s="164"/>
      <c r="O623" s="320"/>
      <c r="P623" s="164"/>
      <c r="Q623" s="188"/>
      <c r="R623" s="188"/>
      <c r="S623" s="20"/>
      <c r="T623" s="20"/>
      <c r="U623" s="20"/>
      <c r="V623" s="20"/>
      <c r="W623" s="20"/>
      <c r="X623" s="20"/>
      <c r="Y623" s="20"/>
      <c r="Z623" s="20"/>
    </row>
    <row r="624">
      <c r="A624" s="320"/>
      <c r="B624" s="164"/>
      <c r="C624" s="320"/>
      <c r="D624" s="164"/>
      <c r="E624" s="320"/>
      <c r="F624" s="164"/>
      <c r="G624" s="320"/>
      <c r="H624" s="164"/>
      <c r="I624" s="320"/>
      <c r="J624" s="164"/>
      <c r="K624" s="320"/>
      <c r="L624" s="164"/>
      <c r="M624" s="320"/>
      <c r="N624" s="164"/>
      <c r="O624" s="320"/>
      <c r="P624" s="164"/>
      <c r="Q624" s="188"/>
      <c r="R624" s="188"/>
      <c r="S624" s="20"/>
      <c r="T624" s="20"/>
      <c r="U624" s="20"/>
      <c r="V624" s="20"/>
      <c r="W624" s="20"/>
      <c r="X624" s="20"/>
      <c r="Y624" s="20"/>
      <c r="Z624" s="20"/>
    </row>
    <row r="625">
      <c r="A625" s="320"/>
      <c r="B625" s="164"/>
      <c r="C625" s="320"/>
      <c r="D625" s="164"/>
      <c r="E625" s="320"/>
      <c r="F625" s="164"/>
      <c r="G625" s="320"/>
      <c r="H625" s="164"/>
      <c r="I625" s="320"/>
      <c r="J625" s="164"/>
      <c r="K625" s="320"/>
      <c r="L625" s="164"/>
      <c r="M625" s="320"/>
      <c r="N625" s="164"/>
      <c r="O625" s="320"/>
      <c r="P625" s="164"/>
      <c r="Q625" s="188"/>
      <c r="R625" s="188"/>
      <c r="S625" s="20"/>
      <c r="T625" s="20"/>
      <c r="U625" s="20"/>
      <c r="V625" s="20"/>
      <c r="W625" s="20"/>
      <c r="X625" s="20"/>
      <c r="Y625" s="20"/>
      <c r="Z625" s="20"/>
    </row>
    <row r="626">
      <c r="A626" s="320"/>
      <c r="B626" s="164"/>
      <c r="C626" s="320"/>
      <c r="D626" s="164"/>
      <c r="E626" s="320"/>
      <c r="F626" s="164"/>
      <c r="G626" s="320"/>
      <c r="H626" s="164"/>
      <c r="I626" s="320"/>
      <c r="J626" s="164"/>
      <c r="K626" s="320"/>
      <c r="L626" s="164"/>
      <c r="M626" s="320"/>
      <c r="N626" s="164"/>
      <c r="O626" s="320"/>
      <c r="P626" s="164"/>
      <c r="Q626" s="188"/>
      <c r="R626" s="188"/>
      <c r="S626" s="20"/>
      <c r="T626" s="20"/>
      <c r="U626" s="20"/>
      <c r="V626" s="20"/>
      <c r="W626" s="20"/>
      <c r="X626" s="20"/>
      <c r="Y626" s="20"/>
      <c r="Z626" s="20"/>
    </row>
    <row r="627">
      <c r="A627" s="320"/>
      <c r="B627" s="164"/>
      <c r="C627" s="320"/>
      <c r="D627" s="164"/>
      <c r="E627" s="320"/>
      <c r="F627" s="164"/>
      <c r="G627" s="320"/>
      <c r="H627" s="164"/>
      <c r="I627" s="320"/>
      <c r="J627" s="164"/>
      <c r="K627" s="320"/>
      <c r="L627" s="164"/>
      <c r="M627" s="320"/>
      <c r="N627" s="164"/>
      <c r="O627" s="320"/>
      <c r="P627" s="164"/>
      <c r="Q627" s="188"/>
      <c r="R627" s="188"/>
      <c r="S627" s="20"/>
      <c r="T627" s="20"/>
      <c r="U627" s="20"/>
      <c r="V627" s="20"/>
      <c r="W627" s="20"/>
      <c r="X627" s="20"/>
      <c r="Y627" s="20"/>
      <c r="Z627" s="20"/>
    </row>
    <row r="628">
      <c r="A628" s="320"/>
      <c r="B628" s="164"/>
      <c r="C628" s="320"/>
      <c r="D628" s="164"/>
      <c r="E628" s="320"/>
      <c r="F628" s="164"/>
      <c r="G628" s="320"/>
      <c r="H628" s="164"/>
      <c r="I628" s="320"/>
      <c r="J628" s="164"/>
      <c r="K628" s="320"/>
      <c r="L628" s="164"/>
      <c r="M628" s="320"/>
      <c r="N628" s="164"/>
      <c r="O628" s="320"/>
      <c r="P628" s="164"/>
      <c r="Q628" s="188"/>
      <c r="R628" s="188"/>
      <c r="S628" s="20"/>
      <c r="T628" s="20"/>
      <c r="U628" s="20"/>
      <c r="V628" s="20"/>
      <c r="W628" s="20"/>
      <c r="X628" s="20"/>
      <c r="Y628" s="20"/>
      <c r="Z628" s="20"/>
    </row>
    <row r="629">
      <c r="A629" s="320"/>
      <c r="B629" s="164"/>
      <c r="C629" s="320"/>
      <c r="D629" s="164"/>
      <c r="E629" s="320"/>
      <c r="F629" s="164"/>
      <c r="G629" s="320"/>
      <c r="H629" s="164"/>
      <c r="I629" s="320"/>
      <c r="J629" s="164"/>
      <c r="K629" s="320"/>
      <c r="L629" s="164"/>
      <c r="M629" s="320"/>
      <c r="N629" s="164"/>
      <c r="O629" s="320"/>
      <c r="P629" s="164"/>
      <c r="Q629" s="188"/>
      <c r="R629" s="188"/>
      <c r="S629" s="20"/>
      <c r="T629" s="20"/>
      <c r="U629" s="20"/>
      <c r="V629" s="20"/>
      <c r="W629" s="20"/>
      <c r="X629" s="20"/>
      <c r="Y629" s="20"/>
      <c r="Z629" s="20"/>
    </row>
    <row r="630">
      <c r="A630" s="320"/>
      <c r="B630" s="164"/>
      <c r="C630" s="320"/>
      <c r="D630" s="164"/>
      <c r="E630" s="320"/>
      <c r="F630" s="164"/>
      <c r="G630" s="320"/>
      <c r="H630" s="164"/>
      <c r="I630" s="320"/>
      <c r="J630" s="164"/>
      <c r="K630" s="320"/>
      <c r="L630" s="164"/>
      <c r="M630" s="320"/>
      <c r="N630" s="164"/>
      <c r="O630" s="320"/>
      <c r="P630" s="164"/>
      <c r="Q630" s="188"/>
      <c r="R630" s="188"/>
      <c r="S630" s="20"/>
      <c r="T630" s="20"/>
      <c r="U630" s="20"/>
      <c r="V630" s="20"/>
      <c r="W630" s="20"/>
      <c r="X630" s="20"/>
      <c r="Y630" s="20"/>
      <c r="Z630" s="20"/>
    </row>
    <row r="631">
      <c r="A631" s="320"/>
      <c r="B631" s="164"/>
      <c r="C631" s="320"/>
      <c r="D631" s="164"/>
      <c r="E631" s="320"/>
      <c r="F631" s="164"/>
      <c r="G631" s="320"/>
      <c r="H631" s="164"/>
      <c r="I631" s="320"/>
      <c r="J631" s="164"/>
      <c r="K631" s="320"/>
      <c r="L631" s="164"/>
      <c r="M631" s="320"/>
      <c r="N631" s="164"/>
      <c r="O631" s="320"/>
      <c r="P631" s="164"/>
      <c r="Q631" s="188"/>
      <c r="R631" s="188"/>
      <c r="S631" s="20"/>
      <c r="T631" s="20"/>
      <c r="U631" s="20"/>
      <c r="V631" s="20"/>
      <c r="W631" s="20"/>
      <c r="X631" s="20"/>
      <c r="Y631" s="20"/>
      <c r="Z631" s="20"/>
    </row>
    <row r="632">
      <c r="A632" s="320"/>
      <c r="B632" s="164"/>
      <c r="C632" s="320"/>
      <c r="D632" s="164"/>
      <c r="E632" s="320"/>
      <c r="F632" s="164"/>
      <c r="G632" s="320"/>
      <c r="H632" s="164"/>
      <c r="I632" s="320"/>
      <c r="J632" s="164"/>
      <c r="K632" s="320"/>
      <c r="L632" s="164"/>
      <c r="M632" s="320"/>
      <c r="N632" s="164"/>
      <c r="O632" s="320"/>
      <c r="P632" s="164"/>
      <c r="Q632" s="188"/>
      <c r="R632" s="188"/>
      <c r="S632" s="20"/>
      <c r="T632" s="20"/>
      <c r="U632" s="20"/>
      <c r="V632" s="20"/>
      <c r="W632" s="20"/>
      <c r="X632" s="20"/>
      <c r="Y632" s="20"/>
      <c r="Z632" s="20"/>
    </row>
    <row r="633">
      <c r="A633" s="320"/>
      <c r="B633" s="164"/>
      <c r="C633" s="320"/>
      <c r="D633" s="164"/>
      <c r="E633" s="320"/>
      <c r="F633" s="164"/>
      <c r="G633" s="320"/>
      <c r="H633" s="164"/>
      <c r="I633" s="320"/>
      <c r="J633" s="164"/>
      <c r="K633" s="320"/>
      <c r="L633" s="164"/>
      <c r="M633" s="320"/>
      <c r="N633" s="164"/>
      <c r="O633" s="320"/>
      <c r="P633" s="164"/>
      <c r="Q633" s="188"/>
      <c r="R633" s="188"/>
      <c r="S633" s="20"/>
      <c r="T633" s="20"/>
      <c r="U633" s="20"/>
      <c r="V633" s="20"/>
      <c r="W633" s="20"/>
      <c r="X633" s="20"/>
      <c r="Y633" s="20"/>
      <c r="Z633" s="20"/>
    </row>
    <row r="634">
      <c r="A634" s="320"/>
      <c r="B634" s="164"/>
      <c r="C634" s="320"/>
      <c r="D634" s="164"/>
      <c r="E634" s="320"/>
      <c r="F634" s="164"/>
      <c r="G634" s="320"/>
      <c r="H634" s="164"/>
      <c r="I634" s="320"/>
      <c r="J634" s="164"/>
      <c r="K634" s="320"/>
      <c r="L634" s="164"/>
      <c r="M634" s="320"/>
      <c r="N634" s="164"/>
      <c r="O634" s="320"/>
      <c r="P634" s="164"/>
      <c r="Q634" s="188"/>
      <c r="R634" s="188"/>
      <c r="S634" s="20"/>
      <c r="T634" s="20"/>
      <c r="U634" s="20"/>
      <c r="V634" s="20"/>
      <c r="W634" s="20"/>
      <c r="X634" s="20"/>
      <c r="Y634" s="20"/>
      <c r="Z634" s="20"/>
    </row>
    <row r="635">
      <c r="A635" s="320"/>
      <c r="B635" s="164"/>
      <c r="C635" s="320"/>
      <c r="D635" s="164"/>
      <c r="E635" s="320"/>
      <c r="F635" s="164"/>
      <c r="G635" s="320"/>
      <c r="H635" s="164"/>
      <c r="I635" s="320"/>
      <c r="J635" s="164"/>
      <c r="K635" s="320"/>
      <c r="L635" s="164"/>
      <c r="M635" s="320"/>
      <c r="N635" s="164"/>
      <c r="O635" s="320"/>
      <c r="P635" s="164"/>
      <c r="Q635" s="188"/>
      <c r="R635" s="188"/>
      <c r="S635" s="20"/>
      <c r="T635" s="20"/>
      <c r="U635" s="20"/>
      <c r="V635" s="20"/>
      <c r="W635" s="20"/>
      <c r="X635" s="20"/>
      <c r="Y635" s="20"/>
      <c r="Z635" s="20"/>
    </row>
    <row r="636">
      <c r="A636" s="320"/>
      <c r="B636" s="164"/>
      <c r="C636" s="320"/>
      <c r="D636" s="164"/>
      <c r="E636" s="320"/>
      <c r="F636" s="164"/>
      <c r="G636" s="320"/>
      <c r="H636" s="164"/>
      <c r="I636" s="320"/>
      <c r="J636" s="164"/>
      <c r="K636" s="320"/>
      <c r="L636" s="164"/>
      <c r="M636" s="320"/>
      <c r="N636" s="164"/>
      <c r="O636" s="320"/>
      <c r="P636" s="164"/>
      <c r="Q636" s="188"/>
      <c r="R636" s="188"/>
      <c r="S636" s="20"/>
      <c r="T636" s="20"/>
      <c r="U636" s="20"/>
      <c r="V636" s="20"/>
      <c r="W636" s="20"/>
      <c r="X636" s="20"/>
      <c r="Y636" s="20"/>
      <c r="Z636" s="20"/>
    </row>
    <row r="637">
      <c r="A637" s="320"/>
      <c r="B637" s="164"/>
      <c r="C637" s="320"/>
      <c r="D637" s="164"/>
      <c r="E637" s="320"/>
      <c r="F637" s="164"/>
      <c r="G637" s="320"/>
      <c r="H637" s="164"/>
      <c r="I637" s="320"/>
      <c r="J637" s="164"/>
      <c r="K637" s="320"/>
      <c r="L637" s="164"/>
      <c r="M637" s="320"/>
      <c r="N637" s="164"/>
      <c r="O637" s="320"/>
      <c r="P637" s="164"/>
      <c r="Q637" s="188"/>
      <c r="R637" s="188"/>
      <c r="S637" s="20"/>
      <c r="T637" s="20"/>
      <c r="U637" s="20"/>
      <c r="V637" s="20"/>
      <c r="W637" s="20"/>
      <c r="X637" s="20"/>
      <c r="Y637" s="20"/>
      <c r="Z637" s="20"/>
    </row>
    <row r="638">
      <c r="A638" s="320"/>
      <c r="B638" s="164"/>
      <c r="C638" s="320"/>
      <c r="D638" s="164"/>
      <c r="E638" s="320"/>
      <c r="F638" s="164"/>
      <c r="G638" s="320"/>
      <c r="H638" s="164"/>
      <c r="I638" s="320"/>
      <c r="J638" s="164"/>
      <c r="K638" s="320"/>
      <c r="L638" s="164"/>
      <c r="M638" s="320"/>
      <c r="N638" s="164"/>
      <c r="O638" s="320"/>
      <c r="P638" s="164"/>
      <c r="Q638" s="188"/>
      <c r="R638" s="188"/>
      <c r="S638" s="20"/>
      <c r="T638" s="20"/>
      <c r="U638" s="20"/>
      <c r="V638" s="20"/>
      <c r="W638" s="20"/>
      <c r="X638" s="20"/>
      <c r="Y638" s="20"/>
      <c r="Z638" s="20"/>
    </row>
    <row r="639">
      <c r="A639" s="320"/>
      <c r="B639" s="164"/>
      <c r="C639" s="320"/>
      <c r="D639" s="164"/>
      <c r="E639" s="320"/>
      <c r="F639" s="164"/>
      <c r="G639" s="320"/>
      <c r="H639" s="164"/>
      <c r="I639" s="320"/>
      <c r="J639" s="164"/>
      <c r="K639" s="320"/>
      <c r="L639" s="164"/>
      <c r="M639" s="320"/>
      <c r="N639" s="164"/>
      <c r="O639" s="320"/>
      <c r="P639" s="164"/>
      <c r="Q639" s="188"/>
      <c r="R639" s="188"/>
      <c r="S639" s="20"/>
      <c r="T639" s="20"/>
      <c r="U639" s="20"/>
      <c r="V639" s="20"/>
      <c r="W639" s="20"/>
      <c r="X639" s="20"/>
      <c r="Y639" s="20"/>
      <c r="Z639" s="20"/>
    </row>
    <row r="640">
      <c r="A640" s="320"/>
      <c r="B640" s="164"/>
      <c r="C640" s="320"/>
      <c r="D640" s="164"/>
      <c r="E640" s="320"/>
      <c r="F640" s="164"/>
      <c r="G640" s="320"/>
      <c r="H640" s="164"/>
      <c r="I640" s="320"/>
      <c r="J640" s="164"/>
      <c r="K640" s="320"/>
      <c r="L640" s="164"/>
      <c r="M640" s="320"/>
      <c r="N640" s="164"/>
      <c r="O640" s="320"/>
      <c r="P640" s="164"/>
      <c r="Q640" s="188"/>
      <c r="R640" s="188"/>
      <c r="S640" s="20"/>
      <c r="T640" s="20"/>
      <c r="U640" s="20"/>
      <c r="V640" s="20"/>
      <c r="W640" s="20"/>
      <c r="X640" s="20"/>
      <c r="Y640" s="20"/>
      <c r="Z640" s="20"/>
    </row>
    <row r="641">
      <c r="A641" s="320"/>
      <c r="B641" s="164"/>
      <c r="C641" s="320"/>
      <c r="D641" s="164"/>
      <c r="E641" s="320"/>
      <c r="F641" s="164"/>
      <c r="G641" s="320"/>
      <c r="H641" s="164"/>
      <c r="I641" s="320"/>
      <c r="J641" s="164"/>
      <c r="K641" s="320"/>
      <c r="L641" s="164"/>
      <c r="M641" s="320"/>
      <c r="N641" s="164"/>
      <c r="O641" s="320"/>
      <c r="P641" s="164"/>
      <c r="Q641" s="188"/>
      <c r="R641" s="188"/>
      <c r="S641" s="20"/>
      <c r="T641" s="20"/>
      <c r="U641" s="20"/>
      <c r="V641" s="20"/>
      <c r="W641" s="20"/>
      <c r="X641" s="20"/>
      <c r="Y641" s="20"/>
      <c r="Z641" s="20"/>
    </row>
    <row r="642">
      <c r="A642" s="320"/>
      <c r="B642" s="164"/>
      <c r="C642" s="320"/>
      <c r="D642" s="164"/>
      <c r="E642" s="320"/>
      <c r="F642" s="164"/>
      <c r="G642" s="320"/>
      <c r="H642" s="164"/>
      <c r="I642" s="320"/>
      <c r="J642" s="164"/>
      <c r="K642" s="320"/>
      <c r="L642" s="164"/>
      <c r="M642" s="320"/>
      <c r="N642" s="164"/>
      <c r="O642" s="320"/>
      <c r="P642" s="164"/>
      <c r="Q642" s="188"/>
      <c r="R642" s="188"/>
      <c r="S642" s="20"/>
      <c r="T642" s="20"/>
      <c r="U642" s="20"/>
      <c r="V642" s="20"/>
      <c r="W642" s="20"/>
      <c r="X642" s="20"/>
      <c r="Y642" s="20"/>
      <c r="Z642" s="20"/>
    </row>
    <row r="643">
      <c r="A643" s="320"/>
      <c r="B643" s="164"/>
      <c r="C643" s="320"/>
      <c r="D643" s="164"/>
      <c r="E643" s="320"/>
      <c r="F643" s="164"/>
      <c r="G643" s="320"/>
      <c r="H643" s="164"/>
      <c r="I643" s="320"/>
      <c r="J643" s="164"/>
      <c r="K643" s="320"/>
      <c r="L643" s="164"/>
      <c r="M643" s="320"/>
      <c r="N643" s="164"/>
      <c r="O643" s="320"/>
      <c r="P643" s="164"/>
      <c r="Q643" s="188"/>
      <c r="R643" s="188"/>
      <c r="S643" s="20"/>
      <c r="T643" s="20"/>
      <c r="U643" s="20"/>
      <c r="V643" s="20"/>
      <c r="W643" s="20"/>
      <c r="X643" s="20"/>
      <c r="Y643" s="20"/>
      <c r="Z643" s="20"/>
    </row>
    <row r="644">
      <c r="A644" s="320"/>
      <c r="B644" s="164"/>
      <c r="C644" s="320"/>
      <c r="D644" s="164"/>
      <c r="E644" s="320"/>
      <c r="F644" s="164"/>
      <c r="G644" s="320"/>
      <c r="H644" s="164"/>
      <c r="I644" s="320"/>
      <c r="J644" s="164"/>
      <c r="K644" s="320"/>
      <c r="L644" s="164"/>
      <c r="M644" s="320"/>
      <c r="N644" s="164"/>
      <c r="O644" s="320"/>
      <c r="P644" s="164"/>
      <c r="Q644" s="188"/>
      <c r="R644" s="188"/>
      <c r="S644" s="20"/>
      <c r="T644" s="20"/>
      <c r="U644" s="20"/>
      <c r="V644" s="20"/>
      <c r="W644" s="20"/>
      <c r="X644" s="20"/>
      <c r="Y644" s="20"/>
      <c r="Z644" s="20"/>
    </row>
    <row r="645">
      <c r="A645" s="320"/>
      <c r="B645" s="164"/>
      <c r="C645" s="320"/>
      <c r="D645" s="164"/>
      <c r="E645" s="320"/>
      <c r="F645" s="164"/>
      <c r="G645" s="320"/>
      <c r="H645" s="164"/>
      <c r="I645" s="320"/>
      <c r="J645" s="164"/>
      <c r="K645" s="320"/>
      <c r="L645" s="164"/>
      <c r="M645" s="320"/>
      <c r="N645" s="164"/>
      <c r="O645" s="320"/>
      <c r="P645" s="164"/>
      <c r="Q645" s="188"/>
      <c r="R645" s="188"/>
      <c r="S645" s="20"/>
      <c r="T645" s="20"/>
      <c r="U645" s="20"/>
      <c r="V645" s="20"/>
      <c r="W645" s="20"/>
      <c r="X645" s="20"/>
      <c r="Y645" s="20"/>
      <c r="Z645" s="20"/>
    </row>
    <row r="646">
      <c r="A646" s="320"/>
      <c r="B646" s="164"/>
      <c r="C646" s="320"/>
      <c r="D646" s="164"/>
      <c r="E646" s="320"/>
      <c r="F646" s="164"/>
      <c r="G646" s="320"/>
      <c r="H646" s="164"/>
      <c r="I646" s="320"/>
      <c r="J646" s="164"/>
      <c r="K646" s="320"/>
      <c r="L646" s="164"/>
      <c r="M646" s="320"/>
      <c r="N646" s="164"/>
      <c r="O646" s="320"/>
      <c r="P646" s="164"/>
      <c r="Q646" s="188"/>
      <c r="R646" s="188"/>
      <c r="S646" s="20"/>
      <c r="T646" s="20"/>
      <c r="U646" s="20"/>
      <c r="V646" s="20"/>
      <c r="W646" s="20"/>
      <c r="X646" s="20"/>
      <c r="Y646" s="20"/>
      <c r="Z646" s="20"/>
    </row>
    <row r="647">
      <c r="A647" s="320"/>
      <c r="B647" s="164"/>
      <c r="C647" s="320"/>
      <c r="D647" s="164"/>
      <c r="E647" s="320"/>
      <c r="F647" s="164"/>
      <c r="G647" s="320"/>
      <c r="H647" s="164"/>
      <c r="I647" s="320"/>
      <c r="J647" s="164"/>
      <c r="K647" s="320"/>
      <c r="L647" s="164"/>
      <c r="M647" s="320"/>
      <c r="N647" s="164"/>
      <c r="O647" s="320"/>
      <c r="P647" s="164"/>
      <c r="Q647" s="188"/>
      <c r="R647" s="188"/>
      <c r="S647" s="20"/>
      <c r="T647" s="20"/>
      <c r="U647" s="20"/>
      <c r="V647" s="20"/>
      <c r="W647" s="20"/>
      <c r="X647" s="20"/>
      <c r="Y647" s="20"/>
      <c r="Z647" s="20"/>
    </row>
    <row r="648">
      <c r="A648" s="320"/>
      <c r="B648" s="164"/>
      <c r="C648" s="320"/>
      <c r="D648" s="164"/>
      <c r="E648" s="320"/>
      <c r="F648" s="164"/>
      <c r="G648" s="320"/>
      <c r="H648" s="164"/>
      <c r="I648" s="320"/>
      <c r="J648" s="164"/>
      <c r="K648" s="320"/>
      <c r="L648" s="164"/>
      <c r="M648" s="320"/>
      <c r="N648" s="164"/>
      <c r="O648" s="320"/>
      <c r="P648" s="164"/>
      <c r="Q648" s="188"/>
      <c r="R648" s="188"/>
      <c r="S648" s="20"/>
      <c r="T648" s="20"/>
      <c r="U648" s="20"/>
      <c r="V648" s="20"/>
      <c r="W648" s="20"/>
      <c r="X648" s="20"/>
      <c r="Y648" s="20"/>
      <c r="Z648" s="20"/>
    </row>
    <row r="649">
      <c r="A649" s="320"/>
      <c r="B649" s="164"/>
      <c r="C649" s="320"/>
      <c r="D649" s="164"/>
      <c r="E649" s="320"/>
      <c r="F649" s="164"/>
      <c r="G649" s="320"/>
      <c r="H649" s="164"/>
      <c r="I649" s="320"/>
      <c r="J649" s="164"/>
      <c r="K649" s="320"/>
      <c r="L649" s="164"/>
      <c r="M649" s="320"/>
      <c r="N649" s="164"/>
      <c r="O649" s="320"/>
      <c r="P649" s="164"/>
      <c r="Q649" s="188"/>
      <c r="R649" s="188"/>
      <c r="S649" s="20"/>
      <c r="T649" s="20"/>
      <c r="U649" s="20"/>
      <c r="V649" s="20"/>
      <c r="W649" s="20"/>
      <c r="X649" s="20"/>
      <c r="Y649" s="20"/>
      <c r="Z649" s="20"/>
    </row>
    <row r="650">
      <c r="A650" s="320"/>
      <c r="B650" s="164"/>
      <c r="C650" s="320"/>
      <c r="D650" s="164"/>
      <c r="E650" s="320"/>
      <c r="F650" s="164"/>
      <c r="G650" s="320"/>
      <c r="H650" s="164"/>
      <c r="I650" s="320"/>
      <c r="J650" s="164"/>
      <c r="K650" s="320"/>
      <c r="L650" s="164"/>
      <c r="M650" s="320"/>
      <c r="N650" s="164"/>
      <c r="O650" s="320"/>
      <c r="P650" s="164"/>
      <c r="Q650" s="188"/>
      <c r="R650" s="188"/>
      <c r="S650" s="20"/>
      <c r="T650" s="20"/>
      <c r="U650" s="20"/>
      <c r="V650" s="20"/>
      <c r="W650" s="20"/>
      <c r="X650" s="20"/>
      <c r="Y650" s="20"/>
      <c r="Z650" s="20"/>
    </row>
    <row r="651">
      <c r="A651" s="320"/>
      <c r="B651" s="164"/>
      <c r="C651" s="320"/>
      <c r="D651" s="164"/>
      <c r="E651" s="320"/>
      <c r="F651" s="164"/>
      <c r="G651" s="320"/>
      <c r="H651" s="164"/>
      <c r="I651" s="320"/>
      <c r="J651" s="164"/>
      <c r="K651" s="320"/>
      <c r="L651" s="164"/>
      <c r="M651" s="320"/>
      <c r="N651" s="164"/>
      <c r="O651" s="320"/>
      <c r="P651" s="164"/>
      <c r="Q651" s="188"/>
      <c r="R651" s="188"/>
      <c r="S651" s="20"/>
      <c r="T651" s="20"/>
      <c r="U651" s="20"/>
      <c r="V651" s="20"/>
      <c r="W651" s="20"/>
      <c r="X651" s="20"/>
      <c r="Y651" s="20"/>
      <c r="Z651" s="20"/>
    </row>
    <row r="652">
      <c r="A652" s="320"/>
      <c r="B652" s="164"/>
      <c r="C652" s="320"/>
      <c r="D652" s="164"/>
      <c r="E652" s="320"/>
      <c r="F652" s="164"/>
      <c r="G652" s="320"/>
      <c r="H652" s="164"/>
      <c r="I652" s="320"/>
      <c r="J652" s="164"/>
      <c r="K652" s="320"/>
      <c r="L652" s="164"/>
      <c r="M652" s="320"/>
      <c r="N652" s="164"/>
      <c r="O652" s="320"/>
      <c r="P652" s="164"/>
      <c r="Q652" s="188"/>
      <c r="R652" s="188"/>
      <c r="S652" s="20"/>
      <c r="T652" s="20"/>
      <c r="U652" s="20"/>
      <c r="V652" s="20"/>
      <c r="W652" s="20"/>
      <c r="X652" s="20"/>
      <c r="Y652" s="20"/>
      <c r="Z652" s="20"/>
    </row>
    <row r="653">
      <c r="A653" s="320"/>
      <c r="B653" s="164"/>
      <c r="C653" s="320"/>
      <c r="D653" s="164"/>
      <c r="E653" s="320"/>
      <c r="F653" s="164"/>
      <c r="G653" s="320"/>
      <c r="H653" s="164"/>
      <c r="I653" s="320"/>
      <c r="J653" s="164"/>
      <c r="K653" s="320"/>
      <c r="L653" s="164"/>
      <c r="M653" s="320"/>
      <c r="N653" s="164"/>
      <c r="O653" s="320"/>
      <c r="P653" s="164"/>
      <c r="Q653" s="188"/>
      <c r="R653" s="188"/>
      <c r="S653" s="20"/>
      <c r="T653" s="20"/>
      <c r="U653" s="20"/>
      <c r="V653" s="20"/>
      <c r="W653" s="20"/>
      <c r="X653" s="20"/>
      <c r="Y653" s="20"/>
      <c r="Z653" s="20"/>
    </row>
    <row r="654">
      <c r="A654" s="320"/>
      <c r="B654" s="164"/>
      <c r="C654" s="320"/>
      <c r="D654" s="164"/>
      <c r="E654" s="320"/>
      <c r="F654" s="164"/>
      <c r="G654" s="320"/>
      <c r="H654" s="164"/>
      <c r="I654" s="320"/>
      <c r="J654" s="164"/>
      <c r="K654" s="320"/>
      <c r="L654" s="164"/>
      <c r="M654" s="320"/>
      <c r="N654" s="164"/>
      <c r="O654" s="320"/>
      <c r="P654" s="164"/>
      <c r="Q654" s="188"/>
      <c r="R654" s="188"/>
      <c r="S654" s="20"/>
      <c r="T654" s="20"/>
      <c r="U654" s="20"/>
      <c r="V654" s="20"/>
      <c r="W654" s="20"/>
      <c r="X654" s="20"/>
      <c r="Y654" s="20"/>
      <c r="Z654" s="20"/>
    </row>
    <row r="655">
      <c r="A655" s="320"/>
      <c r="B655" s="164"/>
      <c r="C655" s="320"/>
      <c r="D655" s="164"/>
      <c r="E655" s="320"/>
      <c r="F655" s="164"/>
      <c r="G655" s="320"/>
      <c r="H655" s="164"/>
      <c r="I655" s="320"/>
      <c r="J655" s="164"/>
      <c r="K655" s="320"/>
      <c r="L655" s="164"/>
      <c r="M655" s="320"/>
      <c r="N655" s="164"/>
      <c r="O655" s="320"/>
      <c r="P655" s="164"/>
      <c r="Q655" s="188"/>
      <c r="R655" s="188"/>
      <c r="S655" s="20"/>
      <c r="T655" s="20"/>
      <c r="U655" s="20"/>
      <c r="V655" s="20"/>
      <c r="W655" s="20"/>
      <c r="X655" s="20"/>
      <c r="Y655" s="20"/>
      <c r="Z655" s="20"/>
    </row>
    <row r="656">
      <c r="A656" s="320"/>
      <c r="B656" s="164"/>
      <c r="C656" s="320"/>
      <c r="D656" s="164"/>
      <c r="E656" s="320"/>
      <c r="F656" s="164"/>
      <c r="G656" s="320"/>
      <c r="H656" s="164"/>
      <c r="I656" s="320"/>
      <c r="J656" s="164"/>
      <c r="K656" s="320"/>
      <c r="L656" s="164"/>
      <c r="M656" s="320"/>
      <c r="N656" s="164"/>
      <c r="O656" s="320"/>
      <c r="P656" s="164"/>
      <c r="Q656" s="188"/>
      <c r="R656" s="188"/>
      <c r="S656" s="20"/>
      <c r="T656" s="20"/>
      <c r="U656" s="20"/>
      <c r="V656" s="20"/>
      <c r="W656" s="20"/>
      <c r="X656" s="20"/>
      <c r="Y656" s="20"/>
      <c r="Z656" s="20"/>
    </row>
    <row r="657">
      <c r="A657" s="320"/>
      <c r="B657" s="164"/>
      <c r="C657" s="320"/>
      <c r="D657" s="164"/>
      <c r="E657" s="320"/>
      <c r="F657" s="164"/>
      <c r="G657" s="320"/>
      <c r="H657" s="164"/>
      <c r="I657" s="320"/>
      <c r="J657" s="164"/>
      <c r="K657" s="320"/>
      <c r="L657" s="164"/>
      <c r="M657" s="320"/>
      <c r="N657" s="164"/>
      <c r="O657" s="320"/>
      <c r="P657" s="164"/>
      <c r="Q657" s="188"/>
      <c r="R657" s="188"/>
      <c r="S657" s="20"/>
      <c r="T657" s="20"/>
      <c r="U657" s="20"/>
      <c r="V657" s="20"/>
      <c r="W657" s="20"/>
      <c r="X657" s="20"/>
      <c r="Y657" s="20"/>
      <c r="Z657" s="20"/>
    </row>
    <row r="658">
      <c r="A658" s="320"/>
      <c r="B658" s="164"/>
      <c r="C658" s="320"/>
      <c r="D658" s="164"/>
      <c r="E658" s="320"/>
      <c r="F658" s="164"/>
      <c r="G658" s="320"/>
      <c r="H658" s="164"/>
      <c r="I658" s="320"/>
      <c r="J658" s="164"/>
      <c r="K658" s="320"/>
      <c r="L658" s="164"/>
      <c r="M658" s="320"/>
      <c r="N658" s="164"/>
      <c r="O658" s="320"/>
      <c r="P658" s="164"/>
      <c r="Q658" s="188"/>
      <c r="R658" s="188"/>
      <c r="S658" s="20"/>
      <c r="T658" s="20"/>
      <c r="U658" s="20"/>
      <c r="V658" s="20"/>
      <c r="W658" s="20"/>
      <c r="X658" s="20"/>
      <c r="Y658" s="20"/>
      <c r="Z658" s="20"/>
    </row>
    <row r="659">
      <c r="A659" s="320"/>
      <c r="B659" s="164"/>
      <c r="C659" s="320"/>
      <c r="D659" s="164"/>
      <c r="E659" s="320"/>
      <c r="F659" s="164"/>
      <c r="G659" s="320"/>
      <c r="H659" s="164"/>
      <c r="I659" s="320"/>
      <c r="J659" s="164"/>
      <c r="K659" s="320"/>
      <c r="L659" s="164"/>
      <c r="M659" s="320"/>
      <c r="N659" s="164"/>
      <c r="O659" s="320"/>
      <c r="P659" s="164"/>
      <c r="Q659" s="188"/>
      <c r="R659" s="188"/>
      <c r="S659" s="20"/>
      <c r="T659" s="20"/>
      <c r="U659" s="20"/>
      <c r="V659" s="20"/>
      <c r="W659" s="20"/>
      <c r="X659" s="20"/>
      <c r="Y659" s="20"/>
      <c r="Z659" s="20"/>
    </row>
    <row r="660">
      <c r="A660" s="320"/>
      <c r="B660" s="164"/>
      <c r="C660" s="320"/>
      <c r="D660" s="164"/>
      <c r="E660" s="320"/>
      <c r="F660" s="164"/>
      <c r="G660" s="320"/>
      <c r="H660" s="164"/>
      <c r="I660" s="320"/>
      <c r="J660" s="164"/>
      <c r="K660" s="320"/>
      <c r="L660" s="164"/>
      <c r="M660" s="320"/>
      <c r="N660" s="164"/>
      <c r="O660" s="320"/>
      <c r="P660" s="164"/>
      <c r="Q660" s="188"/>
      <c r="R660" s="188"/>
      <c r="S660" s="20"/>
      <c r="T660" s="20"/>
      <c r="U660" s="20"/>
      <c r="V660" s="20"/>
      <c r="W660" s="20"/>
      <c r="X660" s="20"/>
      <c r="Y660" s="20"/>
      <c r="Z660" s="20"/>
    </row>
    <row r="661">
      <c r="A661" s="320"/>
      <c r="B661" s="164"/>
      <c r="C661" s="320"/>
      <c r="D661" s="164"/>
      <c r="E661" s="320"/>
      <c r="F661" s="164"/>
      <c r="G661" s="320"/>
      <c r="H661" s="164"/>
      <c r="I661" s="320"/>
      <c r="J661" s="164"/>
      <c r="K661" s="320"/>
      <c r="L661" s="164"/>
      <c r="M661" s="320"/>
      <c r="N661" s="164"/>
      <c r="O661" s="320"/>
      <c r="P661" s="164"/>
      <c r="Q661" s="188"/>
      <c r="R661" s="188"/>
      <c r="S661" s="20"/>
      <c r="T661" s="20"/>
      <c r="U661" s="20"/>
      <c r="V661" s="20"/>
      <c r="W661" s="20"/>
      <c r="X661" s="20"/>
      <c r="Y661" s="20"/>
      <c r="Z661" s="20"/>
    </row>
    <row r="662">
      <c r="A662" s="320"/>
      <c r="B662" s="164"/>
      <c r="C662" s="320"/>
      <c r="D662" s="164"/>
      <c r="E662" s="320"/>
      <c r="F662" s="164"/>
      <c r="G662" s="320"/>
      <c r="H662" s="164"/>
      <c r="I662" s="320"/>
      <c r="J662" s="164"/>
      <c r="K662" s="320"/>
      <c r="L662" s="164"/>
      <c r="M662" s="320"/>
      <c r="N662" s="164"/>
      <c r="O662" s="320"/>
      <c r="P662" s="164"/>
      <c r="Q662" s="188"/>
      <c r="R662" s="188"/>
      <c r="S662" s="20"/>
      <c r="T662" s="20"/>
      <c r="U662" s="20"/>
      <c r="V662" s="20"/>
      <c r="W662" s="20"/>
      <c r="X662" s="20"/>
      <c r="Y662" s="20"/>
      <c r="Z662" s="20"/>
    </row>
    <row r="663">
      <c r="A663" s="320"/>
      <c r="B663" s="164"/>
      <c r="C663" s="320"/>
      <c r="D663" s="164"/>
      <c r="E663" s="320"/>
      <c r="F663" s="164"/>
      <c r="G663" s="320"/>
      <c r="H663" s="164"/>
      <c r="I663" s="320"/>
      <c r="J663" s="164"/>
      <c r="K663" s="320"/>
      <c r="L663" s="164"/>
      <c r="M663" s="320"/>
      <c r="N663" s="164"/>
      <c r="O663" s="320"/>
      <c r="P663" s="164"/>
      <c r="Q663" s="188"/>
      <c r="R663" s="188"/>
      <c r="S663" s="20"/>
      <c r="T663" s="20"/>
      <c r="U663" s="20"/>
      <c r="V663" s="20"/>
      <c r="W663" s="20"/>
      <c r="X663" s="20"/>
      <c r="Y663" s="20"/>
      <c r="Z663" s="20"/>
    </row>
    <row r="664">
      <c r="A664" s="320"/>
      <c r="B664" s="164"/>
      <c r="C664" s="320"/>
      <c r="D664" s="164"/>
      <c r="E664" s="320"/>
      <c r="F664" s="164"/>
      <c r="G664" s="320"/>
      <c r="H664" s="164"/>
      <c r="I664" s="320"/>
      <c r="J664" s="164"/>
      <c r="K664" s="320"/>
      <c r="L664" s="164"/>
      <c r="M664" s="320"/>
      <c r="N664" s="164"/>
      <c r="O664" s="320"/>
      <c r="P664" s="164"/>
      <c r="Q664" s="188"/>
      <c r="R664" s="188"/>
      <c r="S664" s="20"/>
      <c r="T664" s="20"/>
      <c r="U664" s="20"/>
      <c r="V664" s="20"/>
      <c r="W664" s="20"/>
      <c r="X664" s="20"/>
      <c r="Y664" s="20"/>
      <c r="Z664" s="20"/>
    </row>
    <row r="665">
      <c r="A665" s="320"/>
      <c r="B665" s="164"/>
      <c r="C665" s="320"/>
      <c r="D665" s="164"/>
      <c r="E665" s="320"/>
      <c r="F665" s="164"/>
      <c r="G665" s="320"/>
      <c r="H665" s="164"/>
      <c r="I665" s="320"/>
      <c r="J665" s="164"/>
      <c r="K665" s="320"/>
      <c r="L665" s="164"/>
      <c r="M665" s="320"/>
      <c r="N665" s="164"/>
      <c r="O665" s="320"/>
      <c r="P665" s="164"/>
      <c r="Q665" s="188"/>
      <c r="R665" s="188"/>
      <c r="S665" s="20"/>
      <c r="T665" s="20"/>
      <c r="U665" s="20"/>
      <c r="V665" s="20"/>
      <c r="W665" s="20"/>
      <c r="X665" s="20"/>
      <c r="Y665" s="20"/>
      <c r="Z665" s="20"/>
    </row>
    <row r="666">
      <c r="A666" s="320"/>
      <c r="B666" s="164"/>
      <c r="C666" s="320"/>
      <c r="D666" s="164"/>
      <c r="E666" s="320"/>
      <c r="F666" s="164"/>
      <c r="G666" s="320"/>
      <c r="H666" s="164"/>
      <c r="I666" s="320"/>
      <c r="J666" s="164"/>
      <c r="K666" s="320"/>
      <c r="L666" s="164"/>
      <c r="M666" s="320"/>
      <c r="N666" s="164"/>
      <c r="O666" s="320"/>
      <c r="P666" s="164"/>
      <c r="Q666" s="188"/>
      <c r="R666" s="188"/>
      <c r="S666" s="20"/>
      <c r="T666" s="20"/>
      <c r="U666" s="20"/>
      <c r="V666" s="20"/>
      <c r="W666" s="20"/>
      <c r="X666" s="20"/>
      <c r="Y666" s="20"/>
      <c r="Z666" s="20"/>
    </row>
    <row r="667">
      <c r="A667" s="320"/>
      <c r="B667" s="164"/>
      <c r="C667" s="320"/>
      <c r="D667" s="164"/>
      <c r="E667" s="320"/>
      <c r="F667" s="164"/>
      <c r="G667" s="320"/>
      <c r="H667" s="164"/>
      <c r="I667" s="320"/>
      <c r="J667" s="164"/>
      <c r="K667" s="320"/>
      <c r="L667" s="164"/>
      <c r="M667" s="320"/>
      <c r="N667" s="164"/>
      <c r="O667" s="320"/>
      <c r="P667" s="164"/>
      <c r="Q667" s="188"/>
      <c r="R667" s="188"/>
      <c r="S667" s="20"/>
      <c r="T667" s="20"/>
      <c r="U667" s="20"/>
      <c r="V667" s="20"/>
      <c r="W667" s="20"/>
      <c r="X667" s="20"/>
      <c r="Y667" s="20"/>
      <c r="Z667" s="20"/>
    </row>
    <row r="668">
      <c r="A668" s="320"/>
      <c r="B668" s="164"/>
      <c r="C668" s="320"/>
      <c r="D668" s="164"/>
      <c r="E668" s="320"/>
      <c r="F668" s="164"/>
      <c r="G668" s="320"/>
      <c r="H668" s="164"/>
      <c r="I668" s="320"/>
      <c r="J668" s="164"/>
      <c r="K668" s="320"/>
      <c r="L668" s="164"/>
      <c r="M668" s="320"/>
      <c r="N668" s="164"/>
      <c r="O668" s="320"/>
      <c r="P668" s="164"/>
      <c r="Q668" s="188"/>
      <c r="R668" s="188"/>
      <c r="S668" s="20"/>
      <c r="T668" s="20"/>
      <c r="U668" s="20"/>
      <c r="V668" s="20"/>
      <c r="W668" s="20"/>
      <c r="X668" s="20"/>
      <c r="Y668" s="20"/>
      <c r="Z668" s="20"/>
    </row>
    <row r="669">
      <c r="A669" s="320"/>
      <c r="B669" s="164"/>
      <c r="C669" s="320"/>
      <c r="D669" s="164"/>
      <c r="E669" s="320"/>
      <c r="F669" s="164"/>
      <c r="G669" s="320"/>
      <c r="H669" s="164"/>
      <c r="I669" s="320"/>
      <c r="J669" s="164"/>
      <c r="K669" s="320"/>
      <c r="L669" s="164"/>
      <c r="M669" s="320"/>
      <c r="N669" s="164"/>
      <c r="O669" s="320"/>
      <c r="P669" s="164"/>
      <c r="Q669" s="188"/>
      <c r="R669" s="188"/>
      <c r="S669" s="20"/>
      <c r="T669" s="20"/>
      <c r="U669" s="20"/>
      <c r="V669" s="20"/>
      <c r="W669" s="20"/>
      <c r="X669" s="20"/>
      <c r="Y669" s="20"/>
      <c r="Z669" s="20"/>
    </row>
    <row r="670">
      <c r="A670" s="320"/>
      <c r="B670" s="164"/>
      <c r="C670" s="320"/>
      <c r="D670" s="164"/>
      <c r="E670" s="320"/>
      <c r="F670" s="164"/>
      <c r="G670" s="320"/>
      <c r="H670" s="164"/>
      <c r="I670" s="320"/>
      <c r="J670" s="164"/>
      <c r="K670" s="320"/>
      <c r="L670" s="164"/>
      <c r="M670" s="320"/>
      <c r="N670" s="164"/>
      <c r="O670" s="320"/>
      <c r="P670" s="164"/>
      <c r="Q670" s="188"/>
      <c r="R670" s="188"/>
      <c r="S670" s="20"/>
      <c r="T670" s="20"/>
      <c r="U670" s="20"/>
      <c r="V670" s="20"/>
      <c r="W670" s="20"/>
      <c r="X670" s="20"/>
      <c r="Y670" s="20"/>
      <c r="Z670" s="20"/>
    </row>
    <row r="671">
      <c r="A671" s="320"/>
      <c r="B671" s="164"/>
      <c r="C671" s="320"/>
      <c r="D671" s="164"/>
      <c r="E671" s="320"/>
      <c r="F671" s="164"/>
      <c r="G671" s="320"/>
      <c r="H671" s="164"/>
      <c r="I671" s="320"/>
      <c r="J671" s="164"/>
      <c r="K671" s="320"/>
      <c r="L671" s="164"/>
      <c r="M671" s="320"/>
      <c r="N671" s="164"/>
      <c r="O671" s="320"/>
      <c r="P671" s="164"/>
      <c r="Q671" s="188"/>
      <c r="R671" s="188"/>
      <c r="S671" s="20"/>
      <c r="T671" s="20"/>
      <c r="U671" s="20"/>
      <c r="V671" s="20"/>
      <c r="W671" s="20"/>
      <c r="X671" s="20"/>
      <c r="Y671" s="20"/>
      <c r="Z671" s="20"/>
    </row>
    <row r="672">
      <c r="A672" s="320"/>
      <c r="B672" s="164"/>
      <c r="C672" s="320"/>
      <c r="D672" s="164"/>
      <c r="E672" s="320"/>
      <c r="F672" s="164"/>
      <c r="G672" s="320"/>
      <c r="H672" s="164"/>
      <c r="I672" s="320"/>
      <c r="J672" s="164"/>
      <c r="K672" s="320"/>
      <c r="L672" s="164"/>
      <c r="M672" s="320"/>
      <c r="N672" s="164"/>
      <c r="O672" s="320"/>
      <c r="P672" s="164"/>
      <c r="Q672" s="188"/>
      <c r="R672" s="188"/>
      <c r="S672" s="20"/>
      <c r="T672" s="20"/>
      <c r="U672" s="20"/>
      <c r="V672" s="20"/>
      <c r="W672" s="20"/>
      <c r="X672" s="20"/>
      <c r="Y672" s="20"/>
      <c r="Z672" s="20"/>
    </row>
    <row r="673">
      <c r="A673" s="320"/>
      <c r="B673" s="164"/>
      <c r="C673" s="320"/>
      <c r="D673" s="164"/>
      <c r="E673" s="320"/>
      <c r="F673" s="164"/>
      <c r="G673" s="320"/>
      <c r="H673" s="164"/>
      <c r="I673" s="320"/>
      <c r="J673" s="164"/>
      <c r="K673" s="320"/>
      <c r="L673" s="164"/>
      <c r="M673" s="320"/>
      <c r="N673" s="164"/>
      <c r="O673" s="320"/>
      <c r="P673" s="164"/>
      <c r="Q673" s="188"/>
      <c r="R673" s="188"/>
      <c r="S673" s="20"/>
      <c r="T673" s="20"/>
      <c r="U673" s="20"/>
      <c r="V673" s="20"/>
      <c r="W673" s="20"/>
      <c r="X673" s="20"/>
      <c r="Y673" s="20"/>
      <c r="Z673" s="20"/>
    </row>
    <row r="674">
      <c r="A674" s="320"/>
      <c r="B674" s="164"/>
      <c r="C674" s="320"/>
      <c r="D674" s="164"/>
      <c r="E674" s="320"/>
      <c r="F674" s="164"/>
      <c r="G674" s="320"/>
      <c r="H674" s="164"/>
      <c r="I674" s="320"/>
      <c r="J674" s="164"/>
      <c r="K674" s="320"/>
      <c r="L674" s="164"/>
      <c r="M674" s="320"/>
      <c r="N674" s="164"/>
      <c r="O674" s="320"/>
      <c r="P674" s="164"/>
      <c r="Q674" s="188"/>
      <c r="R674" s="188"/>
      <c r="S674" s="20"/>
      <c r="T674" s="20"/>
      <c r="U674" s="20"/>
      <c r="V674" s="20"/>
      <c r="W674" s="20"/>
      <c r="X674" s="20"/>
      <c r="Y674" s="20"/>
      <c r="Z674" s="20"/>
    </row>
    <row r="675">
      <c r="A675" s="320"/>
      <c r="B675" s="164"/>
      <c r="C675" s="320"/>
      <c r="D675" s="164"/>
      <c r="E675" s="320"/>
      <c r="F675" s="164"/>
      <c r="G675" s="320"/>
      <c r="H675" s="164"/>
      <c r="I675" s="320"/>
      <c r="J675" s="164"/>
      <c r="K675" s="320"/>
      <c r="L675" s="164"/>
      <c r="M675" s="320"/>
      <c r="N675" s="164"/>
      <c r="O675" s="320"/>
      <c r="P675" s="164"/>
      <c r="Q675" s="188"/>
      <c r="R675" s="188"/>
      <c r="S675" s="20"/>
      <c r="T675" s="20"/>
      <c r="U675" s="20"/>
      <c r="V675" s="20"/>
      <c r="W675" s="20"/>
      <c r="X675" s="20"/>
      <c r="Y675" s="20"/>
      <c r="Z675" s="20"/>
    </row>
    <row r="676">
      <c r="A676" s="320"/>
      <c r="B676" s="164"/>
      <c r="C676" s="320"/>
      <c r="D676" s="164"/>
      <c r="E676" s="320"/>
      <c r="F676" s="164"/>
      <c r="G676" s="320"/>
      <c r="H676" s="164"/>
      <c r="I676" s="320"/>
      <c r="J676" s="164"/>
      <c r="K676" s="320"/>
      <c r="L676" s="164"/>
      <c r="M676" s="320"/>
      <c r="N676" s="164"/>
      <c r="O676" s="320"/>
      <c r="P676" s="164"/>
      <c r="Q676" s="188"/>
      <c r="R676" s="188"/>
      <c r="S676" s="20"/>
      <c r="T676" s="20"/>
      <c r="U676" s="20"/>
      <c r="V676" s="20"/>
      <c r="W676" s="20"/>
      <c r="X676" s="20"/>
      <c r="Y676" s="20"/>
      <c r="Z676" s="20"/>
    </row>
    <row r="677">
      <c r="A677" s="320"/>
      <c r="B677" s="164"/>
      <c r="C677" s="320"/>
      <c r="D677" s="164"/>
      <c r="E677" s="320"/>
      <c r="F677" s="164"/>
      <c r="G677" s="320"/>
      <c r="H677" s="164"/>
      <c r="I677" s="320"/>
      <c r="J677" s="164"/>
      <c r="K677" s="320"/>
      <c r="L677" s="164"/>
      <c r="M677" s="320"/>
      <c r="N677" s="164"/>
      <c r="O677" s="320"/>
      <c r="P677" s="164"/>
      <c r="Q677" s="188"/>
      <c r="R677" s="188"/>
      <c r="S677" s="20"/>
      <c r="T677" s="20"/>
      <c r="U677" s="20"/>
      <c r="V677" s="20"/>
      <c r="W677" s="20"/>
      <c r="X677" s="20"/>
      <c r="Y677" s="20"/>
      <c r="Z677" s="20"/>
    </row>
    <row r="678">
      <c r="A678" s="320"/>
      <c r="B678" s="164"/>
      <c r="C678" s="320"/>
      <c r="D678" s="164"/>
      <c r="E678" s="320"/>
      <c r="F678" s="164"/>
      <c r="G678" s="320"/>
      <c r="H678" s="164"/>
      <c r="I678" s="320"/>
      <c r="J678" s="164"/>
      <c r="K678" s="320"/>
      <c r="L678" s="164"/>
      <c r="M678" s="320"/>
      <c r="N678" s="164"/>
      <c r="O678" s="320"/>
      <c r="P678" s="164"/>
      <c r="Q678" s="188"/>
      <c r="R678" s="188"/>
      <c r="S678" s="20"/>
      <c r="T678" s="20"/>
      <c r="U678" s="20"/>
      <c r="V678" s="20"/>
      <c r="W678" s="20"/>
      <c r="X678" s="20"/>
      <c r="Y678" s="20"/>
      <c r="Z678" s="20"/>
    </row>
    <row r="679">
      <c r="A679" s="320"/>
      <c r="B679" s="164"/>
      <c r="C679" s="320"/>
      <c r="D679" s="164"/>
      <c r="E679" s="320"/>
      <c r="F679" s="164"/>
      <c r="G679" s="320"/>
      <c r="H679" s="164"/>
      <c r="I679" s="320"/>
      <c r="J679" s="164"/>
      <c r="K679" s="320"/>
      <c r="L679" s="164"/>
      <c r="M679" s="320"/>
      <c r="N679" s="164"/>
      <c r="O679" s="320"/>
      <c r="P679" s="164"/>
      <c r="Q679" s="188"/>
      <c r="R679" s="188"/>
      <c r="S679" s="20"/>
      <c r="T679" s="20"/>
      <c r="U679" s="20"/>
      <c r="V679" s="20"/>
      <c r="W679" s="20"/>
      <c r="X679" s="20"/>
      <c r="Y679" s="20"/>
      <c r="Z679" s="20"/>
    </row>
    <row r="680">
      <c r="A680" s="320"/>
      <c r="B680" s="164"/>
      <c r="C680" s="320"/>
      <c r="D680" s="164"/>
      <c r="E680" s="320"/>
      <c r="F680" s="164"/>
      <c r="G680" s="320"/>
      <c r="H680" s="164"/>
      <c r="I680" s="320"/>
      <c r="J680" s="164"/>
      <c r="K680" s="320"/>
      <c r="L680" s="164"/>
      <c r="M680" s="320"/>
      <c r="N680" s="164"/>
      <c r="O680" s="320"/>
      <c r="P680" s="164"/>
      <c r="Q680" s="188"/>
      <c r="R680" s="188"/>
      <c r="S680" s="20"/>
      <c r="T680" s="20"/>
      <c r="U680" s="20"/>
      <c r="V680" s="20"/>
      <c r="W680" s="20"/>
      <c r="X680" s="20"/>
      <c r="Y680" s="20"/>
      <c r="Z680" s="20"/>
    </row>
    <row r="681">
      <c r="A681" s="320"/>
      <c r="B681" s="164"/>
      <c r="C681" s="320"/>
      <c r="D681" s="164"/>
      <c r="E681" s="320"/>
      <c r="F681" s="164"/>
      <c r="G681" s="320"/>
      <c r="H681" s="164"/>
      <c r="I681" s="320"/>
      <c r="J681" s="164"/>
      <c r="K681" s="320"/>
      <c r="L681" s="164"/>
      <c r="M681" s="320"/>
      <c r="N681" s="164"/>
      <c r="O681" s="320"/>
      <c r="P681" s="164"/>
      <c r="Q681" s="188"/>
      <c r="R681" s="188"/>
      <c r="S681" s="20"/>
      <c r="T681" s="20"/>
      <c r="U681" s="20"/>
      <c r="V681" s="20"/>
      <c r="W681" s="20"/>
      <c r="X681" s="20"/>
      <c r="Y681" s="20"/>
      <c r="Z681" s="20"/>
    </row>
    <row r="682">
      <c r="A682" s="320"/>
      <c r="B682" s="164"/>
      <c r="C682" s="320"/>
      <c r="D682" s="164"/>
      <c r="E682" s="320"/>
      <c r="F682" s="164"/>
      <c r="G682" s="320"/>
      <c r="H682" s="164"/>
      <c r="I682" s="320"/>
      <c r="J682" s="164"/>
      <c r="K682" s="320"/>
      <c r="L682" s="164"/>
      <c r="M682" s="320"/>
      <c r="N682" s="164"/>
      <c r="O682" s="320"/>
      <c r="P682" s="164"/>
      <c r="Q682" s="188"/>
      <c r="R682" s="188"/>
      <c r="S682" s="20"/>
      <c r="T682" s="20"/>
      <c r="U682" s="20"/>
      <c r="V682" s="20"/>
      <c r="W682" s="20"/>
      <c r="X682" s="20"/>
      <c r="Y682" s="20"/>
      <c r="Z682" s="20"/>
    </row>
    <row r="683">
      <c r="A683" s="320"/>
      <c r="B683" s="164"/>
      <c r="C683" s="320"/>
      <c r="D683" s="164"/>
      <c r="E683" s="320"/>
      <c r="F683" s="164"/>
      <c r="G683" s="320"/>
      <c r="H683" s="164"/>
      <c r="I683" s="320"/>
      <c r="J683" s="164"/>
      <c r="K683" s="320"/>
      <c r="L683" s="164"/>
      <c r="M683" s="320"/>
      <c r="N683" s="164"/>
      <c r="O683" s="320"/>
      <c r="P683" s="164"/>
      <c r="Q683" s="188"/>
      <c r="R683" s="188"/>
      <c r="S683" s="20"/>
      <c r="T683" s="20"/>
      <c r="U683" s="20"/>
      <c r="V683" s="20"/>
      <c r="W683" s="20"/>
      <c r="X683" s="20"/>
      <c r="Y683" s="20"/>
      <c r="Z683" s="20"/>
    </row>
    <row r="684">
      <c r="A684" s="320"/>
      <c r="B684" s="164"/>
      <c r="C684" s="320"/>
      <c r="D684" s="164"/>
      <c r="E684" s="320"/>
      <c r="F684" s="164"/>
      <c r="G684" s="320"/>
      <c r="H684" s="164"/>
      <c r="I684" s="320"/>
      <c r="J684" s="164"/>
      <c r="K684" s="320"/>
      <c r="L684" s="164"/>
      <c r="M684" s="320"/>
      <c r="N684" s="164"/>
      <c r="O684" s="320"/>
      <c r="P684" s="164"/>
      <c r="Q684" s="188"/>
      <c r="R684" s="188"/>
      <c r="S684" s="20"/>
      <c r="T684" s="20"/>
      <c r="U684" s="20"/>
      <c r="V684" s="20"/>
      <c r="W684" s="20"/>
      <c r="X684" s="20"/>
      <c r="Y684" s="20"/>
      <c r="Z684" s="20"/>
    </row>
    <row r="685">
      <c r="A685" s="320"/>
      <c r="B685" s="164"/>
      <c r="C685" s="320"/>
      <c r="D685" s="164"/>
      <c r="E685" s="320"/>
      <c r="F685" s="164"/>
      <c r="G685" s="320"/>
      <c r="H685" s="164"/>
      <c r="I685" s="320"/>
      <c r="J685" s="164"/>
      <c r="K685" s="320"/>
      <c r="L685" s="164"/>
      <c r="M685" s="320"/>
      <c r="N685" s="164"/>
      <c r="O685" s="320"/>
      <c r="P685" s="164"/>
      <c r="Q685" s="188"/>
      <c r="R685" s="188"/>
      <c r="S685" s="20"/>
      <c r="T685" s="20"/>
      <c r="U685" s="20"/>
      <c r="V685" s="20"/>
      <c r="W685" s="20"/>
      <c r="X685" s="20"/>
      <c r="Y685" s="20"/>
      <c r="Z685" s="20"/>
    </row>
    <row r="686">
      <c r="A686" s="320"/>
      <c r="B686" s="164"/>
      <c r="C686" s="320"/>
      <c r="D686" s="164"/>
      <c r="E686" s="320"/>
      <c r="F686" s="164"/>
      <c r="G686" s="320"/>
      <c r="H686" s="164"/>
      <c r="I686" s="320"/>
      <c r="J686" s="164"/>
      <c r="K686" s="320"/>
      <c r="L686" s="164"/>
      <c r="M686" s="320"/>
      <c r="N686" s="164"/>
      <c r="O686" s="320"/>
      <c r="P686" s="164"/>
      <c r="Q686" s="188"/>
      <c r="R686" s="188"/>
      <c r="S686" s="20"/>
      <c r="T686" s="20"/>
      <c r="U686" s="20"/>
      <c r="V686" s="20"/>
      <c r="W686" s="20"/>
      <c r="X686" s="20"/>
      <c r="Y686" s="20"/>
      <c r="Z686" s="20"/>
    </row>
    <row r="687">
      <c r="A687" s="320"/>
      <c r="B687" s="164"/>
      <c r="C687" s="320"/>
      <c r="D687" s="164"/>
      <c r="E687" s="320"/>
      <c r="F687" s="164"/>
      <c r="G687" s="320"/>
      <c r="H687" s="164"/>
      <c r="I687" s="320"/>
      <c r="J687" s="164"/>
      <c r="K687" s="320"/>
      <c r="L687" s="164"/>
      <c r="M687" s="320"/>
      <c r="N687" s="164"/>
      <c r="O687" s="320"/>
      <c r="P687" s="164"/>
      <c r="Q687" s="188"/>
      <c r="R687" s="188"/>
      <c r="S687" s="20"/>
      <c r="T687" s="20"/>
      <c r="U687" s="20"/>
      <c r="V687" s="20"/>
      <c r="W687" s="20"/>
      <c r="X687" s="20"/>
      <c r="Y687" s="20"/>
      <c r="Z687" s="20"/>
    </row>
    <row r="688">
      <c r="A688" s="320"/>
      <c r="B688" s="164"/>
      <c r="C688" s="320"/>
      <c r="D688" s="164"/>
      <c r="E688" s="320"/>
      <c r="F688" s="164"/>
      <c r="G688" s="320"/>
      <c r="H688" s="164"/>
      <c r="I688" s="320"/>
      <c r="J688" s="164"/>
      <c r="K688" s="320"/>
      <c r="L688" s="164"/>
      <c r="M688" s="320"/>
      <c r="N688" s="164"/>
      <c r="O688" s="320"/>
      <c r="P688" s="164"/>
      <c r="Q688" s="188"/>
      <c r="R688" s="188"/>
      <c r="S688" s="20"/>
      <c r="T688" s="20"/>
      <c r="U688" s="20"/>
      <c r="V688" s="20"/>
      <c r="W688" s="20"/>
      <c r="X688" s="20"/>
      <c r="Y688" s="20"/>
      <c r="Z688" s="20"/>
    </row>
    <row r="689">
      <c r="A689" s="320"/>
      <c r="B689" s="164"/>
      <c r="C689" s="320"/>
      <c r="D689" s="164"/>
      <c r="E689" s="320"/>
      <c r="F689" s="164"/>
      <c r="G689" s="320"/>
      <c r="H689" s="164"/>
      <c r="I689" s="320"/>
      <c r="J689" s="164"/>
      <c r="K689" s="320"/>
      <c r="L689" s="164"/>
      <c r="M689" s="320"/>
      <c r="N689" s="164"/>
      <c r="O689" s="320"/>
      <c r="P689" s="164"/>
      <c r="Q689" s="188"/>
      <c r="R689" s="188"/>
      <c r="S689" s="20"/>
      <c r="T689" s="20"/>
      <c r="U689" s="20"/>
      <c r="V689" s="20"/>
      <c r="W689" s="20"/>
      <c r="X689" s="20"/>
      <c r="Y689" s="20"/>
      <c r="Z689" s="20"/>
    </row>
    <row r="690">
      <c r="A690" s="320"/>
      <c r="B690" s="164"/>
      <c r="C690" s="320"/>
      <c r="D690" s="164"/>
      <c r="E690" s="320"/>
      <c r="F690" s="164"/>
      <c r="G690" s="320"/>
      <c r="H690" s="164"/>
      <c r="I690" s="320"/>
      <c r="J690" s="164"/>
      <c r="K690" s="320"/>
      <c r="L690" s="164"/>
      <c r="M690" s="320"/>
      <c r="N690" s="164"/>
      <c r="O690" s="320"/>
      <c r="P690" s="164"/>
      <c r="Q690" s="188"/>
      <c r="R690" s="188"/>
      <c r="S690" s="20"/>
      <c r="T690" s="20"/>
      <c r="U690" s="20"/>
      <c r="V690" s="20"/>
      <c r="W690" s="20"/>
      <c r="X690" s="20"/>
      <c r="Y690" s="20"/>
      <c r="Z690" s="20"/>
    </row>
    <row r="691">
      <c r="A691" s="320"/>
      <c r="B691" s="164"/>
      <c r="C691" s="320"/>
      <c r="D691" s="164"/>
      <c r="E691" s="320"/>
      <c r="F691" s="164"/>
      <c r="G691" s="320"/>
      <c r="H691" s="164"/>
      <c r="I691" s="320"/>
      <c r="J691" s="164"/>
      <c r="K691" s="320"/>
      <c r="L691" s="164"/>
      <c r="M691" s="320"/>
      <c r="N691" s="164"/>
      <c r="O691" s="320"/>
      <c r="P691" s="164"/>
      <c r="Q691" s="188"/>
      <c r="R691" s="188"/>
      <c r="S691" s="20"/>
      <c r="T691" s="20"/>
      <c r="U691" s="20"/>
      <c r="V691" s="20"/>
      <c r="W691" s="20"/>
      <c r="X691" s="20"/>
      <c r="Y691" s="20"/>
      <c r="Z691" s="20"/>
    </row>
    <row r="692">
      <c r="A692" s="320"/>
      <c r="B692" s="164"/>
      <c r="C692" s="320"/>
      <c r="D692" s="164"/>
      <c r="E692" s="320"/>
      <c r="F692" s="164"/>
      <c r="G692" s="320"/>
      <c r="H692" s="164"/>
      <c r="I692" s="320"/>
      <c r="J692" s="164"/>
      <c r="K692" s="320"/>
      <c r="L692" s="164"/>
      <c r="M692" s="320"/>
      <c r="N692" s="164"/>
      <c r="O692" s="320"/>
      <c r="P692" s="164"/>
      <c r="Q692" s="188"/>
      <c r="R692" s="188"/>
      <c r="S692" s="20"/>
      <c r="T692" s="20"/>
      <c r="U692" s="20"/>
      <c r="V692" s="20"/>
      <c r="W692" s="20"/>
      <c r="X692" s="20"/>
      <c r="Y692" s="20"/>
      <c r="Z692" s="20"/>
    </row>
    <row r="693">
      <c r="A693" s="320"/>
      <c r="B693" s="164"/>
      <c r="C693" s="320"/>
      <c r="D693" s="164"/>
      <c r="E693" s="320"/>
      <c r="F693" s="164"/>
      <c r="G693" s="320"/>
      <c r="H693" s="164"/>
      <c r="I693" s="320"/>
      <c r="J693" s="164"/>
      <c r="K693" s="320"/>
      <c r="L693" s="164"/>
      <c r="M693" s="320"/>
      <c r="N693" s="164"/>
      <c r="O693" s="320"/>
      <c r="P693" s="164"/>
      <c r="Q693" s="188"/>
      <c r="R693" s="188"/>
      <c r="S693" s="20"/>
      <c r="T693" s="20"/>
      <c r="U693" s="20"/>
      <c r="V693" s="20"/>
      <c r="W693" s="20"/>
      <c r="X693" s="20"/>
      <c r="Y693" s="20"/>
      <c r="Z693" s="20"/>
    </row>
    <row r="694">
      <c r="A694" s="320"/>
      <c r="B694" s="164"/>
      <c r="C694" s="320"/>
      <c r="D694" s="164"/>
      <c r="E694" s="320"/>
      <c r="F694" s="164"/>
      <c r="G694" s="320"/>
      <c r="H694" s="164"/>
      <c r="I694" s="320"/>
      <c r="J694" s="164"/>
      <c r="K694" s="320"/>
      <c r="L694" s="164"/>
      <c r="M694" s="320"/>
      <c r="N694" s="164"/>
      <c r="O694" s="320"/>
      <c r="P694" s="164"/>
      <c r="Q694" s="188"/>
      <c r="R694" s="188"/>
      <c r="S694" s="20"/>
      <c r="T694" s="20"/>
      <c r="U694" s="20"/>
      <c r="V694" s="20"/>
      <c r="W694" s="20"/>
      <c r="X694" s="20"/>
      <c r="Y694" s="20"/>
      <c r="Z694" s="20"/>
    </row>
    <row r="695">
      <c r="A695" s="320"/>
      <c r="B695" s="164"/>
      <c r="C695" s="320"/>
      <c r="D695" s="164"/>
      <c r="E695" s="320"/>
      <c r="F695" s="164"/>
      <c r="G695" s="320"/>
      <c r="H695" s="164"/>
      <c r="I695" s="320"/>
      <c r="J695" s="164"/>
      <c r="K695" s="320"/>
      <c r="L695" s="164"/>
      <c r="M695" s="320"/>
      <c r="N695" s="164"/>
      <c r="O695" s="320"/>
      <c r="P695" s="164"/>
      <c r="Q695" s="188"/>
      <c r="R695" s="188"/>
      <c r="S695" s="20"/>
      <c r="T695" s="20"/>
      <c r="U695" s="20"/>
      <c r="V695" s="20"/>
      <c r="W695" s="20"/>
      <c r="X695" s="20"/>
      <c r="Y695" s="20"/>
      <c r="Z695" s="20"/>
    </row>
    <row r="696">
      <c r="A696" s="320"/>
      <c r="B696" s="164"/>
      <c r="C696" s="320"/>
      <c r="D696" s="164"/>
      <c r="E696" s="320"/>
      <c r="F696" s="164"/>
      <c r="G696" s="320"/>
      <c r="H696" s="164"/>
      <c r="I696" s="320"/>
      <c r="J696" s="164"/>
      <c r="K696" s="320"/>
      <c r="L696" s="164"/>
      <c r="M696" s="320"/>
      <c r="N696" s="164"/>
      <c r="O696" s="320"/>
      <c r="P696" s="164"/>
      <c r="Q696" s="188"/>
      <c r="R696" s="188"/>
      <c r="S696" s="20"/>
      <c r="T696" s="20"/>
      <c r="U696" s="20"/>
      <c r="V696" s="20"/>
      <c r="W696" s="20"/>
      <c r="X696" s="20"/>
      <c r="Y696" s="20"/>
      <c r="Z696" s="20"/>
    </row>
    <row r="697">
      <c r="A697" s="320"/>
      <c r="B697" s="164"/>
      <c r="C697" s="320"/>
      <c r="D697" s="164"/>
      <c r="E697" s="320"/>
      <c r="F697" s="164"/>
      <c r="G697" s="320"/>
      <c r="H697" s="164"/>
      <c r="I697" s="320"/>
      <c r="J697" s="164"/>
      <c r="K697" s="320"/>
      <c r="L697" s="164"/>
      <c r="M697" s="320"/>
      <c r="N697" s="164"/>
      <c r="O697" s="320"/>
      <c r="P697" s="164"/>
      <c r="Q697" s="188"/>
      <c r="R697" s="188"/>
      <c r="S697" s="20"/>
      <c r="T697" s="20"/>
      <c r="U697" s="20"/>
      <c r="V697" s="20"/>
      <c r="W697" s="20"/>
      <c r="X697" s="20"/>
      <c r="Y697" s="20"/>
      <c r="Z697" s="20"/>
    </row>
    <row r="698">
      <c r="A698" s="320"/>
      <c r="B698" s="164"/>
      <c r="C698" s="320"/>
      <c r="D698" s="164"/>
      <c r="E698" s="320"/>
      <c r="F698" s="164"/>
      <c r="G698" s="320"/>
      <c r="H698" s="164"/>
      <c r="I698" s="320"/>
      <c r="J698" s="164"/>
      <c r="K698" s="320"/>
      <c r="L698" s="164"/>
      <c r="M698" s="320"/>
      <c r="N698" s="164"/>
      <c r="O698" s="320"/>
      <c r="P698" s="164"/>
      <c r="Q698" s="188"/>
      <c r="R698" s="188"/>
      <c r="S698" s="20"/>
      <c r="T698" s="20"/>
      <c r="U698" s="20"/>
      <c r="V698" s="20"/>
      <c r="W698" s="20"/>
      <c r="X698" s="20"/>
      <c r="Y698" s="20"/>
      <c r="Z698" s="20"/>
    </row>
    <row r="699">
      <c r="A699" s="320"/>
      <c r="B699" s="164"/>
      <c r="C699" s="320"/>
      <c r="D699" s="164"/>
      <c r="E699" s="320"/>
      <c r="F699" s="164"/>
      <c r="G699" s="320"/>
      <c r="H699" s="164"/>
      <c r="I699" s="320"/>
      <c r="J699" s="164"/>
      <c r="K699" s="320"/>
      <c r="L699" s="164"/>
      <c r="M699" s="320"/>
      <c r="N699" s="164"/>
      <c r="O699" s="320"/>
      <c r="P699" s="164"/>
      <c r="Q699" s="188"/>
      <c r="R699" s="188"/>
      <c r="S699" s="20"/>
      <c r="T699" s="20"/>
      <c r="U699" s="20"/>
      <c r="V699" s="20"/>
      <c r="W699" s="20"/>
      <c r="X699" s="20"/>
      <c r="Y699" s="20"/>
      <c r="Z699" s="20"/>
    </row>
    <row r="700">
      <c r="A700" s="320"/>
      <c r="B700" s="164"/>
      <c r="C700" s="320"/>
      <c r="D700" s="164"/>
      <c r="E700" s="320"/>
      <c r="F700" s="164"/>
      <c r="G700" s="320"/>
      <c r="H700" s="164"/>
      <c r="I700" s="320"/>
      <c r="J700" s="164"/>
      <c r="K700" s="320"/>
      <c r="L700" s="164"/>
      <c r="M700" s="320"/>
      <c r="N700" s="164"/>
      <c r="O700" s="320"/>
      <c r="P700" s="164"/>
      <c r="Q700" s="188"/>
      <c r="R700" s="188"/>
      <c r="S700" s="20"/>
      <c r="T700" s="20"/>
      <c r="U700" s="20"/>
      <c r="V700" s="20"/>
      <c r="W700" s="20"/>
      <c r="X700" s="20"/>
      <c r="Y700" s="20"/>
      <c r="Z700" s="20"/>
    </row>
    <row r="701">
      <c r="A701" s="320"/>
      <c r="B701" s="164"/>
      <c r="C701" s="320"/>
      <c r="D701" s="164"/>
      <c r="E701" s="320"/>
      <c r="F701" s="164"/>
      <c r="G701" s="320"/>
      <c r="H701" s="164"/>
      <c r="I701" s="320"/>
      <c r="J701" s="164"/>
      <c r="K701" s="320"/>
      <c r="L701" s="164"/>
      <c r="M701" s="320"/>
      <c r="N701" s="164"/>
      <c r="O701" s="320"/>
      <c r="P701" s="164"/>
      <c r="Q701" s="188"/>
      <c r="R701" s="188"/>
      <c r="S701" s="20"/>
      <c r="T701" s="20"/>
      <c r="U701" s="20"/>
      <c r="V701" s="20"/>
      <c r="W701" s="20"/>
      <c r="X701" s="20"/>
      <c r="Y701" s="20"/>
      <c r="Z701" s="20"/>
    </row>
    <row r="702">
      <c r="A702" s="320"/>
      <c r="B702" s="164"/>
      <c r="C702" s="320"/>
      <c r="D702" s="164"/>
      <c r="E702" s="320"/>
      <c r="F702" s="164"/>
      <c r="G702" s="320"/>
      <c r="H702" s="164"/>
      <c r="I702" s="320"/>
      <c r="J702" s="164"/>
      <c r="K702" s="320"/>
      <c r="L702" s="164"/>
      <c r="M702" s="320"/>
      <c r="N702" s="164"/>
      <c r="O702" s="320"/>
      <c r="P702" s="164"/>
      <c r="Q702" s="188"/>
      <c r="R702" s="188"/>
      <c r="S702" s="20"/>
      <c r="T702" s="20"/>
      <c r="U702" s="20"/>
      <c r="V702" s="20"/>
      <c r="W702" s="20"/>
      <c r="X702" s="20"/>
      <c r="Y702" s="20"/>
      <c r="Z702" s="20"/>
    </row>
    <row r="703">
      <c r="A703" s="320"/>
      <c r="B703" s="164"/>
      <c r="C703" s="320"/>
      <c r="D703" s="164"/>
      <c r="E703" s="320"/>
      <c r="F703" s="164"/>
      <c r="G703" s="320"/>
      <c r="H703" s="164"/>
      <c r="I703" s="320"/>
      <c r="J703" s="164"/>
      <c r="K703" s="320"/>
      <c r="L703" s="164"/>
      <c r="M703" s="320"/>
      <c r="N703" s="164"/>
      <c r="O703" s="320"/>
      <c r="P703" s="164"/>
      <c r="Q703" s="188"/>
      <c r="R703" s="188"/>
      <c r="S703" s="20"/>
      <c r="T703" s="20"/>
      <c r="U703" s="20"/>
      <c r="V703" s="20"/>
      <c r="W703" s="20"/>
      <c r="X703" s="20"/>
      <c r="Y703" s="20"/>
      <c r="Z703" s="20"/>
    </row>
    <row r="704">
      <c r="A704" s="320"/>
      <c r="B704" s="164"/>
      <c r="C704" s="320"/>
      <c r="D704" s="164"/>
      <c r="E704" s="320"/>
      <c r="F704" s="164"/>
      <c r="G704" s="320"/>
      <c r="H704" s="164"/>
      <c r="I704" s="320"/>
      <c r="J704" s="164"/>
      <c r="K704" s="320"/>
      <c r="L704" s="164"/>
      <c r="M704" s="320"/>
      <c r="N704" s="164"/>
      <c r="O704" s="320"/>
      <c r="P704" s="164"/>
      <c r="Q704" s="188"/>
      <c r="R704" s="188"/>
      <c r="S704" s="20"/>
      <c r="T704" s="20"/>
      <c r="U704" s="20"/>
      <c r="V704" s="20"/>
      <c r="W704" s="20"/>
      <c r="X704" s="20"/>
      <c r="Y704" s="20"/>
      <c r="Z704" s="20"/>
    </row>
    <row r="705">
      <c r="A705" s="320"/>
      <c r="B705" s="164"/>
      <c r="C705" s="320"/>
      <c r="D705" s="164"/>
      <c r="E705" s="320"/>
      <c r="F705" s="164"/>
      <c r="G705" s="320"/>
      <c r="H705" s="164"/>
      <c r="I705" s="320"/>
      <c r="J705" s="164"/>
      <c r="K705" s="320"/>
      <c r="L705" s="164"/>
      <c r="M705" s="320"/>
      <c r="N705" s="164"/>
      <c r="O705" s="320"/>
      <c r="P705" s="164"/>
      <c r="Q705" s="188"/>
      <c r="R705" s="188"/>
      <c r="S705" s="20"/>
      <c r="T705" s="20"/>
      <c r="U705" s="20"/>
      <c r="V705" s="20"/>
      <c r="W705" s="20"/>
      <c r="X705" s="20"/>
      <c r="Y705" s="20"/>
      <c r="Z705" s="20"/>
    </row>
    <row r="706">
      <c r="A706" s="320"/>
      <c r="B706" s="164"/>
      <c r="C706" s="320"/>
      <c r="D706" s="164"/>
      <c r="E706" s="320"/>
      <c r="F706" s="164"/>
      <c r="G706" s="320"/>
      <c r="H706" s="164"/>
      <c r="I706" s="320"/>
      <c r="J706" s="164"/>
      <c r="K706" s="320"/>
      <c r="L706" s="164"/>
      <c r="M706" s="320"/>
      <c r="N706" s="164"/>
      <c r="O706" s="320"/>
      <c r="P706" s="164"/>
      <c r="Q706" s="188"/>
      <c r="R706" s="188"/>
      <c r="S706" s="20"/>
      <c r="T706" s="20"/>
      <c r="U706" s="20"/>
      <c r="V706" s="20"/>
      <c r="W706" s="20"/>
      <c r="X706" s="20"/>
      <c r="Y706" s="20"/>
      <c r="Z706" s="20"/>
    </row>
    <row r="707">
      <c r="A707" s="320"/>
      <c r="B707" s="164"/>
      <c r="C707" s="320"/>
      <c r="D707" s="164"/>
      <c r="E707" s="320"/>
      <c r="F707" s="164"/>
      <c r="G707" s="320"/>
      <c r="H707" s="164"/>
      <c r="I707" s="320"/>
      <c r="J707" s="164"/>
      <c r="K707" s="320"/>
      <c r="L707" s="164"/>
      <c r="M707" s="320"/>
      <c r="N707" s="164"/>
      <c r="O707" s="320"/>
      <c r="P707" s="164"/>
      <c r="Q707" s="188"/>
      <c r="R707" s="188"/>
      <c r="S707" s="20"/>
      <c r="T707" s="20"/>
      <c r="U707" s="20"/>
      <c r="V707" s="20"/>
      <c r="W707" s="20"/>
      <c r="X707" s="20"/>
      <c r="Y707" s="20"/>
      <c r="Z707" s="20"/>
    </row>
    <row r="708">
      <c r="A708" s="320"/>
      <c r="B708" s="164"/>
      <c r="C708" s="320"/>
      <c r="D708" s="164"/>
      <c r="E708" s="320"/>
      <c r="F708" s="164"/>
      <c r="G708" s="320"/>
      <c r="H708" s="164"/>
      <c r="I708" s="320"/>
      <c r="J708" s="164"/>
      <c r="K708" s="320"/>
      <c r="L708" s="164"/>
      <c r="M708" s="320"/>
      <c r="N708" s="164"/>
      <c r="O708" s="320"/>
      <c r="P708" s="164"/>
      <c r="Q708" s="188"/>
      <c r="R708" s="188"/>
      <c r="S708" s="20"/>
      <c r="T708" s="20"/>
      <c r="U708" s="20"/>
      <c r="V708" s="20"/>
      <c r="W708" s="20"/>
      <c r="X708" s="20"/>
      <c r="Y708" s="20"/>
      <c r="Z708" s="20"/>
    </row>
    <row r="709">
      <c r="A709" s="320"/>
      <c r="B709" s="164"/>
      <c r="C709" s="320"/>
      <c r="D709" s="164"/>
      <c r="E709" s="320"/>
      <c r="F709" s="164"/>
      <c r="G709" s="320"/>
      <c r="H709" s="164"/>
      <c r="I709" s="320"/>
      <c r="J709" s="164"/>
      <c r="K709" s="320"/>
      <c r="L709" s="164"/>
      <c r="M709" s="320"/>
      <c r="N709" s="164"/>
      <c r="O709" s="320"/>
      <c r="P709" s="164"/>
      <c r="Q709" s="188"/>
      <c r="R709" s="188"/>
      <c r="S709" s="20"/>
      <c r="T709" s="20"/>
      <c r="U709" s="20"/>
      <c r="V709" s="20"/>
      <c r="W709" s="20"/>
      <c r="X709" s="20"/>
      <c r="Y709" s="20"/>
      <c r="Z709" s="20"/>
    </row>
    <row r="710">
      <c r="A710" s="320"/>
      <c r="B710" s="164"/>
      <c r="C710" s="320"/>
      <c r="D710" s="164"/>
      <c r="E710" s="320"/>
      <c r="F710" s="164"/>
      <c r="G710" s="320"/>
      <c r="H710" s="164"/>
      <c r="I710" s="320"/>
      <c r="J710" s="164"/>
      <c r="K710" s="320"/>
      <c r="L710" s="164"/>
      <c r="M710" s="320"/>
      <c r="N710" s="164"/>
      <c r="O710" s="320"/>
      <c r="P710" s="164"/>
      <c r="Q710" s="188"/>
      <c r="R710" s="188"/>
      <c r="S710" s="20"/>
      <c r="T710" s="20"/>
      <c r="U710" s="20"/>
      <c r="V710" s="20"/>
      <c r="W710" s="20"/>
      <c r="X710" s="20"/>
      <c r="Y710" s="20"/>
      <c r="Z710" s="20"/>
    </row>
    <row r="711">
      <c r="A711" s="320"/>
      <c r="B711" s="164"/>
      <c r="C711" s="320"/>
      <c r="D711" s="164"/>
      <c r="E711" s="320"/>
      <c r="F711" s="164"/>
      <c r="G711" s="320"/>
      <c r="H711" s="164"/>
      <c r="I711" s="320"/>
      <c r="J711" s="164"/>
      <c r="K711" s="320"/>
      <c r="L711" s="164"/>
      <c r="M711" s="320"/>
      <c r="N711" s="164"/>
      <c r="O711" s="320"/>
      <c r="P711" s="164"/>
      <c r="Q711" s="188"/>
      <c r="R711" s="188"/>
      <c r="S711" s="20"/>
      <c r="T711" s="20"/>
      <c r="U711" s="20"/>
      <c r="V711" s="20"/>
      <c r="W711" s="20"/>
      <c r="X711" s="20"/>
      <c r="Y711" s="20"/>
      <c r="Z711" s="20"/>
    </row>
    <row r="712">
      <c r="A712" s="320"/>
      <c r="B712" s="164"/>
      <c r="C712" s="320"/>
      <c r="D712" s="164"/>
      <c r="E712" s="320"/>
      <c r="F712" s="164"/>
      <c r="G712" s="320"/>
      <c r="H712" s="164"/>
      <c r="I712" s="320"/>
      <c r="J712" s="164"/>
      <c r="K712" s="320"/>
      <c r="L712" s="164"/>
      <c r="M712" s="320"/>
      <c r="N712" s="164"/>
      <c r="O712" s="320"/>
      <c r="P712" s="164"/>
      <c r="Q712" s="188"/>
      <c r="R712" s="188"/>
      <c r="S712" s="20"/>
      <c r="T712" s="20"/>
      <c r="U712" s="20"/>
      <c r="V712" s="20"/>
      <c r="W712" s="20"/>
      <c r="X712" s="20"/>
      <c r="Y712" s="20"/>
      <c r="Z712" s="20"/>
    </row>
    <row r="713">
      <c r="A713" s="320"/>
      <c r="B713" s="164"/>
      <c r="C713" s="320"/>
      <c r="D713" s="164"/>
      <c r="E713" s="320"/>
      <c r="F713" s="164"/>
      <c r="G713" s="320"/>
      <c r="H713" s="164"/>
      <c r="I713" s="320"/>
      <c r="J713" s="164"/>
      <c r="K713" s="320"/>
      <c r="L713" s="164"/>
      <c r="M713" s="320"/>
      <c r="N713" s="164"/>
      <c r="O713" s="320"/>
      <c r="P713" s="164"/>
      <c r="Q713" s="188"/>
      <c r="R713" s="188"/>
      <c r="S713" s="20"/>
      <c r="T713" s="20"/>
      <c r="U713" s="20"/>
      <c r="V713" s="20"/>
      <c r="W713" s="20"/>
      <c r="X713" s="20"/>
      <c r="Y713" s="20"/>
      <c r="Z713" s="20"/>
    </row>
    <row r="714">
      <c r="A714" s="320"/>
      <c r="B714" s="164"/>
      <c r="C714" s="320"/>
      <c r="D714" s="164"/>
      <c r="E714" s="320"/>
      <c r="F714" s="164"/>
      <c r="G714" s="320"/>
      <c r="H714" s="164"/>
      <c r="I714" s="320"/>
      <c r="J714" s="164"/>
      <c r="K714" s="320"/>
      <c r="L714" s="164"/>
      <c r="M714" s="320"/>
      <c r="N714" s="164"/>
      <c r="O714" s="320"/>
      <c r="P714" s="164"/>
      <c r="Q714" s="188"/>
      <c r="R714" s="188"/>
      <c r="S714" s="20"/>
      <c r="T714" s="20"/>
      <c r="U714" s="20"/>
      <c r="V714" s="20"/>
      <c r="W714" s="20"/>
      <c r="X714" s="20"/>
      <c r="Y714" s="20"/>
      <c r="Z714" s="20"/>
    </row>
    <row r="715">
      <c r="A715" s="320"/>
      <c r="B715" s="164"/>
      <c r="C715" s="320"/>
      <c r="D715" s="164"/>
      <c r="E715" s="320"/>
      <c r="F715" s="164"/>
      <c r="G715" s="320"/>
      <c r="H715" s="164"/>
      <c r="I715" s="320"/>
      <c r="J715" s="164"/>
      <c r="K715" s="320"/>
      <c r="L715" s="164"/>
      <c r="M715" s="320"/>
      <c r="N715" s="164"/>
      <c r="O715" s="320"/>
      <c r="P715" s="164"/>
      <c r="Q715" s="188"/>
      <c r="R715" s="188"/>
      <c r="S715" s="20"/>
      <c r="T715" s="20"/>
      <c r="U715" s="20"/>
      <c r="V715" s="20"/>
      <c r="W715" s="20"/>
      <c r="X715" s="20"/>
      <c r="Y715" s="20"/>
      <c r="Z715" s="20"/>
    </row>
    <row r="716">
      <c r="A716" s="320"/>
      <c r="B716" s="164"/>
      <c r="C716" s="320"/>
      <c r="D716" s="164"/>
      <c r="E716" s="320"/>
      <c r="F716" s="164"/>
      <c r="G716" s="320"/>
      <c r="H716" s="164"/>
      <c r="I716" s="320"/>
      <c r="J716" s="164"/>
      <c r="K716" s="320"/>
      <c r="L716" s="164"/>
      <c r="M716" s="320"/>
      <c r="N716" s="164"/>
      <c r="O716" s="320"/>
      <c r="P716" s="164"/>
      <c r="Q716" s="188"/>
      <c r="R716" s="188"/>
      <c r="S716" s="20"/>
      <c r="T716" s="20"/>
      <c r="U716" s="20"/>
      <c r="V716" s="20"/>
      <c r="W716" s="20"/>
      <c r="X716" s="20"/>
      <c r="Y716" s="20"/>
      <c r="Z716" s="20"/>
    </row>
    <row r="717">
      <c r="A717" s="320"/>
      <c r="B717" s="164"/>
      <c r="C717" s="320"/>
      <c r="D717" s="164"/>
      <c r="E717" s="320"/>
      <c r="F717" s="164"/>
      <c r="G717" s="320"/>
      <c r="H717" s="164"/>
      <c r="I717" s="320"/>
      <c r="J717" s="164"/>
      <c r="K717" s="320"/>
      <c r="L717" s="164"/>
      <c r="M717" s="320"/>
      <c r="N717" s="164"/>
      <c r="O717" s="320"/>
      <c r="P717" s="164"/>
      <c r="Q717" s="188"/>
      <c r="R717" s="188"/>
      <c r="S717" s="20"/>
      <c r="T717" s="20"/>
      <c r="U717" s="20"/>
      <c r="V717" s="20"/>
      <c r="W717" s="20"/>
      <c r="X717" s="20"/>
      <c r="Y717" s="20"/>
      <c r="Z717" s="20"/>
    </row>
    <row r="718">
      <c r="A718" s="320"/>
      <c r="B718" s="164"/>
      <c r="C718" s="320"/>
      <c r="D718" s="164"/>
      <c r="E718" s="320"/>
      <c r="F718" s="164"/>
      <c r="G718" s="320"/>
      <c r="H718" s="164"/>
      <c r="I718" s="320"/>
      <c r="J718" s="164"/>
      <c r="K718" s="320"/>
      <c r="L718" s="164"/>
      <c r="M718" s="320"/>
      <c r="N718" s="164"/>
      <c r="O718" s="320"/>
      <c r="P718" s="164"/>
      <c r="Q718" s="188"/>
      <c r="R718" s="188"/>
      <c r="S718" s="20"/>
      <c r="T718" s="20"/>
      <c r="U718" s="20"/>
      <c r="V718" s="20"/>
      <c r="W718" s="20"/>
      <c r="X718" s="20"/>
      <c r="Y718" s="20"/>
      <c r="Z718" s="20"/>
    </row>
    <row r="719">
      <c r="A719" s="320"/>
      <c r="B719" s="164"/>
      <c r="C719" s="320"/>
      <c r="D719" s="164"/>
      <c r="E719" s="320"/>
      <c r="F719" s="164"/>
      <c r="G719" s="320"/>
      <c r="H719" s="164"/>
      <c r="I719" s="320"/>
      <c r="J719" s="164"/>
      <c r="K719" s="320"/>
      <c r="L719" s="164"/>
      <c r="M719" s="320"/>
      <c r="N719" s="164"/>
      <c r="O719" s="320"/>
      <c r="P719" s="164"/>
      <c r="Q719" s="188"/>
      <c r="R719" s="188"/>
      <c r="S719" s="20"/>
      <c r="T719" s="20"/>
      <c r="U719" s="20"/>
      <c r="V719" s="20"/>
      <c r="W719" s="20"/>
      <c r="X719" s="20"/>
      <c r="Y719" s="20"/>
      <c r="Z719" s="20"/>
    </row>
    <row r="720">
      <c r="A720" s="320"/>
      <c r="B720" s="164"/>
      <c r="C720" s="320"/>
      <c r="D720" s="164"/>
      <c r="E720" s="320"/>
      <c r="F720" s="164"/>
      <c r="G720" s="320"/>
      <c r="H720" s="164"/>
      <c r="I720" s="320"/>
      <c r="J720" s="164"/>
      <c r="K720" s="320"/>
      <c r="L720" s="164"/>
      <c r="M720" s="320"/>
      <c r="N720" s="164"/>
      <c r="O720" s="320"/>
      <c r="P720" s="164"/>
      <c r="Q720" s="188"/>
      <c r="R720" s="188"/>
      <c r="S720" s="20"/>
      <c r="T720" s="20"/>
      <c r="U720" s="20"/>
      <c r="V720" s="20"/>
      <c r="W720" s="20"/>
      <c r="X720" s="20"/>
      <c r="Y720" s="20"/>
      <c r="Z720" s="20"/>
    </row>
    <row r="721">
      <c r="A721" s="320"/>
      <c r="B721" s="164"/>
      <c r="C721" s="320"/>
      <c r="D721" s="164"/>
      <c r="E721" s="320"/>
      <c r="F721" s="164"/>
      <c r="G721" s="320"/>
      <c r="H721" s="164"/>
      <c r="I721" s="320"/>
      <c r="J721" s="164"/>
      <c r="K721" s="320"/>
      <c r="L721" s="164"/>
      <c r="M721" s="320"/>
      <c r="N721" s="164"/>
      <c r="O721" s="320"/>
      <c r="P721" s="164"/>
      <c r="Q721" s="188"/>
      <c r="R721" s="188"/>
      <c r="S721" s="20"/>
      <c r="T721" s="20"/>
      <c r="U721" s="20"/>
      <c r="V721" s="20"/>
      <c r="W721" s="20"/>
      <c r="X721" s="20"/>
      <c r="Y721" s="20"/>
      <c r="Z721" s="20"/>
    </row>
    <row r="722">
      <c r="A722" s="320"/>
      <c r="B722" s="164"/>
      <c r="C722" s="320"/>
      <c r="D722" s="164"/>
      <c r="E722" s="320"/>
      <c r="F722" s="164"/>
      <c r="G722" s="320"/>
      <c r="H722" s="164"/>
      <c r="I722" s="320"/>
      <c r="J722" s="164"/>
      <c r="K722" s="320"/>
      <c r="L722" s="164"/>
      <c r="M722" s="320"/>
      <c r="N722" s="164"/>
      <c r="O722" s="320"/>
      <c r="P722" s="164"/>
      <c r="Q722" s="188"/>
      <c r="R722" s="188"/>
      <c r="S722" s="20"/>
      <c r="T722" s="20"/>
      <c r="U722" s="20"/>
      <c r="V722" s="20"/>
      <c r="W722" s="20"/>
      <c r="X722" s="20"/>
      <c r="Y722" s="20"/>
      <c r="Z722" s="20"/>
    </row>
    <row r="723">
      <c r="A723" s="320"/>
      <c r="B723" s="164"/>
      <c r="C723" s="320"/>
      <c r="D723" s="164"/>
      <c r="E723" s="320"/>
      <c r="F723" s="164"/>
      <c r="G723" s="320"/>
      <c r="H723" s="164"/>
      <c r="I723" s="320"/>
      <c r="J723" s="164"/>
      <c r="K723" s="320"/>
      <c r="L723" s="164"/>
      <c r="M723" s="320"/>
      <c r="N723" s="164"/>
      <c r="O723" s="320"/>
      <c r="P723" s="164"/>
      <c r="Q723" s="188"/>
      <c r="R723" s="188"/>
      <c r="S723" s="20"/>
      <c r="T723" s="20"/>
      <c r="U723" s="20"/>
      <c r="V723" s="20"/>
      <c r="W723" s="20"/>
      <c r="X723" s="20"/>
      <c r="Y723" s="20"/>
      <c r="Z723" s="20"/>
    </row>
    <row r="724">
      <c r="A724" s="320"/>
      <c r="B724" s="164"/>
      <c r="C724" s="320"/>
      <c r="D724" s="164"/>
      <c r="E724" s="320"/>
      <c r="F724" s="164"/>
      <c r="G724" s="320"/>
      <c r="H724" s="164"/>
      <c r="I724" s="320"/>
      <c r="J724" s="164"/>
      <c r="K724" s="320"/>
      <c r="L724" s="164"/>
      <c r="M724" s="320"/>
      <c r="N724" s="164"/>
      <c r="O724" s="320"/>
      <c r="P724" s="164"/>
      <c r="Q724" s="188"/>
      <c r="R724" s="188"/>
      <c r="S724" s="20"/>
      <c r="T724" s="20"/>
      <c r="U724" s="20"/>
      <c r="V724" s="20"/>
      <c r="W724" s="20"/>
      <c r="X724" s="20"/>
      <c r="Y724" s="20"/>
      <c r="Z724" s="20"/>
    </row>
    <row r="725">
      <c r="A725" s="320"/>
      <c r="B725" s="164"/>
      <c r="C725" s="320"/>
      <c r="D725" s="164"/>
      <c r="E725" s="320"/>
      <c r="F725" s="164"/>
      <c r="G725" s="320"/>
      <c r="H725" s="164"/>
      <c r="I725" s="320"/>
      <c r="J725" s="164"/>
      <c r="K725" s="320"/>
      <c r="L725" s="164"/>
      <c r="M725" s="320"/>
      <c r="N725" s="164"/>
      <c r="O725" s="320"/>
      <c r="P725" s="164"/>
      <c r="Q725" s="188"/>
      <c r="R725" s="188"/>
      <c r="S725" s="20"/>
      <c r="T725" s="20"/>
      <c r="U725" s="20"/>
      <c r="V725" s="20"/>
      <c r="W725" s="20"/>
      <c r="X725" s="20"/>
      <c r="Y725" s="20"/>
      <c r="Z725" s="20"/>
    </row>
    <row r="726">
      <c r="A726" s="320"/>
      <c r="B726" s="164"/>
      <c r="C726" s="320"/>
      <c r="D726" s="164"/>
      <c r="E726" s="320"/>
      <c r="F726" s="164"/>
      <c r="G726" s="320"/>
      <c r="H726" s="164"/>
      <c r="I726" s="320"/>
      <c r="J726" s="164"/>
      <c r="K726" s="320"/>
      <c r="L726" s="164"/>
      <c r="M726" s="320"/>
      <c r="N726" s="164"/>
      <c r="O726" s="320"/>
      <c r="P726" s="164"/>
      <c r="Q726" s="188"/>
      <c r="R726" s="188"/>
      <c r="S726" s="20"/>
      <c r="T726" s="20"/>
      <c r="U726" s="20"/>
      <c r="V726" s="20"/>
      <c r="W726" s="20"/>
      <c r="X726" s="20"/>
      <c r="Y726" s="20"/>
      <c r="Z726" s="20"/>
    </row>
    <row r="727">
      <c r="A727" s="320"/>
      <c r="B727" s="164"/>
      <c r="C727" s="320"/>
      <c r="D727" s="164"/>
      <c r="E727" s="320"/>
      <c r="F727" s="164"/>
      <c r="G727" s="320"/>
      <c r="H727" s="164"/>
      <c r="I727" s="320"/>
      <c r="J727" s="164"/>
      <c r="K727" s="320"/>
      <c r="L727" s="164"/>
      <c r="M727" s="320"/>
      <c r="N727" s="164"/>
      <c r="O727" s="320"/>
      <c r="P727" s="164"/>
      <c r="Q727" s="188"/>
      <c r="R727" s="188"/>
      <c r="S727" s="20"/>
      <c r="T727" s="20"/>
      <c r="U727" s="20"/>
      <c r="V727" s="20"/>
      <c r="W727" s="20"/>
      <c r="X727" s="20"/>
      <c r="Y727" s="20"/>
      <c r="Z727" s="20"/>
    </row>
    <row r="728">
      <c r="A728" s="320"/>
      <c r="B728" s="164"/>
      <c r="C728" s="320"/>
      <c r="D728" s="164"/>
      <c r="E728" s="320"/>
      <c r="F728" s="164"/>
      <c r="G728" s="320"/>
      <c r="H728" s="164"/>
      <c r="I728" s="320"/>
      <c r="J728" s="164"/>
      <c r="K728" s="320"/>
      <c r="L728" s="164"/>
      <c r="M728" s="320"/>
      <c r="N728" s="164"/>
      <c r="O728" s="320"/>
      <c r="P728" s="164"/>
      <c r="Q728" s="188"/>
      <c r="R728" s="188"/>
      <c r="S728" s="20"/>
      <c r="T728" s="20"/>
      <c r="U728" s="20"/>
      <c r="V728" s="20"/>
      <c r="W728" s="20"/>
      <c r="X728" s="20"/>
      <c r="Y728" s="20"/>
      <c r="Z728" s="20"/>
    </row>
    <row r="729">
      <c r="A729" s="320"/>
      <c r="B729" s="164"/>
      <c r="C729" s="320"/>
      <c r="D729" s="164"/>
      <c r="E729" s="320"/>
      <c r="F729" s="164"/>
      <c r="G729" s="320"/>
      <c r="H729" s="164"/>
      <c r="I729" s="320"/>
      <c r="J729" s="164"/>
      <c r="K729" s="320"/>
      <c r="L729" s="164"/>
      <c r="M729" s="320"/>
      <c r="N729" s="164"/>
      <c r="O729" s="320"/>
      <c r="P729" s="164"/>
      <c r="Q729" s="188"/>
      <c r="R729" s="188"/>
      <c r="S729" s="20"/>
      <c r="T729" s="20"/>
      <c r="U729" s="20"/>
      <c r="V729" s="20"/>
      <c r="W729" s="20"/>
      <c r="X729" s="20"/>
      <c r="Y729" s="20"/>
      <c r="Z729" s="20"/>
    </row>
    <row r="730">
      <c r="A730" s="320"/>
      <c r="B730" s="164"/>
      <c r="C730" s="320"/>
      <c r="D730" s="164"/>
      <c r="E730" s="320"/>
      <c r="F730" s="164"/>
      <c r="G730" s="320"/>
      <c r="H730" s="164"/>
      <c r="I730" s="320"/>
      <c r="J730" s="164"/>
      <c r="K730" s="320"/>
      <c r="L730" s="164"/>
      <c r="M730" s="320"/>
      <c r="N730" s="164"/>
      <c r="O730" s="320"/>
      <c r="P730" s="164"/>
      <c r="Q730" s="188"/>
      <c r="R730" s="188"/>
      <c r="S730" s="20"/>
      <c r="T730" s="20"/>
      <c r="U730" s="20"/>
      <c r="V730" s="20"/>
      <c r="W730" s="20"/>
      <c r="X730" s="20"/>
      <c r="Y730" s="20"/>
      <c r="Z730" s="20"/>
    </row>
    <row r="731">
      <c r="A731" s="320"/>
      <c r="B731" s="164"/>
      <c r="C731" s="320"/>
      <c r="D731" s="164"/>
      <c r="E731" s="320"/>
      <c r="F731" s="164"/>
      <c r="G731" s="320"/>
      <c r="H731" s="164"/>
      <c r="I731" s="320"/>
      <c r="J731" s="164"/>
      <c r="K731" s="320"/>
      <c r="L731" s="164"/>
      <c r="M731" s="320"/>
      <c r="N731" s="164"/>
      <c r="O731" s="320"/>
      <c r="P731" s="164"/>
      <c r="Q731" s="188"/>
      <c r="R731" s="188"/>
      <c r="S731" s="20"/>
      <c r="T731" s="20"/>
      <c r="U731" s="20"/>
      <c r="V731" s="20"/>
      <c r="W731" s="20"/>
      <c r="X731" s="20"/>
      <c r="Y731" s="20"/>
      <c r="Z731" s="20"/>
    </row>
    <row r="732">
      <c r="A732" s="320"/>
      <c r="B732" s="164"/>
      <c r="C732" s="320"/>
      <c r="D732" s="164"/>
      <c r="E732" s="320"/>
      <c r="F732" s="164"/>
      <c r="G732" s="320"/>
      <c r="H732" s="164"/>
      <c r="I732" s="320"/>
      <c r="J732" s="164"/>
      <c r="K732" s="320"/>
      <c r="L732" s="164"/>
      <c r="M732" s="320"/>
      <c r="N732" s="164"/>
      <c r="O732" s="320"/>
      <c r="P732" s="164"/>
      <c r="Q732" s="188"/>
      <c r="R732" s="188"/>
      <c r="S732" s="20"/>
      <c r="T732" s="20"/>
      <c r="U732" s="20"/>
      <c r="V732" s="20"/>
      <c r="W732" s="20"/>
      <c r="X732" s="20"/>
      <c r="Y732" s="20"/>
      <c r="Z732" s="20"/>
    </row>
    <row r="733">
      <c r="A733" s="320"/>
      <c r="B733" s="164"/>
      <c r="C733" s="320"/>
      <c r="D733" s="164"/>
      <c r="E733" s="320"/>
      <c r="F733" s="164"/>
      <c r="G733" s="320"/>
      <c r="H733" s="164"/>
      <c r="I733" s="320"/>
      <c r="J733" s="164"/>
      <c r="K733" s="320"/>
      <c r="L733" s="164"/>
      <c r="M733" s="320"/>
      <c r="N733" s="164"/>
      <c r="O733" s="320"/>
      <c r="P733" s="164"/>
      <c r="Q733" s="188"/>
      <c r="R733" s="188"/>
      <c r="S733" s="20"/>
      <c r="T733" s="20"/>
      <c r="U733" s="20"/>
      <c r="V733" s="20"/>
      <c r="W733" s="20"/>
      <c r="X733" s="20"/>
      <c r="Y733" s="20"/>
      <c r="Z733" s="20"/>
    </row>
    <row r="734">
      <c r="A734" s="320"/>
      <c r="B734" s="164"/>
      <c r="C734" s="320"/>
      <c r="D734" s="164"/>
      <c r="E734" s="320"/>
      <c r="F734" s="164"/>
      <c r="G734" s="320"/>
      <c r="H734" s="164"/>
      <c r="I734" s="320"/>
      <c r="J734" s="164"/>
      <c r="K734" s="320"/>
      <c r="L734" s="164"/>
      <c r="M734" s="320"/>
      <c r="N734" s="164"/>
      <c r="O734" s="320"/>
      <c r="P734" s="164"/>
      <c r="Q734" s="188"/>
      <c r="R734" s="188"/>
      <c r="S734" s="20"/>
      <c r="T734" s="20"/>
      <c r="U734" s="20"/>
      <c r="V734" s="20"/>
      <c r="W734" s="20"/>
      <c r="X734" s="20"/>
      <c r="Y734" s="20"/>
      <c r="Z734" s="20"/>
    </row>
    <row r="735">
      <c r="A735" s="320"/>
      <c r="B735" s="164"/>
      <c r="C735" s="320"/>
      <c r="D735" s="164"/>
      <c r="E735" s="320"/>
      <c r="F735" s="164"/>
      <c r="G735" s="320"/>
      <c r="H735" s="164"/>
      <c r="I735" s="320"/>
      <c r="J735" s="164"/>
      <c r="K735" s="320"/>
      <c r="L735" s="164"/>
      <c r="M735" s="320"/>
      <c r="N735" s="164"/>
      <c r="O735" s="320"/>
      <c r="P735" s="164"/>
      <c r="Q735" s="188"/>
      <c r="R735" s="188"/>
      <c r="S735" s="20"/>
      <c r="T735" s="20"/>
      <c r="U735" s="20"/>
      <c r="V735" s="20"/>
      <c r="W735" s="20"/>
      <c r="X735" s="20"/>
      <c r="Y735" s="20"/>
      <c r="Z735" s="20"/>
    </row>
    <row r="736">
      <c r="A736" s="320"/>
      <c r="B736" s="164"/>
      <c r="C736" s="320"/>
      <c r="D736" s="164"/>
      <c r="E736" s="320"/>
      <c r="F736" s="164"/>
      <c r="G736" s="320"/>
      <c r="H736" s="164"/>
      <c r="I736" s="320"/>
      <c r="J736" s="164"/>
      <c r="K736" s="320"/>
      <c r="L736" s="164"/>
      <c r="M736" s="320"/>
      <c r="N736" s="164"/>
      <c r="O736" s="320"/>
      <c r="P736" s="164"/>
      <c r="Q736" s="188"/>
      <c r="R736" s="188"/>
      <c r="S736" s="20"/>
      <c r="T736" s="20"/>
      <c r="U736" s="20"/>
      <c r="V736" s="20"/>
      <c r="W736" s="20"/>
      <c r="X736" s="20"/>
      <c r="Y736" s="20"/>
      <c r="Z736" s="20"/>
    </row>
    <row r="737">
      <c r="A737" s="320"/>
      <c r="B737" s="164"/>
      <c r="C737" s="320"/>
      <c r="D737" s="164"/>
      <c r="E737" s="320"/>
      <c r="F737" s="164"/>
      <c r="G737" s="320"/>
      <c r="H737" s="164"/>
      <c r="I737" s="320"/>
      <c r="J737" s="164"/>
      <c r="K737" s="320"/>
      <c r="L737" s="164"/>
      <c r="M737" s="320"/>
      <c r="N737" s="164"/>
      <c r="O737" s="320"/>
      <c r="P737" s="164"/>
      <c r="Q737" s="188"/>
      <c r="R737" s="188"/>
      <c r="S737" s="20"/>
      <c r="T737" s="20"/>
      <c r="U737" s="20"/>
      <c r="V737" s="20"/>
      <c r="W737" s="20"/>
      <c r="X737" s="20"/>
      <c r="Y737" s="20"/>
      <c r="Z737" s="20"/>
    </row>
    <row r="738">
      <c r="A738" s="320"/>
      <c r="B738" s="164"/>
      <c r="C738" s="320"/>
      <c r="D738" s="164"/>
      <c r="E738" s="320"/>
      <c r="F738" s="164"/>
      <c r="G738" s="320"/>
      <c r="H738" s="164"/>
      <c r="I738" s="320"/>
      <c r="J738" s="164"/>
      <c r="K738" s="320"/>
      <c r="L738" s="164"/>
      <c r="M738" s="320"/>
      <c r="N738" s="164"/>
      <c r="O738" s="320"/>
      <c r="P738" s="164"/>
      <c r="Q738" s="188"/>
      <c r="R738" s="188"/>
      <c r="S738" s="20"/>
      <c r="T738" s="20"/>
      <c r="U738" s="20"/>
      <c r="V738" s="20"/>
      <c r="W738" s="20"/>
      <c r="X738" s="20"/>
      <c r="Y738" s="20"/>
      <c r="Z738" s="20"/>
    </row>
    <row r="739">
      <c r="A739" s="320"/>
      <c r="B739" s="164"/>
      <c r="C739" s="320"/>
      <c r="D739" s="164"/>
      <c r="E739" s="320"/>
      <c r="F739" s="164"/>
      <c r="G739" s="320"/>
      <c r="H739" s="164"/>
      <c r="I739" s="320"/>
      <c r="J739" s="164"/>
      <c r="K739" s="320"/>
      <c r="L739" s="164"/>
      <c r="M739" s="320"/>
      <c r="N739" s="164"/>
      <c r="O739" s="320"/>
      <c r="P739" s="164"/>
      <c r="Q739" s="188"/>
      <c r="R739" s="188"/>
      <c r="S739" s="20"/>
      <c r="T739" s="20"/>
      <c r="U739" s="20"/>
      <c r="V739" s="20"/>
      <c r="W739" s="20"/>
      <c r="X739" s="20"/>
      <c r="Y739" s="20"/>
      <c r="Z739" s="20"/>
    </row>
    <row r="740">
      <c r="A740" s="320"/>
      <c r="B740" s="164"/>
      <c r="C740" s="320"/>
      <c r="D740" s="164"/>
      <c r="E740" s="320"/>
      <c r="F740" s="164"/>
      <c r="G740" s="320"/>
      <c r="H740" s="164"/>
      <c r="I740" s="320"/>
      <c r="J740" s="164"/>
      <c r="K740" s="320"/>
      <c r="L740" s="164"/>
      <c r="M740" s="320"/>
      <c r="N740" s="164"/>
      <c r="O740" s="320"/>
      <c r="P740" s="164"/>
      <c r="Q740" s="188"/>
      <c r="R740" s="188"/>
      <c r="S740" s="20"/>
      <c r="T740" s="20"/>
      <c r="U740" s="20"/>
      <c r="V740" s="20"/>
      <c r="W740" s="20"/>
      <c r="X740" s="20"/>
      <c r="Y740" s="20"/>
      <c r="Z740" s="20"/>
    </row>
    <row r="741">
      <c r="A741" s="320"/>
      <c r="B741" s="164"/>
      <c r="C741" s="320"/>
      <c r="D741" s="164"/>
      <c r="E741" s="320"/>
      <c r="F741" s="164"/>
      <c r="G741" s="320"/>
      <c r="H741" s="164"/>
      <c r="I741" s="320"/>
      <c r="J741" s="164"/>
      <c r="K741" s="320"/>
      <c r="L741" s="164"/>
      <c r="M741" s="320"/>
      <c r="N741" s="164"/>
      <c r="O741" s="320"/>
      <c r="P741" s="164"/>
      <c r="Q741" s="188"/>
      <c r="R741" s="188"/>
      <c r="S741" s="20"/>
      <c r="T741" s="20"/>
      <c r="U741" s="20"/>
      <c r="V741" s="20"/>
      <c r="W741" s="20"/>
      <c r="X741" s="20"/>
      <c r="Y741" s="20"/>
      <c r="Z741" s="20"/>
    </row>
    <row r="742">
      <c r="A742" s="320"/>
      <c r="B742" s="164"/>
      <c r="C742" s="320"/>
      <c r="D742" s="164"/>
      <c r="E742" s="320"/>
      <c r="F742" s="164"/>
      <c r="G742" s="320"/>
      <c r="H742" s="164"/>
      <c r="I742" s="320"/>
      <c r="J742" s="164"/>
      <c r="K742" s="320"/>
      <c r="L742" s="164"/>
      <c r="M742" s="320"/>
      <c r="N742" s="164"/>
      <c r="O742" s="320"/>
      <c r="P742" s="164"/>
      <c r="Q742" s="188"/>
      <c r="R742" s="188"/>
      <c r="S742" s="20"/>
      <c r="T742" s="20"/>
      <c r="U742" s="20"/>
      <c r="V742" s="20"/>
      <c r="W742" s="20"/>
      <c r="X742" s="20"/>
      <c r="Y742" s="20"/>
      <c r="Z742" s="20"/>
    </row>
    <row r="743">
      <c r="A743" s="320"/>
      <c r="B743" s="164"/>
      <c r="C743" s="320"/>
      <c r="D743" s="164"/>
      <c r="E743" s="320"/>
      <c r="F743" s="164"/>
      <c r="G743" s="320"/>
      <c r="H743" s="164"/>
      <c r="I743" s="320"/>
      <c r="J743" s="164"/>
      <c r="K743" s="320"/>
      <c r="L743" s="164"/>
      <c r="M743" s="320"/>
      <c r="N743" s="164"/>
      <c r="O743" s="320"/>
      <c r="P743" s="164"/>
      <c r="Q743" s="188"/>
      <c r="R743" s="188"/>
      <c r="S743" s="20"/>
      <c r="T743" s="20"/>
      <c r="U743" s="20"/>
      <c r="V743" s="20"/>
      <c r="W743" s="20"/>
      <c r="X743" s="20"/>
      <c r="Y743" s="20"/>
      <c r="Z743" s="20"/>
    </row>
    <row r="744">
      <c r="A744" s="320"/>
      <c r="B744" s="164"/>
      <c r="C744" s="320"/>
      <c r="D744" s="164"/>
      <c r="E744" s="320"/>
      <c r="F744" s="164"/>
      <c r="G744" s="320"/>
      <c r="H744" s="164"/>
      <c r="I744" s="320"/>
      <c r="J744" s="164"/>
      <c r="K744" s="320"/>
      <c r="L744" s="164"/>
      <c r="M744" s="320"/>
      <c r="N744" s="164"/>
      <c r="O744" s="320"/>
      <c r="P744" s="164"/>
      <c r="Q744" s="188"/>
      <c r="R744" s="188"/>
      <c r="S744" s="20"/>
      <c r="T744" s="20"/>
      <c r="U744" s="20"/>
      <c r="V744" s="20"/>
      <c r="W744" s="20"/>
      <c r="X744" s="20"/>
      <c r="Y744" s="20"/>
      <c r="Z744" s="20"/>
    </row>
    <row r="745">
      <c r="A745" s="320"/>
      <c r="B745" s="164"/>
      <c r="C745" s="320"/>
      <c r="D745" s="164"/>
      <c r="E745" s="320"/>
      <c r="F745" s="164"/>
      <c r="G745" s="320"/>
      <c r="H745" s="164"/>
      <c r="I745" s="320"/>
      <c r="J745" s="164"/>
      <c r="K745" s="320"/>
      <c r="L745" s="164"/>
      <c r="M745" s="320"/>
      <c r="N745" s="164"/>
      <c r="O745" s="320"/>
      <c r="P745" s="164"/>
      <c r="Q745" s="188"/>
      <c r="R745" s="188"/>
      <c r="S745" s="20"/>
      <c r="T745" s="20"/>
      <c r="U745" s="20"/>
      <c r="V745" s="20"/>
      <c r="W745" s="20"/>
      <c r="X745" s="20"/>
      <c r="Y745" s="20"/>
      <c r="Z745" s="20"/>
    </row>
    <row r="746">
      <c r="A746" s="320"/>
      <c r="B746" s="164"/>
      <c r="C746" s="320"/>
      <c r="D746" s="164"/>
      <c r="E746" s="320"/>
      <c r="F746" s="164"/>
      <c r="G746" s="320"/>
      <c r="H746" s="164"/>
      <c r="I746" s="320"/>
      <c r="J746" s="164"/>
      <c r="K746" s="320"/>
      <c r="L746" s="164"/>
      <c r="M746" s="320"/>
      <c r="N746" s="164"/>
      <c r="O746" s="320"/>
      <c r="P746" s="164"/>
      <c r="Q746" s="188"/>
      <c r="R746" s="188"/>
      <c r="S746" s="20"/>
      <c r="T746" s="20"/>
      <c r="U746" s="20"/>
      <c r="V746" s="20"/>
      <c r="W746" s="20"/>
      <c r="X746" s="20"/>
      <c r="Y746" s="20"/>
      <c r="Z746" s="20"/>
    </row>
    <row r="747">
      <c r="A747" s="320"/>
      <c r="B747" s="164"/>
      <c r="C747" s="320"/>
      <c r="D747" s="164"/>
      <c r="E747" s="320"/>
      <c r="F747" s="164"/>
      <c r="G747" s="320"/>
      <c r="H747" s="164"/>
      <c r="I747" s="320"/>
      <c r="J747" s="164"/>
      <c r="K747" s="320"/>
      <c r="L747" s="164"/>
      <c r="M747" s="320"/>
      <c r="N747" s="164"/>
      <c r="O747" s="320"/>
      <c r="P747" s="164"/>
      <c r="Q747" s="188"/>
      <c r="R747" s="188"/>
      <c r="S747" s="20"/>
      <c r="T747" s="20"/>
      <c r="U747" s="20"/>
      <c r="V747" s="20"/>
      <c r="W747" s="20"/>
      <c r="X747" s="20"/>
      <c r="Y747" s="20"/>
      <c r="Z747" s="20"/>
    </row>
    <row r="748">
      <c r="A748" s="320"/>
      <c r="B748" s="164"/>
      <c r="C748" s="320"/>
      <c r="D748" s="164"/>
      <c r="E748" s="320"/>
      <c r="F748" s="164"/>
      <c r="G748" s="320"/>
      <c r="H748" s="164"/>
      <c r="I748" s="320"/>
      <c r="J748" s="164"/>
      <c r="K748" s="320"/>
      <c r="L748" s="164"/>
      <c r="M748" s="320"/>
      <c r="N748" s="164"/>
      <c r="O748" s="320"/>
      <c r="P748" s="164"/>
      <c r="Q748" s="188"/>
      <c r="R748" s="188"/>
      <c r="S748" s="20"/>
      <c r="T748" s="20"/>
      <c r="U748" s="20"/>
      <c r="V748" s="20"/>
      <c r="W748" s="20"/>
      <c r="X748" s="20"/>
      <c r="Y748" s="20"/>
      <c r="Z748" s="20"/>
    </row>
    <row r="749">
      <c r="A749" s="320"/>
      <c r="B749" s="164"/>
      <c r="C749" s="320"/>
      <c r="D749" s="164"/>
      <c r="E749" s="320"/>
      <c r="F749" s="164"/>
      <c r="G749" s="320"/>
      <c r="H749" s="164"/>
      <c r="I749" s="320"/>
      <c r="J749" s="164"/>
      <c r="K749" s="320"/>
      <c r="L749" s="164"/>
      <c r="M749" s="320"/>
      <c r="N749" s="164"/>
      <c r="O749" s="320"/>
      <c r="P749" s="164"/>
      <c r="Q749" s="188"/>
      <c r="R749" s="188"/>
      <c r="S749" s="20"/>
      <c r="T749" s="20"/>
      <c r="U749" s="20"/>
      <c r="V749" s="20"/>
      <c r="W749" s="20"/>
      <c r="X749" s="20"/>
      <c r="Y749" s="20"/>
      <c r="Z749" s="20"/>
    </row>
    <row r="750">
      <c r="A750" s="320"/>
      <c r="B750" s="164"/>
      <c r="C750" s="320"/>
      <c r="D750" s="164"/>
      <c r="E750" s="320"/>
      <c r="F750" s="164"/>
      <c r="G750" s="320"/>
      <c r="H750" s="164"/>
      <c r="I750" s="320"/>
      <c r="J750" s="164"/>
      <c r="K750" s="320"/>
      <c r="L750" s="164"/>
      <c r="M750" s="320"/>
      <c r="N750" s="164"/>
      <c r="O750" s="320"/>
      <c r="P750" s="164"/>
      <c r="Q750" s="188"/>
      <c r="R750" s="188"/>
      <c r="S750" s="20"/>
      <c r="T750" s="20"/>
      <c r="U750" s="20"/>
      <c r="V750" s="20"/>
      <c r="W750" s="20"/>
      <c r="X750" s="20"/>
      <c r="Y750" s="20"/>
      <c r="Z750" s="20"/>
    </row>
    <row r="751">
      <c r="A751" s="320"/>
      <c r="B751" s="164"/>
      <c r="C751" s="320"/>
      <c r="D751" s="164"/>
      <c r="E751" s="320"/>
      <c r="F751" s="164"/>
      <c r="G751" s="320"/>
      <c r="H751" s="164"/>
      <c r="I751" s="320"/>
      <c r="J751" s="164"/>
      <c r="K751" s="320"/>
      <c r="L751" s="164"/>
      <c r="M751" s="320"/>
      <c r="N751" s="164"/>
      <c r="O751" s="320"/>
      <c r="P751" s="164"/>
      <c r="Q751" s="188"/>
      <c r="R751" s="188"/>
      <c r="S751" s="20"/>
      <c r="T751" s="20"/>
      <c r="U751" s="20"/>
      <c r="V751" s="20"/>
      <c r="W751" s="20"/>
      <c r="X751" s="20"/>
      <c r="Y751" s="20"/>
      <c r="Z751" s="20"/>
    </row>
    <row r="752">
      <c r="A752" s="320"/>
      <c r="B752" s="164"/>
      <c r="C752" s="320"/>
      <c r="D752" s="164"/>
      <c r="E752" s="320"/>
      <c r="F752" s="164"/>
      <c r="G752" s="320"/>
      <c r="H752" s="164"/>
      <c r="I752" s="320"/>
      <c r="J752" s="164"/>
      <c r="K752" s="320"/>
      <c r="L752" s="164"/>
      <c r="M752" s="320"/>
      <c r="N752" s="164"/>
      <c r="O752" s="320"/>
      <c r="P752" s="164"/>
      <c r="Q752" s="188"/>
      <c r="R752" s="188"/>
      <c r="S752" s="20"/>
      <c r="T752" s="20"/>
      <c r="U752" s="20"/>
      <c r="V752" s="20"/>
      <c r="W752" s="20"/>
      <c r="X752" s="20"/>
      <c r="Y752" s="20"/>
      <c r="Z752" s="20"/>
    </row>
    <row r="753">
      <c r="A753" s="320"/>
      <c r="B753" s="164"/>
      <c r="C753" s="320"/>
      <c r="D753" s="164"/>
      <c r="E753" s="320"/>
      <c r="F753" s="164"/>
      <c r="G753" s="320"/>
      <c r="H753" s="164"/>
      <c r="I753" s="320"/>
      <c r="J753" s="164"/>
      <c r="K753" s="320"/>
      <c r="L753" s="164"/>
      <c r="M753" s="320"/>
      <c r="N753" s="164"/>
      <c r="O753" s="320"/>
      <c r="P753" s="164"/>
      <c r="Q753" s="188"/>
      <c r="R753" s="188"/>
      <c r="S753" s="20"/>
      <c r="T753" s="20"/>
      <c r="U753" s="20"/>
      <c r="V753" s="20"/>
      <c r="W753" s="20"/>
      <c r="X753" s="20"/>
      <c r="Y753" s="20"/>
      <c r="Z753" s="20"/>
    </row>
    <row r="754">
      <c r="A754" s="320"/>
      <c r="B754" s="164"/>
      <c r="C754" s="320"/>
      <c r="D754" s="164"/>
      <c r="E754" s="320"/>
      <c r="F754" s="164"/>
      <c r="G754" s="320"/>
      <c r="H754" s="164"/>
      <c r="I754" s="320"/>
      <c r="J754" s="164"/>
      <c r="K754" s="320"/>
      <c r="L754" s="164"/>
      <c r="M754" s="320"/>
      <c r="N754" s="164"/>
      <c r="O754" s="320"/>
      <c r="P754" s="164"/>
      <c r="Q754" s="188"/>
      <c r="R754" s="188"/>
      <c r="S754" s="20"/>
      <c r="T754" s="20"/>
      <c r="U754" s="20"/>
      <c r="V754" s="20"/>
      <c r="W754" s="20"/>
      <c r="X754" s="20"/>
      <c r="Y754" s="20"/>
      <c r="Z754" s="20"/>
    </row>
    <row r="755">
      <c r="A755" s="320"/>
      <c r="B755" s="164"/>
      <c r="C755" s="320"/>
      <c r="D755" s="164"/>
      <c r="E755" s="320"/>
      <c r="F755" s="164"/>
      <c r="G755" s="320"/>
      <c r="H755" s="164"/>
      <c r="I755" s="320"/>
      <c r="J755" s="164"/>
      <c r="K755" s="320"/>
      <c r="L755" s="164"/>
      <c r="M755" s="320"/>
      <c r="N755" s="164"/>
      <c r="O755" s="320"/>
      <c r="P755" s="164"/>
      <c r="Q755" s="188"/>
      <c r="R755" s="188"/>
      <c r="S755" s="20"/>
      <c r="T755" s="20"/>
      <c r="U755" s="20"/>
      <c r="V755" s="20"/>
      <c r="W755" s="20"/>
      <c r="X755" s="20"/>
      <c r="Y755" s="20"/>
      <c r="Z755" s="20"/>
    </row>
    <row r="756">
      <c r="A756" s="320"/>
      <c r="B756" s="164"/>
      <c r="C756" s="320"/>
      <c r="D756" s="164"/>
      <c r="E756" s="320"/>
      <c r="F756" s="164"/>
      <c r="G756" s="320"/>
      <c r="H756" s="164"/>
      <c r="I756" s="320"/>
      <c r="J756" s="164"/>
      <c r="K756" s="320"/>
      <c r="L756" s="164"/>
      <c r="M756" s="320"/>
      <c r="N756" s="164"/>
      <c r="O756" s="320"/>
      <c r="P756" s="164"/>
      <c r="Q756" s="188"/>
      <c r="R756" s="188"/>
      <c r="S756" s="20"/>
      <c r="T756" s="20"/>
      <c r="U756" s="20"/>
      <c r="V756" s="20"/>
      <c r="W756" s="20"/>
      <c r="X756" s="20"/>
      <c r="Y756" s="20"/>
      <c r="Z756" s="20"/>
    </row>
    <row r="757">
      <c r="A757" s="320"/>
      <c r="B757" s="164"/>
      <c r="C757" s="320"/>
      <c r="D757" s="164"/>
      <c r="E757" s="320"/>
      <c r="F757" s="164"/>
      <c r="G757" s="320"/>
      <c r="H757" s="164"/>
      <c r="I757" s="320"/>
      <c r="J757" s="164"/>
      <c r="K757" s="320"/>
      <c r="L757" s="164"/>
      <c r="M757" s="320"/>
      <c r="N757" s="164"/>
      <c r="O757" s="320"/>
      <c r="P757" s="164"/>
      <c r="Q757" s="188"/>
      <c r="R757" s="188"/>
      <c r="S757" s="20"/>
      <c r="T757" s="20"/>
      <c r="U757" s="20"/>
      <c r="V757" s="20"/>
      <c r="W757" s="20"/>
      <c r="X757" s="20"/>
      <c r="Y757" s="20"/>
      <c r="Z757" s="20"/>
    </row>
    <row r="758">
      <c r="A758" s="320"/>
      <c r="B758" s="164"/>
      <c r="C758" s="320"/>
      <c r="D758" s="164"/>
      <c r="E758" s="320"/>
      <c r="F758" s="164"/>
      <c r="G758" s="320"/>
      <c r="H758" s="164"/>
      <c r="I758" s="320"/>
      <c r="J758" s="164"/>
      <c r="K758" s="320"/>
      <c r="L758" s="164"/>
      <c r="M758" s="320"/>
      <c r="N758" s="164"/>
      <c r="O758" s="320"/>
      <c r="P758" s="164"/>
      <c r="Q758" s="188"/>
      <c r="R758" s="188"/>
      <c r="S758" s="20"/>
      <c r="T758" s="20"/>
      <c r="U758" s="20"/>
      <c r="V758" s="20"/>
      <c r="W758" s="20"/>
      <c r="X758" s="20"/>
      <c r="Y758" s="20"/>
      <c r="Z758" s="20"/>
    </row>
    <row r="759">
      <c r="A759" s="320"/>
      <c r="B759" s="164"/>
      <c r="C759" s="320"/>
      <c r="D759" s="164"/>
      <c r="E759" s="320"/>
      <c r="F759" s="164"/>
      <c r="G759" s="320"/>
      <c r="H759" s="164"/>
      <c r="I759" s="320"/>
      <c r="J759" s="164"/>
      <c r="K759" s="320"/>
      <c r="L759" s="164"/>
      <c r="M759" s="320"/>
      <c r="N759" s="164"/>
      <c r="O759" s="320"/>
      <c r="P759" s="164"/>
      <c r="Q759" s="188"/>
      <c r="R759" s="188"/>
      <c r="S759" s="20"/>
      <c r="T759" s="20"/>
      <c r="U759" s="20"/>
      <c r="V759" s="20"/>
      <c r="W759" s="20"/>
      <c r="X759" s="20"/>
      <c r="Y759" s="20"/>
      <c r="Z759" s="20"/>
    </row>
    <row r="760">
      <c r="A760" s="320"/>
      <c r="B760" s="164"/>
      <c r="C760" s="320"/>
      <c r="D760" s="164"/>
      <c r="E760" s="320"/>
      <c r="F760" s="164"/>
      <c r="G760" s="320"/>
      <c r="H760" s="164"/>
      <c r="I760" s="320"/>
      <c r="J760" s="164"/>
      <c r="K760" s="320"/>
      <c r="L760" s="164"/>
      <c r="M760" s="320"/>
      <c r="N760" s="164"/>
      <c r="O760" s="320"/>
      <c r="P760" s="164"/>
      <c r="Q760" s="188"/>
      <c r="R760" s="188"/>
      <c r="S760" s="20"/>
      <c r="T760" s="20"/>
      <c r="U760" s="20"/>
      <c r="V760" s="20"/>
      <c r="W760" s="20"/>
      <c r="X760" s="20"/>
      <c r="Y760" s="20"/>
      <c r="Z760" s="20"/>
    </row>
    <row r="761">
      <c r="A761" s="320"/>
      <c r="B761" s="164"/>
      <c r="C761" s="320"/>
      <c r="D761" s="164"/>
      <c r="E761" s="320"/>
      <c r="F761" s="164"/>
      <c r="G761" s="320"/>
      <c r="H761" s="164"/>
      <c r="I761" s="320"/>
      <c r="J761" s="164"/>
      <c r="K761" s="320"/>
      <c r="L761" s="164"/>
      <c r="M761" s="320"/>
      <c r="N761" s="164"/>
      <c r="O761" s="320"/>
      <c r="P761" s="164"/>
      <c r="Q761" s="188"/>
      <c r="R761" s="188"/>
      <c r="S761" s="20"/>
      <c r="T761" s="20"/>
      <c r="U761" s="20"/>
      <c r="V761" s="20"/>
      <c r="W761" s="20"/>
      <c r="X761" s="20"/>
      <c r="Y761" s="20"/>
      <c r="Z761" s="20"/>
    </row>
    <row r="762">
      <c r="A762" s="320"/>
      <c r="B762" s="164"/>
      <c r="C762" s="320"/>
      <c r="D762" s="164"/>
      <c r="E762" s="320"/>
      <c r="F762" s="164"/>
      <c r="G762" s="320"/>
      <c r="H762" s="164"/>
      <c r="I762" s="320"/>
      <c r="J762" s="164"/>
      <c r="K762" s="320"/>
      <c r="L762" s="164"/>
      <c r="M762" s="320"/>
      <c r="N762" s="164"/>
      <c r="O762" s="320"/>
      <c r="P762" s="164"/>
      <c r="Q762" s="188"/>
      <c r="R762" s="188"/>
      <c r="S762" s="20"/>
      <c r="T762" s="20"/>
      <c r="U762" s="20"/>
      <c r="V762" s="20"/>
      <c r="W762" s="20"/>
      <c r="X762" s="20"/>
      <c r="Y762" s="20"/>
      <c r="Z762" s="20"/>
    </row>
    <row r="763">
      <c r="A763" s="320"/>
      <c r="B763" s="164"/>
      <c r="C763" s="320"/>
      <c r="D763" s="164"/>
      <c r="E763" s="320"/>
      <c r="F763" s="164"/>
      <c r="G763" s="320"/>
      <c r="H763" s="164"/>
      <c r="I763" s="320"/>
      <c r="J763" s="164"/>
      <c r="K763" s="320"/>
      <c r="L763" s="164"/>
      <c r="M763" s="320"/>
      <c r="N763" s="164"/>
      <c r="O763" s="320"/>
      <c r="P763" s="164"/>
      <c r="Q763" s="188"/>
      <c r="R763" s="188"/>
      <c r="S763" s="20"/>
      <c r="T763" s="20"/>
      <c r="U763" s="20"/>
      <c r="V763" s="20"/>
      <c r="W763" s="20"/>
      <c r="X763" s="20"/>
      <c r="Y763" s="20"/>
      <c r="Z763" s="20"/>
    </row>
    <row r="764">
      <c r="A764" s="320"/>
      <c r="B764" s="164"/>
      <c r="C764" s="320"/>
      <c r="D764" s="164"/>
      <c r="E764" s="320"/>
      <c r="F764" s="164"/>
      <c r="G764" s="320"/>
      <c r="H764" s="164"/>
      <c r="I764" s="320"/>
      <c r="J764" s="164"/>
      <c r="K764" s="320"/>
      <c r="L764" s="164"/>
      <c r="M764" s="320"/>
      <c r="N764" s="164"/>
      <c r="O764" s="320"/>
      <c r="P764" s="164"/>
      <c r="Q764" s="188"/>
      <c r="R764" s="188"/>
      <c r="S764" s="20"/>
      <c r="T764" s="20"/>
      <c r="U764" s="20"/>
      <c r="V764" s="20"/>
      <c r="W764" s="20"/>
      <c r="X764" s="20"/>
      <c r="Y764" s="20"/>
      <c r="Z764" s="20"/>
    </row>
    <row r="765">
      <c r="A765" s="320"/>
      <c r="B765" s="164"/>
      <c r="C765" s="320"/>
      <c r="D765" s="164"/>
      <c r="E765" s="320"/>
      <c r="F765" s="164"/>
      <c r="G765" s="320"/>
      <c r="H765" s="164"/>
      <c r="I765" s="320"/>
      <c r="J765" s="164"/>
      <c r="K765" s="320"/>
      <c r="L765" s="164"/>
      <c r="M765" s="320"/>
      <c r="N765" s="164"/>
      <c r="O765" s="320"/>
      <c r="P765" s="164"/>
      <c r="Q765" s="188"/>
      <c r="R765" s="188"/>
      <c r="S765" s="20"/>
      <c r="T765" s="20"/>
      <c r="U765" s="20"/>
      <c r="V765" s="20"/>
      <c r="W765" s="20"/>
      <c r="X765" s="20"/>
      <c r="Y765" s="20"/>
      <c r="Z765" s="20"/>
    </row>
    <row r="766">
      <c r="A766" s="320"/>
      <c r="B766" s="164"/>
      <c r="C766" s="320"/>
      <c r="D766" s="164"/>
      <c r="E766" s="320"/>
      <c r="F766" s="164"/>
      <c r="G766" s="320"/>
      <c r="H766" s="164"/>
      <c r="I766" s="320"/>
      <c r="J766" s="164"/>
      <c r="K766" s="320"/>
      <c r="L766" s="164"/>
      <c r="M766" s="320"/>
      <c r="N766" s="164"/>
      <c r="O766" s="320"/>
      <c r="P766" s="164"/>
      <c r="Q766" s="188"/>
      <c r="R766" s="188"/>
      <c r="S766" s="20"/>
      <c r="T766" s="20"/>
      <c r="U766" s="20"/>
      <c r="V766" s="20"/>
      <c r="W766" s="20"/>
      <c r="X766" s="20"/>
      <c r="Y766" s="20"/>
      <c r="Z766" s="20"/>
    </row>
    <row r="767">
      <c r="A767" s="320"/>
      <c r="B767" s="164"/>
      <c r="C767" s="320"/>
      <c r="D767" s="164"/>
      <c r="E767" s="320"/>
      <c r="F767" s="164"/>
      <c r="G767" s="320"/>
      <c r="H767" s="164"/>
      <c r="I767" s="320"/>
      <c r="J767" s="164"/>
      <c r="K767" s="320"/>
      <c r="L767" s="164"/>
      <c r="M767" s="320"/>
      <c r="N767" s="164"/>
      <c r="O767" s="320"/>
      <c r="P767" s="164"/>
      <c r="Q767" s="188"/>
      <c r="R767" s="188"/>
      <c r="S767" s="20"/>
      <c r="T767" s="20"/>
      <c r="U767" s="20"/>
      <c r="V767" s="20"/>
      <c r="W767" s="20"/>
      <c r="X767" s="20"/>
      <c r="Y767" s="20"/>
      <c r="Z767" s="20"/>
    </row>
    <row r="768">
      <c r="A768" s="320"/>
      <c r="B768" s="164"/>
      <c r="C768" s="320"/>
      <c r="D768" s="164"/>
      <c r="E768" s="320"/>
      <c r="F768" s="164"/>
      <c r="G768" s="320"/>
      <c r="H768" s="164"/>
      <c r="I768" s="320"/>
      <c r="J768" s="164"/>
      <c r="K768" s="320"/>
      <c r="L768" s="164"/>
      <c r="M768" s="320"/>
      <c r="N768" s="164"/>
      <c r="O768" s="320"/>
      <c r="P768" s="164"/>
      <c r="Q768" s="188"/>
      <c r="R768" s="188"/>
      <c r="S768" s="20"/>
      <c r="T768" s="20"/>
      <c r="U768" s="20"/>
      <c r="V768" s="20"/>
      <c r="W768" s="20"/>
      <c r="X768" s="20"/>
      <c r="Y768" s="20"/>
      <c r="Z768" s="20"/>
    </row>
    <row r="769">
      <c r="A769" s="320"/>
      <c r="B769" s="164"/>
      <c r="C769" s="320"/>
      <c r="D769" s="164"/>
      <c r="E769" s="320"/>
      <c r="F769" s="164"/>
      <c r="G769" s="320"/>
      <c r="H769" s="164"/>
      <c r="I769" s="320"/>
      <c r="J769" s="164"/>
      <c r="K769" s="320"/>
      <c r="L769" s="164"/>
      <c r="M769" s="320"/>
      <c r="N769" s="164"/>
      <c r="O769" s="320"/>
      <c r="P769" s="164"/>
      <c r="Q769" s="188"/>
      <c r="R769" s="188"/>
      <c r="S769" s="20"/>
      <c r="T769" s="20"/>
      <c r="U769" s="20"/>
      <c r="V769" s="20"/>
      <c r="W769" s="20"/>
      <c r="X769" s="20"/>
      <c r="Y769" s="20"/>
      <c r="Z769" s="20"/>
    </row>
    <row r="770">
      <c r="A770" s="320"/>
      <c r="B770" s="164"/>
      <c r="C770" s="320"/>
      <c r="D770" s="164"/>
      <c r="E770" s="320"/>
      <c r="F770" s="164"/>
      <c r="G770" s="320"/>
      <c r="H770" s="164"/>
      <c r="I770" s="320"/>
      <c r="J770" s="164"/>
      <c r="K770" s="320"/>
      <c r="L770" s="164"/>
      <c r="M770" s="320"/>
      <c r="N770" s="164"/>
      <c r="O770" s="320"/>
      <c r="P770" s="164"/>
      <c r="Q770" s="188"/>
      <c r="R770" s="188"/>
      <c r="S770" s="20"/>
      <c r="T770" s="20"/>
      <c r="U770" s="20"/>
      <c r="V770" s="20"/>
      <c r="W770" s="20"/>
      <c r="X770" s="20"/>
      <c r="Y770" s="20"/>
      <c r="Z770" s="20"/>
    </row>
    <row r="771">
      <c r="A771" s="320"/>
      <c r="B771" s="164"/>
      <c r="C771" s="320"/>
      <c r="D771" s="164"/>
      <c r="E771" s="320"/>
      <c r="F771" s="164"/>
      <c r="G771" s="320"/>
      <c r="H771" s="164"/>
      <c r="I771" s="320"/>
      <c r="J771" s="164"/>
      <c r="K771" s="320"/>
      <c r="L771" s="164"/>
      <c r="M771" s="320"/>
      <c r="N771" s="164"/>
      <c r="O771" s="320"/>
      <c r="P771" s="164"/>
      <c r="Q771" s="188"/>
      <c r="R771" s="188"/>
      <c r="S771" s="20"/>
      <c r="T771" s="20"/>
      <c r="U771" s="20"/>
      <c r="V771" s="20"/>
      <c r="W771" s="20"/>
      <c r="X771" s="20"/>
      <c r="Y771" s="20"/>
      <c r="Z771" s="20"/>
    </row>
    <row r="772">
      <c r="A772" s="320"/>
      <c r="B772" s="164"/>
      <c r="C772" s="320"/>
      <c r="D772" s="164"/>
      <c r="E772" s="320"/>
      <c r="F772" s="164"/>
      <c r="G772" s="320"/>
      <c r="H772" s="164"/>
      <c r="I772" s="320"/>
      <c r="J772" s="164"/>
      <c r="K772" s="320"/>
      <c r="L772" s="164"/>
      <c r="M772" s="320"/>
      <c r="N772" s="164"/>
      <c r="O772" s="320"/>
      <c r="P772" s="164"/>
      <c r="Q772" s="188"/>
      <c r="R772" s="188"/>
      <c r="S772" s="20"/>
      <c r="T772" s="20"/>
      <c r="U772" s="20"/>
      <c r="V772" s="20"/>
      <c r="W772" s="20"/>
      <c r="X772" s="20"/>
      <c r="Y772" s="20"/>
      <c r="Z772" s="20"/>
    </row>
    <row r="773">
      <c r="A773" s="320"/>
      <c r="B773" s="164"/>
      <c r="C773" s="320"/>
      <c r="D773" s="164"/>
      <c r="E773" s="320"/>
      <c r="F773" s="164"/>
      <c r="G773" s="320"/>
      <c r="H773" s="164"/>
      <c r="I773" s="320"/>
      <c r="J773" s="164"/>
      <c r="K773" s="320"/>
      <c r="L773" s="164"/>
      <c r="M773" s="320"/>
      <c r="N773" s="164"/>
      <c r="O773" s="320"/>
      <c r="P773" s="164"/>
      <c r="Q773" s="188"/>
      <c r="R773" s="188"/>
      <c r="S773" s="20"/>
      <c r="T773" s="20"/>
      <c r="U773" s="20"/>
      <c r="V773" s="20"/>
      <c r="W773" s="20"/>
      <c r="X773" s="20"/>
      <c r="Y773" s="20"/>
      <c r="Z773" s="20"/>
    </row>
    <row r="774">
      <c r="A774" s="320"/>
      <c r="B774" s="164"/>
      <c r="C774" s="320"/>
      <c r="D774" s="164"/>
      <c r="E774" s="320"/>
      <c r="F774" s="164"/>
      <c r="G774" s="320"/>
      <c r="H774" s="164"/>
      <c r="I774" s="320"/>
      <c r="J774" s="164"/>
      <c r="K774" s="320"/>
      <c r="L774" s="164"/>
      <c r="M774" s="320"/>
      <c r="N774" s="164"/>
      <c r="O774" s="320"/>
      <c r="P774" s="164"/>
      <c r="Q774" s="188"/>
      <c r="R774" s="188"/>
      <c r="S774" s="20"/>
      <c r="T774" s="20"/>
      <c r="U774" s="20"/>
      <c r="V774" s="20"/>
      <c r="W774" s="20"/>
      <c r="X774" s="20"/>
      <c r="Y774" s="20"/>
      <c r="Z774" s="20"/>
    </row>
    <row r="775">
      <c r="A775" s="320"/>
      <c r="B775" s="164"/>
      <c r="C775" s="320"/>
      <c r="D775" s="164"/>
      <c r="E775" s="320"/>
      <c r="F775" s="164"/>
      <c r="G775" s="320"/>
      <c r="H775" s="164"/>
      <c r="I775" s="320"/>
      <c r="J775" s="164"/>
      <c r="K775" s="320"/>
      <c r="L775" s="164"/>
      <c r="M775" s="320"/>
      <c r="N775" s="164"/>
      <c r="O775" s="320"/>
      <c r="P775" s="164"/>
      <c r="Q775" s="188"/>
      <c r="R775" s="188"/>
      <c r="S775" s="20"/>
      <c r="T775" s="20"/>
      <c r="U775" s="20"/>
      <c r="V775" s="20"/>
      <c r="W775" s="20"/>
      <c r="X775" s="20"/>
      <c r="Y775" s="20"/>
      <c r="Z775" s="20"/>
    </row>
    <row r="776">
      <c r="A776" s="320"/>
      <c r="B776" s="164"/>
      <c r="C776" s="320"/>
      <c r="D776" s="164"/>
      <c r="E776" s="320"/>
      <c r="F776" s="164"/>
      <c r="G776" s="320"/>
      <c r="H776" s="164"/>
      <c r="I776" s="320"/>
      <c r="J776" s="164"/>
      <c r="K776" s="320"/>
      <c r="L776" s="164"/>
      <c r="M776" s="320"/>
      <c r="N776" s="164"/>
      <c r="O776" s="320"/>
      <c r="P776" s="164"/>
      <c r="Q776" s="188"/>
      <c r="R776" s="188"/>
      <c r="S776" s="20"/>
      <c r="T776" s="20"/>
      <c r="U776" s="20"/>
      <c r="V776" s="20"/>
      <c r="W776" s="20"/>
      <c r="X776" s="20"/>
      <c r="Y776" s="20"/>
      <c r="Z776" s="20"/>
    </row>
    <row r="777">
      <c r="A777" s="320"/>
      <c r="B777" s="164"/>
      <c r="C777" s="320"/>
      <c r="D777" s="164"/>
      <c r="E777" s="320"/>
      <c r="F777" s="164"/>
      <c r="G777" s="320"/>
      <c r="H777" s="164"/>
      <c r="I777" s="320"/>
      <c r="J777" s="164"/>
      <c r="K777" s="320"/>
      <c r="L777" s="164"/>
      <c r="M777" s="320"/>
      <c r="N777" s="164"/>
      <c r="O777" s="320"/>
      <c r="P777" s="164"/>
      <c r="Q777" s="188"/>
      <c r="R777" s="188"/>
      <c r="S777" s="20"/>
      <c r="T777" s="20"/>
      <c r="U777" s="20"/>
      <c r="V777" s="20"/>
      <c r="W777" s="20"/>
      <c r="X777" s="20"/>
      <c r="Y777" s="20"/>
      <c r="Z777" s="20"/>
    </row>
    <row r="778">
      <c r="A778" s="320"/>
      <c r="B778" s="164"/>
      <c r="C778" s="320"/>
      <c r="D778" s="164"/>
      <c r="E778" s="320"/>
      <c r="F778" s="164"/>
      <c r="G778" s="320"/>
      <c r="H778" s="164"/>
      <c r="I778" s="320"/>
      <c r="J778" s="164"/>
      <c r="K778" s="320"/>
      <c r="L778" s="164"/>
      <c r="M778" s="320"/>
      <c r="N778" s="164"/>
      <c r="O778" s="320"/>
      <c r="P778" s="164"/>
      <c r="Q778" s="188"/>
      <c r="R778" s="188"/>
      <c r="S778" s="20"/>
      <c r="T778" s="20"/>
      <c r="U778" s="20"/>
      <c r="V778" s="20"/>
      <c r="W778" s="20"/>
      <c r="X778" s="20"/>
      <c r="Y778" s="20"/>
      <c r="Z778" s="20"/>
    </row>
    <row r="779">
      <c r="A779" s="320"/>
      <c r="B779" s="164"/>
      <c r="C779" s="320"/>
      <c r="D779" s="164"/>
      <c r="E779" s="320"/>
      <c r="F779" s="164"/>
      <c r="G779" s="320"/>
      <c r="H779" s="164"/>
      <c r="I779" s="320"/>
      <c r="J779" s="164"/>
      <c r="K779" s="320"/>
      <c r="L779" s="164"/>
      <c r="M779" s="320"/>
      <c r="N779" s="164"/>
      <c r="O779" s="320"/>
      <c r="P779" s="164"/>
      <c r="Q779" s="188"/>
      <c r="R779" s="188"/>
      <c r="S779" s="20"/>
      <c r="T779" s="20"/>
      <c r="U779" s="20"/>
      <c r="V779" s="20"/>
      <c r="W779" s="20"/>
      <c r="X779" s="20"/>
      <c r="Y779" s="20"/>
      <c r="Z779" s="20"/>
    </row>
    <row r="780">
      <c r="A780" s="320"/>
      <c r="B780" s="164"/>
      <c r="C780" s="320"/>
      <c r="D780" s="164"/>
      <c r="E780" s="320"/>
      <c r="F780" s="164"/>
      <c r="G780" s="320"/>
      <c r="H780" s="164"/>
      <c r="I780" s="320"/>
      <c r="J780" s="164"/>
      <c r="K780" s="320"/>
      <c r="L780" s="164"/>
      <c r="M780" s="320"/>
      <c r="N780" s="164"/>
      <c r="O780" s="320"/>
      <c r="P780" s="164"/>
      <c r="Q780" s="188"/>
      <c r="R780" s="188"/>
      <c r="S780" s="20"/>
      <c r="T780" s="20"/>
      <c r="U780" s="20"/>
      <c r="V780" s="20"/>
      <c r="W780" s="20"/>
      <c r="X780" s="20"/>
      <c r="Y780" s="20"/>
      <c r="Z780" s="20"/>
    </row>
    <row r="781">
      <c r="A781" s="320"/>
      <c r="B781" s="164"/>
      <c r="C781" s="320"/>
      <c r="D781" s="164"/>
      <c r="E781" s="320"/>
      <c r="F781" s="164"/>
      <c r="G781" s="320"/>
      <c r="H781" s="164"/>
      <c r="I781" s="320"/>
      <c r="J781" s="164"/>
      <c r="K781" s="320"/>
      <c r="L781" s="164"/>
      <c r="M781" s="320"/>
      <c r="N781" s="164"/>
      <c r="O781" s="320"/>
      <c r="P781" s="164"/>
      <c r="Q781" s="188"/>
      <c r="R781" s="188"/>
      <c r="S781" s="20"/>
      <c r="T781" s="20"/>
      <c r="U781" s="20"/>
      <c r="V781" s="20"/>
      <c r="W781" s="20"/>
      <c r="X781" s="20"/>
      <c r="Y781" s="20"/>
      <c r="Z781" s="20"/>
    </row>
    <row r="782">
      <c r="A782" s="320"/>
      <c r="B782" s="164"/>
      <c r="C782" s="320"/>
      <c r="D782" s="164"/>
      <c r="E782" s="320"/>
      <c r="F782" s="164"/>
      <c r="G782" s="320"/>
      <c r="H782" s="164"/>
      <c r="I782" s="320"/>
      <c r="J782" s="164"/>
      <c r="K782" s="320"/>
      <c r="L782" s="164"/>
      <c r="M782" s="320"/>
      <c r="N782" s="164"/>
      <c r="O782" s="320"/>
      <c r="P782" s="164"/>
      <c r="Q782" s="188"/>
      <c r="R782" s="188"/>
      <c r="S782" s="20"/>
      <c r="T782" s="20"/>
      <c r="U782" s="20"/>
      <c r="V782" s="20"/>
      <c r="W782" s="20"/>
      <c r="X782" s="20"/>
      <c r="Y782" s="20"/>
      <c r="Z782" s="20"/>
    </row>
    <row r="783">
      <c r="A783" s="320"/>
      <c r="B783" s="164"/>
      <c r="C783" s="320"/>
      <c r="D783" s="164"/>
      <c r="E783" s="320"/>
      <c r="F783" s="164"/>
      <c r="G783" s="320"/>
      <c r="H783" s="164"/>
      <c r="I783" s="320"/>
      <c r="J783" s="164"/>
      <c r="K783" s="320"/>
      <c r="L783" s="164"/>
      <c r="M783" s="320"/>
      <c r="N783" s="164"/>
      <c r="O783" s="320"/>
      <c r="P783" s="164"/>
      <c r="Q783" s="188"/>
      <c r="R783" s="188"/>
      <c r="S783" s="20"/>
      <c r="T783" s="20"/>
      <c r="U783" s="20"/>
      <c r="V783" s="20"/>
      <c r="W783" s="20"/>
      <c r="X783" s="20"/>
      <c r="Y783" s="20"/>
      <c r="Z783" s="20"/>
    </row>
    <row r="784">
      <c r="A784" s="320"/>
      <c r="B784" s="164"/>
      <c r="C784" s="320"/>
      <c r="D784" s="164"/>
      <c r="E784" s="320"/>
      <c r="F784" s="164"/>
      <c r="G784" s="320"/>
      <c r="H784" s="164"/>
      <c r="I784" s="320"/>
      <c r="J784" s="164"/>
      <c r="K784" s="320"/>
      <c r="L784" s="164"/>
      <c r="M784" s="320"/>
      <c r="N784" s="164"/>
      <c r="O784" s="320"/>
      <c r="P784" s="164"/>
      <c r="Q784" s="188"/>
      <c r="R784" s="188"/>
      <c r="S784" s="20"/>
      <c r="T784" s="20"/>
      <c r="U784" s="20"/>
      <c r="V784" s="20"/>
      <c r="W784" s="20"/>
      <c r="X784" s="20"/>
      <c r="Y784" s="20"/>
      <c r="Z784" s="20"/>
    </row>
    <row r="785">
      <c r="A785" s="320"/>
      <c r="B785" s="164"/>
      <c r="C785" s="320"/>
      <c r="D785" s="164"/>
      <c r="E785" s="320"/>
      <c r="F785" s="164"/>
      <c r="G785" s="320"/>
      <c r="H785" s="164"/>
      <c r="I785" s="320"/>
      <c r="J785" s="164"/>
      <c r="K785" s="320"/>
      <c r="L785" s="164"/>
      <c r="M785" s="320"/>
      <c r="N785" s="164"/>
      <c r="O785" s="320"/>
      <c r="P785" s="164"/>
      <c r="Q785" s="188"/>
      <c r="R785" s="188"/>
      <c r="S785" s="20"/>
      <c r="T785" s="20"/>
      <c r="U785" s="20"/>
      <c r="V785" s="20"/>
      <c r="W785" s="20"/>
      <c r="X785" s="20"/>
      <c r="Y785" s="20"/>
      <c r="Z785" s="20"/>
    </row>
    <row r="786">
      <c r="A786" s="320"/>
      <c r="B786" s="164"/>
      <c r="C786" s="320"/>
      <c r="D786" s="164"/>
      <c r="E786" s="320"/>
      <c r="F786" s="164"/>
      <c r="G786" s="320"/>
      <c r="H786" s="164"/>
      <c r="I786" s="320"/>
      <c r="J786" s="164"/>
      <c r="K786" s="320"/>
      <c r="L786" s="164"/>
      <c r="M786" s="320"/>
      <c r="N786" s="164"/>
      <c r="O786" s="320"/>
      <c r="P786" s="164"/>
      <c r="Q786" s="188"/>
      <c r="R786" s="188"/>
      <c r="S786" s="20"/>
      <c r="T786" s="20"/>
      <c r="U786" s="20"/>
      <c r="V786" s="20"/>
      <c r="W786" s="20"/>
      <c r="X786" s="20"/>
      <c r="Y786" s="20"/>
      <c r="Z786" s="20"/>
    </row>
    <row r="787">
      <c r="A787" s="320"/>
      <c r="B787" s="164"/>
      <c r="C787" s="320"/>
      <c r="D787" s="164"/>
      <c r="E787" s="320"/>
      <c r="F787" s="164"/>
      <c r="G787" s="320"/>
      <c r="H787" s="164"/>
      <c r="I787" s="320"/>
      <c r="J787" s="164"/>
      <c r="K787" s="320"/>
      <c r="L787" s="164"/>
      <c r="M787" s="320"/>
      <c r="N787" s="164"/>
      <c r="O787" s="320"/>
      <c r="P787" s="164"/>
      <c r="Q787" s="188"/>
      <c r="R787" s="188"/>
      <c r="S787" s="20"/>
      <c r="T787" s="20"/>
      <c r="U787" s="20"/>
      <c r="V787" s="20"/>
      <c r="W787" s="20"/>
      <c r="X787" s="20"/>
      <c r="Y787" s="20"/>
      <c r="Z787" s="20"/>
    </row>
    <row r="788">
      <c r="A788" s="320"/>
      <c r="B788" s="164"/>
      <c r="C788" s="320"/>
      <c r="D788" s="164"/>
      <c r="E788" s="320"/>
      <c r="F788" s="164"/>
      <c r="G788" s="320"/>
      <c r="H788" s="164"/>
      <c r="I788" s="320"/>
      <c r="J788" s="164"/>
      <c r="K788" s="320"/>
      <c r="L788" s="164"/>
      <c r="M788" s="320"/>
      <c r="N788" s="164"/>
      <c r="O788" s="320"/>
      <c r="P788" s="164"/>
      <c r="Q788" s="188"/>
      <c r="R788" s="188"/>
      <c r="S788" s="20"/>
      <c r="T788" s="20"/>
      <c r="U788" s="20"/>
      <c r="V788" s="20"/>
      <c r="W788" s="20"/>
      <c r="X788" s="20"/>
      <c r="Y788" s="20"/>
      <c r="Z788" s="20"/>
    </row>
    <row r="789">
      <c r="A789" s="320"/>
      <c r="B789" s="164"/>
      <c r="C789" s="320"/>
      <c r="D789" s="164"/>
      <c r="E789" s="320"/>
      <c r="F789" s="164"/>
      <c r="G789" s="320"/>
      <c r="H789" s="164"/>
      <c r="I789" s="320"/>
      <c r="J789" s="164"/>
      <c r="K789" s="320"/>
      <c r="L789" s="164"/>
      <c r="M789" s="320"/>
      <c r="N789" s="164"/>
      <c r="O789" s="320"/>
      <c r="P789" s="164"/>
      <c r="Q789" s="188"/>
      <c r="R789" s="188"/>
      <c r="S789" s="20"/>
      <c r="T789" s="20"/>
      <c r="U789" s="20"/>
      <c r="V789" s="20"/>
      <c r="W789" s="20"/>
      <c r="X789" s="20"/>
      <c r="Y789" s="20"/>
      <c r="Z789" s="20"/>
    </row>
    <row r="790">
      <c r="A790" s="320"/>
      <c r="B790" s="164"/>
      <c r="C790" s="320"/>
      <c r="D790" s="164"/>
      <c r="E790" s="320"/>
      <c r="F790" s="164"/>
      <c r="G790" s="320"/>
      <c r="H790" s="164"/>
      <c r="I790" s="320"/>
      <c r="J790" s="164"/>
      <c r="K790" s="320"/>
      <c r="L790" s="164"/>
      <c r="M790" s="320"/>
      <c r="N790" s="164"/>
      <c r="O790" s="320"/>
      <c r="P790" s="164"/>
      <c r="Q790" s="188"/>
      <c r="R790" s="188"/>
      <c r="S790" s="20"/>
      <c r="T790" s="20"/>
      <c r="U790" s="20"/>
      <c r="V790" s="20"/>
      <c r="W790" s="20"/>
      <c r="X790" s="20"/>
      <c r="Y790" s="20"/>
      <c r="Z790" s="20"/>
    </row>
    <row r="791">
      <c r="A791" s="320"/>
      <c r="B791" s="164"/>
      <c r="C791" s="320"/>
      <c r="D791" s="164"/>
      <c r="E791" s="320"/>
      <c r="F791" s="164"/>
      <c r="G791" s="320"/>
      <c r="H791" s="164"/>
      <c r="I791" s="320"/>
      <c r="J791" s="164"/>
      <c r="K791" s="320"/>
      <c r="L791" s="164"/>
      <c r="M791" s="320"/>
      <c r="N791" s="164"/>
      <c r="O791" s="320"/>
      <c r="P791" s="164"/>
      <c r="Q791" s="188"/>
      <c r="R791" s="188"/>
      <c r="S791" s="20"/>
      <c r="T791" s="20"/>
      <c r="U791" s="20"/>
      <c r="V791" s="20"/>
      <c r="W791" s="20"/>
      <c r="X791" s="20"/>
      <c r="Y791" s="20"/>
      <c r="Z791" s="20"/>
    </row>
    <row r="792">
      <c r="A792" s="320"/>
      <c r="B792" s="164"/>
      <c r="C792" s="320"/>
      <c r="D792" s="164"/>
      <c r="E792" s="320"/>
      <c r="F792" s="164"/>
      <c r="G792" s="320"/>
      <c r="H792" s="164"/>
      <c r="I792" s="320"/>
      <c r="J792" s="164"/>
      <c r="K792" s="320"/>
      <c r="L792" s="164"/>
      <c r="M792" s="320"/>
      <c r="N792" s="164"/>
      <c r="O792" s="320"/>
      <c r="P792" s="164"/>
      <c r="Q792" s="188"/>
      <c r="R792" s="188"/>
      <c r="S792" s="20"/>
      <c r="T792" s="20"/>
      <c r="U792" s="20"/>
      <c r="V792" s="20"/>
      <c r="W792" s="20"/>
      <c r="X792" s="20"/>
      <c r="Y792" s="20"/>
      <c r="Z792" s="20"/>
    </row>
    <row r="793">
      <c r="A793" s="320"/>
      <c r="B793" s="164"/>
      <c r="C793" s="320"/>
      <c r="D793" s="164"/>
      <c r="E793" s="320"/>
      <c r="F793" s="164"/>
      <c r="G793" s="320"/>
      <c r="H793" s="164"/>
      <c r="I793" s="320"/>
      <c r="J793" s="164"/>
      <c r="K793" s="320"/>
      <c r="L793" s="164"/>
      <c r="M793" s="320"/>
      <c r="N793" s="164"/>
      <c r="O793" s="320"/>
      <c r="P793" s="164"/>
      <c r="Q793" s="188"/>
      <c r="R793" s="188"/>
      <c r="S793" s="20"/>
      <c r="T793" s="20"/>
      <c r="U793" s="20"/>
      <c r="V793" s="20"/>
      <c r="W793" s="20"/>
      <c r="X793" s="20"/>
      <c r="Y793" s="20"/>
      <c r="Z793" s="20"/>
    </row>
    <row r="794">
      <c r="A794" s="320"/>
      <c r="B794" s="164"/>
      <c r="C794" s="320"/>
      <c r="D794" s="164"/>
      <c r="E794" s="320"/>
      <c r="F794" s="164"/>
      <c r="G794" s="320"/>
      <c r="H794" s="164"/>
      <c r="I794" s="320"/>
      <c r="J794" s="164"/>
      <c r="K794" s="320"/>
      <c r="L794" s="164"/>
      <c r="M794" s="320"/>
      <c r="N794" s="164"/>
      <c r="O794" s="320"/>
      <c r="P794" s="164"/>
      <c r="Q794" s="188"/>
      <c r="R794" s="188"/>
      <c r="S794" s="20"/>
      <c r="T794" s="20"/>
      <c r="U794" s="20"/>
      <c r="V794" s="20"/>
      <c r="W794" s="20"/>
      <c r="X794" s="20"/>
      <c r="Y794" s="20"/>
      <c r="Z794" s="20"/>
    </row>
    <row r="795">
      <c r="A795" s="320"/>
      <c r="B795" s="164"/>
      <c r="C795" s="320"/>
      <c r="D795" s="164"/>
      <c r="E795" s="320"/>
      <c r="F795" s="164"/>
      <c r="G795" s="320"/>
      <c r="H795" s="164"/>
      <c r="I795" s="320"/>
      <c r="J795" s="164"/>
      <c r="K795" s="320"/>
      <c r="L795" s="164"/>
      <c r="M795" s="320"/>
      <c r="N795" s="164"/>
      <c r="O795" s="320"/>
      <c r="P795" s="164"/>
      <c r="Q795" s="188"/>
      <c r="R795" s="188"/>
      <c r="S795" s="20"/>
      <c r="T795" s="20"/>
      <c r="U795" s="20"/>
      <c r="V795" s="20"/>
      <c r="W795" s="20"/>
      <c r="X795" s="20"/>
      <c r="Y795" s="20"/>
      <c r="Z795" s="20"/>
    </row>
    <row r="796">
      <c r="A796" s="320"/>
      <c r="B796" s="164"/>
      <c r="C796" s="320"/>
      <c r="D796" s="164"/>
      <c r="E796" s="320"/>
      <c r="F796" s="164"/>
      <c r="G796" s="320"/>
      <c r="H796" s="164"/>
      <c r="I796" s="320"/>
      <c r="J796" s="164"/>
      <c r="K796" s="320"/>
      <c r="L796" s="164"/>
      <c r="M796" s="320"/>
      <c r="N796" s="164"/>
      <c r="O796" s="320"/>
      <c r="P796" s="164"/>
      <c r="Q796" s="188"/>
      <c r="R796" s="188"/>
      <c r="S796" s="20"/>
      <c r="T796" s="20"/>
      <c r="U796" s="20"/>
      <c r="V796" s="20"/>
      <c r="W796" s="20"/>
      <c r="X796" s="20"/>
      <c r="Y796" s="20"/>
      <c r="Z796" s="20"/>
    </row>
    <row r="797">
      <c r="A797" s="320"/>
      <c r="B797" s="164"/>
      <c r="C797" s="320"/>
      <c r="D797" s="164"/>
      <c r="E797" s="320"/>
      <c r="F797" s="164"/>
      <c r="G797" s="320"/>
      <c r="H797" s="164"/>
      <c r="I797" s="320"/>
      <c r="J797" s="164"/>
      <c r="K797" s="320"/>
      <c r="L797" s="164"/>
      <c r="M797" s="320"/>
      <c r="N797" s="164"/>
      <c r="O797" s="320"/>
      <c r="P797" s="164"/>
      <c r="Q797" s="188"/>
      <c r="R797" s="188"/>
      <c r="S797" s="20"/>
      <c r="T797" s="20"/>
      <c r="U797" s="20"/>
      <c r="V797" s="20"/>
      <c r="W797" s="20"/>
      <c r="X797" s="20"/>
      <c r="Y797" s="20"/>
      <c r="Z797" s="20"/>
    </row>
    <row r="798">
      <c r="A798" s="320"/>
      <c r="B798" s="164"/>
      <c r="C798" s="320"/>
      <c r="D798" s="164"/>
      <c r="E798" s="320"/>
      <c r="F798" s="164"/>
      <c r="G798" s="320"/>
      <c r="H798" s="164"/>
      <c r="I798" s="320"/>
      <c r="J798" s="164"/>
      <c r="K798" s="320"/>
      <c r="L798" s="164"/>
      <c r="M798" s="320"/>
      <c r="N798" s="164"/>
      <c r="O798" s="320"/>
      <c r="P798" s="164"/>
      <c r="Q798" s="188"/>
      <c r="R798" s="188"/>
      <c r="S798" s="20"/>
      <c r="T798" s="20"/>
      <c r="U798" s="20"/>
      <c r="V798" s="20"/>
      <c r="W798" s="20"/>
      <c r="X798" s="20"/>
      <c r="Y798" s="20"/>
      <c r="Z798" s="20"/>
    </row>
    <row r="799">
      <c r="A799" s="320"/>
      <c r="B799" s="164"/>
      <c r="C799" s="320"/>
      <c r="D799" s="164"/>
      <c r="E799" s="320"/>
      <c r="F799" s="164"/>
      <c r="G799" s="320"/>
      <c r="H799" s="164"/>
      <c r="I799" s="320"/>
      <c r="J799" s="164"/>
      <c r="K799" s="320"/>
      <c r="L799" s="164"/>
      <c r="M799" s="320"/>
      <c r="N799" s="164"/>
      <c r="O799" s="320"/>
      <c r="P799" s="164"/>
      <c r="Q799" s="188"/>
      <c r="R799" s="188"/>
      <c r="S799" s="20"/>
      <c r="T799" s="20"/>
      <c r="U799" s="20"/>
      <c r="V799" s="20"/>
      <c r="W799" s="20"/>
      <c r="X799" s="20"/>
      <c r="Y799" s="20"/>
      <c r="Z799" s="20"/>
    </row>
    <row r="800">
      <c r="A800" s="320"/>
      <c r="B800" s="164"/>
      <c r="C800" s="320"/>
      <c r="D800" s="164"/>
      <c r="E800" s="320"/>
      <c r="F800" s="164"/>
      <c r="G800" s="320"/>
      <c r="H800" s="164"/>
      <c r="I800" s="320"/>
      <c r="J800" s="164"/>
      <c r="K800" s="320"/>
      <c r="L800" s="164"/>
      <c r="M800" s="320"/>
      <c r="N800" s="164"/>
      <c r="O800" s="320"/>
      <c r="P800" s="164"/>
      <c r="Q800" s="188"/>
      <c r="R800" s="188"/>
      <c r="S800" s="20"/>
      <c r="T800" s="20"/>
      <c r="U800" s="20"/>
      <c r="V800" s="20"/>
      <c r="W800" s="20"/>
      <c r="X800" s="20"/>
      <c r="Y800" s="20"/>
      <c r="Z800" s="20"/>
    </row>
    <row r="801">
      <c r="A801" s="320"/>
      <c r="B801" s="164"/>
      <c r="C801" s="320"/>
      <c r="D801" s="164"/>
      <c r="E801" s="320"/>
      <c r="F801" s="164"/>
      <c r="G801" s="320"/>
      <c r="H801" s="164"/>
      <c r="I801" s="320"/>
      <c r="J801" s="164"/>
      <c r="K801" s="320"/>
      <c r="L801" s="164"/>
      <c r="M801" s="320"/>
      <c r="N801" s="164"/>
      <c r="O801" s="320"/>
      <c r="P801" s="164"/>
      <c r="Q801" s="188"/>
      <c r="R801" s="188"/>
      <c r="S801" s="20"/>
      <c r="T801" s="20"/>
      <c r="U801" s="20"/>
      <c r="V801" s="20"/>
      <c r="W801" s="20"/>
      <c r="X801" s="20"/>
      <c r="Y801" s="20"/>
      <c r="Z801" s="20"/>
    </row>
    <row r="802">
      <c r="A802" s="320"/>
      <c r="B802" s="164"/>
      <c r="C802" s="320"/>
      <c r="D802" s="164"/>
      <c r="E802" s="320"/>
      <c r="F802" s="164"/>
      <c r="G802" s="320"/>
      <c r="H802" s="164"/>
      <c r="I802" s="320"/>
      <c r="J802" s="164"/>
      <c r="K802" s="320"/>
      <c r="L802" s="164"/>
      <c r="M802" s="320"/>
      <c r="N802" s="164"/>
      <c r="O802" s="320"/>
      <c r="P802" s="164"/>
      <c r="Q802" s="188"/>
      <c r="R802" s="188"/>
      <c r="S802" s="20"/>
      <c r="T802" s="20"/>
      <c r="U802" s="20"/>
      <c r="V802" s="20"/>
      <c r="W802" s="20"/>
      <c r="X802" s="20"/>
      <c r="Y802" s="20"/>
      <c r="Z802" s="20"/>
    </row>
    <row r="803">
      <c r="A803" s="320"/>
      <c r="B803" s="164"/>
      <c r="C803" s="320"/>
      <c r="D803" s="164"/>
      <c r="E803" s="320"/>
      <c r="F803" s="164"/>
      <c r="G803" s="320"/>
      <c r="H803" s="164"/>
      <c r="I803" s="320"/>
      <c r="J803" s="164"/>
      <c r="K803" s="320"/>
      <c r="L803" s="164"/>
      <c r="M803" s="320"/>
      <c r="N803" s="164"/>
      <c r="O803" s="320"/>
      <c r="P803" s="164"/>
      <c r="Q803" s="188"/>
      <c r="R803" s="188"/>
      <c r="S803" s="20"/>
      <c r="T803" s="20"/>
      <c r="U803" s="20"/>
      <c r="V803" s="20"/>
      <c r="W803" s="20"/>
      <c r="X803" s="20"/>
      <c r="Y803" s="20"/>
      <c r="Z803" s="20"/>
    </row>
    <row r="804">
      <c r="A804" s="320"/>
      <c r="B804" s="164"/>
      <c r="C804" s="320"/>
      <c r="D804" s="164"/>
      <c r="E804" s="320"/>
      <c r="F804" s="164"/>
      <c r="G804" s="320"/>
      <c r="H804" s="164"/>
      <c r="I804" s="320"/>
      <c r="J804" s="164"/>
      <c r="K804" s="320"/>
      <c r="L804" s="164"/>
      <c r="M804" s="320"/>
      <c r="N804" s="164"/>
      <c r="O804" s="320"/>
      <c r="P804" s="164"/>
      <c r="Q804" s="188"/>
      <c r="R804" s="188"/>
      <c r="S804" s="20"/>
      <c r="T804" s="20"/>
      <c r="U804" s="20"/>
      <c r="V804" s="20"/>
      <c r="W804" s="20"/>
      <c r="X804" s="20"/>
      <c r="Y804" s="20"/>
      <c r="Z804" s="20"/>
    </row>
    <row r="805">
      <c r="A805" s="320"/>
      <c r="B805" s="164"/>
      <c r="C805" s="320"/>
      <c r="D805" s="164"/>
      <c r="E805" s="320"/>
      <c r="F805" s="164"/>
      <c r="G805" s="320"/>
      <c r="H805" s="164"/>
      <c r="I805" s="320"/>
      <c r="J805" s="164"/>
      <c r="K805" s="320"/>
      <c r="L805" s="164"/>
      <c r="M805" s="320"/>
      <c r="N805" s="164"/>
      <c r="O805" s="320"/>
      <c r="P805" s="164"/>
      <c r="Q805" s="188"/>
      <c r="R805" s="188"/>
      <c r="S805" s="20"/>
      <c r="T805" s="20"/>
      <c r="U805" s="20"/>
      <c r="V805" s="20"/>
      <c r="W805" s="20"/>
      <c r="X805" s="20"/>
      <c r="Y805" s="20"/>
      <c r="Z805" s="20"/>
    </row>
    <row r="806">
      <c r="A806" s="320"/>
      <c r="B806" s="164"/>
      <c r="C806" s="320"/>
      <c r="D806" s="164"/>
      <c r="E806" s="320"/>
      <c r="F806" s="164"/>
      <c r="G806" s="320"/>
      <c r="H806" s="164"/>
      <c r="I806" s="320"/>
      <c r="J806" s="164"/>
      <c r="K806" s="320"/>
      <c r="L806" s="164"/>
      <c r="M806" s="320"/>
      <c r="N806" s="164"/>
      <c r="O806" s="320"/>
      <c r="P806" s="164"/>
      <c r="Q806" s="188"/>
      <c r="R806" s="188"/>
      <c r="S806" s="20"/>
      <c r="T806" s="20"/>
      <c r="U806" s="20"/>
      <c r="V806" s="20"/>
      <c r="W806" s="20"/>
      <c r="X806" s="20"/>
      <c r="Y806" s="20"/>
      <c r="Z806" s="20"/>
    </row>
    <row r="807">
      <c r="A807" s="320"/>
      <c r="B807" s="164"/>
      <c r="C807" s="320"/>
      <c r="D807" s="164"/>
      <c r="E807" s="320"/>
      <c r="F807" s="164"/>
      <c r="G807" s="320"/>
      <c r="H807" s="164"/>
      <c r="I807" s="320"/>
      <c r="J807" s="164"/>
      <c r="K807" s="320"/>
      <c r="L807" s="164"/>
      <c r="M807" s="320"/>
      <c r="N807" s="164"/>
      <c r="O807" s="320"/>
      <c r="P807" s="164"/>
      <c r="Q807" s="188"/>
      <c r="R807" s="188"/>
      <c r="S807" s="20"/>
      <c r="T807" s="20"/>
      <c r="U807" s="20"/>
      <c r="V807" s="20"/>
      <c r="W807" s="20"/>
      <c r="X807" s="20"/>
      <c r="Y807" s="20"/>
      <c r="Z807" s="20"/>
    </row>
    <row r="808">
      <c r="A808" s="320"/>
      <c r="B808" s="164"/>
      <c r="C808" s="320"/>
      <c r="D808" s="164"/>
      <c r="E808" s="320"/>
      <c r="F808" s="164"/>
      <c r="G808" s="320"/>
      <c r="H808" s="164"/>
      <c r="I808" s="320"/>
      <c r="J808" s="164"/>
      <c r="K808" s="320"/>
      <c r="L808" s="164"/>
      <c r="M808" s="320"/>
      <c r="N808" s="164"/>
      <c r="O808" s="320"/>
      <c r="P808" s="164"/>
      <c r="Q808" s="188"/>
      <c r="R808" s="188"/>
      <c r="S808" s="20"/>
      <c r="T808" s="20"/>
      <c r="U808" s="20"/>
      <c r="V808" s="20"/>
      <c r="W808" s="20"/>
      <c r="X808" s="20"/>
      <c r="Y808" s="20"/>
      <c r="Z808" s="20"/>
    </row>
    <row r="809">
      <c r="A809" s="320"/>
      <c r="B809" s="164"/>
      <c r="C809" s="320"/>
      <c r="D809" s="164"/>
      <c r="E809" s="320"/>
      <c r="F809" s="164"/>
      <c r="G809" s="320"/>
      <c r="H809" s="164"/>
      <c r="I809" s="320"/>
      <c r="J809" s="164"/>
      <c r="K809" s="320"/>
      <c r="L809" s="164"/>
      <c r="M809" s="320"/>
      <c r="N809" s="164"/>
      <c r="O809" s="320"/>
      <c r="P809" s="164"/>
      <c r="Q809" s="188"/>
      <c r="R809" s="188"/>
      <c r="S809" s="20"/>
      <c r="T809" s="20"/>
      <c r="U809" s="20"/>
      <c r="V809" s="20"/>
      <c r="W809" s="20"/>
      <c r="X809" s="20"/>
      <c r="Y809" s="20"/>
      <c r="Z809" s="20"/>
    </row>
    <row r="810">
      <c r="A810" s="320"/>
      <c r="B810" s="164"/>
      <c r="C810" s="320"/>
      <c r="D810" s="164"/>
      <c r="E810" s="320"/>
      <c r="F810" s="164"/>
      <c r="G810" s="320"/>
      <c r="H810" s="164"/>
      <c r="I810" s="320"/>
      <c r="J810" s="164"/>
      <c r="K810" s="320"/>
      <c r="L810" s="164"/>
      <c r="M810" s="320"/>
      <c r="N810" s="164"/>
      <c r="O810" s="320"/>
      <c r="P810" s="164"/>
      <c r="Q810" s="188"/>
      <c r="R810" s="188"/>
      <c r="S810" s="20"/>
      <c r="T810" s="20"/>
      <c r="U810" s="20"/>
      <c r="V810" s="20"/>
      <c r="W810" s="20"/>
      <c r="X810" s="20"/>
      <c r="Y810" s="20"/>
      <c r="Z810" s="20"/>
    </row>
    <row r="811">
      <c r="A811" s="320"/>
      <c r="B811" s="164"/>
      <c r="C811" s="320"/>
      <c r="D811" s="164"/>
      <c r="E811" s="320"/>
      <c r="F811" s="164"/>
      <c r="G811" s="320"/>
      <c r="H811" s="164"/>
      <c r="I811" s="320"/>
      <c r="J811" s="164"/>
      <c r="K811" s="320"/>
      <c r="L811" s="164"/>
      <c r="M811" s="320"/>
      <c r="N811" s="164"/>
      <c r="O811" s="320"/>
      <c r="P811" s="164"/>
      <c r="Q811" s="188"/>
      <c r="R811" s="188"/>
      <c r="S811" s="20"/>
      <c r="T811" s="20"/>
      <c r="U811" s="20"/>
      <c r="V811" s="20"/>
      <c r="W811" s="20"/>
      <c r="X811" s="20"/>
      <c r="Y811" s="20"/>
      <c r="Z811" s="20"/>
    </row>
    <row r="812">
      <c r="A812" s="320"/>
      <c r="B812" s="164"/>
      <c r="C812" s="320"/>
      <c r="D812" s="164"/>
      <c r="E812" s="320"/>
      <c r="F812" s="164"/>
      <c r="G812" s="320"/>
      <c r="H812" s="164"/>
      <c r="I812" s="320"/>
      <c r="J812" s="164"/>
      <c r="K812" s="320"/>
      <c r="L812" s="164"/>
      <c r="M812" s="320"/>
      <c r="N812" s="164"/>
      <c r="O812" s="320"/>
      <c r="P812" s="164"/>
      <c r="Q812" s="188"/>
      <c r="R812" s="188"/>
      <c r="S812" s="20"/>
      <c r="T812" s="20"/>
      <c r="U812" s="20"/>
      <c r="V812" s="20"/>
      <c r="W812" s="20"/>
      <c r="X812" s="20"/>
      <c r="Y812" s="20"/>
      <c r="Z812" s="20"/>
    </row>
    <row r="813">
      <c r="A813" s="320"/>
      <c r="B813" s="164"/>
      <c r="C813" s="320"/>
      <c r="D813" s="164"/>
      <c r="E813" s="320"/>
      <c r="F813" s="164"/>
      <c r="G813" s="320"/>
      <c r="H813" s="164"/>
      <c r="I813" s="320"/>
      <c r="J813" s="164"/>
      <c r="K813" s="320"/>
      <c r="L813" s="164"/>
      <c r="M813" s="320"/>
      <c r="N813" s="164"/>
      <c r="O813" s="320"/>
      <c r="P813" s="164"/>
      <c r="Q813" s="188"/>
      <c r="R813" s="188"/>
      <c r="S813" s="20"/>
      <c r="T813" s="20"/>
      <c r="U813" s="20"/>
      <c r="V813" s="20"/>
      <c r="W813" s="20"/>
      <c r="X813" s="20"/>
      <c r="Y813" s="20"/>
      <c r="Z813" s="20"/>
    </row>
    <row r="814">
      <c r="A814" s="320"/>
      <c r="B814" s="164"/>
      <c r="C814" s="320"/>
      <c r="D814" s="164"/>
      <c r="E814" s="320"/>
      <c r="F814" s="164"/>
      <c r="G814" s="320"/>
      <c r="H814" s="164"/>
      <c r="I814" s="320"/>
      <c r="J814" s="164"/>
      <c r="K814" s="320"/>
      <c r="L814" s="164"/>
      <c r="M814" s="320"/>
      <c r="N814" s="164"/>
      <c r="O814" s="320"/>
      <c r="P814" s="164"/>
      <c r="Q814" s="188"/>
      <c r="R814" s="188"/>
      <c r="S814" s="20"/>
      <c r="T814" s="20"/>
      <c r="U814" s="20"/>
      <c r="V814" s="20"/>
      <c r="W814" s="20"/>
      <c r="X814" s="20"/>
      <c r="Y814" s="20"/>
      <c r="Z814" s="20"/>
    </row>
    <row r="815">
      <c r="A815" s="320"/>
      <c r="B815" s="164"/>
      <c r="C815" s="320"/>
      <c r="D815" s="164"/>
      <c r="E815" s="320"/>
      <c r="F815" s="164"/>
      <c r="G815" s="320"/>
      <c r="H815" s="164"/>
      <c r="I815" s="320"/>
      <c r="J815" s="164"/>
      <c r="K815" s="320"/>
      <c r="L815" s="164"/>
      <c r="M815" s="320"/>
      <c r="N815" s="164"/>
      <c r="O815" s="320"/>
      <c r="P815" s="164"/>
      <c r="Q815" s="188"/>
      <c r="R815" s="188"/>
      <c r="S815" s="20"/>
      <c r="T815" s="20"/>
      <c r="U815" s="20"/>
      <c r="V815" s="20"/>
      <c r="W815" s="20"/>
      <c r="X815" s="20"/>
      <c r="Y815" s="20"/>
      <c r="Z815" s="20"/>
    </row>
    <row r="816">
      <c r="A816" s="320"/>
      <c r="B816" s="164"/>
      <c r="C816" s="320"/>
      <c r="D816" s="164"/>
      <c r="E816" s="320"/>
      <c r="F816" s="164"/>
      <c r="G816" s="320"/>
      <c r="H816" s="164"/>
      <c r="I816" s="320"/>
      <c r="J816" s="164"/>
      <c r="K816" s="320"/>
      <c r="L816" s="164"/>
      <c r="M816" s="320"/>
      <c r="N816" s="164"/>
      <c r="O816" s="320"/>
      <c r="P816" s="164"/>
      <c r="Q816" s="188"/>
      <c r="R816" s="188"/>
      <c r="S816" s="20"/>
      <c r="T816" s="20"/>
      <c r="U816" s="20"/>
      <c r="V816" s="20"/>
      <c r="W816" s="20"/>
      <c r="X816" s="20"/>
      <c r="Y816" s="20"/>
      <c r="Z816" s="20"/>
    </row>
    <row r="817">
      <c r="A817" s="320"/>
      <c r="B817" s="164"/>
      <c r="C817" s="320"/>
      <c r="D817" s="164"/>
      <c r="E817" s="320"/>
      <c r="F817" s="164"/>
      <c r="G817" s="320"/>
      <c r="H817" s="164"/>
      <c r="I817" s="320"/>
      <c r="J817" s="164"/>
      <c r="K817" s="320"/>
      <c r="L817" s="164"/>
      <c r="M817" s="320"/>
      <c r="N817" s="164"/>
      <c r="O817" s="320"/>
      <c r="P817" s="164"/>
      <c r="Q817" s="188"/>
      <c r="R817" s="188"/>
      <c r="S817" s="20"/>
      <c r="T817" s="20"/>
      <c r="U817" s="20"/>
      <c r="V817" s="20"/>
      <c r="W817" s="20"/>
      <c r="X817" s="20"/>
      <c r="Y817" s="20"/>
      <c r="Z817" s="20"/>
    </row>
    <row r="818">
      <c r="A818" s="320"/>
      <c r="B818" s="164"/>
      <c r="C818" s="320"/>
      <c r="D818" s="164"/>
      <c r="E818" s="320"/>
      <c r="F818" s="164"/>
      <c r="G818" s="320"/>
      <c r="H818" s="164"/>
      <c r="I818" s="320"/>
      <c r="J818" s="164"/>
      <c r="K818" s="320"/>
      <c r="L818" s="164"/>
      <c r="M818" s="320"/>
      <c r="N818" s="164"/>
      <c r="O818" s="320"/>
      <c r="P818" s="164"/>
      <c r="Q818" s="188"/>
      <c r="R818" s="188"/>
      <c r="S818" s="20"/>
      <c r="T818" s="20"/>
      <c r="U818" s="20"/>
      <c r="V818" s="20"/>
      <c r="W818" s="20"/>
      <c r="X818" s="20"/>
      <c r="Y818" s="20"/>
      <c r="Z818" s="20"/>
    </row>
    <row r="819">
      <c r="A819" s="320"/>
      <c r="B819" s="164"/>
      <c r="C819" s="320"/>
      <c r="D819" s="164"/>
      <c r="E819" s="320"/>
      <c r="F819" s="164"/>
      <c r="G819" s="320"/>
      <c r="H819" s="164"/>
      <c r="I819" s="320"/>
      <c r="J819" s="164"/>
      <c r="K819" s="320"/>
      <c r="L819" s="164"/>
      <c r="M819" s="320"/>
      <c r="N819" s="164"/>
      <c r="O819" s="320"/>
      <c r="P819" s="164"/>
      <c r="Q819" s="188"/>
      <c r="R819" s="188"/>
      <c r="S819" s="20"/>
      <c r="T819" s="20"/>
      <c r="U819" s="20"/>
      <c r="V819" s="20"/>
      <c r="W819" s="20"/>
      <c r="X819" s="20"/>
      <c r="Y819" s="20"/>
      <c r="Z819" s="20"/>
    </row>
    <row r="820">
      <c r="A820" s="320"/>
      <c r="B820" s="164"/>
      <c r="C820" s="320"/>
      <c r="D820" s="164"/>
      <c r="E820" s="320"/>
      <c r="F820" s="164"/>
      <c r="G820" s="320"/>
      <c r="H820" s="164"/>
      <c r="I820" s="320"/>
      <c r="J820" s="164"/>
      <c r="K820" s="320"/>
      <c r="L820" s="164"/>
      <c r="M820" s="320"/>
      <c r="N820" s="164"/>
      <c r="O820" s="320"/>
      <c r="P820" s="164"/>
      <c r="Q820" s="188"/>
      <c r="R820" s="188"/>
      <c r="S820" s="20"/>
      <c r="T820" s="20"/>
      <c r="U820" s="20"/>
      <c r="V820" s="20"/>
      <c r="W820" s="20"/>
      <c r="X820" s="20"/>
      <c r="Y820" s="20"/>
      <c r="Z820" s="20"/>
    </row>
    <row r="821">
      <c r="A821" s="320"/>
      <c r="B821" s="164"/>
      <c r="C821" s="320"/>
      <c r="D821" s="164"/>
      <c r="E821" s="320"/>
      <c r="F821" s="164"/>
      <c r="G821" s="320"/>
      <c r="H821" s="164"/>
      <c r="I821" s="320"/>
      <c r="J821" s="164"/>
      <c r="K821" s="320"/>
      <c r="L821" s="164"/>
      <c r="M821" s="320"/>
      <c r="N821" s="164"/>
      <c r="O821" s="320"/>
      <c r="P821" s="164"/>
      <c r="Q821" s="188"/>
      <c r="R821" s="188"/>
      <c r="S821" s="20"/>
      <c r="T821" s="20"/>
      <c r="U821" s="20"/>
      <c r="V821" s="20"/>
      <c r="W821" s="20"/>
      <c r="X821" s="20"/>
      <c r="Y821" s="20"/>
      <c r="Z821" s="20"/>
    </row>
    <row r="822">
      <c r="A822" s="320"/>
      <c r="B822" s="164"/>
      <c r="C822" s="320"/>
      <c r="D822" s="164"/>
      <c r="E822" s="320"/>
      <c r="F822" s="164"/>
      <c r="G822" s="320"/>
      <c r="H822" s="164"/>
      <c r="I822" s="320"/>
      <c r="J822" s="164"/>
      <c r="K822" s="320"/>
      <c r="L822" s="164"/>
      <c r="M822" s="320"/>
      <c r="N822" s="164"/>
      <c r="O822" s="320"/>
      <c r="P822" s="164"/>
      <c r="Q822" s="188"/>
      <c r="R822" s="188"/>
      <c r="S822" s="20"/>
      <c r="T822" s="20"/>
      <c r="U822" s="20"/>
      <c r="V822" s="20"/>
      <c r="W822" s="20"/>
      <c r="X822" s="20"/>
      <c r="Y822" s="20"/>
      <c r="Z822" s="20"/>
    </row>
    <row r="823">
      <c r="A823" s="320"/>
      <c r="B823" s="164"/>
      <c r="C823" s="320"/>
      <c r="D823" s="164"/>
      <c r="E823" s="320"/>
      <c r="F823" s="164"/>
      <c r="G823" s="320"/>
      <c r="H823" s="164"/>
      <c r="I823" s="320"/>
      <c r="J823" s="164"/>
      <c r="K823" s="320"/>
      <c r="L823" s="164"/>
      <c r="M823" s="320"/>
      <c r="N823" s="164"/>
      <c r="O823" s="320"/>
      <c r="P823" s="164"/>
      <c r="Q823" s="188"/>
      <c r="R823" s="188"/>
      <c r="S823" s="20"/>
      <c r="T823" s="20"/>
      <c r="U823" s="20"/>
      <c r="V823" s="20"/>
      <c r="W823" s="20"/>
      <c r="X823" s="20"/>
      <c r="Y823" s="20"/>
      <c r="Z823" s="20"/>
    </row>
    <row r="824">
      <c r="A824" s="320"/>
      <c r="B824" s="164"/>
      <c r="C824" s="320"/>
      <c r="D824" s="164"/>
      <c r="E824" s="320"/>
      <c r="F824" s="164"/>
      <c r="G824" s="320"/>
      <c r="H824" s="164"/>
      <c r="I824" s="320"/>
      <c r="J824" s="164"/>
      <c r="K824" s="320"/>
      <c r="L824" s="164"/>
      <c r="M824" s="320"/>
      <c r="N824" s="164"/>
      <c r="O824" s="320"/>
      <c r="P824" s="164"/>
      <c r="Q824" s="188"/>
      <c r="R824" s="188"/>
      <c r="S824" s="20"/>
      <c r="T824" s="20"/>
      <c r="U824" s="20"/>
      <c r="V824" s="20"/>
      <c r="W824" s="20"/>
      <c r="X824" s="20"/>
      <c r="Y824" s="20"/>
      <c r="Z824" s="20"/>
    </row>
    <row r="825">
      <c r="A825" s="320"/>
      <c r="B825" s="164"/>
      <c r="C825" s="320"/>
      <c r="D825" s="164"/>
      <c r="E825" s="320"/>
      <c r="F825" s="164"/>
      <c r="G825" s="320"/>
      <c r="H825" s="164"/>
      <c r="I825" s="320"/>
      <c r="J825" s="164"/>
      <c r="K825" s="320"/>
      <c r="L825" s="164"/>
      <c r="M825" s="320"/>
      <c r="N825" s="164"/>
      <c r="O825" s="320"/>
      <c r="P825" s="164"/>
      <c r="Q825" s="188"/>
      <c r="R825" s="188"/>
      <c r="S825" s="20"/>
      <c r="T825" s="20"/>
      <c r="U825" s="20"/>
      <c r="V825" s="20"/>
      <c r="W825" s="20"/>
      <c r="X825" s="20"/>
      <c r="Y825" s="20"/>
      <c r="Z825" s="20"/>
    </row>
    <row r="826">
      <c r="A826" s="320"/>
      <c r="B826" s="164"/>
      <c r="C826" s="320"/>
      <c r="D826" s="164"/>
      <c r="E826" s="320"/>
      <c r="F826" s="164"/>
      <c r="G826" s="320"/>
      <c r="H826" s="164"/>
      <c r="I826" s="320"/>
      <c r="J826" s="164"/>
      <c r="K826" s="320"/>
      <c r="L826" s="164"/>
      <c r="M826" s="320"/>
      <c r="N826" s="164"/>
      <c r="O826" s="320"/>
      <c r="P826" s="164"/>
      <c r="Q826" s="188"/>
      <c r="R826" s="188"/>
      <c r="S826" s="20"/>
      <c r="T826" s="20"/>
      <c r="U826" s="20"/>
      <c r="V826" s="20"/>
      <c r="W826" s="20"/>
      <c r="X826" s="20"/>
      <c r="Y826" s="20"/>
      <c r="Z826" s="20"/>
    </row>
    <row r="827">
      <c r="A827" s="320"/>
      <c r="B827" s="164"/>
      <c r="C827" s="320"/>
      <c r="D827" s="164"/>
      <c r="E827" s="320"/>
      <c r="F827" s="164"/>
      <c r="G827" s="320"/>
      <c r="H827" s="164"/>
      <c r="I827" s="320"/>
      <c r="J827" s="164"/>
      <c r="K827" s="320"/>
      <c r="L827" s="164"/>
      <c r="M827" s="320"/>
      <c r="N827" s="164"/>
      <c r="O827" s="320"/>
      <c r="P827" s="164"/>
      <c r="Q827" s="188"/>
      <c r="R827" s="188"/>
      <c r="S827" s="20"/>
      <c r="T827" s="20"/>
      <c r="U827" s="20"/>
      <c r="V827" s="20"/>
      <c r="W827" s="20"/>
      <c r="X827" s="20"/>
      <c r="Y827" s="20"/>
      <c r="Z827" s="20"/>
    </row>
    <row r="828">
      <c r="A828" s="320"/>
      <c r="B828" s="164"/>
      <c r="C828" s="320"/>
      <c r="D828" s="164"/>
      <c r="E828" s="320"/>
      <c r="F828" s="164"/>
      <c r="G828" s="320"/>
      <c r="H828" s="164"/>
      <c r="I828" s="320"/>
      <c r="J828" s="164"/>
      <c r="K828" s="320"/>
      <c r="L828" s="164"/>
      <c r="M828" s="320"/>
      <c r="N828" s="164"/>
      <c r="O828" s="320"/>
      <c r="P828" s="164"/>
      <c r="Q828" s="188"/>
      <c r="R828" s="188"/>
      <c r="S828" s="20"/>
      <c r="T828" s="20"/>
      <c r="U828" s="20"/>
      <c r="V828" s="20"/>
      <c r="W828" s="20"/>
      <c r="X828" s="20"/>
      <c r="Y828" s="20"/>
      <c r="Z828" s="20"/>
    </row>
    <row r="829">
      <c r="A829" s="320"/>
      <c r="B829" s="164"/>
      <c r="C829" s="320"/>
      <c r="D829" s="164"/>
      <c r="E829" s="320"/>
      <c r="F829" s="164"/>
      <c r="G829" s="320"/>
      <c r="H829" s="164"/>
      <c r="I829" s="320"/>
      <c r="J829" s="164"/>
      <c r="K829" s="320"/>
      <c r="L829" s="164"/>
      <c r="M829" s="320"/>
      <c r="N829" s="164"/>
      <c r="O829" s="320"/>
      <c r="P829" s="164"/>
      <c r="Q829" s="188"/>
      <c r="R829" s="188"/>
      <c r="S829" s="20"/>
      <c r="T829" s="20"/>
      <c r="U829" s="20"/>
      <c r="V829" s="20"/>
      <c r="W829" s="20"/>
      <c r="X829" s="20"/>
      <c r="Y829" s="20"/>
      <c r="Z829" s="20"/>
    </row>
    <row r="830">
      <c r="A830" s="320"/>
      <c r="B830" s="164"/>
      <c r="C830" s="320"/>
      <c r="D830" s="164"/>
      <c r="E830" s="320"/>
      <c r="F830" s="164"/>
      <c r="G830" s="320"/>
      <c r="H830" s="164"/>
      <c r="I830" s="320"/>
      <c r="J830" s="164"/>
      <c r="K830" s="320"/>
      <c r="L830" s="164"/>
      <c r="M830" s="320"/>
      <c r="N830" s="164"/>
      <c r="O830" s="320"/>
      <c r="P830" s="164"/>
      <c r="Q830" s="188"/>
      <c r="R830" s="188"/>
      <c r="S830" s="20"/>
      <c r="T830" s="20"/>
      <c r="U830" s="20"/>
      <c r="V830" s="20"/>
      <c r="W830" s="20"/>
      <c r="X830" s="20"/>
      <c r="Y830" s="20"/>
      <c r="Z830" s="20"/>
    </row>
    <row r="831">
      <c r="A831" s="320"/>
      <c r="B831" s="164"/>
      <c r="C831" s="320"/>
      <c r="D831" s="164"/>
      <c r="E831" s="320"/>
      <c r="F831" s="164"/>
      <c r="G831" s="320"/>
      <c r="H831" s="164"/>
      <c r="I831" s="320"/>
      <c r="J831" s="164"/>
      <c r="K831" s="320"/>
      <c r="L831" s="164"/>
      <c r="M831" s="320"/>
      <c r="N831" s="164"/>
      <c r="O831" s="320"/>
      <c r="P831" s="164"/>
      <c r="Q831" s="188"/>
      <c r="R831" s="188"/>
      <c r="S831" s="20"/>
      <c r="T831" s="20"/>
      <c r="U831" s="20"/>
      <c r="V831" s="20"/>
      <c r="W831" s="20"/>
      <c r="X831" s="20"/>
      <c r="Y831" s="20"/>
      <c r="Z831" s="20"/>
    </row>
    <row r="832">
      <c r="A832" s="320"/>
      <c r="B832" s="164"/>
      <c r="C832" s="320"/>
      <c r="D832" s="164"/>
      <c r="E832" s="320"/>
      <c r="F832" s="164"/>
      <c r="G832" s="320"/>
      <c r="H832" s="164"/>
      <c r="I832" s="320"/>
      <c r="J832" s="164"/>
      <c r="K832" s="320"/>
      <c r="L832" s="164"/>
      <c r="M832" s="320"/>
      <c r="N832" s="164"/>
      <c r="O832" s="320"/>
      <c r="P832" s="164"/>
      <c r="Q832" s="188"/>
      <c r="R832" s="188"/>
      <c r="S832" s="20"/>
      <c r="T832" s="20"/>
      <c r="U832" s="20"/>
      <c r="V832" s="20"/>
      <c r="W832" s="20"/>
      <c r="X832" s="20"/>
      <c r="Y832" s="20"/>
      <c r="Z832" s="20"/>
    </row>
    <row r="833">
      <c r="A833" s="320"/>
      <c r="B833" s="164"/>
      <c r="C833" s="320"/>
      <c r="D833" s="164"/>
      <c r="E833" s="320"/>
      <c r="F833" s="164"/>
      <c r="G833" s="320"/>
      <c r="H833" s="164"/>
      <c r="I833" s="320"/>
      <c r="J833" s="164"/>
      <c r="K833" s="320"/>
      <c r="L833" s="164"/>
      <c r="M833" s="320"/>
      <c r="N833" s="164"/>
      <c r="O833" s="320"/>
      <c r="P833" s="164"/>
      <c r="Q833" s="188"/>
      <c r="R833" s="188"/>
      <c r="S833" s="20"/>
      <c r="T833" s="20"/>
      <c r="U833" s="20"/>
      <c r="V833" s="20"/>
      <c r="W833" s="20"/>
      <c r="X833" s="20"/>
      <c r="Y833" s="20"/>
      <c r="Z833" s="20"/>
    </row>
    <row r="834">
      <c r="A834" s="320"/>
      <c r="B834" s="164"/>
      <c r="C834" s="320"/>
      <c r="D834" s="164"/>
      <c r="E834" s="320"/>
      <c r="F834" s="164"/>
      <c r="G834" s="320"/>
      <c r="H834" s="164"/>
      <c r="I834" s="320"/>
      <c r="J834" s="164"/>
      <c r="K834" s="320"/>
      <c r="L834" s="164"/>
      <c r="M834" s="320"/>
      <c r="N834" s="164"/>
      <c r="O834" s="320"/>
      <c r="P834" s="164"/>
      <c r="Q834" s="188"/>
      <c r="R834" s="188"/>
      <c r="S834" s="20"/>
      <c r="T834" s="20"/>
      <c r="U834" s="20"/>
      <c r="V834" s="20"/>
      <c r="W834" s="20"/>
      <c r="X834" s="20"/>
      <c r="Y834" s="20"/>
      <c r="Z834" s="20"/>
    </row>
    <row r="835">
      <c r="A835" s="320"/>
      <c r="B835" s="164"/>
      <c r="C835" s="320"/>
      <c r="D835" s="164"/>
      <c r="E835" s="320"/>
      <c r="F835" s="164"/>
      <c r="G835" s="320"/>
      <c r="H835" s="164"/>
      <c r="I835" s="320"/>
      <c r="J835" s="164"/>
      <c r="K835" s="320"/>
      <c r="L835" s="164"/>
      <c r="M835" s="320"/>
      <c r="N835" s="164"/>
      <c r="O835" s="320"/>
      <c r="P835" s="164"/>
      <c r="Q835" s="188"/>
      <c r="R835" s="188"/>
      <c r="S835" s="20"/>
      <c r="T835" s="20"/>
      <c r="U835" s="20"/>
      <c r="V835" s="20"/>
      <c r="W835" s="20"/>
      <c r="X835" s="20"/>
      <c r="Y835" s="20"/>
      <c r="Z835" s="20"/>
    </row>
    <row r="836">
      <c r="A836" s="320"/>
      <c r="B836" s="164"/>
      <c r="C836" s="320"/>
      <c r="D836" s="164"/>
      <c r="E836" s="320"/>
      <c r="F836" s="164"/>
      <c r="G836" s="320"/>
      <c r="H836" s="164"/>
      <c r="I836" s="320"/>
      <c r="J836" s="164"/>
      <c r="K836" s="320"/>
      <c r="L836" s="164"/>
      <c r="M836" s="320"/>
      <c r="N836" s="164"/>
      <c r="O836" s="320"/>
      <c r="P836" s="164"/>
      <c r="Q836" s="188"/>
      <c r="R836" s="188"/>
      <c r="S836" s="20"/>
      <c r="T836" s="20"/>
      <c r="U836" s="20"/>
      <c r="V836" s="20"/>
      <c r="W836" s="20"/>
      <c r="X836" s="20"/>
      <c r="Y836" s="20"/>
      <c r="Z836" s="20"/>
    </row>
    <row r="837">
      <c r="A837" s="320"/>
      <c r="B837" s="164"/>
      <c r="C837" s="320"/>
      <c r="D837" s="164"/>
      <c r="E837" s="320"/>
      <c r="F837" s="164"/>
      <c r="G837" s="320"/>
      <c r="H837" s="164"/>
      <c r="I837" s="320"/>
      <c r="J837" s="164"/>
      <c r="K837" s="320"/>
      <c r="L837" s="164"/>
      <c r="M837" s="320"/>
      <c r="N837" s="164"/>
      <c r="O837" s="320"/>
      <c r="P837" s="164"/>
      <c r="Q837" s="188"/>
      <c r="R837" s="188"/>
      <c r="S837" s="20"/>
      <c r="T837" s="20"/>
      <c r="U837" s="20"/>
      <c r="V837" s="20"/>
      <c r="W837" s="20"/>
      <c r="X837" s="20"/>
      <c r="Y837" s="20"/>
      <c r="Z837" s="20"/>
    </row>
    <row r="838">
      <c r="A838" s="320"/>
      <c r="B838" s="164"/>
      <c r="C838" s="320"/>
      <c r="D838" s="164"/>
      <c r="E838" s="320"/>
      <c r="F838" s="164"/>
      <c r="G838" s="320"/>
      <c r="H838" s="164"/>
      <c r="I838" s="320"/>
      <c r="J838" s="164"/>
      <c r="K838" s="320"/>
      <c r="L838" s="164"/>
      <c r="M838" s="320"/>
      <c r="N838" s="164"/>
      <c r="O838" s="320"/>
      <c r="P838" s="164"/>
      <c r="Q838" s="188"/>
      <c r="R838" s="188"/>
      <c r="S838" s="20"/>
      <c r="T838" s="20"/>
      <c r="U838" s="20"/>
      <c r="V838" s="20"/>
      <c r="W838" s="20"/>
      <c r="X838" s="20"/>
      <c r="Y838" s="20"/>
      <c r="Z838" s="20"/>
    </row>
    <row r="839">
      <c r="A839" s="320"/>
      <c r="B839" s="164"/>
      <c r="C839" s="320"/>
      <c r="D839" s="164"/>
      <c r="E839" s="320"/>
      <c r="F839" s="164"/>
      <c r="G839" s="320"/>
      <c r="H839" s="164"/>
      <c r="I839" s="320"/>
      <c r="J839" s="164"/>
      <c r="K839" s="320"/>
      <c r="L839" s="164"/>
      <c r="M839" s="320"/>
      <c r="N839" s="164"/>
      <c r="O839" s="320"/>
      <c r="P839" s="164"/>
      <c r="Q839" s="188"/>
      <c r="R839" s="188"/>
      <c r="S839" s="20"/>
      <c r="T839" s="20"/>
      <c r="U839" s="20"/>
      <c r="V839" s="20"/>
      <c r="W839" s="20"/>
      <c r="X839" s="20"/>
      <c r="Y839" s="20"/>
      <c r="Z839" s="20"/>
    </row>
    <row r="840">
      <c r="A840" s="320"/>
      <c r="B840" s="164"/>
      <c r="C840" s="320"/>
      <c r="D840" s="164"/>
      <c r="E840" s="320"/>
      <c r="F840" s="164"/>
      <c r="G840" s="320"/>
      <c r="H840" s="164"/>
      <c r="I840" s="320"/>
      <c r="J840" s="164"/>
      <c r="K840" s="320"/>
      <c r="L840" s="164"/>
      <c r="M840" s="320"/>
      <c r="N840" s="164"/>
      <c r="O840" s="320"/>
      <c r="P840" s="164"/>
      <c r="Q840" s="188"/>
      <c r="R840" s="188"/>
      <c r="S840" s="20"/>
      <c r="T840" s="20"/>
      <c r="U840" s="20"/>
      <c r="V840" s="20"/>
      <c r="W840" s="20"/>
      <c r="X840" s="20"/>
      <c r="Y840" s="20"/>
      <c r="Z840" s="20"/>
    </row>
    <row r="841">
      <c r="A841" s="320"/>
      <c r="B841" s="164"/>
      <c r="C841" s="320"/>
      <c r="D841" s="164"/>
      <c r="E841" s="320"/>
      <c r="F841" s="164"/>
      <c r="G841" s="320"/>
      <c r="H841" s="164"/>
      <c r="I841" s="320"/>
      <c r="J841" s="164"/>
      <c r="K841" s="320"/>
      <c r="L841" s="164"/>
      <c r="M841" s="320"/>
      <c r="N841" s="164"/>
      <c r="O841" s="320"/>
      <c r="P841" s="164"/>
      <c r="Q841" s="188"/>
      <c r="R841" s="188"/>
      <c r="S841" s="20"/>
      <c r="T841" s="20"/>
      <c r="U841" s="20"/>
      <c r="V841" s="20"/>
      <c r="W841" s="20"/>
      <c r="X841" s="20"/>
      <c r="Y841" s="20"/>
      <c r="Z841" s="20"/>
    </row>
    <row r="842">
      <c r="A842" s="320"/>
      <c r="B842" s="164"/>
      <c r="C842" s="320"/>
      <c r="D842" s="164"/>
      <c r="E842" s="320"/>
      <c r="F842" s="164"/>
      <c r="G842" s="320"/>
      <c r="H842" s="164"/>
      <c r="I842" s="320"/>
      <c r="J842" s="164"/>
      <c r="K842" s="320"/>
      <c r="L842" s="164"/>
      <c r="M842" s="320"/>
      <c r="N842" s="164"/>
      <c r="O842" s="320"/>
      <c r="P842" s="164"/>
      <c r="Q842" s="188"/>
      <c r="R842" s="188"/>
      <c r="S842" s="20"/>
      <c r="T842" s="20"/>
      <c r="U842" s="20"/>
      <c r="V842" s="20"/>
      <c r="W842" s="20"/>
      <c r="X842" s="20"/>
      <c r="Y842" s="20"/>
      <c r="Z842" s="20"/>
    </row>
    <row r="843">
      <c r="A843" s="320"/>
      <c r="B843" s="164"/>
      <c r="C843" s="320"/>
      <c r="D843" s="164"/>
      <c r="E843" s="320"/>
      <c r="F843" s="164"/>
      <c r="G843" s="320"/>
      <c r="H843" s="164"/>
      <c r="I843" s="320"/>
      <c r="J843" s="164"/>
      <c r="K843" s="320"/>
      <c r="L843" s="164"/>
      <c r="M843" s="320"/>
      <c r="N843" s="164"/>
      <c r="O843" s="320"/>
      <c r="P843" s="164"/>
      <c r="Q843" s="188"/>
      <c r="R843" s="188"/>
      <c r="S843" s="20"/>
      <c r="T843" s="20"/>
      <c r="U843" s="20"/>
      <c r="V843" s="20"/>
      <c r="W843" s="20"/>
      <c r="X843" s="20"/>
      <c r="Y843" s="20"/>
      <c r="Z843" s="20"/>
    </row>
    <row r="844">
      <c r="A844" s="320"/>
      <c r="B844" s="164"/>
      <c r="C844" s="320"/>
      <c r="D844" s="164"/>
      <c r="E844" s="320"/>
      <c r="F844" s="164"/>
      <c r="G844" s="320"/>
      <c r="H844" s="164"/>
      <c r="I844" s="320"/>
      <c r="J844" s="164"/>
      <c r="K844" s="320"/>
      <c r="L844" s="164"/>
      <c r="M844" s="320"/>
      <c r="N844" s="164"/>
      <c r="O844" s="320"/>
      <c r="P844" s="164"/>
      <c r="Q844" s="188"/>
      <c r="R844" s="188"/>
      <c r="S844" s="20"/>
      <c r="T844" s="20"/>
      <c r="U844" s="20"/>
      <c r="V844" s="20"/>
      <c r="W844" s="20"/>
      <c r="X844" s="20"/>
      <c r="Y844" s="20"/>
      <c r="Z844" s="20"/>
    </row>
    <row r="845">
      <c r="A845" s="320"/>
      <c r="B845" s="164"/>
      <c r="C845" s="320"/>
      <c r="D845" s="164"/>
      <c r="E845" s="320"/>
      <c r="F845" s="164"/>
      <c r="G845" s="320"/>
      <c r="H845" s="164"/>
      <c r="I845" s="320"/>
      <c r="J845" s="164"/>
      <c r="K845" s="320"/>
      <c r="L845" s="164"/>
      <c r="M845" s="320"/>
      <c r="N845" s="164"/>
      <c r="O845" s="320"/>
      <c r="P845" s="164"/>
      <c r="Q845" s="188"/>
      <c r="R845" s="188"/>
      <c r="S845" s="20"/>
      <c r="T845" s="20"/>
      <c r="U845" s="20"/>
      <c r="V845" s="20"/>
      <c r="W845" s="20"/>
      <c r="X845" s="20"/>
      <c r="Y845" s="20"/>
      <c r="Z845" s="20"/>
    </row>
    <row r="846">
      <c r="A846" s="320"/>
      <c r="B846" s="164"/>
      <c r="C846" s="320"/>
      <c r="D846" s="164"/>
      <c r="E846" s="320"/>
      <c r="F846" s="164"/>
      <c r="G846" s="320"/>
      <c r="H846" s="164"/>
      <c r="I846" s="320"/>
      <c r="J846" s="164"/>
      <c r="K846" s="320"/>
      <c r="L846" s="164"/>
      <c r="M846" s="320"/>
      <c r="N846" s="164"/>
      <c r="O846" s="320"/>
      <c r="P846" s="164"/>
      <c r="Q846" s="188"/>
      <c r="R846" s="188"/>
      <c r="S846" s="20"/>
      <c r="T846" s="20"/>
      <c r="U846" s="20"/>
      <c r="V846" s="20"/>
      <c r="W846" s="20"/>
      <c r="X846" s="20"/>
      <c r="Y846" s="20"/>
      <c r="Z846" s="20"/>
    </row>
    <row r="847">
      <c r="A847" s="320"/>
      <c r="B847" s="164"/>
      <c r="C847" s="320"/>
      <c r="D847" s="164"/>
      <c r="E847" s="320"/>
      <c r="F847" s="164"/>
      <c r="G847" s="320"/>
      <c r="H847" s="164"/>
      <c r="I847" s="320"/>
      <c r="J847" s="164"/>
      <c r="K847" s="320"/>
      <c r="L847" s="164"/>
      <c r="M847" s="320"/>
      <c r="N847" s="164"/>
      <c r="O847" s="320"/>
      <c r="P847" s="164"/>
      <c r="Q847" s="188"/>
      <c r="R847" s="188"/>
      <c r="S847" s="20"/>
      <c r="T847" s="20"/>
      <c r="U847" s="20"/>
      <c r="V847" s="20"/>
      <c r="W847" s="20"/>
      <c r="X847" s="20"/>
      <c r="Y847" s="20"/>
      <c r="Z847" s="20"/>
    </row>
    <row r="848">
      <c r="A848" s="320"/>
      <c r="B848" s="164"/>
      <c r="C848" s="320"/>
      <c r="D848" s="164"/>
      <c r="E848" s="320"/>
      <c r="F848" s="164"/>
      <c r="G848" s="320"/>
      <c r="H848" s="164"/>
      <c r="I848" s="320"/>
      <c r="J848" s="164"/>
      <c r="K848" s="320"/>
      <c r="L848" s="164"/>
      <c r="M848" s="320"/>
      <c r="N848" s="164"/>
      <c r="O848" s="320"/>
      <c r="P848" s="164"/>
      <c r="Q848" s="188"/>
      <c r="R848" s="188"/>
      <c r="S848" s="20"/>
      <c r="T848" s="20"/>
      <c r="U848" s="20"/>
      <c r="V848" s="20"/>
      <c r="W848" s="20"/>
      <c r="X848" s="20"/>
      <c r="Y848" s="20"/>
      <c r="Z848" s="20"/>
    </row>
    <row r="849">
      <c r="A849" s="320"/>
      <c r="B849" s="164"/>
      <c r="C849" s="320"/>
      <c r="D849" s="164"/>
      <c r="E849" s="320"/>
      <c r="F849" s="164"/>
      <c r="G849" s="320"/>
      <c r="H849" s="164"/>
      <c r="I849" s="320"/>
      <c r="J849" s="164"/>
      <c r="K849" s="320"/>
      <c r="L849" s="164"/>
      <c r="M849" s="320"/>
      <c r="N849" s="164"/>
      <c r="O849" s="320"/>
      <c r="P849" s="164"/>
      <c r="Q849" s="188"/>
      <c r="R849" s="188"/>
      <c r="S849" s="20"/>
      <c r="T849" s="20"/>
      <c r="U849" s="20"/>
      <c r="V849" s="20"/>
      <c r="W849" s="20"/>
      <c r="X849" s="20"/>
      <c r="Y849" s="20"/>
      <c r="Z849" s="20"/>
    </row>
    <row r="850">
      <c r="A850" s="320"/>
      <c r="B850" s="164"/>
      <c r="C850" s="320"/>
      <c r="D850" s="164"/>
      <c r="E850" s="320"/>
      <c r="F850" s="164"/>
      <c r="G850" s="320"/>
      <c r="H850" s="164"/>
      <c r="I850" s="320"/>
      <c r="J850" s="164"/>
      <c r="K850" s="320"/>
      <c r="L850" s="164"/>
      <c r="M850" s="320"/>
      <c r="N850" s="164"/>
      <c r="O850" s="320"/>
      <c r="P850" s="164"/>
      <c r="Q850" s="188"/>
      <c r="R850" s="188"/>
      <c r="S850" s="20"/>
      <c r="T850" s="20"/>
      <c r="U850" s="20"/>
      <c r="V850" s="20"/>
      <c r="W850" s="20"/>
      <c r="X850" s="20"/>
      <c r="Y850" s="20"/>
      <c r="Z850" s="20"/>
    </row>
    <row r="851">
      <c r="A851" s="320"/>
      <c r="B851" s="164"/>
      <c r="C851" s="320"/>
      <c r="D851" s="164"/>
      <c r="E851" s="320"/>
      <c r="F851" s="164"/>
      <c r="G851" s="320"/>
      <c r="H851" s="164"/>
      <c r="I851" s="320"/>
      <c r="J851" s="164"/>
      <c r="K851" s="320"/>
      <c r="L851" s="164"/>
      <c r="M851" s="320"/>
      <c r="N851" s="164"/>
      <c r="O851" s="320"/>
      <c r="P851" s="164"/>
      <c r="Q851" s="188"/>
      <c r="R851" s="188"/>
      <c r="S851" s="20"/>
      <c r="T851" s="20"/>
      <c r="U851" s="20"/>
      <c r="V851" s="20"/>
      <c r="W851" s="20"/>
      <c r="X851" s="20"/>
      <c r="Y851" s="20"/>
      <c r="Z851" s="20"/>
    </row>
    <row r="852">
      <c r="A852" s="320"/>
      <c r="B852" s="164"/>
      <c r="C852" s="320"/>
      <c r="D852" s="164"/>
      <c r="E852" s="320"/>
      <c r="F852" s="164"/>
      <c r="G852" s="320"/>
      <c r="H852" s="164"/>
      <c r="I852" s="320"/>
      <c r="J852" s="164"/>
      <c r="K852" s="320"/>
      <c r="L852" s="164"/>
      <c r="M852" s="320"/>
      <c r="N852" s="164"/>
      <c r="O852" s="320"/>
      <c r="P852" s="164"/>
      <c r="Q852" s="188"/>
      <c r="R852" s="188"/>
      <c r="S852" s="20"/>
      <c r="T852" s="20"/>
      <c r="U852" s="20"/>
      <c r="V852" s="20"/>
      <c r="W852" s="20"/>
      <c r="X852" s="20"/>
      <c r="Y852" s="20"/>
      <c r="Z852" s="20"/>
    </row>
    <row r="853">
      <c r="A853" s="320"/>
      <c r="B853" s="164"/>
      <c r="C853" s="320"/>
      <c r="D853" s="164"/>
      <c r="E853" s="320"/>
      <c r="F853" s="164"/>
      <c r="G853" s="320"/>
      <c r="H853" s="164"/>
      <c r="I853" s="320"/>
      <c r="J853" s="164"/>
      <c r="K853" s="320"/>
      <c r="L853" s="164"/>
      <c r="M853" s="320"/>
      <c r="N853" s="164"/>
      <c r="O853" s="320"/>
      <c r="P853" s="164"/>
      <c r="Q853" s="188"/>
      <c r="R853" s="188"/>
      <c r="S853" s="20"/>
      <c r="T853" s="20"/>
      <c r="U853" s="20"/>
      <c r="V853" s="20"/>
      <c r="W853" s="20"/>
      <c r="X853" s="20"/>
      <c r="Y853" s="20"/>
      <c r="Z853" s="20"/>
    </row>
    <row r="854">
      <c r="A854" s="320"/>
      <c r="B854" s="164"/>
      <c r="C854" s="320"/>
      <c r="D854" s="164"/>
      <c r="E854" s="320"/>
      <c r="F854" s="164"/>
      <c r="G854" s="320"/>
      <c r="H854" s="164"/>
      <c r="I854" s="320"/>
      <c r="J854" s="164"/>
      <c r="K854" s="320"/>
      <c r="L854" s="164"/>
      <c r="M854" s="320"/>
      <c r="N854" s="164"/>
      <c r="O854" s="320"/>
      <c r="P854" s="164"/>
      <c r="Q854" s="188"/>
      <c r="R854" s="188"/>
      <c r="S854" s="20"/>
      <c r="T854" s="20"/>
      <c r="U854" s="20"/>
      <c r="V854" s="20"/>
      <c r="W854" s="20"/>
      <c r="X854" s="20"/>
      <c r="Y854" s="20"/>
      <c r="Z854" s="20"/>
    </row>
    <row r="855">
      <c r="A855" s="320"/>
      <c r="B855" s="164"/>
      <c r="C855" s="320"/>
      <c r="D855" s="164"/>
      <c r="E855" s="320"/>
      <c r="F855" s="164"/>
      <c r="G855" s="320"/>
      <c r="H855" s="164"/>
      <c r="I855" s="320"/>
      <c r="J855" s="164"/>
      <c r="K855" s="320"/>
      <c r="L855" s="164"/>
      <c r="M855" s="320"/>
      <c r="N855" s="164"/>
      <c r="O855" s="320"/>
      <c r="P855" s="164"/>
      <c r="Q855" s="188"/>
      <c r="R855" s="188"/>
      <c r="S855" s="20"/>
      <c r="T855" s="20"/>
      <c r="U855" s="20"/>
      <c r="V855" s="20"/>
      <c r="W855" s="20"/>
      <c r="X855" s="20"/>
      <c r="Y855" s="20"/>
      <c r="Z855" s="20"/>
    </row>
    <row r="856">
      <c r="A856" s="320"/>
      <c r="B856" s="164"/>
      <c r="C856" s="320"/>
      <c r="D856" s="164"/>
      <c r="E856" s="320"/>
      <c r="F856" s="164"/>
      <c r="G856" s="320"/>
      <c r="H856" s="164"/>
      <c r="I856" s="320"/>
      <c r="J856" s="164"/>
      <c r="K856" s="320"/>
      <c r="L856" s="164"/>
      <c r="M856" s="320"/>
      <c r="N856" s="164"/>
      <c r="O856" s="320"/>
      <c r="P856" s="164"/>
      <c r="Q856" s="188"/>
      <c r="R856" s="188"/>
      <c r="S856" s="20"/>
      <c r="T856" s="20"/>
      <c r="U856" s="20"/>
      <c r="V856" s="20"/>
      <c r="W856" s="20"/>
      <c r="X856" s="20"/>
      <c r="Y856" s="20"/>
      <c r="Z856" s="20"/>
    </row>
    <row r="857">
      <c r="A857" s="320"/>
      <c r="B857" s="164"/>
      <c r="C857" s="320"/>
      <c r="D857" s="164"/>
      <c r="E857" s="320"/>
      <c r="F857" s="164"/>
      <c r="G857" s="320"/>
      <c r="H857" s="164"/>
      <c r="I857" s="320"/>
      <c r="J857" s="164"/>
      <c r="K857" s="320"/>
      <c r="L857" s="164"/>
      <c r="M857" s="320"/>
      <c r="N857" s="164"/>
      <c r="O857" s="320"/>
      <c r="P857" s="164"/>
      <c r="Q857" s="188"/>
      <c r="R857" s="188"/>
      <c r="S857" s="20"/>
      <c r="T857" s="20"/>
      <c r="U857" s="20"/>
      <c r="V857" s="20"/>
      <c r="W857" s="20"/>
      <c r="X857" s="20"/>
      <c r="Y857" s="20"/>
      <c r="Z857" s="20"/>
    </row>
    <row r="858">
      <c r="A858" s="320"/>
      <c r="B858" s="164"/>
      <c r="C858" s="320"/>
      <c r="D858" s="164"/>
      <c r="E858" s="320"/>
      <c r="F858" s="164"/>
      <c r="G858" s="320"/>
      <c r="H858" s="164"/>
      <c r="I858" s="320"/>
      <c r="J858" s="164"/>
      <c r="K858" s="320"/>
      <c r="L858" s="164"/>
      <c r="M858" s="320"/>
      <c r="N858" s="164"/>
      <c r="O858" s="320"/>
      <c r="P858" s="164"/>
      <c r="Q858" s="188"/>
      <c r="R858" s="188"/>
      <c r="S858" s="20"/>
      <c r="T858" s="20"/>
      <c r="U858" s="20"/>
      <c r="V858" s="20"/>
      <c r="W858" s="20"/>
      <c r="X858" s="20"/>
      <c r="Y858" s="20"/>
      <c r="Z858" s="20"/>
    </row>
    <row r="859">
      <c r="A859" s="320"/>
      <c r="B859" s="164"/>
      <c r="C859" s="320"/>
      <c r="D859" s="164"/>
      <c r="E859" s="320"/>
      <c r="F859" s="164"/>
      <c r="G859" s="320"/>
      <c r="H859" s="164"/>
      <c r="I859" s="320"/>
      <c r="J859" s="164"/>
      <c r="K859" s="320"/>
      <c r="L859" s="164"/>
      <c r="M859" s="320"/>
      <c r="N859" s="164"/>
      <c r="O859" s="320"/>
      <c r="P859" s="164"/>
      <c r="Q859" s="188"/>
      <c r="R859" s="188"/>
      <c r="S859" s="20"/>
      <c r="T859" s="20"/>
      <c r="U859" s="20"/>
      <c r="V859" s="20"/>
      <c r="W859" s="20"/>
      <c r="X859" s="20"/>
      <c r="Y859" s="20"/>
      <c r="Z859" s="20"/>
    </row>
    <row r="860">
      <c r="A860" s="320"/>
      <c r="B860" s="164"/>
      <c r="C860" s="320"/>
      <c r="D860" s="164"/>
      <c r="E860" s="320"/>
      <c r="F860" s="164"/>
      <c r="G860" s="320"/>
      <c r="H860" s="164"/>
      <c r="I860" s="320"/>
      <c r="J860" s="164"/>
      <c r="K860" s="320"/>
      <c r="L860" s="164"/>
      <c r="M860" s="320"/>
      <c r="N860" s="164"/>
      <c r="O860" s="320"/>
      <c r="P860" s="164"/>
      <c r="Q860" s="188"/>
      <c r="R860" s="188"/>
      <c r="S860" s="20"/>
      <c r="T860" s="20"/>
      <c r="U860" s="20"/>
      <c r="V860" s="20"/>
      <c r="W860" s="20"/>
      <c r="X860" s="20"/>
      <c r="Y860" s="20"/>
      <c r="Z860" s="20"/>
    </row>
    <row r="861">
      <c r="A861" s="320"/>
      <c r="B861" s="164"/>
      <c r="C861" s="320"/>
      <c r="D861" s="164"/>
      <c r="E861" s="320"/>
      <c r="F861" s="164"/>
      <c r="G861" s="320"/>
      <c r="H861" s="164"/>
      <c r="I861" s="320"/>
      <c r="J861" s="164"/>
      <c r="K861" s="320"/>
      <c r="L861" s="164"/>
      <c r="M861" s="320"/>
      <c r="N861" s="164"/>
      <c r="O861" s="320"/>
      <c r="P861" s="164"/>
      <c r="Q861" s="188"/>
      <c r="R861" s="188"/>
      <c r="S861" s="20"/>
      <c r="T861" s="20"/>
      <c r="U861" s="20"/>
      <c r="V861" s="20"/>
      <c r="W861" s="20"/>
      <c r="X861" s="20"/>
      <c r="Y861" s="20"/>
      <c r="Z861" s="20"/>
    </row>
    <row r="862">
      <c r="A862" s="320"/>
      <c r="B862" s="164"/>
      <c r="C862" s="320"/>
      <c r="D862" s="164"/>
      <c r="E862" s="320"/>
      <c r="F862" s="164"/>
      <c r="G862" s="320"/>
      <c r="H862" s="164"/>
      <c r="I862" s="320"/>
      <c r="J862" s="164"/>
      <c r="K862" s="320"/>
      <c r="L862" s="164"/>
      <c r="M862" s="320"/>
      <c r="N862" s="164"/>
      <c r="O862" s="320"/>
      <c r="P862" s="164"/>
      <c r="Q862" s="188"/>
      <c r="R862" s="188"/>
      <c r="S862" s="20"/>
      <c r="T862" s="20"/>
      <c r="U862" s="20"/>
      <c r="V862" s="20"/>
      <c r="W862" s="20"/>
      <c r="X862" s="20"/>
      <c r="Y862" s="20"/>
      <c r="Z862" s="20"/>
    </row>
    <row r="863">
      <c r="A863" s="320"/>
      <c r="B863" s="164"/>
      <c r="C863" s="320"/>
      <c r="D863" s="164"/>
      <c r="E863" s="320"/>
      <c r="F863" s="164"/>
      <c r="G863" s="320"/>
      <c r="H863" s="164"/>
      <c r="I863" s="320"/>
      <c r="J863" s="164"/>
      <c r="K863" s="320"/>
      <c r="L863" s="164"/>
      <c r="M863" s="320"/>
      <c r="N863" s="164"/>
      <c r="O863" s="320"/>
      <c r="P863" s="164"/>
      <c r="Q863" s="188"/>
      <c r="R863" s="188"/>
      <c r="S863" s="20"/>
      <c r="T863" s="20"/>
      <c r="U863" s="20"/>
      <c r="V863" s="20"/>
      <c r="W863" s="20"/>
      <c r="X863" s="20"/>
      <c r="Y863" s="20"/>
      <c r="Z863" s="20"/>
    </row>
    <row r="864">
      <c r="A864" s="320"/>
      <c r="B864" s="164"/>
      <c r="C864" s="320"/>
      <c r="D864" s="164"/>
      <c r="E864" s="320"/>
      <c r="F864" s="164"/>
      <c r="G864" s="320"/>
      <c r="H864" s="164"/>
      <c r="I864" s="320"/>
      <c r="J864" s="164"/>
      <c r="K864" s="320"/>
      <c r="L864" s="164"/>
      <c r="M864" s="320"/>
      <c r="N864" s="164"/>
      <c r="O864" s="320"/>
      <c r="P864" s="164"/>
      <c r="Q864" s="188"/>
      <c r="R864" s="188"/>
      <c r="S864" s="20"/>
      <c r="T864" s="20"/>
      <c r="U864" s="20"/>
      <c r="V864" s="20"/>
      <c r="W864" s="20"/>
      <c r="X864" s="20"/>
      <c r="Y864" s="20"/>
      <c r="Z864" s="20"/>
    </row>
    <row r="865">
      <c r="A865" s="320"/>
      <c r="B865" s="164"/>
      <c r="C865" s="320"/>
      <c r="D865" s="164"/>
      <c r="E865" s="320"/>
      <c r="F865" s="164"/>
      <c r="G865" s="320"/>
      <c r="H865" s="164"/>
      <c r="I865" s="320"/>
      <c r="J865" s="164"/>
      <c r="K865" s="320"/>
      <c r="L865" s="164"/>
      <c r="M865" s="320"/>
      <c r="N865" s="164"/>
      <c r="O865" s="320"/>
      <c r="P865" s="164"/>
      <c r="Q865" s="188"/>
      <c r="R865" s="188"/>
      <c r="S865" s="20"/>
      <c r="T865" s="20"/>
      <c r="U865" s="20"/>
      <c r="V865" s="20"/>
      <c r="W865" s="20"/>
      <c r="X865" s="20"/>
      <c r="Y865" s="20"/>
      <c r="Z865" s="20"/>
    </row>
    <row r="866">
      <c r="A866" s="320"/>
      <c r="B866" s="164"/>
      <c r="C866" s="320"/>
      <c r="D866" s="164"/>
      <c r="E866" s="320"/>
      <c r="F866" s="164"/>
      <c r="G866" s="320"/>
      <c r="H866" s="164"/>
      <c r="I866" s="320"/>
      <c r="J866" s="164"/>
      <c r="K866" s="320"/>
      <c r="L866" s="164"/>
      <c r="M866" s="320"/>
      <c r="N866" s="164"/>
      <c r="O866" s="320"/>
      <c r="P866" s="164"/>
      <c r="Q866" s="188"/>
      <c r="R866" s="188"/>
      <c r="S866" s="20"/>
      <c r="T866" s="20"/>
      <c r="U866" s="20"/>
      <c r="V866" s="20"/>
      <c r="W866" s="20"/>
      <c r="X866" s="20"/>
      <c r="Y866" s="20"/>
      <c r="Z866" s="20"/>
    </row>
    <row r="867">
      <c r="A867" s="320"/>
      <c r="B867" s="164"/>
      <c r="C867" s="320"/>
      <c r="D867" s="164"/>
      <c r="E867" s="320"/>
      <c r="F867" s="164"/>
      <c r="G867" s="320"/>
      <c r="H867" s="164"/>
      <c r="I867" s="320"/>
      <c r="J867" s="164"/>
      <c r="K867" s="320"/>
      <c r="L867" s="164"/>
      <c r="M867" s="320"/>
      <c r="N867" s="164"/>
      <c r="O867" s="320"/>
      <c r="P867" s="164"/>
      <c r="Q867" s="188"/>
      <c r="R867" s="188"/>
      <c r="S867" s="20"/>
      <c r="T867" s="20"/>
      <c r="U867" s="20"/>
      <c r="V867" s="20"/>
      <c r="W867" s="20"/>
      <c r="X867" s="20"/>
      <c r="Y867" s="20"/>
      <c r="Z867" s="20"/>
    </row>
    <row r="868">
      <c r="A868" s="320"/>
      <c r="B868" s="164"/>
      <c r="C868" s="320"/>
      <c r="D868" s="164"/>
      <c r="E868" s="320"/>
      <c r="F868" s="164"/>
      <c r="G868" s="320"/>
      <c r="H868" s="164"/>
      <c r="I868" s="320"/>
      <c r="J868" s="164"/>
      <c r="K868" s="320"/>
      <c r="L868" s="164"/>
      <c r="M868" s="320"/>
      <c r="N868" s="164"/>
      <c r="O868" s="320"/>
      <c r="P868" s="164"/>
      <c r="Q868" s="188"/>
      <c r="R868" s="188"/>
      <c r="S868" s="20"/>
      <c r="T868" s="20"/>
      <c r="U868" s="20"/>
      <c r="V868" s="20"/>
      <c r="W868" s="20"/>
      <c r="X868" s="20"/>
      <c r="Y868" s="20"/>
      <c r="Z868" s="20"/>
    </row>
    <row r="869">
      <c r="A869" s="320"/>
      <c r="B869" s="164"/>
      <c r="C869" s="320"/>
      <c r="D869" s="164"/>
      <c r="E869" s="320"/>
      <c r="F869" s="164"/>
      <c r="G869" s="320"/>
      <c r="H869" s="164"/>
      <c r="I869" s="320"/>
      <c r="J869" s="164"/>
      <c r="K869" s="320"/>
      <c r="L869" s="164"/>
      <c r="M869" s="320"/>
      <c r="N869" s="164"/>
      <c r="O869" s="320"/>
      <c r="P869" s="164"/>
      <c r="Q869" s="188"/>
      <c r="R869" s="188"/>
      <c r="S869" s="20"/>
      <c r="T869" s="20"/>
      <c r="U869" s="20"/>
      <c r="V869" s="20"/>
      <c r="W869" s="20"/>
      <c r="X869" s="20"/>
      <c r="Y869" s="20"/>
      <c r="Z869" s="20"/>
    </row>
    <row r="870">
      <c r="A870" s="320"/>
      <c r="B870" s="164"/>
      <c r="C870" s="320"/>
      <c r="D870" s="164"/>
      <c r="E870" s="320"/>
      <c r="F870" s="164"/>
      <c r="G870" s="320"/>
      <c r="H870" s="164"/>
      <c r="I870" s="320"/>
      <c r="J870" s="164"/>
      <c r="K870" s="320"/>
      <c r="L870" s="164"/>
      <c r="M870" s="320"/>
      <c r="N870" s="164"/>
      <c r="O870" s="320"/>
      <c r="P870" s="164"/>
      <c r="Q870" s="188"/>
      <c r="R870" s="188"/>
      <c r="S870" s="20"/>
      <c r="T870" s="20"/>
      <c r="U870" s="20"/>
      <c r="V870" s="20"/>
      <c r="W870" s="20"/>
      <c r="X870" s="20"/>
      <c r="Y870" s="20"/>
      <c r="Z870" s="20"/>
    </row>
    <row r="871">
      <c r="A871" s="320"/>
      <c r="B871" s="164"/>
      <c r="C871" s="320"/>
      <c r="D871" s="164"/>
      <c r="E871" s="320"/>
      <c r="F871" s="164"/>
      <c r="G871" s="320"/>
      <c r="H871" s="164"/>
      <c r="I871" s="320"/>
      <c r="J871" s="164"/>
      <c r="K871" s="320"/>
      <c r="L871" s="164"/>
      <c r="M871" s="320"/>
      <c r="N871" s="164"/>
      <c r="O871" s="320"/>
      <c r="P871" s="164"/>
      <c r="Q871" s="188"/>
      <c r="R871" s="188"/>
      <c r="S871" s="20"/>
      <c r="T871" s="20"/>
      <c r="U871" s="20"/>
      <c r="V871" s="20"/>
      <c r="W871" s="20"/>
      <c r="X871" s="20"/>
      <c r="Y871" s="20"/>
      <c r="Z871" s="20"/>
    </row>
    <row r="872">
      <c r="A872" s="320"/>
      <c r="B872" s="164"/>
      <c r="C872" s="320"/>
      <c r="D872" s="164"/>
      <c r="E872" s="320"/>
      <c r="F872" s="164"/>
      <c r="G872" s="320"/>
      <c r="H872" s="164"/>
      <c r="I872" s="320"/>
      <c r="J872" s="164"/>
      <c r="K872" s="320"/>
      <c r="L872" s="164"/>
      <c r="M872" s="320"/>
      <c r="N872" s="164"/>
      <c r="O872" s="320"/>
      <c r="P872" s="164"/>
      <c r="Q872" s="188"/>
      <c r="R872" s="188"/>
      <c r="S872" s="20"/>
      <c r="T872" s="20"/>
      <c r="U872" s="20"/>
      <c r="V872" s="20"/>
      <c r="W872" s="20"/>
      <c r="X872" s="20"/>
      <c r="Y872" s="20"/>
      <c r="Z872" s="20"/>
    </row>
    <row r="873">
      <c r="A873" s="320"/>
      <c r="B873" s="164"/>
      <c r="C873" s="320"/>
      <c r="D873" s="164"/>
      <c r="E873" s="320"/>
      <c r="F873" s="164"/>
      <c r="G873" s="320"/>
      <c r="H873" s="164"/>
      <c r="I873" s="320"/>
      <c r="J873" s="164"/>
      <c r="K873" s="320"/>
      <c r="L873" s="164"/>
      <c r="M873" s="320"/>
      <c r="N873" s="164"/>
      <c r="O873" s="320"/>
      <c r="P873" s="164"/>
      <c r="Q873" s="188"/>
      <c r="R873" s="188"/>
      <c r="S873" s="20"/>
      <c r="T873" s="20"/>
      <c r="U873" s="20"/>
      <c r="V873" s="20"/>
      <c r="W873" s="20"/>
      <c r="X873" s="20"/>
      <c r="Y873" s="20"/>
      <c r="Z873" s="20"/>
    </row>
    <row r="874">
      <c r="A874" s="320"/>
      <c r="B874" s="164"/>
      <c r="C874" s="320"/>
      <c r="D874" s="164"/>
      <c r="E874" s="320"/>
      <c r="F874" s="164"/>
      <c r="G874" s="320"/>
      <c r="H874" s="164"/>
      <c r="I874" s="320"/>
      <c r="J874" s="164"/>
      <c r="K874" s="320"/>
      <c r="L874" s="164"/>
      <c r="M874" s="320"/>
      <c r="N874" s="164"/>
      <c r="O874" s="320"/>
      <c r="P874" s="164"/>
      <c r="Q874" s="188"/>
      <c r="R874" s="188"/>
      <c r="S874" s="20"/>
      <c r="T874" s="20"/>
      <c r="U874" s="20"/>
      <c r="V874" s="20"/>
      <c r="W874" s="20"/>
      <c r="X874" s="20"/>
      <c r="Y874" s="20"/>
      <c r="Z874" s="20"/>
    </row>
    <row r="875">
      <c r="A875" s="320"/>
      <c r="B875" s="164"/>
      <c r="C875" s="320"/>
      <c r="D875" s="164"/>
      <c r="E875" s="320"/>
      <c r="F875" s="164"/>
      <c r="G875" s="320"/>
      <c r="H875" s="164"/>
      <c r="I875" s="320"/>
      <c r="J875" s="164"/>
      <c r="K875" s="320"/>
      <c r="L875" s="164"/>
      <c r="M875" s="320"/>
      <c r="N875" s="164"/>
      <c r="O875" s="320"/>
      <c r="P875" s="164"/>
      <c r="Q875" s="188"/>
      <c r="R875" s="188"/>
      <c r="S875" s="20"/>
      <c r="T875" s="20"/>
      <c r="U875" s="20"/>
      <c r="V875" s="20"/>
      <c r="W875" s="20"/>
      <c r="X875" s="20"/>
      <c r="Y875" s="20"/>
      <c r="Z875" s="20"/>
    </row>
    <row r="876">
      <c r="A876" s="320"/>
      <c r="B876" s="164"/>
      <c r="C876" s="320"/>
      <c r="D876" s="164"/>
      <c r="E876" s="320"/>
      <c r="F876" s="164"/>
      <c r="G876" s="320"/>
      <c r="H876" s="164"/>
      <c r="I876" s="320"/>
      <c r="J876" s="164"/>
      <c r="K876" s="320"/>
      <c r="L876" s="164"/>
      <c r="M876" s="320"/>
      <c r="N876" s="164"/>
      <c r="O876" s="320"/>
      <c r="P876" s="164"/>
      <c r="Q876" s="188"/>
      <c r="R876" s="188"/>
      <c r="S876" s="20"/>
      <c r="T876" s="20"/>
      <c r="U876" s="20"/>
      <c r="V876" s="20"/>
      <c r="W876" s="20"/>
      <c r="X876" s="20"/>
      <c r="Y876" s="20"/>
      <c r="Z876" s="20"/>
    </row>
    <row r="877">
      <c r="A877" s="320"/>
      <c r="B877" s="164"/>
      <c r="C877" s="320"/>
      <c r="D877" s="164"/>
      <c r="E877" s="320"/>
      <c r="F877" s="164"/>
      <c r="G877" s="320"/>
      <c r="H877" s="164"/>
      <c r="I877" s="320"/>
      <c r="J877" s="164"/>
      <c r="K877" s="320"/>
      <c r="L877" s="164"/>
      <c r="M877" s="320"/>
      <c r="N877" s="164"/>
      <c r="O877" s="320"/>
      <c r="P877" s="164"/>
      <c r="Q877" s="188"/>
      <c r="R877" s="188"/>
      <c r="S877" s="20"/>
      <c r="T877" s="20"/>
      <c r="U877" s="20"/>
      <c r="V877" s="20"/>
      <c r="W877" s="20"/>
      <c r="X877" s="20"/>
      <c r="Y877" s="20"/>
      <c r="Z877" s="20"/>
    </row>
    <row r="878">
      <c r="A878" s="320"/>
      <c r="B878" s="164"/>
      <c r="C878" s="320"/>
      <c r="D878" s="164"/>
      <c r="E878" s="320"/>
      <c r="F878" s="164"/>
      <c r="G878" s="320"/>
      <c r="H878" s="164"/>
      <c r="I878" s="320"/>
      <c r="J878" s="164"/>
      <c r="K878" s="320"/>
      <c r="L878" s="164"/>
      <c r="M878" s="320"/>
      <c r="N878" s="164"/>
      <c r="O878" s="320"/>
      <c r="P878" s="164"/>
      <c r="Q878" s="188"/>
      <c r="R878" s="188"/>
      <c r="S878" s="20"/>
      <c r="T878" s="20"/>
      <c r="U878" s="20"/>
      <c r="V878" s="20"/>
      <c r="W878" s="20"/>
      <c r="X878" s="20"/>
      <c r="Y878" s="20"/>
      <c r="Z878" s="20"/>
    </row>
    <row r="879">
      <c r="A879" s="320"/>
      <c r="B879" s="164"/>
      <c r="C879" s="320"/>
      <c r="D879" s="164"/>
      <c r="E879" s="320"/>
      <c r="F879" s="164"/>
      <c r="G879" s="320"/>
      <c r="H879" s="164"/>
      <c r="I879" s="320"/>
      <c r="J879" s="164"/>
      <c r="K879" s="320"/>
      <c r="L879" s="164"/>
      <c r="M879" s="320"/>
      <c r="N879" s="164"/>
      <c r="O879" s="320"/>
      <c r="P879" s="164"/>
      <c r="Q879" s="188"/>
      <c r="R879" s="188"/>
      <c r="S879" s="20"/>
      <c r="T879" s="20"/>
      <c r="U879" s="20"/>
      <c r="V879" s="20"/>
      <c r="W879" s="20"/>
      <c r="X879" s="20"/>
      <c r="Y879" s="20"/>
      <c r="Z879" s="20"/>
    </row>
    <row r="880">
      <c r="A880" s="320"/>
      <c r="B880" s="164"/>
      <c r="C880" s="320"/>
      <c r="D880" s="164"/>
      <c r="E880" s="320"/>
      <c r="F880" s="164"/>
      <c r="G880" s="320"/>
      <c r="H880" s="164"/>
      <c r="I880" s="320"/>
      <c r="J880" s="164"/>
      <c r="K880" s="320"/>
      <c r="L880" s="164"/>
      <c r="M880" s="320"/>
      <c r="N880" s="164"/>
      <c r="O880" s="320"/>
      <c r="P880" s="164"/>
      <c r="Q880" s="188"/>
      <c r="R880" s="188"/>
      <c r="S880" s="20"/>
      <c r="T880" s="20"/>
      <c r="U880" s="20"/>
      <c r="V880" s="20"/>
      <c r="W880" s="20"/>
      <c r="X880" s="20"/>
      <c r="Y880" s="20"/>
      <c r="Z880" s="20"/>
    </row>
    <row r="881">
      <c r="A881" s="320"/>
      <c r="B881" s="164"/>
      <c r="C881" s="320"/>
      <c r="D881" s="164"/>
      <c r="E881" s="320"/>
      <c r="F881" s="164"/>
      <c r="G881" s="320"/>
      <c r="H881" s="164"/>
      <c r="I881" s="320"/>
      <c r="J881" s="164"/>
      <c r="K881" s="320"/>
      <c r="L881" s="164"/>
      <c r="M881" s="320"/>
      <c r="N881" s="164"/>
      <c r="O881" s="320"/>
      <c r="P881" s="164"/>
      <c r="Q881" s="188"/>
      <c r="R881" s="188"/>
      <c r="S881" s="20"/>
      <c r="T881" s="20"/>
      <c r="U881" s="20"/>
      <c r="V881" s="20"/>
      <c r="W881" s="20"/>
      <c r="X881" s="20"/>
      <c r="Y881" s="20"/>
      <c r="Z881" s="20"/>
    </row>
    <row r="882">
      <c r="A882" s="320"/>
      <c r="B882" s="164"/>
      <c r="C882" s="320"/>
      <c r="D882" s="164"/>
      <c r="E882" s="320"/>
      <c r="F882" s="164"/>
      <c r="G882" s="320"/>
      <c r="H882" s="164"/>
      <c r="I882" s="320"/>
      <c r="J882" s="164"/>
      <c r="K882" s="320"/>
      <c r="L882" s="164"/>
      <c r="M882" s="320"/>
      <c r="N882" s="164"/>
      <c r="O882" s="320"/>
      <c r="P882" s="164"/>
      <c r="Q882" s="188"/>
      <c r="R882" s="188"/>
      <c r="S882" s="20"/>
      <c r="T882" s="20"/>
      <c r="U882" s="20"/>
      <c r="V882" s="20"/>
      <c r="W882" s="20"/>
      <c r="X882" s="20"/>
      <c r="Y882" s="20"/>
      <c r="Z882" s="20"/>
    </row>
    <row r="883">
      <c r="A883" s="320"/>
      <c r="B883" s="164"/>
      <c r="C883" s="320"/>
      <c r="D883" s="164"/>
      <c r="E883" s="320"/>
      <c r="F883" s="164"/>
      <c r="G883" s="320"/>
      <c r="H883" s="164"/>
      <c r="I883" s="320"/>
      <c r="J883" s="164"/>
      <c r="K883" s="320"/>
      <c r="L883" s="164"/>
      <c r="M883" s="320"/>
      <c r="N883" s="164"/>
      <c r="O883" s="320"/>
      <c r="P883" s="164"/>
      <c r="Q883" s="188"/>
      <c r="R883" s="188"/>
      <c r="S883" s="20"/>
      <c r="T883" s="20"/>
      <c r="U883" s="20"/>
      <c r="V883" s="20"/>
      <c r="W883" s="20"/>
      <c r="X883" s="20"/>
      <c r="Y883" s="20"/>
      <c r="Z883" s="20"/>
    </row>
    <row r="884">
      <c r="A884" s="320"/>
      <c r="B884" s="164"/>
      <c r="C884" s="320"/>
      <c r="D884" s="164"/>
      <c r="E884" s="320"/>
      <c r="F884" s="164"/>
      <c r="G884" s="320"/>
      <c r="H884" s="164"/>
      <c r="I884" s="320"/>
      <c r="J884" s="164"/>
      <c r="K884" s="320"/>
      <c r="L884" s="164"/>
      <c r="M884" s="320"/>
      <c r="N884" s="164"/>
      <c r="O884" s="320"/>
      <c r="P884" s="164"/>
      <c r="Q884" s="188"/>
      <c r="R884" s="188"/>
      <c r="S884" s="20"/>
      <c r="T884" s="20"/>
      <c r="U884" s="20"/>
      <c r="V884" s="20"/>
      <c r="W884" s="20"/>
      <c r="X884" s="20"/>
      <c r="Y884" s="20"/>
      <c r="Z884" s="20"/>
    </row>
    <row r="885">
      <c r="A885" s="320"/>
      <c r="B885" s="164"/>
      <c r="C885" s="320"/>
      <c r="D885" s="164"/>
      <c r="E885" s="320"/>
      <c r="F885" s="164"/>
      <c r="G885" s="320"/>
      <c r="H885" s="164"/>
      <c r="I885" s="320"/>
      <c r="J885" s="164"/>
      <c r="K885" s="320"/>
      <c r="L885" s="164"/>
      <c r="M885" s="320"/>
      <c r="N885" s="164"/>
      <c r="O885" s="320"/>
      <c r="P885" s="164"/>
      <c r="Q885" s="188"/>
      <c r="R885" s="188"/>
      <c r="S885" s="20"/>
      <c r="T885" s="20"/>
      <c r="U885" s="20"/>
      <c r="V885" s="20"/>
      <c r="W885" s="20"/>
      <c r="X885" s="20"/>
      <c r="Y885" s="20"/>
      <c r="Z885" s="20"/>
    </row>
    <row r="886">
      <c r="A886" s="320"/>
      <c r="B886" s="164"/>
      <c r="C886" s="320"/>
      <c r="D886" s="164"/>
      <c r="E886" s="320"/>
      <c r="F886" s="164"/>
      <c r="G886" s="320"/>
      <c r="H886" s="164"/>
      <c r="I886" s="320"/>
      <c r="J886" s="164"/>
      <c r="K886" s="320"/>
      <c r="L886" s="164"/>
      <c r="M886" s="320"/>
      <c r="N886" s="164"/>
      <c r="O886" s="320"/>
      <c r="P886" s="164"/>
      <c r="Q886" s="188"/>
      <c r="R886" s="188"/>
      <c r="S886" s="20"/>
      <c r="T886" s="20"/>
      <c r="U886" s="20"/>
      <c r="V886" s="20"/>
      <c r="W886" s="20"/>
      <c r="X886" s="20"/>
      <c r="Y886" s="20"/>
      <c r="Z886" s="20"/>
    </row>
    <row r="887">
      <c r="A887" s="320"/>
      <c r="B887" s="164"/>
      <c r="C887" s="320"/>
      <c r="D887" s="164"/>
      <c r="E887" s="320"/>
      <c r="F887" s="164"/>
      <c r="G887" s="320"/>
      <c r="H887" s="164"/>
      <c r="I887" s="320"/>
      <c r="J887" s="164"/>
      <c r="K887" s="320"/>
      <c r="L887" s="164"/>
      <c r="M887" s="320"/>
      <c r="N887" s="164"/>
      <c r="O887" s="320"/>
      <c r="P887" s="164"/>
      <c r="Q887" s="188"/>
      <c r="R887" s="188"/>
      <c r="S887" s="20"/>
      <c r="T887" s="20"/>
      <c r="U887" s="20"/>
      <c r="V887" s="20"/>
      <c r="W887" s="20"/>
      <c r="X887" s="20"/>
      <c r="Y887" s="20"/>
      <c r="Z887" s="20"/>
    </row>
    <row r="888">
      <c r="A888" s="320"/>
      <c r="B888" s="164"/>
      <c r="C888" s="320"/>
      <c r="D888" s="164"/>
      <c r="E888" s="320"/>
      <c r="F888" s="164"/>
      <c r="G888" s="320"/>
      <c r="H888" s="164"/>
      <c r="I888" s="320"/>
      <c r="J888" s="164"/>
      <c r="K888" s="320"/>
      <c r="L888" s="164"/>
      <c r="M888" s="320"/>
      <c r="N888" s="164"/>
      <c r="O888" s="320"/>
      <c r="P888" s="164"/>
      <c r="Q888" s="188"/>
      <c r="R888" s="188"/>
      <c r="S888" s="20"/>
      <c r="T888" s="20"/>
      <c r="U888" s="20"/>
      <c r="V888" s="20"/>
      <c r="W888" s="20"/>
      <c r="X888" s="20"/>
      <c r="Y888" s="20"/>
      <c r="Z888" s="20"/>
    </row>
    <row r="889">
      <c r="A889" s="320"/>
      <c r="B889" s="164"/>
      <c r="C889" s="320"/>
      <c r="D889" s="164"/>
      <c r="E889" s="320"/>
      <c r="F889" s="164"/>
      <c r="G889" s="320"/>
      <c r="H889" s="164"/>
      <c r="I889" s="320"/>
      <c r="J889" s="164"/>
      <c r="K889" s="320"/>
      <c r="L889" s="164"/>
      <c r="M889" s="320"/>
      <c r="N889" s="164"/>
      <c r="O889" s="320"/>
      <c r="P889" s="164"/>
      <c r="Q889" s="188"/>
      <c r="R889" s="188"/>
      <c r="S889" s="20"/>
      <c r="T889" s="20"/>
      <c r="U889" s="20"/>
      <c r="V889" s="20"/>
      <c r="W889" s="20"/>
      <c r="X889" s="20"/>
      <c r="Y889" s="20"/>
      <c r="Z889" s="20"/>
    </row>
    <row r="890">
      <c r="A890" s="320"/>
      <c r="B890" s="164"/>
      <c r="C890" s="320"/>
      <c r="D890" s="164"/>
      <c r="E890" s="320"/>
      <c r="F890" s="164"/>
      <c r="G890" s="320"/>
      <c r="H890" s="164"/>
      <c r="I890" s="320"/>
      <c r="J890" s="164"/>
      <c r="K890" s="320"/>
      <c r="L890" s="164"/>
      <c r="M890" s="320"/>
      <c r="N890" s="164"/>
      <c r="O890" s="320"/>
      <c r="P890" s="164"/>
      <c r="Q890" s="188"/>
      <c r="R890" s="188"/>
      <c r="S890" s="20"/>
      <c r="T890" s="20"/>
      <c r="U890" s="20"/>
      <c r="V890" s="20"/>
      <c r="W890" s="20"/>
      <c r="X890" s="20"/>
      <c r="Y890" s="20"/>
      <c r="Z890" s="20"/>
    </row>
    <row r="891">
      <c r="A891" s="320"/>
      <c r="B891" s="164"/>
      <c r="C891" s="320"/>
      <c r="D891" s="164"/>
      <c r="E891" s="320"/>
      <c r="F891" s="164"/>
      <c r="G891" s="320"/>
      <c r="H891" s="164"/>
      <c r="I891" s="320"/>
      <c r="J891" s="164"/>
      <c r="K891" s="320"/>
      <c r="L891" s="164"/>
      <c r="M891" s="320"/>
      <c r="N891" s="164"/>
      <c r="O891" s="320"/>
      <c r="P891" s="164"/>
      <c r="Q891" s="188"/>
      <c r="R891" s="188"/>
      <c r="S891" s="20"/>
      <c r="T891" s="20"/>
      <c r="U891" s="20"/>
      <c r="V891" s="20"/>
      <c r="W891" s="20"/>
      <c r="X891" s="20"/>
      <c r="Y891" s="20"/>
      <c r="Z891" s="20"/>
    </row>
    <row r="892">
      <c r="A892" s="320"/>
      <c r="B892" s="164"/>
      <c r="C892" s="320"/>
      <c r="D892" s="164"/>
      <c r="E892" s="320"/>
      <c r="F892" s="164"/>
      <c r="G892" s="320"/>
      <c r="H892" s="164"/>
      <c r="I892" s="320"/>
      <c r="J892" s="164"/>
      <c r="K892" s="320"/>
      <c r="L892" s="164"/>
      <c r="M892" s="320"/>
      <c r="N892" s="164"/>
      <c r="O892" s="320"/>
      <c r="P892" s="164"/>
      <c r="Q892" s="188"/>
      <c r="R892" s="188"/>
      <c r="S892" s="20"/>
      <c r="T892" s="20"/>
      <c r="U892" s="20"/>
      <c r="V892" s="20"/>
      <c r="W892" s="20"/>
      <c r="X892" s="20"/>
      <c r="Y892" s="20"/>
      <c r="Z892" s="20"/>
    </row>
    <row r="893">
      <c r="A893" s="320"/>
      <c r="B893" s="164"/>
      <c r="C893" s="320"/>
      <c r="D893" s="164"/>
      <c r="E893" s="320"/>
      <c r="F893" s="164"/>
      <c r="G893" s="320"/>
      <c r="H893" s="164"/>
      <c r="I893" s="320"/>
      <c r="J893" s="164"/>
      <c r="K893" s="320"/>
      <c r="L893" s="164"/>
      <c r="M893" s="320"/>
      <c r="N893" s="164"/>
      <c r="O893" s="320"/>
      <c r="P893" s="164"/>
      <c r="Q893" s="188"/>
      <c r="R893" s="188"/>
      <c r="S893" s="20"/>
      <c r="T893" s="20"/>
      <c r="U893" s="20"/>
      <c r="V893" s="20"/>
      <c r="W893" s="20"/>
      <c r="X893" s="20"/>
      <c r="Y893" s="20"/>
      <c r="Z893" s="20"/>
    </row>
    <row r="894">
      <c r="A894" s="320"/>
      <c r="B894" s="164"/>
      <c r="C894" s="320"/>
      <c r="D894" s="164"/>
      <c r="E894" s="320"/>
      <c r="F894" s="164"/>
      <c r="G894" s="320"/>
      <c r="H894" s="164"/>
      <c r="I894" s="320"/>
      <c r="J894" s="164"/>
      <c r="K894" s="320"/>
      <c r="L894" s="164"/>
      <c r="M894" s="320"/>
      <c r="N894" s="164"/>
      <c r="O894" s="320"/>
      <c r="P894" s="164"/>
      <c r="Q894" s="188"/>
      <c r="R894" s="188"/>
      <c r="S894" s="20"/>
      <c r="T894" s="20"/>
      <c r="U894" s="20"/>
      <c r="V894" s="20"/>
      <c r="W894" s="20"/>
      <c r="X894" s="20"/>
      <c r="Y894" s="20"/>
      <c r="Z894" s="20"/>
    </row>
    <row r="895">
      <c r="A895" s="320"/>
      <c r="B895" s="164"/>
      <c r="C895" s="320"/>
      <c r="D895" s="164"/>
      <c r="E895" s="320"/>
      <c r="F895" s="164"/>
      <c r="G895" s="320"/>
      <c r="H895" s="164"/>
      <c r="I895" s="320"/>
      <c r="J895" s="164"/>
      <c r="K895" s="320"/>
      <c r="L895" s="164"/>
      <c r="M895" s="320"/>
      <c r="N895" s="164"/>
      <c r="O895" s="320"/>
      <c r="P895" s="164"/>
      <c r="Q895" s="188"/>
      <c r="R895" s="188"/>
      <c r="S895" s="20"/>
      <c r="T895" s="20"/>
      <c r="U895" s="20"/>
      <c r="V895" s="20"/>
      <c r="W895" s="20"/>
      <c r="X895" s="20"/>
      <c r="Y895" s="20"/>
      <c r="Z895" s="20"/>
    </row>
    <row r="896">
      <c r="A896" s="320"/>
      <c r="B896" s="164"/>
      <c r="C896" s="320"/>
      <c r="D896" s="164"/>
      <c r="E896" s="320"/>
      <c r="F896" s="164"/>
      <c r="G896" s="320"/>
      <c r="H896" s="164"/>
      <c r="I896" s="320"/>
      <c r="J896" s="164"/>
      <c r="K896" s="320"/>
      <c r="L896" s="164"/>
      <c r="M896" s="320"/>
      <c r="N896" s="164"/>
      <c r="O896" s="320"/>
      <c r="P896" s="164"/>
      <c r="Q896" s="188"/>
      <c r="R896" s="188"/>
      <c r="S896" s="20"/>
      <c r="T896" s="20"/>
      <c r="U896" s="20"/>
      <c r="V896" s="20"/>
      <c r="W896" s="20"/>
      <c r="X896" s="20"/>
      <c r="Y896" s="20"/>
      <c r="Z896" s="20"/>
    </row>
    <row r="897">
      <c r="A897" s="320"/>
      <c r="B897" s="164"/>
      <c r="C897" s="320"/>
      <c r="D897" s="164"/>
      <c r="E897" s="320"/>
      <c r="F897" s="164"/>
      <c r="G897" s="320"/>
      <c r="H897" s="164"/>
      <c r="I897" s="320"/>
      <c r="J897" s="164"/>
      <c r="K897" s="320"/>
      <c r="L897" s="164"/>
      <c r="M897" s="320"/>
      <c r="N897" s="164"/>
      <c r="O897" s="320"/>
      <c r="P897" s="164"/>
      <c r="Q897" s="188"/>
      <c r="R897" s="188"/>
      <c r="S897" s="20"/>
      <c r="T897" s="20"/>
      <c r="U897" s="20"/>
      <c r="V897" s="20"/>
      <c r="W897" s="20"/>
      <c r="X897" s="20"/>
      <c r="Y897" s="20"/>
      <c r="Z897" s="20"/>
    </row>
    <row r="898">
      <c r="A898" s="320"/>
      <c r="B898" s="164"/>
      <c r="C898" s="320"/>
      <c r="D898" s="164"/>
      <c r="E898" s="320"/>
      <c r="F898" s="164"/>
      <c r="G898" s="320"/>
      <c r="H898" s="164"/>
      <c r="I898" s="320"/>
      <c r="J898" s="164"/>
      <c r="K898" s="320"/>
      <c r="L898" s="164"/>
      <c r="M898" s="320"/>
      <c r="N898" s="164"/>
      <c r="O898" s="320"/>
      <c r="P898" s="164"/>
      <c r="Q898" s="188"/>
      <c r="R898" s="188"/>
      <c r="S898" s="20"/>
      <c r="T898" s="20"/>
      <c r="U898" s="20"/>
      <c r="V898" s="20"/>
      <c r="W898" s="20"/>
      <c r="X898" s="20"/>
      <c r="Y898" s="20"/>
      <c r="Z898" s="20"/>
    </row>
    <row r="899">
      <c r="A899" s="320"/>
      <c r="B899" s="164"/>
      <c r="C899" s="320"/>
      <c r="D899" s="164"/>
      <c r="E899" s="320"/>
      <c r="F899" s="164"/>
      <c r="G899" s="320"/>
      <c r="H899" s="164"/>
      <c r="I899" s="320"/>
      <c r="J899" s="164"/>
      <c r="K899" s="320"/>
      <c r="L899" s="164"/>
      <c r="M899" s="320"/>
      <c r="N899" s="164"/>
      <c r="O899" s="320"/>
      <c r="P899" s="164"/>
      <c r="Q899" s="188"/>
      <c r="R899" s="188"/>
      <c r="S899" s="20"/>
      <c r="T899" s="20"/>
      <c r="U899" s="20"/>
      <c r="V899" s="20"/>
      <c r="W899" s="20"/>
      <c r="X899" s="20"/>
      <c r="Y899" s="20"/>
      <c r="Z899" s="20"/>
    </row>
    <row r="900">
      <c r="A900" s="320"/>
      <c r="B900" s="164"/>
      <c r="C900" s="320"/>
      <c r="D900" s="164"/>
      <c r="E900" s="320"/>
      <c r="F900" s="164"/>
      <c r="G900" s="320"/>
      <c r="H900" s="164"/>
      <c r="I900" s="320"/>
      <c r="J900" s="164"/>
      <c r="K900" s="320"/>
      <c r="L900" s="164"/>
      <c r="M900" s="320"/>
      <c r="N900" s="164"/>
      <c r="O900" s="320"/>
      <c r="P900" s="164"/>
      <c r="Q900" s="188"/>
      <c r="R900" s="188"/>
      <c r="S900" s="20"/>
      <c r="T900" s="20"/>
      <c r="U900" s="20"/>
      <c r="V900" s="20"/>
      <c r="W900" s="20"/>
      <c r="X900" s="20"/>
      <c r="Y900" s="20"/>
      <c r="Z900" s="20"/>
    </row>
    <row r="901">
      <c r="A901" s="320"/>
      <c r="B901" s="164"/>
      <c r="C901" s="320"/>
      <c r="D901" s="164"/>
      <c r="E901" s="320"/>
      <c r="F901" s="164"/>
      <c r="G901" s="320"/>
      <c r="H901" s="164"/>
      <c r="I901" s="320"/>
      <c r="J901" s="164"/>
      <c r="K901" s="320"/>
      <c r="L901" s="164"/>
      <c r="M901" s="320"/>
      <c r="N901" s="164"/>
      <c r="O901" s="320"/>
      <c r="P901" s="164"/>
      <c r="Q901" s="188"/>
      <c r="R901" s="188"/>
      <c r="S901" s="20"/>
      <c r="T901" s="20"/>
      <c r="U901" s="20"/>
      <c r="V901" s="20"/>
      <c r="W901" s="20"/>
      <c r="X901" s="20"/>
      <c r="Y901" s="20"/>
      <c r="Z901" s="20"/>
    </row>
    <row r="902">
      <c r="A902" s="320"/>
      <c r="B902" s="164"/>
      <c r="C902" s="320"/>
      <c r="D902" s="164"/>
      <c r="E902" s="320"/>
      <c r="F902" s="164"/>
      <c r="G902" s="320"/>
      <c r="H902" s="164"/>
      <c r="I902" s="320"/>
      <c r="J902" s="164"/>
      <c r="K902" s="320"/>
      <c r="L902" s="164"/>
      <c r="M902" s="320"/>
      <c r="N902" s="164"/>
      <c r="O902" s="320"/>
      <c r="P902" s="164"/>
      <c r="Q902" s="188"/>
      <c r="R902" s="188"/>
      <c r="S902" s="20"/>
      <c r="T902" s="20"/>
      <c r="U902" s="20"/>
      <c r="V902" s="20"/>
      <c r="W902" s="20"/>
      <c r="X902" s="20"/>
      <c r="Y902" s="20"/>
      <c r="Z902" s="20"/>
    </row>
    <row r="903">
      <c r="A903" s="320"/>
      <c r="B903" s="164"/>
      <c r="C903" s="320"/>
      <c r="D903" s="164"/>
      <c r="E903" s="320"/>
      <c r="F903" s="164"/>
      <c r="G903" s="320"/>
      <c r="H903" s="164"/>
      <c r="I903" s="320"/>
      <c r="J903" s="164"/>
      <c r="K903" s="320"/>
      <c r="L903" s="164"/>
      <c r="M903" s="320"/>
      <c r="N903" s="164"/>
      <c r="O903" s="320"/>
      <c r="P903" s="164"/>
      <c r="Q903" s="188"/>
      <c r="R903" s="188"/>
      <c r="S903" s="20"/>
      <c r="T903" s="20"/>
      <c r="U903" s="20"/>
      <c r="V903" s="20"/>
      <c r="W903" s="20"/>
      <c r="X903" s="20"/>
      <c r="Y903" s="20"/>
      <c r="Z903" s="20"/>
    </row>
    <row r="904">
      <c r="A904" s="320"/>
      <c r="B904" s="164"/>
      <c r="C904" s="320"/>
      <c r="D904" s="164"/>
      <c r="E904" s="320"/>
      <c r="F904" s="164"/>
      <c r="G904" s="320"/>
      <c r="H904" s="164"/>
      <c r="I904" s="320"/>
      <c r="J904" s="164"/>
      <c r="K904" s="320"/>
      <c r="L904" s="164"/>
      <c r="M904" s="320"/>
      <c r="N904" s="164"/>
      <c r="O904" s="320"/>
      <c r="P904" s="164"/>
      <c r="Q904" s="188"/>
      <c r="R904" s="188"/>
      <c r="S904" s="20"/>
      <c r="T904" s="20"/>
      <c r="U904" s="20"/>
      <c r="V904" s="20"/>
      <c r="W904" s="20"/>
      <c r="X904" s="20"/>
      <c r="Y904" s="20"/>
      <c r="Z904" s="20"/>
    </row>
    <row r="905">
      <c r="A905" s="320"/>
      <c r="B905" s="164"/>
      <c r="C905" s="320"/>
      <c r="D905" s="164"/>
      <c r="E905" s="320"/>
      <c r="F905" s="164"/>
      <c r="G905" s="320"/>
      <c r="H905" s="164"/>
      <c r="I905" s="320"/>
      <c r="J905" s="164"/>
      <c r="K905" s="320"/>
      <c r="L905" s="164"/>
      <c r="M905" s="320"/>
      <c r="N905" s="164"/>
      <c r="O905" s="320"/>
      <c r="P905" s="164"/>
      <c r="Q905" s="188"/>
      <c r="R905" s="188"/>
      <c r="S905" s="20"/>
      <c r="T905" s="20"/>
      <c r="U905" s="20"/>
      <c r="V905" s="20"/>
      <c r="W905" s="20"/>
      <c r="X905" s="20"/>
      <c r="Y905" s="20"/>
      <c r="Z905" s="20"/>
    </row>
    <row r="906">
      <c r="A906" s="320"/>
      <c r="B906" s="164"/>
      <c r="C906" s="320"/>
      <c r="D906" s="164"/>
      <c r="E906" s="320"/>
      <c r="F906" s="164"/>
      <c r="G906" s="320"/>
      <c r="H906" s="164"/>
      <c r="I906" s="320"/>
      <c r="J906" s="164"/>
      <c r="K906" s="320"/>
      <c r="L906" s="164"/>
      <c r="M906" s="320"/>
      <c r="N906" s="164"/>
      <c r="O906" s="320"/>
      <c r="P906" s="164"/>
      <c r="Q906" s="188"/>
      <c r="R906" s="188"/>
      <c r="S906" s="20"/>
      <c r="T906" s="20"/>
      <c r="U906" s="20"/>
      <c r="V906" s="20"/>
      <c r="W906" s="20"/>
      <c r="X906" s="20"/>
      <c r="Y906" s="20"/>
      <c r="Z906" s="20"/>
    </row>
    <row r="907">
      <c r="A907" s="320"/>
      <c r="B907" s="164"/>
      <c r="C907" s="320"/>
      <c r="D907" s="164"/>
      <c r="E907" s="320"/>
      <c r="F907" s="164"/>
      <c r="G907" s="320"/>
      <c r="H907" s="164"/>
      <c r="I907" s="320"/>
      <c r="J907" s="164"/>
      <c r="K907" s="320"/>
      <c r="L907" s="164"/>
      <c r="M907" s="320"/>
      <c r="N907" s="164"/>
      <c r="O907" s="320"/>
      <c r="P907" s="164"/>
      <c r="Q907" s="188"/>
      <c r="R907" s="188"/>
      <c r="S907" s="20"/>
      <c r="T907" s="20"/>
      <c r="U907" s="20"/>
      <c r="V907" s="20"/>
      <c r="W907" s="20"/>
      <c r="X907" s="20"/>
      <c r="Y907" s="20"/>
      <c r="Z907" s="20"/>
    </row>
    <row r="908">
      <c r="A908" s="320"/>
      <c r="B908" s="164"/>
      <c r="C908" s="320"/>
      <c r="D908" s="164"/>
      <c r="E908" s="320"/>
      <c r="F908" s="164"/>
      <c r="G908" s="320"/>
      <c r="H908" s="164"/>
      <c r="I908" s="320"/>
      <c r="J908" s="164"/>
      <c r="K908" s="320"/>
      <c r="L908" s="164"/>
      <c r="M908" s="320"/>
      <c r="N908" s="164"/>
      <c r="O908" s="320"/>
      <c r="P908" s="164"/>
      <c r="Q908" s="188"/>
      <c r="R908" s="188"/>
      <c r="S908" s="20"/>
      <c r="T908" s="20"/>
      <c r="U908" s="20"/>
      <c r="V908" s="20"/>
      <c r="W908" s="20"/>
      <c r="X908" s="20"/>
      <c r="Y908" s="20"/>
      <c r="Z908" s="20"/>
    </row>
    <row r="909">
      <c r="A909" s="320"/>
      <c r="B909" s="164"/>
      <c r="C909" s="320"/>
      <c r="D909" s="164"/>
      <c r="E909" s="320"/>
      <c r="F909" s="164"/>
      <c r="G909" s="320"/>
      <c r="H909" s="164"/>
      <c r="I909" s="320"/>
      <c r="J909" s="164"/>
      <c r="K909" s="320"/>
      <c r="L909" s="164"/>
      <c r="M909" s="320"/>
      <c r="N909" s="164"/>
      <c r="O909" s="320"/>
      <c r="P909" s="164"/>
      <c r="Q909" s="188"/>
      <c r="R909" s="188"/>
      <c r="S909" s="20"/>
      <c r="T909" s="20"/>
      <c r="U909" s="20"/>
      <c r="V909" s="20"/>
      <c r="W909" s="20"/>
      <c r="X909" s="20"/>
      <c r="Y909" s="20"/>
      <c r="Z909" s="20"/>
    </row>
    <row r="910">
      <c r="A910" s="320"/>
      <c r="B910" s="164"/>
      <c r="C910" s="320"/>
      <c r="D910" s="164"/>
      <c r="E910" s="320"/>
      <c r="F910" s="164"/>
      <c r="G910" s="320"/>
      <c r="H910" s="164"/>
      <c r="I910" s="320"/>
      <c r="J910" s="164"/>
      <c r="K910" s="320"/>
      <c r="L910" s="164"/>
      <c r="M910" s="320"/>
      <c r="N910" s="164"/>
      <c r="O910" s="320"/>
      <c r="P910" s="164"/>
      <c r="Q910" s="188"/>
      <c r="R910" s="188"/>
      <c r="S910" s="20"/>
      <c r="T910" s="20"/>
      <c r="U910" s="20"/>
      <c r="V910" s="20"/>
      <c r="W910" s="20"/>
      <c r="X910" s="20"/>
      <c r="Y910" s="20"/>
      <c r="Z910" s="20"/>
    </row>
    <row r="911">
      <c r="A911" s="320"/>
      <c r="B911" s="164"/>
      <c r="C911" s="320"/>
      <c r="D911" s="164"/>
      <c r="E911" s="320"/>
      <c r="F911" s="164"/>
      <c r="G911" s="320"/>
      <c r="H911" s="164"/>
      <c r="I911" s="320"/>
      <c r="J911" s="164"/>
      <c r="K911" s="320"/>
      <c r="L911" s="164"/>
      <c r="M911" s="320"/>
      <c r="N911" s="164"/>
      <c r="O911" s="320"/>
      <c r="P911" s="164"/>
      <c r="Q911" s="188"/>
      <c r="R911" s="188"/>
      <c r="S911" s="20"/>
      <c r="T911" s="20"/>
      <c r="U911" s="20"/>
      <c r="V911" s="20"/>
      <c r="W911" s="20"/>
      <c r="X911" s="20"/>
      <c r="Y911" s="20"/>
      <c r="Z911" s="20"/>
    </row>
    <row r="912">
      <c r="A912" s="320"/>
      <c r="B912" s="164"/>
      <c r="C912" s="320"/>
      <c r="D912" s="164"/>
      <c r="E912" s="320"/>
      <c r="F912" s="164"/>
      <c r="G912" s="320"/>
      <c r="H912" s="164"/>
      <c r="I912" s="320"/>
      <c r="J912" s="164"/>
      <c r="K912" s="320"/>
      <c r="L912" s="164"/>
      <c r="M912" s="320"/>
      <c r="N912" s="164"/>
      <c r="O912" s="320"/>
      <c r="P912" s="164"/>
      <c r="Q912" s="188"/>
      <c r="R912" s="188"/>
      <c r="S912" s="20"/>
      <c r="T912" s="20"/>
      <c r="U912" s="20"/>
      <c r="V912" s="20"/>
      <c r="W912" s="20"/>
      <c r="X912" s="20"/>
      <c r="Y912" s="20"/>
      <c r="Z912" s="20"/>
    </row>
    <row r="913">
      <c r="A913" s="320"/>
      <c r="B913" s="164"/>
      <c r="C913" s="320"/>
      <c r="D913" s="164"/>
      <c r="E913" s="320"/>
      <c r="F913" s="164"/>
      <c r="G913" s="320"/>
      <c r="H913" s="164"/>
      <c r="I913" s="320"/>
      <c r="J913" s="164"/>
      <c r="K913" s="320"/>
      <c r="L913" s="164"/>
      <c r="M913" s="320"/>
      <c r="N913" s="164"/>
      <c r="O913" s="320"/>
      <c r="P913" s="164"/>
      <c r="Q913" s="188"/>
      <c r="R913" s="188"/>
      <c r="S913" s="20"/>
      <c r="T913" s="20"/>
      <c r="U913" s="20"/>
      <c r="V913" s="20"/>
      <c r="W913" s="20"/>
      <c r="X913" s="20"/>
      <c r="Y913" s="20"/>
      <c r="Z913" s="20"/>
    </row>
    <row r="914">
      <c r="A914" s="320"/>
      <c r="B914" s="164"/>
      <c r="C914" s="320"/>
      <c r="D914" s="164"/>
      <c r="E914" s="320"/>
      <c r="F914" s="164"/>
      <c r="G914" s="320"/>
      <c r="H914" s="164"/>
      <c r="I914" s="320"/>
      <c r="J914" s="164"/>
      <c r="K914" s="320"/>
      <c r="L914" s="164"/>
      <c r="M914" s="320"/>
      <c r="N914" s="164"/>
      <c r="O914" s="320"/>
      <c r="P914" s="164"/>
      <c r="Q914" s="188"/>
      <c r="R914" s="188"/>
      <c r="S914" s="20"/>
      <c r="T914" s="20"/>
      <c r="U914" s="20"/>
      <c r="V914" s="20"/>
      <c r="W914" s="20"/>
      <c r="X914" s="20"/>
      <c r="Y914" s="20"/>
      <c r="Z914" s="20"/>
    </row>
    <row r="915">
      <c r="A915" s="320"/>
      <c r="B915" s="164"/>
      <c r="C915" s="320"/>
      <c r="D915" s="164"/>
      <c r="E915" s="320"/>
      <c r="F915" s="164"/>
      <c r="G915" s="320"/>
      <c r="H915" s="164"/>
      <c r="I915" s="320"/>
      <c r="J915" s="164"/>
      <c r="K915" s="320"/>
      <c r="L915" s="164"/>
      <c r="M915" s="320"/>
      <c r="N915" s="164"/>
      <c r="O915" s="320"/>
      <c r="P915" s="164"/>
      <c r="Q915" s="188"/>
      <c r="R915" s="188"/>
      <c r="S915" s="20"/>
      <c r="T915" s="20"/>
      <c r="U915" s="20"/>
      <c r="V915" s="20"/>
      <c r="W915" s="20"/>
      <c r="X915" s="20"/>
      <c r="Y915" s="20"/>
      <c r="Z915" s="20"/>
    </row>
    <row r="916">
      <c r="A916" s="320"/>
      <c r="B916" s="164"/>
      <c r="C916" s="320"/>
      <c r="D916" s="164"/>
      <c r="E916" s="320"/>
      <c r="F916" s="164"/>
      <c r="G916" s="320"/>
      <c r="H916" s="164"/>
      <c r="I916" s="320"/>
      <c r="J916" s="164"/>
      <c r="K916" s="320"/>
      <c r="L916" s="164"/>
      <c r="M916" s="320"/>
      <c r="N916" s="164"/>
      <c r="O916" s="320"/>
      <c r="P916" s="164"/>
      <c r="Q916" s="188"/>
      <c r="R916" s="188"/>
      <c r="S916" s="20"/>
      <c r="T916" s="20"/>
      <c r="U916" s="20"/>
      <c r="V916" s="20"/>
      <c r="W916" s="20"/>
      <c r="X916" s="20"/>
      <c r="Y916" s="20"/>
      <c r="Z916" s="20"/>
    </row>
    <row r="917">
      <c r="A917" s="320"/>
      <c r="B917" s="164"/>
      <c r="C917" s="320"/>
      <c r="D917" s="164"/>
      <c r="E917" s="320"/>
      <c r="F917" s="164"/>
      <c r="G917" s="320"/>
      <c r="H917" s="164"/>
      <c r="I917" s="320"/>
      <c r="J917" s="164"/>
      <c r="K917" s="320"/>
      <c r="L917" s="164"/>
      <c r="M917" s="320"/>
      <c r="N917" s="164"/>
      <c r="O917" s="320"/>
      <c r="P917" s="164"/>
      <c r="Q917" s="188"/>
      <c r="R917" s="188"/>
      <c r="S917" s="20"/>
      <c r="T917" s="20"/>
      <c r="U917" s="20"/>
      <c r="V917" s="20"/>
      <c r="W917" s="20"/>
      <c r="X917" s="20"/>
      <c r="Y917" s="20"/>
      <c r="Z917" s="20"/>
    </row>
    <row r="918">
      <c r="A918" s="320"/>
      <c r="B918" s="164"/>
      <c r="C918" s="320"/>
      <c r="D918" s="164"/>
      <c r="E918" s="320"/>
      <c r="F918" s="164"/>
      <c r="G918" s="320"/>
      <c r="H918" s="164"/>
      <c r="I918" s="320"/>
      <c r="J918" s="164"/>
      <c r="K918" s="320"/>
      <c r="L918" s="164"/>
      <c r="M918" s="320"/>
      <c r="N918" s="164"/>
      <c r="O918" s="320"/>
      <c r="P918" s="164"/>
      <c r="Q918" s="188"/>
      <c r="R918" s="188"/>
      <c r="S918" s="20"/>
      <c r="T918" s="20"/>
      <c r="U918" s="20"/>
      <c r="V918" s="20"/>
      <c r="W918" s="20"/>
      <c r="X918" s="20"/>
      <c r="Y918" s="20"/>
      <c r="Z918" s="20"/>
    </row>
    <row r="919">
      <c r="A919" s="320"/>
      <c r="B919" s="164"/>
      <c r="C919" s="320"/>
      <c r="D919" s="164"/>
      <c r="E919" s="320"/>
      <c r="F919" s="164"/>
      <c r="G919" s="320"/>
      <c r="H919" s="164"/>
      <c r="I919" s="320"/>
      <c r="J919" s="164"/>
      <c r="K919" s="320"/>
      <c r="L919" s="164"/>
      <c r="M919" s="320"/>
      <c r="N919" s="164"/>
      <c r="O919" s="320"/>
      <c r="P919" s="164"/>
      <c r="Q919" s="188"/>
      <c r="R919" s="188"/>
      <c r="S919" s="20"/>
      <c r="T919" s="20"/>
      <c r="U919" s="20"/>
      <c r="V919" s="20"/>
      <c r="W919" s="20"/>
      <c r="X919" s="20"/>
      <c r="Y919" s="20"/>
      <c r="Z919" s="20"/>
    </row>
    <row r="920">
      <c r="A920" s="320"/>
      <c r="B920" s="164"/>
      <c r="C920" s="320"/>
      <c r="D920" s="164"/>
      <c r="E920" s="320"/>
      <c r="F920" s="164"/>
      <c r="G920" s="320"/>
      <c r="H920" s="164"/>
      <c r="I920" s="320"/>
      <c r="J920" s="164"/>
      <c r="K920" s="320"/>
      <c r="L920" s="164"/>
      <c r="M920" s="320"/>
      <c r="N920" s="164"/>
      <c r="O920" s="320"/>
      <c r="P920" s="164"/>
      <c r="Q920" s="188"/>
      <c r="R920" s="188"/>
      <c r="S920" s="20"/>
      <c r="T920" s="20"/>
      <c r="U920" s="20"/>
      <c r="V920" s="20"/>
      <c r="W920" s="20"/>
      <c r="X920" s="20"/>
      <c r="Y920" s="20"/>
      <c r="Z920" s="20"/>
    </row>
    <row r="921">
      <c r="A921" s="320"/>
      <c r="B921" s="164"/>
      <c r="C921" s="320"/>
      <c r="D921" s="164"/>
      <c r="E921" s="320"/>
      <c r="F921" s="164"/>
      <c r="G921" s="320"/>
      <c r="H921" s="164"/>
      <c r="I921" s="320"/>
      <c r="J921" s="164"/>
      <c r="K921" s="320"/>
      <c r="L921" s="164"/>
      <c r="M921" s="320"/>
      <c r="N921" s="164"/>
      <c r="O921" s="320"/>
      <c r="P921" s="164"/>
      <c r="Q921" s="188"/>
      <c r="R921" s="188"/>
      <c r="S921" s="20"/>
      <c r="T921" s="20"/>
      <c r="U921" s="20"/>
      <c r="V921" s="20"/>
      <c r="W921" s="20"/>
      <c r="X921" s="20"/>
      <c r="Y921" s="20"/>
      <c r="Z921" s="20"/>
    </row>
    <row r="922">
      <c r="A922" s="320"/>
      <c r="B922" s="164"/>
      <c r="C922" s="320"/>
      <c r="D922" s="164"/>
      <c r="E922" s="320"/>
      <c r="F922" s="164"/>
      <c r="G922" s="320"/>
      <c r="H922" s="164"/>
      <c r="I922" s="320"/>
      <c r="J922" s="164"/>
      <c r="K922" s="320"/>
      <c r="L922" s="164"/>
      <c r="M922" s="320"/>
      <c r="N922" s="164"/>
      <c r="O922" s="320"/>
      <c r="P922" s="164"/>
      <c r="Q922" s="188"/>
      <c r="R922" s="188"/>
      <c r="S922" s="20"/>
      <c r="T922" s="20"/>
      <c r="U922" s="20"/>
      <c r="V922" s="20"/>
      <c r="W922" s="20"/>
      <c r="X922" s="20"/>
      <c r="Y922" s="20"/>
      <c r="Z922" s="20"/>
    </row>
    <row r="923">
      <c r="A923" s="320"/>
      <c r="B923" s="164"/>
      <c r="C923" s="320"/>
      <c r="D923" s="164"/>
      <c r="E923" s="320"/>
      <c r="F923" s="164"/>
      <c r="G923" s="320"/>
      <c r="H923" s="164"/>
      <c r="I923" s="320"/>
      <c r="J923" s="164"/>
      <c r="K923" s="320"/>
      <c r="L923" s="164"/>
      <c r="M923" s="320"/>
      <c r="N923" s="164"/>
      <c r="O923" s="320"/>
      <c r="P923" s="164"/>
      <c r="Q923" s="188"/>
      <c r="R923" s="188"/>
      <c r="S923" s="20"/>
      <c r="T923" s="20"/>
      <c r="U923" s="20"/>
      <c r="V923" s="20"/>
      <c r="W923" s="20"/>
      <c r="X923" s="20"/>
      <c r="Y923" s="20"/>
      <c r="Z923" s="20"/>
    </row>
    <row r="924">
      <c r="A924" s="320"/>
      <c r="B924" s="164"/>
      <c r="C924" s="320"/>
      <c r="D924" s="164"/>
      <c r="E924" s="320"/>
      <c r="F924" s="164"/>
      <c r="G924" s="320"/>
      <c r="H924" s="164"/>
      <c r="I924" s="320"/>
      <c r="J924" s="164"/>
      <c r="K924" s="320"/>
      <c r="L924" s="164"/>
      <c r="M924" s="320"/>
      <c r="N924" s="164"/>
      <c r="O924" s="320"/>
      <c r="P924" s="164"/>
      <c r="Q924" s="188"/>
      <c r="R924" s="188"/>
      <c r="S924" s="20"/>
      <c r="T924" s="20"/>
      <c r="U924" s="20"/>
      <c r="V924" s="20"/>
      <c r="W924" s="20"/>
      <c r="X924" s="20"/>
      <c r="Y924" s="20"/>
      <c r="Z924" s="20"/>
    </row>
    <row r="925">
      <c r="A925" s="320"/>
      <c r="B925" s="164"/>
      <c r="C925" s="320"/>
      <c r="D925" s="164"/>
      <c r="E925" s="320"/>
      <c r="F925" s="164"/>
      <c r="G925" s="320"/>
      <c r="H925" s="164"/>
      <c r="I925" s="320"/>
      <c r="J925" s="164"/>
      <c r="K925" s="320"/>
      <c r="L925" s="164"/>
      <c r="M925" s="320"/>
      <c r="N925" s="164"/>
      <c r="O925" s="320"/>
      <c r="P925" s="164"/>
      <c r="Q925" s="188"/>
      <c r="R925" s="188"/>
      <c r="S925" s="20"/>
      <c r="T925" s="20"/>
      <c r="U925" s="20"/>
      <c r="V925" s="20"/>
      <c r="W925" s="20"/>
      <c r="X925" s="20"/>
      <c r="Y925" s="20"/>
      <c r="Z925" s="20"/>
    </row>
    <row r="926">
      <c r="A926" s="320"/>
      <c r="B926" s="164"/>
      <c r="C926" s="320"/>
      <c r="D926" s="164"/>
      <c r="E926" s="320"/>
      <c r="F926" s="164"/>
      <c r="G926" s="320"/>
      <c r="H926" s="164"/>
      <c r="I926" s="320"/>
      <c r="J926" s="164"/>
      <c r="K926" s="320"/>
      <c r="L926" s="164"/>
      <c r="M926" s="320"/>
      <c r="N926" s="164"/>
      <c r="O926" s="320"/>
      <c r="P926" s="164"/>
      <c r="Q926" s="188"/>
      <c r="R926" s="188"/>
      <c r="S926" s="20"/>
      <c r="T926" s="20"/>
      <c r="U926" s="20"/>
      <c r="V926" s="20"/>
      <c r="W926" s="20"/>
      <c r="X926" s="20"/>
      <c r="Y926" s="20"/>
      <c r="Z926" s="20"/>
    </row>
    <row r="927">
      <c r="A927" s="320"/>
      <c r="B927" s="164"/>
      <c r="C927" s="320"/>
      <c r="D927" s="164"/>
      <c r="E927" s="320"/>
      <c r="F927" s="164"/>
      <c r="G927" s="320"/>
      <c r="H927" s="164"/>
      <c r="I927" s="320"/>
      <c r="J927" s="164"/>
      <c r="K927" s="320"/>
      <c r="L927" s="164"/>
      <c r="M927" s="320"/>
      <c r="N927" s="164"/>
      <c r="O927" s="320"/>
      <c r="P927" s="164"/>
      <c r="Q927" s="188"/>
      <c r="R927" s="188"/>
      <c r="S927" s="20"/>
      <c r="T927" s="20"/>
      <c r="U927" s="20"/>
      <c r="V927" s="20"/>
      <c r="W927" s="20"/>
      <c r="X927" s="20"/>
      <c r="Y927" s="20"/>
      <c r="Z927" s="20"/>
    </row>
    <row r="928">
      <c r="A928" s="320"/>
      <c r="B928" s="164"/>
      <c r="C928" s="320"/>
      <c r="D928" s="164"/>
      <c r="E928" s="320"/>
      <c r="F928" s="164"/>
      <c r="G928" s="320"/>
      <c r="H928" s="164"/>
      <c r="I928" s="320"/>
      <c r="J928" s="164"/>
      <c r="K928" s="320"/>
      <c r="L928" s="164"/>
      <c r="M928" s="320"/>
      <c r="N928" s="164"/>
      <c r="O928" s="320"/>
      <c r="P928" s="164"/>
      <c r="Q928" s="188"/>
      <c r="R928" s="188"/>
      <c r="S928" s="20"/>
      <c r="T928" s="20"/>
      <c r="U928" s="20"/>
      <c r="V928" s="20"/>
      <c r="W928" s="20"/>
      <c r="X928" s="20"/>
      <c r="Y928" s="20"/>
      <c r="Z928" s="20"/>
    </row>
    <row r="929">
      <c r="A929" s="320"/>
      <c r="B929" s="164"/>
      <c r="C929" s="320"/>
      <c r="D929" s="164"/>
      <c r="E929" s="320"/>
      <c r="F929" s="164"/>
      <c r="G929" s="320"/>
      <c r="H929" s="164"/>
      <c r="I929" s="320"/>
      <c r="J929" s="164"/>
      <c r="K929" s="320"/>
      <c r="L929" s="164"/>
      <c r="M929" s="320"/>
      <c r="N929" s="164"/>
      <c r="O929" s="320"/>
      <c r="P929" s="164"/>
      <c r="Q929" s="188"/>
      <c r="R929" s="188"/>
      <c r="S929" s="20"/>
      <c r="T929" s="20"/>
      <c r="U929" s="20"/>
      <c r="V929" s="20"/>
      <c r="W929" s="20"/>
      <c r="X929" s="20"/>
      <c r="Y929" s="20"/>
      <c r="Z929" s="20"/>
    </row>
    <row r="930">
      <c r="A930" s="320"/>
      <c r="B930" s="164"/>
      <c r="C930" s="320"/>
      <c r="D930" s="164"/>
      <c r="E930" s="320"/>
      <c r="F930" s="164"/>
      <c r="G930" s="320"/>
      <c r="H930" s="164"/>
      <c r="I930" s="320"/>
      <c r="J930" s="164"/>
      <c r="K930" s="320"/>
      <c r="L930" s="164"/>
      <c r="M930" s="320"/>
      <c r="N930" s="164"/>
      <c r="O930" s="320"/>
      <c r="P930" s="164"/>
      <c r="Q930" s="188"/>
      <c r="R930" s="188"/>
      <c r="S930" s="20"/>
      <c r="T930" s="20"/>
      <c r="U930" s="20"/>
      <c r="V930" s="20"/>
      <c r="W930" s="20"/>
      <c r="X930" s="20"/>
      <c r="Y930" s="20"/>
      <c r="Z930" s="20"/>
    </row>
    <row r="931">
      <c r="A931" s="320"/>
      <c r="B931" s="164"/>
      <c r="C931" s="320"/>
      <c r="D931" s="164"/>
      <c r="E931" s="320"/>
      <c r="F931" s="164"/>
      <c r="G931" s="320"/>
      <c r="H931" s="164"/>
      <c r="I931" s="320"/>
      <c r="J931" s="164"/>
      <c r="K931" s="320"/>
      <c r="L931" s="164"/>
      <c r="M931" s="320"/>
      <c r="N931" s="164"/>
      <c r="O931" s="320"/>
      <c r="P931" s="164"/>
      <c r="Q931" s="188"/>
      <c r="R931" s="188"/>
      <c r="S931" s="20"/>
      <c r="T931" s="20"/>
      <c r="U931" s="20"/>
      <c r="V931" s="20"/>
      <c r="W931" s="20"/>
      <c r="X931" s="20"/>
      <c r="Y931" s="20"/>
      <c r="Z931" s="20"/>
    </row>
    <row r="932">
      <c r="A932" s="320"/>
      <c r="B932" s="164"/>
      <c r="C932" s="320"/>
      <c r="D932" s="164"/>
      <c r="E932" s="320"/>
      <c r="F932" s="164"/>
      <c r="G932" s="320"/>
      <c r="H932" s="164"/>
      <c r="I932" s="320"/>
      <c r="J932" s="164"/>
      <c r="K932" s="320"/>
      <c r="L932" s="164"/>
      <c r="M932" s="320"/>
      <c r="N932" s="164"/>
      <c r="O932" s="320"/>
      <c r="P932" s="164"/>
      <c r="Q932" s="188"/>
      <c r="R932" s="188"/>
      <c r="S932" s="20"/>
      <c r="T932" s="20"/>
      <c r="U932" s="20"/>
      <c r="V932" s="20"/>
      <c r="W932" s="20"/>
      <c r="X932" s="20"/>
      <c r="Y932" s="20"/>
      <c r="Z932" s="20"/>
    </row>
    <row r="933">
      <c r="A933" s="320"/>
      <c r="B933" s="164"/>
      <c r="C933" s="320"/>
      <c r="D933" s="164"/>
      <c r="E933" s="320"/>
      <c r="F933" s="164"/>
      <c r="G933" s="320"/>
      <c r="H933" s="164"/>
      <c r="I933" s="320"/>
      <c r="J933" s="164"/>
      <c r="K933" s="320"/>
      <c r="L933" s="164"/>
      <c r="M933" s="320"/>
      <c r="N933" s="164"/>
      <c r="O933" s="320"/>
      <c r="P933" s="164"/>
      <c r="Q933" s="188"/>
      <c r="R933" s="188"/>
      <c r="S933" s="20"/>
      <c r="T933" s="20"/>
      <c r="U933" s="20"/>
      <c r="V933" s="20"/>
      <c r="W933" s="20"/>
      <c r="X933" s="20"/>
      <c r="Y933" s="20"/>
      <c r="Z933" s="20"/>
    </row>
    <row r="934">
      <c r="A934" s="320"/>
      <c r="B934" s="164"/>
      <c r="C934" s="320"/>
      <c r="D934" s="164"/>
      <c r="E934" s="320"/>
      <c r="F934" s="164"/>
      <c r="G934" s="320"/>
      <c r="H934" s="164"/>
      <c r="I934" s="320"/>
      <c r="J934" s="164"/>
      <c r="K934" s="320"/>
      <c r="L934" s="164"/>
      <c r="M934" s="320"/>
      <c r="N934" s="164"/>
      <c r="O934" s="320"/>
      <c r="P934" s="164"/>
      <c r="Q934" s="188"/>
      <c r="R934" s="188"/>
      <c r="S934" s="20"/>
      <c r="T934" s="20"/>
      <c r="U934" s="20"/>
      <c r="V934" s="20"/>
      <c r="W934" s="20"/>
      <c r="X934" s="20"/>
      <c r="Y934" s="20"/>
      <c r="Z934" s="20"/>
    </row>
    <row r="935">
      <c r="A935" s="320"/>
      <c r="B935" s="164"/>
      <c r="C935" s="320"/>
      <c r="D935" s="164"/>
      <c r="E935" s="320"/>
      <c r="F935" s="164"/>
      <c r="G935" s="320"/>
      <c r="H935" s="164"/>
      <c r="I935" s="320"/>
      <c r="J935" s="164"/>
      <c r="K935" s="320"/>
      <c r="L935" s="164"/>
      <c r="M935" s="320"/>
      <c r="N935" s="164"/>
      <c r="O935" s="320"/>
      <c r="P935" s="164"/>
      <c r="Q935" s="188"/>
      <c r="R935" s="188"/>
      <c r="S935" s="20"/>
      <c r="T935" s="20"/>
      <c r="U935" s="20"/>
      <c r="V935" s="20"/>
      <c r="W935" s="20"/>
      <c r="X935" s="20"/>
      <c r="Y935" s="20"/>
      <c r="Z935" s="20"/>
    </row>
    <row r="936">
      <c r="A936" s="320"/>
      <c r="B936" s="164"/>
      <c r="C936" s="320"/>
      <c r="D936" s="164"/>
      <c r="E936" s="320"/>
      <c r="F936" s="164"/>
      <c r="G936" s="320"/>
      <c r="H936" s="164"/>
      <c r="I936" s="320"/>
      <c r="J936" s="164"/>
      <c r="K936" s="320"/>
      <c r="L936" s="164"/>
      <c r="M936" s="320"/>
      <c r="N936" s="164"/>
      <c r="O936" s="320"/>
      <c r="P936" s="164"/>
      <c r="Q936" s="188"/>
      <c r="R936" s="188"/>
      <c r="S936" s="20"/>
      <c r="T936" s="20"/>
      <c r="U936" s="20"/>
      <c r="V936" s="20"/>
      <c r="W936" s="20"/>
      <c r="X936" s="20"/>
      <c r="Y936" s="20"/>
      <c r="Z936" s="20"/>
    </row>
    <row r="937">
      <c r="A937" s="320"/>
      <c r="B937" s="164"/>
      <c r="C937" s="320"/>
      <c r="D937" s="164"/>
      <c r="E937" s="320"/>
      <c r="F937" s="164"/>
      <c r="G937" s="320"/>
      <c r="H937" s="164"/>
      <c r="I937" s="320"/>
      <c r="J937" s="164"/>
      <c r="K937" s="320"/>
      <c r="L937" s="164"/>
      <c r="M937" s="320"/>
      <c r="N937" s="164"/>
      <c r="O937" s="320"/>
      <c r="P937" s="164"/>
      <c r="Q937" s="188"/>
      <c r="R937" s="188"/>
      <c r="S937" s="20"/>
      <c r="T937" s="20"/>
      <c r="U937" s="20"/>
      <c r="V937" s="20"/>
      <c r="W937" s="20"/>
      <c r="X937" s="20"/>
      <c r="Y937" s="20"/>
      <c r="Z937" s="20"/>
    </row>
    <row r="938">
      <c r="A938" s="320"/>
      <c r="B938" s="164"/>
      <c r="C938" s="320"/>
      <c r="D938" s="164"/>
      <c r="E938" s="320"/>
      <c r="F938" s="164"/>
      <c r="G938" s="320"/>
      <c r="H938" s="164"/>
      <c r="I938" s="320"/>
      <c r="J938" s="164"/>
      <c r="K938" s="320"/>
      <c r="L938" s="164"/>
      <c r="M938" s="320"/>
      <c r="N938" s="164"/>
      <c r="O938" s="320"/>
      <c r="P938" s="164"/>
      <c r="Q938" s="188"/>
      <c r="R938" s="188"/>
      <c r="S938" s="20"/>
      <c r="T938" s="20"/>
      <c r="U938" s="20"/>
      <c r="V938" s="20"/>
      <c r="W938" s="20"/>
      <c r="X938" s="20"/>
      <c r="Y938" s="20"/>
      <c r="Z938" s="20"/>
    </row>
    <row r="939">
      <c r="A939" s="320"/>
      <c r="B939" s="164"/>
      <c r="C939" s="320"/>
      <c r="D939" s="164"/>
      <c r="E939" s="320"/>
      <c r="F939" s="164"/>
      <c r="G939" s="320"/>
      <c r="H939" s="164"/>
      <c r="I939" s="320"/>
      <c r="J939" s="164"/>
      <c r="K939" s="320"/>
      <c r="L939" s="164"/>
      <c r="M939" s="320"/>
      <c r="N939" s="164"/>
      <c r="O939" s="320"/>
      <c r="P939" s="164"/>
      <c r="Q939" s="188"/>
      <c r="R939" s="188"/>
      <c r="S939" s="20"/>
      <c r="T939" s="20"/>
      <c r="U939" s="20"/>
      <c r="V939" s="20"/>
      <c r="W939" s="20"/>
      <c r="X939" s="20"/>
      <c r="Y939" s="20"/>
      <c r="Z939" s="20"/>
    </row>
    <row r="940">
      <c r="A940" s="320"/>
      <c r="B940" s="164"/>
      <c r="C940" s="320"/>
      <c r="D940" s="164"/>
      <c r="E940" s="320"/>
      <c r="F940" s="164"/>
      <c r="G940" s="320"/>
      <c r="H940" s="164"/>
      <c r="I940" s="320"/>
      <c r="J940" s="164"/>
      <c r="K940" s="320"/>
      <c r="L940" s="164"/>
      <c r="M940" s="320"/>
      <c r="N940" s="164"/>
      <c r="O940" s="320"/>
      <c r="P940" s="164"/>
      <c r="Q940" s="188"/>
      <c r="R940" s="188"/>
      <c r="S940" s="20"/>
      <c r="T940" s="20"/>
      <c r="U940" s="20"/>
      <c r="V940" s="20"/>
      <c r="W940" s="20"/>
      <c r="X940" s="20"/>
      <c r="Y940" s="20"/>
      <c r="Z940" s="20"/>
    </row>
    <row r="941">
      <c r="A941" s="320"/>
      <c r="B941" s="164"/>
      <c r="C941" s="320"/>
      <c r="D941" s="164"/>
      <c r="E941" s="320"/>
      <c r="F941" s="164"/>
      <c r="G941" s="320"/>
      <c r="H941" s="164"/>
      <c r="I941" s="320"/>
      <c r="J941" s="164"/>
      <c r="K941" s="320"/>
      <c r="L941" s="164"/>
      <c r="M941" s="320"/>
      <c r="N941" s="164"/>
      <c r="O941" s="320"/>
      <c r="P941" s="164"/>
      <c r="Q941" s="188"/>
      <c r="R941" s="188"/>
      <c r="S941" s="20"/>
      <c r="T941" s="20"/>
      <c r="U941" s="20"/>
      <c r="V941" s="20"/>
      <c r="W941" s="20"/>
      <c r="X941" s="20"/>
      <c r="Y941" s="20"/>
      <c r="Z941" s="20"/>
    </row>
    <row r="942">
      <c r="A942" s="320"/>
      <c r="B942" s="164"/>
      <c r="C942" s="320"/>
      <c r="D942" s="164"/>
      <c r="E942" s="320"/>
      <c r="F942" s="164"/>
      <c r="G942" s="320"/>
      <c r="H942" s="164"/>
      <c r="I942" s="320"/>
      <c r="J942" s="164"/>
      <c r="K942" s="320"/>
      <c r="L942" s="164"/>
      <c r="M942" s="320"/>
      <c r="N942" s="164"/>
      <c r="O942" s="320"/>
      <c r="P942" s="164"/>
      <c r="Q942" s="188"/>
      <c r="R942" s="188"/>
      <c r="S942" s="20"/>
      <c r="T942" s="20"/>
      <c r="U942" s="20"/>
      <c r="V942" s="20"/>
      <c r="W942" s="20"/>
      <c r="X942" s="20"/>
      <c r="Y942" s="20"/>
      <c r="Z942" s="20"/>
    </row>
    <row r="943">
      <c r="A943" s="320"/>
      <c r="B943" s="164"/>
      <c r="C943" s="320"/>
      <c r="D943" s="164"/>
      <c r="E943" s="320"/>
      <c r="F943" s="164"/>
      <c r="G943" s="320"/>
      <c r="H943" s="164"/>
      <c r="I943" s="320"/>
      <c r="J943" s="164"/>
      <c r="K943" s="320"/>
      <c r="L943" s="164"/>
      <c r="M943" s="320"/>
      <c r="N943" s="164"/>
      <c r="O943" s="320"/>
      <c r="P943" s="164"/>
      <c r="Q943" s="188"/>
      <c r="R943" s="188"/>
      <c r="S943" s="20"/>
      <c r="T943" s="20"/>
      <c r="U943" s="20"/>
      <c r="V943" s="20"/>
      <c r="W943" s="20"/>
      <c r="X943" s="20"/>
      <c r="Y943" s="20"/>
      <c r="Z943" s="20"/>
    </row>
    <row r="944">
      <c r="A944" s="320"/>
      <c r="B944" s="164"/>
      <c r="C944" s="320"/>
      <c r="D944" s="164"/>
      <c r="E944" s="320"/>
      <c r="F944" s="164"/>
      <c r="G944" s="320"/>
      <c r="H944" s="164"/>
      <c r="I944" s="320"/>
      <c r="J944" s="164"/>
      <c r="K944" s="320"/>
      <c r="L944" s="164"/>
      <c r="M944" s="320"/>
      <c r="N944" s="164"/>
      <c r="O944" s="320"/>
      <c r="P944" s="164"/>
      <c r="Q944" s="188"/>
      <c r="R944" s="188"/>
      <c r="S944" s="20"/>
      <c r="T944" s="20"/>
      <c r="U944" s="20"/>
      <c r="V944" s="20"/>
      <c r="W944" s="20"/>
      <c r="X944" s="20"/>
      <c r="Y944" s="20"/>
      <c r="Z944" s="20"/>
    </row>
    <row r="945">
      <c r="A945" s="320"/>
      <c r="B945" s="164"/>
      <c r="C945" s="320"/>
      <c r="D945" s="164"/>
      <c r="E945" s="320"/>
      <c r="F945" s="164"/>
      <c r="G945" s="320"/>
      <c r="H945" s="164"/>
      <c r="I945" s="320"/>
      <c r="J945" s="164"/>
      <c r="K945" s="320"/>
      <c r="L945" s="164"/>
      <c r="M945" s="320"/>
      <c r="N945" s="164"/>
      <c r="O945" s="320"/>
      <c r="P945" s="164"/>
      <c r="Q945" s="188"/>
      <c r="R945" s="188"/>
      <c r="S945" s="20"/>
      <c r="T945" s="20"/>
      <c r="U945" s="20"/>
      <c r="V945" s="20"/>
      <c r="W945" s="20"/>
      <c r="X945" s="20"/>
      <c r="Y945" s="20"/>
      <c r="Z945" s="20"/>
    </row>
    <row r="946">
      <c r="A946" s="320"/>
      <c r="B946" s="164"/>
      <c r="C946" s="320"/>
      <c r="D946" s="164"/>
      <c r="E946" s="320"/>
      <c r="F946" s="164"/>
      <c r="G946" s="320"/>
      <c r="H946" s="164"/>
      <c r="I946" s="320"/>
      <c r="J946" s="164"/>
      <c r="K946" s="320"/>
      <c r="L946" s="164"/>
      <c r="M946" s="320"/>
      <c r="N946" s="164"/>
      <c r="O946" s="320"/>
      <c r="P946" s="164"/>
      <c r="Q946" s="188"/>
      <c r="R946" s="188"/>
      <c r="S946" s="20"/>
      <c r="T946" s="20"/>
      <c r="U946" s="20"/>
      <c r="V946" s="20"/>
      <c r="W946" s="20"/>
      <c r="X946" s="20"/>
      <c r="Y946" s="20"/>
      <c r="Z946" s="20"/>
    </row>
    <row r="947">
      <c r="A947" s="320"/>
      <c r="B947" s="164"/>
      <c r="C947" s="320"/>
      <c r="D947" s="164"/>
      <c r="E947" s="320"/>
      <c r="F947" s="164"/>
      <c r="G947" s="320"/>
      <c r="H947" s="164"/>
      <c r="I947" s="320"/>
      <c r="J947" s="164"/>
      <c r="K947" s="320"/>
      <c r="L947" s="164"/>
      <c r="M947" s="320"/>
      <c r="N947" s="164"/>
      <c r="O947" s="320"/>
      <c r="P947" s="164"/>
      <c r="Q947" s="188"/>
      <c r="R947" s="188"/>
      <c r="S947" s="20"/>
      <c r="T947" s="20"/>
      <c r="U947" s="20"/>
      <c r="V947" s="20"/>
      <c r="W947" s="20"/>
      <c r="X947" s="20"/>
      <c r="Y947" s="20"/>
      <c r="Z947" s="20"/>
    </row>
    <row r="948">
      <c r="A948" s="320"/>
      <c r="B948" s="164"/>
      <c r="C948" s="320"/>
      <c r="D948" s="164"/>
      <c r="E948" s="320"/>
      <c r="F948" s="164"/>
      <c r="G948" s="320"/>
      <c r="H948" s="164"/>
      <c r="I948" s="320"/>
      <c r="J948" s="164"/>
      <c r="K948" s="320"/>
      <c r="L948" s="164"/>
      <c r="M948" s="320"/>
      <c r="N948" s="164"/>
      <c r="O948" s="320"/>
      <c r="P948" s="164"/>
      <c r="Q948" s="188"/>
      <c r="R948" s="188"/>
      <c r="S948" s="20"/>
      <c r="T948" s="20"/>
      <c r="U948" s="20"/>
      <c r="V948" s="20"/>
      <c r="W948" s="20"/>
      <c r="X948" s="20"/>
      <c r="Y948" s="20"/>
      <c r="Z948" s="20"/>
    </row>
    <row r="949">
      <c r="A949" s="320"/>
      <c r="B949" s="164"/>
      <c r="C949" s="320"/>
      <c r="D949" s="164"/>
      <c r="E949" s="320"/>
      <c r="F949" s="164"/>
      <c r="G949" s="320"/>
      <c r="H949" s="164"/>
      <c r="I949" s="320"/>
      <c r="J949" s="164"/>
      <c r="K949" s="320"/>
      <c r="L949" s="164"/>
      <c r="M949" s="320"/>
      <c r="N949" s="164"/>
      <c r="O949" s="320"/>
      <c r="P949" s="164"/>
      <c r="Q949" s="188"/>
      <c r="R949" s="188"/>
      <c r="S949" s="20"/>
      <c r="T949" s="20"/>
      <c r="U949" s="20"/>
      <c r="V949" s="20"/>
      <c r="W949" s="20"/>
      <c r="X949" s="20"/>
      <c r="Y949" s="20"/>
      <c r="Z949" s="20"/>
    </row>
    <row r="950">
      <c r="A950" s="320"/>
      <c r="B950" s="164"/>
      <c r="C950" s="320"/>
      <c r="D950" s="164"/>
      <c r="E950" s="320"/>
      <c r="F950" s="164"/>
      <c r="G950" s="320"/>
      <c r="H950" s="164"/>
      <c r="I950" s="320"/>
      <c r="J950" s="164"/>
      <c r="K950" s="320"/>
      <c r="L950" s="164"/>
      <c r="M950" s="320"/>
      <c r="N950" s="164"/>
      <c r="O950" s="320"/>
      <c r="P950" s="164"/>
      <c r="Q950" s="188"/>
      <c r="R950" s="188"/>
      <c r="S950" s="20"/>
      <c r="T950" s="20"/>
      <c r="U950" s="20"/>
      <c r="V950" s="20"/>
      <c r="W950" s="20"/>
      <c r="X950" s="20"/>
      <c r="Y950" s="20"/>
      <c r="Z950" s="20"/>
    </row>
    <row r="951">
      <c r="A951" s="320"/>
      <c r="B951" s="164"/>
      <c r="C951" s="320"/>
      <c r="D951" s="164"/>
      <c r="E951" s="320"/>
      <c r="F951" s="164"/>
      <c r="G951" s="320"/>
      <c r="H951" s="164"/>
      <c r="I951" s="320"/>
      <c r="J951" s="164"/>
      <c r="K951" s="320"/>
      <c r="L951" s="164"/>
      <c r="M951" s="320"/>
      <c r="N951" s="164"/>
      <c r="O951" s="320"/>
      <c r="P951" s="164"/>
      <c r="Q951" s="188"/>
      <c r="R951" s="188"/>
      <c r="S951" s="20"/>
      <c r="T951" s="20"/>
      <c r="U951" s="20"/>
      <c r="V951" s="20"/>
      <c r="W951" s="20"/>
      <c r="X951" s="20"/>
      <c r="Y951" s="20"/>
      <c r="Z951" s="20"/>
    </row>
    <row r="952">
      <c r="A952" s="320"/>
      <c r="B952" s="164"/>
      <c r="C952" s="320"/>
      <c r="D952" s="164"/>
      <c r="E952" s="320"/>
      <c r="F952" s="164"/>
      <c r="G952" s="320"/>
      <c r="H952" s="164"/>
      <c r="I952" s="320"/>
      <c r="J952" s="164"/>
      <c r="K952" s="320"/>
      <c r="L952" s="164"/>
      <c r="M952" s="320"/>
      <c r="N952" s="164"/>
      <c r="O952" s="320"/>
      <c r="P952" s="164"/>
      <c r="Q952" s="188"/>
      <c r="R952" s="188"/>
      <c r="S952" s="20"/>
      <c r="T952" s="20"/>
      <c r="U952" s="20"/>
      <c r="V952" s="20"/>
      <c r="W952" s="20"/>
      <c r="X952" s="20"/>
      <c r="Y952" s="20"/>
      <c r="Z952" s="20"/>
    </row>
    <row r="953">
      <c r="A953" s="320"/>
      <c r="B953" s="164"/>
      <c r="C953" s="320"/>
      <c r="D953" s="164"/>
      <c r="E953" s="320"/>
      <c r="F953" s="164"/>
      <c r="G953" s="320"/>
      <c r="H953" s="164"/>
      <c r="I953" s="320"/>
      <c r="J953" s="164"/>
      <c r="K953" s="320"/>
      <c r="L953" s="164"/>
      <c r="M953" s="320"/>
      <c r="N953" s="164"/>
      <c r="O953" s="320"/>
      <c r="P953" s="164"/>
      <c r="Q953" s="188"/>
      <c r="R953" s="188"/>
      <c r="S953" s="20"/>
      <c r="T953" s="20"/>
      <c r="U953" s="20"/>
      <c r="V953" s="20"/>
      <c r="W953" s="20"/>
      <c r="X953" s="20"/>
      <c r="Y953" s="20"/>
      <c r="Z953" s="20"/>
    </row>
    <row r="954">
      <c r="A954" s="320"/>
      <c r="B954" s="164"/>
      <c r="C954" s="320"/>
      <c r="D954" s="164"/>
      <c r="E954" s="320"/>
      <c r="F954" s="164"/>
      <c r="G954" s="320"/>
      <c r="H954" s="164"/>
      <c r="I954" s="320"/>
      <c r="J954" s="164"/>
      <c r="K954" s="320"/>
      <c r="L954" s="164"/>
      <c r="M954" s="320"/>
      <c r="N954" s="164"/>
      <c r="O954" s="320"/>
      <c r="P954" s="164"/>
      <c r="Q954" s="188"/>
      <c r="R954" s="188"/>
      <c r="S954" s="20"/>
      <c r="T954" s="20"/>
      <c r="U954" s="20"/>
      <c r="V954" s="20"/>
      <c r="W954" s="20"/>
      <c r="X954" s="20"/>
      <c r="Y954" s="20"/>
      <c r="Z954" s="20"/>
    </row>
    <row r="955">
      <c r="A955" s="320"/>
      <c r="B955" s="164"/>
      <c r="C955" s="320"/>
      <c r="D955" s="164"/>
      <c r="E955" s="320"/>
      <c r="F955" s="164"/>
      <c r="G955" s="320"/>
      <c r="H955" s="164"/>
      <c r="I955" s="320"/>
      <c r="J955" s="164"/>
      <c r="K955" s="320"/>
      <c r="L955" s="164"/>
      <c r="M955" s="320"/>
      <c r="N955" s="164"/>
      <c r="O955" s="320"/>
      <c r="P955" s="164"/>
      <c r="Q955" s="188"/>
      <c r="R955" s="188"/>
      <c r="S955" s="20"/>
      <c r="T955" s="20"/>
      <c r="U955" s="20"/>
      <c r="V955" s="20"/>
      <c r="W955" s="20"/>
      <c r="X955" s="20"/>
      <c r="Y955" s="20"/>
      <c r="Z955" s="20"/>
    </row>
    <row r="956">
      <c r="A956" s="320"/>
      <c r="B956" s="164"/>
      <c r="C956" s="320"/>
      <c r="D956" s="164"/>
      <c r="E956" s="320"/>
      <c r="F956" s="164"/>
      <c r="G956" s="320"/>
      <c r="H956" s="164"/>
      <c r="I956" s="320"/>
      <c r="J956" s="164"/>
      <c r="K956" s="320"/>
      <c r="L956" s="164"/>
      <c r="M956" s="320"/>
      <c r="N956" s="164"/>
      <c r="O956" s="320"/>
      <c r="P956" s="164"/>
      <c r="Q956" s="188"/>
      <c r="R956" s="188"/>
      <c r="S956" s="20"/>
      <c r="T956" s="20"/>
      <c r="U956" s="20"/>
      <c r="V956" s="20"/>
      <c r="W956" s="20"/>
      <c r="X956" s="20"/>
      <c r="Y956" s="20"/>
      <c r="Z956" s="20"/>
    </row>
    <row r="957">
      <c r="A957" s="320"/>
      <c r="B957" s="164"/>
      <c r="C957" s="320"/>
      <c r="D957" s="164"/>
      <c r="E957" s="320"/>
      <c r="F957" s="164"/>
      <c r="G957" s="320"/>
      <c r="H957" s="164"/>
      <c r="I957" s="320"/>
      <c r="J957" s="164"/>
      <c r="K957" s="320"/>
      <c r="L957" s="164"/>
      <c r="M957" s="320"/>
      <c r="N957" s="164"/>
      <c r="O957" s="320"/>
      <c r="P957" s="164"/>
      <c r="Q957" s="188"/>
      <c r="R957" s="188"/>
      <c r="S957" s="20"/>
      <c r="T957" s="20"/>
      <c r="U957" s="20"/>
      <c r="V957" s="20"/>
      <c r="W957" s="20"/>
      <c r="X957" s="20"/>
      <c r="Y957" s="20"/>
      <c r="Z957" s="20"/>
    </row>
    <row r="958">
      <c r="A958" s="320"/>
      <c r="B958" s="164"/>
      <c r="C958" s="320"/>
      <c r="D958" s="164"/>
      <c r="E958" s="320"/>
      <c r="F958" s="164"/>
      <c r="G958" s="320"/>
      <c r="H958" s="164"/>
      <c r="I958" s="320"/>
      <c r="J958" s="164"/>
      <c r="K958" s="320"/>
      <c r="L958" s="164"/>
      <c r="M958" s="320"/>
      <c r="N958" s="164"/>
      <c r="O958" s="320"/>
      <c r="P958" s="164"/>
      <c r="Q958" s="188"/>
      <c r="R958" s="188"/>
      <c r="S958" s="20"/>
      <c r="T958" s="20"/>
      <c r="U958" s="20"/>
      <c r="V958" s="20"/>
      <c r="W958" s="20"/>
      <c r="X958" s="20"/>
      <c r="Y958" s="20"/>
      <c r="Z958" s="20"/>
    </row>
    <row r="959">
      <c r="A959" s="320"/>
      <c r="B959" s="164"/>
      <c r="C959" s="320"/>
      <c r="D959" s="164"/>
      <c r="E959" s="320"/>
      <c r="F959" s="164"/>
      <c r="G959" s="320"/>
      <c r="H959" s="164"/>
      <c r="I959" s="320"/>
      <c r="J959" s="164"/>
      <c r="K959" s="320"/>
      <c r="L959" s="164"/>
      <c r="M959" s="320"/>
      <c r="N959" s="164"/>
      <c r="O959" s="320"/>
      <c r="P959" s="164"/>
      <c r="Q959" s="188"/>
      <c r="R959" s="188"/>
      <c r="S959" s="20"/>
      <c r="T959" s="20"/>
      <c r="U959" s="20"/>
      <c r="V959" s="20"/>
      <c r="W959" s="20"/>
      <c r="X959" s="20"/>
      <c r="Y959" s="20"/>
      <c r="Z959" s="20"/>
    </row>
    <row r="960">
      <c r="A960" s="320"/>
      <c r="B960" s="164"/>
      <c r="C960" s="320"/>
      <c r="D960" s="164"/>
      <c r="E960" s="320"/>
      <c r="F960" s="164"/>
      <c r="G960" s="320"/>
      <c r="H960" s="164"/>
      <c r="I960" s="320"/>
      <c r="J960" s="164"/>
      <c r="K960" s="320"/>
      <c r="L960" s="164"/>
      <c r="M960" s="320"/>
      <c r="N960" s="164"/>
      <c r="O960" s="320"/>
      <c r="P960" s="164"/>
      <c r="Q960" s="188"/>
      <c r="R960" s="188"/>
      <c r="S960" s="20"/>
      <c r="T960" s="20"/>
      <c r="U960" s="20"/>
      <c r="V960" s="20"/>
      <c r="W960" s="20"/>
      <c r="X960" s="20"/>
      <c r="Y960" s="20"/>
      <c r="Z960" s="20"/>
    </row>
    <row r="961">
      <c r="A961" s="320"/>
      <c r="B961" s="164"/>
      <c r="C961" s="320"/>
      <c r="D961" s="164"/>
      <c r="E961" s="320"/>
      <c r="F961" s="164"/>
      <c r="G961" s="320"/>
      <c r="H961" s="164"/>
      <c r="I961" s="320"/>
      <c r="J961" s="164"/>
      <c r="K961" s="320"/>
      <c r="L961" s="164"/>
      <c r="M961" s="320"/>
      <c r="N961" s="164"/>
      <c r="O961" s="320"/>
      <c r="P961" s="164"/>
      <c r="Q961" s="188"/>
      <c r="R961" s="188"/>
      <c r="S961" s="20"/>
      <c r="T961" s="20"/>
      <c r="U961" s="20"/>
      <c r="V961" s="20"/>
      <c r="W961" s="20"/>
      <c r="X961" s="20"/>
      <c r="Y961" s="20"/>
      <c r="Z961" s="20"/>
    </row>
    <row r="962">
      <c r="A962" s="320"/>
      <c r="B962" s="164"/>
      <c r="C962" s="320"/>
      <c r="D962" s="164"/>
      <c r="E962" s="320"/>
      <c r="F962" s="164"/>
      <c r="G962" s="320"/>
      <c r="H962" s="164"/>
      <c r="I962" s="320"/>
      <c r="J962" s="164"/>
      <c r="K962" s="320"/>
      <c r="L962" s="164"/>
      <c r="M962" s="320"/>
      <c r="N962" s="164"/>
      <c r="O962" s="320"/>
      <c r="P962" s="164"/>
      <c r="Q962" s="188"/>
      <c r="R962" s="188"/>
      <c r="S962" s="20"/>
      <c r="T962" s="20"/>
      <c r="U962" s="20"/>
      <c r="V962" s="20"/>
      <c r="W962" s="20"/>
      <c r="X962" s="20"/>
      <c r="Y962" s="20"/>
      <c r="Z962" s="20"/>
    </row>
    <row r="963">
      <c r="A963" s="320"/>
      <c r="B963" s="164"/>
      <c r="C963" s="320"/>
      <c r="D963" s="164"/>
      <c r="E963" s="320"/>
      <c r="F963" s="164"/>
      <c r="G963" s="320"/>
      <c r="H963" s="164"/>
      <c r="I963" s="320"/>
      <c r="J963" s="164"/>
      <c r="K963" s="320"/>
      <c r="L963" s="164"/>
      <c r="M963" s="320"/>
      <c r="N963" s="164"/>
      <c r="O963" s="320"/>
      <c r="P963" s="164"/>
      <c r="Q963" s="188"/>
      <c r="R963" s="188"/>
      <c r="S963" s="20"/>
      <c r="T963" s="20"/>
      <c r="U963" s="20"/>
      <c r="V963" s="20"/>
      <c r="W963" s="20"/>
      <c r="X963" s="20"/>
      <c r="Y963" s="20"/>
      <c r="Z963" s="20"/>
    </row>
    <row r="964">
      <c r="A964" s="320"/>
      <c r="B964" s="164"/>
      <c r="C964" s="320"/>
      <c r="D964" s="164"/>
      <c r="E964" s="320"/>
      <c r="F964" s="164"/>
      <c r="G964" s="320"/>
      <c r="H964" s="164"/>
      <c r="I964" s="320"/>
      <c r="J964" s="164"/>
      <c r="K964" s="320"/>
      <c r="L964" s="164"/>
      <c r="M964" s="320"/>
      <c r="N964" s="164"/>
      <c r="O964" s="320"/>
      <c r="P964" s="164"/>
      <c r="Q964" s="188"/>
      <c r="R964" s="188"/>
      <c r="S964" s="20"/>
      <c r="T964" s="20"/>
      <c r="U964" s="20"/>
      <c r="V964" s="20"/>
      <c r="W964" s="20"/>
      <c r="X964" s="20"/>
      <c r="Y964" s="20"/>
      <c r="Z964" s="20"/>
    </row>
    <row r="965">
      <c r="A965" s="320"/>
      <c r="B965" s="164"/>
      <c r="C965" s="320"/>
      <c r="D965" s="164"/>
      <c r="E965" s="320"/>
      <c r="F965" s="164"/>
      <c r="G965" s="320"/>
      <c r="H965" s="164"/>
      <c r="I965" s="320"/>
      <c r="J965" s="164"/>
      <c r="K965" s="320"/>
      <c r="L965" s="164"/>
      <c r="M965" s="320"/>
      <c r="N965" s="164"/>
      <c r="O965" s="320"/>
      <c r="P965" s="164"/>
      <c r="Q965" s="188"/>
      <c r="R965" s="188"/>
      <c r="S965" s="20"/>
      <c r="T965" s="20"/>
      <c r="U965" s="20"/>
      <c r="V965" s="20"/>
      <c r="W965" s="20"/>
      <c r="X965" s="20"/>
      <c r="Y965" s="20"/>
      <c r="Z965" s="20"/>
    </row>
    <row r="966">
      <c r="A966" s="320"/>
      <c r="B966" s="164"/>
      <c r="C966" s="320"/>
      <c r="D966" s="164"/>
      <c r="E966" s="320"/>
      <c r="F966" s="164"/>
      <c r="G966" s="320"/>
      <c r="H966" s="164"/>
      <c r="I966" s="320"/>
      <c r="J966" s="164"/>
      <c r="K966" s="320"/>
      <c r="L966" s="164"/>
      <c r="M966" s="320"/>
      <c r="N966" s="164"/>
      <c r="O966" s="320"/>
      <c r="P966" s="164"/>
      <c r="Q966" s="188"/>
      <c r="R966" s="188"/>
      <c r="S966" s="20"/>
      <c r="T966" s="20"/>
      <c r="U966" s="20"/>
      <c r="V966" s="20"/>
      <c r="W966" s="20"/>
      <c r="X966" s="20"/>
      <c r="Y966" s="20"/>
      <c r="Z966" s="20"/>
    </row>
    <row r="967">
      <c r="A967" s="320"/>
      <c r="B967" s="164"/>
      <c r="C967" s="320"/>
      <c r="D967" s="164"/>
      <c r="E967" s="320"/>
      <c r="F967" s="164"/>
      <c r="G967" s="320"/>
      <c r="H967" s="164"/>
      <c r="I967" s="320"/>
      <c r="J967" s="164"/>
      <c r="K967" s="320"/>
      <c r="L967" s="164"/>
      <c r="M967" s="320"/>
      <c r="N967" s="164"/>
      <c r="O967" s="320"/>
      <c r="P967" s="164"/>
      <c r="Q967" s="188"/>
      <c r="R967" s="188"/>
      <c r="S967" s="20"/>
      <c r="T967" s="20"/>
      <c r="U967" s="20"/>
      <c r="V967" s="20"/>
      <c r="W967" s="20"/>
      <c r="X967" s="20"/>
      <c r="Y967" s="20"/>
      <c r="Z967" s="20"/>
    </row>
    <row r="968">
      <c r="A968" s="320"/>
      <c r="B968" s="164"/>
      <c r="C968" s="320"/>
      <c r="D968" s="164"/>
      <c r="E968" s="320"/>
      <c r="F968" s="164"/>
      <c r="G968" s="320"/>
      <c r="H968" s="164"/>
      <c r="I968" s="320"/>
      <c r="J968" s="164"/>
      <c r="K968" s="320"/>
      <c r="L968" s="164"/>
      <c r="M968" s="320"/>
      <c r="N968" s="164"/>
      <c r="O968" s="320"/>
      <c r="P968" s="164"/>
      <c r="Q968" s="188"/>
      <c r="R968" s="188"/>
      <c r="S968" s="20"/>
      <c r="T968" s="20"/>
      <c r="U968" s="20"/>
      <c r="V968" s="20"/>
      <c r="W968" s="20"/>
      <c r="X968" s="20"/>
      <c r="Y968" s="20"/>
      <c r="Z968" s="20"/>
    </row>
    <row r="969">
      <c r="A969" s="320"/>
      <c r="B969" s="164"/>
      <c r="C969" s="320"/>
      <c r="D969" s="164"/>
      <c r="E969" s="320"/>
      <c r="F969" s="164"/>
      <c r="G969" s="320"/>
      <c r="H969" s="164"/>
      <c r="I969" s="320"/>
      <c r="J969" s="164"/>
      <c r="K969" s="320"/>
      <c r="L969" s="164"/>
      <c r="M969" s="320"/>
      <c r="N969" s="164"/>
      <c r="O969" s="320"/>
      <c r="P969" s="164"/>
      <c r="Q969" s="188"/>
      <c r="R969" s="188"/>
      <c r="S969" s="20"/>
      <c r="T969" s="20"/>
      <c r="U969" s="20"/>
      <c r="V969" s="20"/>
      <c r="W969" s="20"/>
      <c r="X969" s="20"/>
      <c r="Y969" s="20"/>
      <c r="Z969" s="20"/>
    </row>
    <row r="970">
      <c r="A970" s="320"/>
      <c r="B970" s="164"/>
      <c r="C970" s="320"/>
      <c r="D970" s="164"/>
      <c r="E970" s="320"/>
      <c r="F970" s="164"/>
      <c r="G970" s="320"/>
      <c r="H970" s="164"/>
      <c r="I970" s="320"/>
      <c r="J970" s="164"/>
      <c r="K970" s="320"/>
      <c r="L970" s="164"/>
      <c r="M970" s="320"/>
      <c r="N970" s="164"/>
      <c r="O970" s="320"/>
      <c r="P970" s="164"/>
      <c r="Q970" s="188"/>
      <c r="R970" s="188"/>
      <c r="S970" s="20"/>
      <c r="T970" s="20"/>
      <c r="U970" s="20"/>
      <c r="V970" s="20"/>
      <c r="W970" s="20"/>
      <c r="X970" s="20"/>
      <c r="Y970" s="20"/>
      <c r="Z970" s="20"/>
    </row>
    <row r="971">
      <c r="A971" s="320"/>
      <c r="B971" s="164"/>
      <c r="C971" s="320"/>
      <c r="D971" s="164"/>
      <c r="E971" s="320"/>
      <c r="F971" s="164"/>
      <c r="G971" s="320"/>
      <c r="H971" s="164"/>
      <c r="I971" s="320"/>
      <c r="J971" s="164"/>
      <c r="K971" s="320"/>
      <c r="L971" s="164"/>
      <c r="M971" s="320"/>
      <c r="N971" s="164"/>
      <c r="O971" s="320"/>
      <c r="P971" s="164"/>
      <c r="Q971" s="188"/>
      <c r="R971" s="188"/>
      <c r="S971" s="20"/>
      <c r="T971" s="20"/>
      <c r="U971" s="20"/>
      <c r="V971" s="20"/>
      <c r="W971" s="20"/>
      <c r="X971" s="20"/>
      <c r="Y971" s="20"/>
      <c r="Z971" s="20"/>
    </row>
    <row r="972">
      <c r="A972" s="320"/>
      <c r="B972" s="164"/>
      <c r="C972" s="320"/>
      <c r="D972" s="164"/>
      <c r="E972" s="320"/>
      <c r="F972" s="164"/>
      <c r="G972" s="320"/>
      <c r="H972" s="164"/>
      <c r="I972" s="320"/>
      <c r="J972" s="164"/>
      <c r="K972" s="320"/>
      <c r="L972" s="164"/>
      <c r="M972" s="320"/>
      <c r="N972" s="164"/>
      <c r="O972" s="320"/>
      <c r="P972" s="164"/>
      <c r="Q972" s="188"/>
      <c r="R972" s="188"/>
      <c r="S972" s="20"/>
      <c r="T972" s="20"/>
      <c r="U972" s="20"/>
      <c r="V972" s="20"/>
      <c r="W972" s="20"/>
      <c r="X972" s="20"/>
      <c r="Y972" s="20"/>
      <c r="Z972" s="20"/>
    </row>
    <row r="973">
      <c r="A973" s="320"/>
      <c r="B973" s="164"/>
      <c r="C973" s="320"/>
      <c r="D973" s="164"/>
      <c r="E973" s="320"/>
      <c r="F973" s="164"/>
      <c r="G973" s="320"/>
      <c r="H973" s="164"/>
      <c r="I973" s="320"/>
      <c r="J973" s="164"/>
      <c r="K973" s="320"/>
      <c r="L973" s="164"/>
      <c r="M973" s="320"/>
      <c r="N973" s="164"/>
      <c r="O973" s="320"/>
      <c r="P973" s="164"/>
      <c r="Q973" s="188"/>
      <c r="R973" s="188"/>
      <c r="S973" s="20"/>
      <c r="T973" s="20"/>
      <c r="U973" s="20"/>
      <c r="V973" s="20"/>
      <c r="W973" s="20"/>
      <c r="X973" s="20"/>
      <c r="Y973" s="20"/>
      <c r="Z973" s="20"/>
    </row>
    <row r="974">
      <c r="A974" s="320"/>
      <c r="B974" s="164"/>
      <c r="C974" s="320"/>
      <c r="D974" s="164"/>
      <c r="E974" s="320"/>
      <c r="F974" s="164"/>
      <c r="G974" s="320"/>
      <c r="H974" s="164"/>
      <c r="I974" s="320"/>
      <c r="J974" s="164"/>
      <c r="K974" s="320"/>
      <c r="L974" s="164"/>
      <c r="M974" s="320"/>
      <c r="N974" s="164"/>
      <c r="O974" s="320"/>
      <c r="P974" s="164"/>
      <c r="Q974" s="188"/>
      <c r="R974" s="188"/>
      <c r="S974" s="20"/>
      <c r="T974" s="20"/>
      <c r="U974" s="20"/>
      <c r="V974" s="20"/>
      <c r="W974" s="20"/>
      <c r="X974" s="20"/>
      <c r="Y974" s="20"/>
      <c r="Z974" s="20"/>
    </row>
    <row r="975">
      <c r="A975" s="320"/>
      <c r="B975" s="164"/>
      <c r="C975" s="320"/>
      <c r="D975" s="164"/>
      <c r="E975" s="320"/>
      <c r="F975" s="164"/>
      <c r="G975" s="320"/>
      <c r="H975" s="164"/>
      <c r="I975" s="320"/>
      <c r="J975" s="164"/>
      <c r="K975" s="320"/>
      <c r="L975" s="164"/>
      <c r="M975" s="320"/>
      <c r="N975" s="164"/>
      <c r="O975" s="320"/>
      <c r="P975" s="164"/>
      <c r="Q975" s="188"/>
      <c r="R975" s="188"/>
      <c r="S975" s="20"/>
      <c r="T975" s="20"/>
      <c r="U975" s="20"/>
      <c r="V975" s="20"/>
      <c r="W975" s="20"/>
      <c r="X975" s="20"/>
      <c r="Y975" s="20"/>
      <c r="Z975" s="20"/>
    </row>
    <row r="976">
      <c r="A976" s="320"/>
      <c r="B976" s="164"/>
      <c r="C976" s="320"/>
      <c r="D976" s="164"/>
      <c r="E976" s="320"/>
      <c r="F976" s="164"/>
      <c r="G976" s="320"/>
      <c r="H976" s="164"/>
      <c r="I976" s="320"/>
      <c r="J976" s="164"/>
      <c r="K976" s="320"/>
      <c r="L976" s="164"/>
      <c r="M976" s="320"/>
      <c r="N976" s="164"/>
      <c r="O976" s="320"/>
      <c r="P976" s="164"/>
      <c r="Q976" s="188"/>
      <c r="R976" s="188"/>
      <c r="S976" s="20"/>
      <c r="T976" s="20"/>
      <c r="U976" s="20"/>
      <c r="V976" s="20"/>
      <c r="W976" s="20"/>
      <c r="X976" s="20"/>
      <c r="Y976" s="20"/>
      <c r="Z976" s="20"/>
    </row>
    <row r="977">
      <c r="A977" s="320"/>
      <c r="B977" s="164"/>
      <c r="C977" s="320"/>
      <c r="D977" s="164"/>
      <c r="E977" s="320"/>
      <c r="F977" s="164"/>
      <c r="G977" s="320"/>
      <c r="H977" s="164"/>
      <c r="I977" s="320"/>
      <c r="J977" s="164"/>
      <c r="K977" s="320"/>
      <c r="L977" s="164"/>
      <c r="M977" s="320"/>
      <c r="N977" s="164"/>
      <c r="O977" s="320"/>
      <c r="P977" s="164"/>
      <c r="Q977" s="188"/>
      <c r="R977" s="188"/>
      <c r="S977" s="20"/>
      <c r="T977" s="20"/>
      <c r="U977" s="20"/>
      <c r="V977" s="20"/>
      <c r="W977" s="20"/>
      <c r="X977" s="20"/>
      <c r="Y977" s="20"/>
      <c r="Z977" s="20"/>
    </row>
    <row r="978">
      <c r="A978" s="320"/>
      <c r="B978" s="164"/>
      <c r="C978" s="320"/>
      <c r="D978" s="164"/>
      <c r="E978" s="320"/>
      <c r="F978" s="164"/>
      <c r="G978" s="320"/>
      <c r="H978" s="164"/>
      <c r="I978" s="320"/>
      <c r="J978" s="164"/>
      <c r="K978" s="320"/>
      <c r="L978" s="164"/>
      <c r="M978" s="320"/>
      <c r="N978" s="164"/>
      <c r="O978" s="320"/>
      <c r="P978" s="164"/>
      <c r="Q978" s="188"/>
      <c r="R978" s="188"/>
      <c r="S978" s="20"/>
      <c r="T978" s="20"/>
      <c r="U978" s="20"/>
      <c r="V978" s="20"/>
      <c r="W978" s="20"/>
      <c r="X978" s="20"/>
      <c r="Y978" s="20"/>
      <c r="Z978" s="20"/>
    </row>
    <row r="979">
      <c r="A979" s="320"/>
      <c r="B979" s="164"/>
      <c r="C979" s="320"/>
      <c r="D979" s="164"/>
      <c r="E979" s="320"/>
      <c r="F979" s="164"/>
      <c r="G979" s="320"/>
      <c r="H979" s="164"/>
      <c r="I979" s="320"/>
      <c r="J979" s="164"/>
      <c r="K979" s="320"/>
      <c r="L979" s="164"/>
      <c r="M979" s="320"/>
      <c r="N979" s="164"/>
      <c r="O979" s="320"/>
      <c r="P979" s="164"/>
      <c r="Q979" s="188"/>
      <c r="R979" s="188"/>
      <c r="S979" s="20"/>
      <c r="T979" s="20"/>
      <c r="U979" s="20"/>
      <c r="V979" s="20"/>
      <c r="W979" s="20"/>
      <c r="X979" s="20"/>
      <c r="Y979" s="20"/>
      <c r="Z979" s="20"/>
    </row>
    <row r="980">
      <c r="A980" s="320"/>
      <c r="B980" s="164"/>
      <c r="C980" s="320"/>
      <c r="D980" s="164"/>
      <c r="E980" s="320"/>
      <c r="F980" s="164"/>
      <c r="G980" s="320"/>
      <c r="H980" s="164"/>
      <c r="I980" s="320"/>
      <c r="J980" s="164"/>
      <c r="K980" s="320"/>
      <c r="L980" s="164"/>
      <c r="M980" s="320"/>
      <c r="N980" s="164"/>
      <c r="O980" s="320"/>
      <c r="P980" s="164"/>
      <c r="Q980" s="188"/>
      <c r="R980" s="188"/>
      <c r="S980" s="20"/>
      <c r="T980" s="20"/>
      <c r="U980" s="20"/>
      <c r="V980" s="20"/>
      <c r="W980" s="20"/>
      <c r="X980" s="20"/>
      <c r="Y980" s="20"/>
      <c r="Z980" s="20"/>
    </row>
    <row r="981">
      <c r="A981" s="320"/>
      <c r="B981" s="164"/>
      <c r="C981" s="320"/>
      <c r="D981" s="164"/>
      <c r="E981" s="320"/>
      <c r="F981" s="164"/>
      <c r="G981" s="320"/>
      <c r="H981" s="164"/>
      <c r="I981" s="320"/>
      <c r="J981" s="164"/>
      <c r="K981" s="320"/>
      <c r="L981" s="164"/>
      <c r="M981" s="320"/>
      <c r="N981" s="164"/>
      <c r="O981" s="320"/>
      <c r="P981" s="164"/>
      <c r="Q981" s="188"/>
      <c r="R981" s="188"/>
      <c r="S981" s="20"/>
      <c r="T981" s="20"/>
      <c r="U981" s="20"/>
      <c r="V981" s="20"/>
      <c r="W981" s="20"/>
      <c r="X981" s="20"/>
      <c r="Y981" s="20"/>
      <c r="Z981" s="20"/>
    </row>
    <row r="982">
      <c r="A982" s="320"/>
      <c r="B982" s="164"/>
      <c r="C982" s="320"/>
      <c r="D982" s="164"/>
      <c r="E982" s="320"/>
      <c r="F982" s="164"/>
      <c r="G982" s="320"/>
      <c r="H982" s="164"/>
      <c r="I982" s="320"/>
      <c r="J982" s="164"/>
      <c r="K982" s="320"/>
      <c r="L982" s="164"/>
      <c r="M982" s="320"/>
      <c r="N982" s="164"/>
      <c r="O982" s="320"/>
      <c r="P982" s="164"/>
      <c r="Q982" s="188"/>
      <c r="R982" s="188"/>
      <c r="S982" s="20"/>
      <c r="T982" s="20"/>
      <c r="U982" s="20"/>
      <c r="V982" s="20"/>
      <c r="W982" s="20"/>
      <c r="X982" s="20"/>
      <c r="Y982" s="20"/>
      <c r="Z982" s="20"/>
    </row>
    <row r="983">
      <c r="A983" s="320"/>
      <c r="B983" s="164"/>
      <c r="C983" s="320"/>
      <c r="D983" s="164"/>
      <c r="E983" s="320"/>
      <c r="F983" s="164"/>
      <c r="G983" s="320"/>
      <c r="H983" s="164"/>
      <c r="I983" s="320"/>
      <c r="J983" s="164"/>
      <c r="K983" s="320"/>
      <c r="L983" s="164"/>
      <c r="M983" s="320"/>
      <c r="N983" s="164"/>
      <c r="O983" s="320"/>
      <c r="P983" s="164"/>
      <c r="Q983" s="188"/>
      <c r="R983" s="188"/>
      <c r="S983" s="20"/>
      <c r="T983" s="20"/>
      <c r="U983" s="20"/>
      <c r="V983" s="20"/>
      <c r="W983" s="20"/>
      <c r="X983" s="20"/>
      <c r="Y983" s="20"/>
      <c r="Z983" s="20"/>
    </row>
    <row r="984">
      <c r="A984" s="320"/>
      <c r="B984" s="164"/>
      <c r="C984" s="320"/>
      <c r="D984" s="164"/>
      <c r="E984" s="320"/>
      <c r="F984" s="164"/>
      <c r="G984" s="320"/>
      <c r="H984" s="164"/>
      <c r="I984" s="320"/>
      <c r="J984" s="164"/>
      <c r="K984" s="320"/>
      <c r="L984" s="164"/>
      <c r="M984" s="320"/>
      <c r="N984" s="164"/>
      <c r="O984" s="320"/>
      <c r="P984" s="164"/>
      <c r="Q984" s="188"/>
      <c r="R984" s="188"/>
      <c r="S984" s="20"/>
      <c r="T984" s="20"/>
      <c r="U984" s="20"/>
      <c r="V984" s="20"/>
      <c r="W984" s="20"/>
      <c r="X984" s="20"/>
      <c r="Y984" s="20"/>
      <c r="Z984" s="20"/>
    </row>
    <row r="985">
      <c r="A985" s="320"/>
      <c r="B985" s="164"/>
      <c r="C985" s="320"/>
      <c r="D985" s="164"/>
      <c r="E985" s="320"/>
      <c r="F985" s="164"/>
      <c r="G985" s="320"/>
      <c r="H985" s="164"/>
      <c r="I985" s="320"/>
      <c r="J985" s="164"/>
      <c r="K985" s="320"/>
      <c r="L985" s="164"/>
      <c r="M985" s="320"/>
      <c r="N985" s="164"/>
      <c r="O985" s="320"/>
      <c r="P985" s="164"/>
      <c r="Q985" s="188"/>
      <c r="R985" s="188"/>
      <c r="S985" s="20"/>
      <c r="T985" s="20"/>
      <c r="U985" s="20"/>
      <c r="V985" s="20"/>
      <c r="W985" s="20"/>
      <c r="X985" s="20"/>
      <c r="Y985" s="20"/>
      <c r="Z985" s="20"/>
    </row>
    <row r="986">
      <c r="A986" s="320"/>
      <c r="B986" s="164"/>
      <c r="C986" s="320"/>
      <c r="D986" s="164"/>
      <c r="E986" s="320"/>
      <c r="F986" s="164"/>
      <c r="G986" s="320"/>
      <c r="H986" s="164"/>
      <c r="I986" s="320"/>
      <c r="J986" s="164"/>
      <c r="K986" s="320"/>
      <c r="L986" s="164"/>
      <c r="M986" s="320"/>
      <c r="N986" s="164"/>
      <c r="O986" s="320"/>
      <c r="P986" s="164"/>
      <c r="Q986" s="188"/>
      <c r="R986" s="188"/>
      <c r="S986" s="20"/>
      <c r="T986" s="20"/>
      <c r="U986" s="20"/>
      <c r="V986" s="20"/>
      <c r="W986" s="20"/>
      <c r="X986" s="20"/>
      <c r="Y986" s="20"/>
      <c r="Z986" s="20"/>
    </row>
    <row r="987">
      <c r="A987" s="320"/>
      <c r="B987" s="164"/>
      <c r="C987" s="320"/>
      <c r="D987" s="164"/>
      <c r="E987" s="320"/>
      <c r="F987" s="164"/>
      <c r="G987" s="320"/>
      <c r="H987" s="164"/>
      <c r="I987" s="320"/>
      <c r="J987" s="164"/>
      <c r="K987" s="320"/>
      <c r="L987" s="164"/>
      <c r="M987" s="320"/>
      <c r="N987" s="164"/>
      <c r="O987" s="320"/>
      <c r="P987" s="164"/>
      <c r="Q987" s="188"/>
      <c r="R987" s="188"/>
      <c r="S987" s="20"/>
      <c r="T987" s="20"/>
      <c r="U987" s="20"/>
      <c r="V987" s="20"/>
      <c r="W987" s="20"/>
      <c r="X987" s="20"/>
      <c r="Y987" s="20"/>
      <c r="Z987" s="20"/>
    </row>
    <row r="988">
      <c r="A988" s="320"/>
      <c r="B988" s="164"/>
      <c r="C988" s="320"/>
      <c r="D988" s="164"/>
      <c r="E988" s="320"/>
      <c r="F988" s="164"/>
      <c r="G988" s="320"/>
      <c r="H988" s="164"/>
      <c r="I988" s="320"/>
      <c r="J988" s="164"/>
      <c r="K988" s="320"/>
      <c r="L988" s="164"/>
      <c r="M988" s="320"/>
      <c r="N988" s="164"/>
      <c r="O988" s="320"/>
      <c r="P988" s="164"/>
      <c r="Q988" s="188"/>
      <c r="R988" s="188"/>
      <c r="S988" s="20"/>
      <c r="T988" s="20"/>
      <c r="U988" s="20"/>
      <c r="V988" s="20"/>
      <c r="W988" s="20"/>
      <c r="X988" s="20"/>
      <c r="Y988" s="20"/>
      <c r="Z988" s="20"/>
    </row>
    <row r="989">
      <c r="A989" s="320"/>
      <c r="B989" s="164"/>
      <c r="C989" s="320"/>
      <c r="D989" s="164"/>
      <c r="E989" s="320"/>
      <c r="F989" s="164"/>
      <c r="G989" s="320"/>
      <c r="H989" s="164"/>
      <c r="I989" s="320"/>
      <c r="J989" s="164"/>
      <c r="K989" s="320"/>
      <c r="L989" s="164"/>
      <c r="M989" s="320"/>
      <c r="N989" s="164"/>
      <c r="O989" s="320"/>
      <c r="P989" s="164"/>
      <c r="Q989" s="188"/>
      <c r="R989" s="188"/>
      <c r="S989" s="20"/>
      <c r="T989" s="20"/>
      <c r="U989" s="20"/>
      <c r="V989" s="20"/>
      <c r="W989" s="20"/>
      <c r="X989" s="20"/>
      <c r="Y989" s="20"/>
      <c r="Z989" s="20"/>
    </row>
    <row r="990">
      <c r="A990" s="320"/>
      <c r="B990" s="164"/>
      <c r="C990" s="320"/>
      <c r="D990" s="164"/>
      <c r="E990" s="320"/>
      <c r="F990" s="164"/>
      <c r="G990" s="320"/>
      <c r="H990" s="164"/>
      <c r="I990" s="320"/>
      <c r="J990" s="164"/>
      <c r="K990" s="320"/>
      <c r="L990" s="164"/>
      <c r="M990" s="320"/>
      <c r="N990" s="164"/>
      <c r="O990" s="320"/>
      <c r="P990" s="164"/>
      <c r="Q990" s="188"/>
      <c r="R990" s="188"/>
      <c r="S990" s="20"/>
      <c r="T990" s="20"/>
      <c r="U990" s="20"/>
      <c r="V990" s="20"/>
      <c r="W990" s="20"/>
      <c r="X990" s="20"/>
      <c r="Y990" s="20"/>
      <c r="Z990" s="20"/>
    </row>
    <row r="991">
      <c r="A991" s="320"/>
      <c r="B991" s="164"/>
      <c r="C991" s="320"/>
      <c r="D991" s="164"/>
      <c r="E991" s="320"/>
      <c r="F991" s="164"/>
      <c r="G991" s="320"/>
      <c r="H991" s="164"/>
      <c r="I991" s="320"/>
      <c r="J991" s="164"/>
      <c r="K991" s="320"/>
      <c r="L991" s="164"/>
      <c r="M991" s="320"/>
      <c r="N991" s="164"/>
      <c r="O991" s="320"/>
      <c r="P991" s="164"/>
      <c r="Q991" s="188"/>
      <c r="R991" s="188"/>
      <c r="S991" s="20"/>
      <c r="T991" s="20"/>
      <c r="U991" s="20"/>
      <c r="V991" s="20"/>
      <c r="W991" s="20"/>
      <c r="X991" s="20"/>
      <c r="Y991" s="20"/>
      <c r="Z991" s="20"/>
    </row>
    <row r="992">
      <c r="A992" s="320"/>
      <c r="B992" s="164"/>
      <c r="C992" s="320"/>
      <c r="D992" s="164"/>
      <c r="E992" s="320"/>
      <c r="F992" s="164"/>
      <c r="G992" s="320"/>
      <c r="H992" s="164"/>
      <c r="I992" s="320"/>
      <c r="J992" s="164"/>
      <c r="K992" s="320"/>
      <c r="L992" s="164"/>
      <c r="M992" s="320"/>
      <c r="N992" s="164"/>
      <c r="O992" s="320"/>
      <c r="P992" s="164"/>
      <c r="Q992" s="188"/>
      <c r="R992" s="188"/>
      <c r="S992" s="20"/>
      <c r="T992" s="20"/>
      <c r="U992" s="20"/>
      <c r="V992" s="20"/>
      <c r="W992" s="20"/>
      <c r="X992" s="20"/>
      <c r="Y992" s="20"/>
      <c r="Z992" s="20"/>
    </row>
    <row r="993">
      <c r="A993" s="320"/>
      <c r="B993" s="164"/>
      <c r="C993" s="320"/>
      <c r="D993" s="164"/>
      <c r="E993" s="320"/>
      <c r="F993" s="164"/>
      <c r="G993" s="320"/>
      <c r="H993" s="164"/>
      <c r="I993" s="320"/>
      <c r="J993" s="164"/>
      <c r="K993" s="320"/>
      <c r="L993" s="164"/>
      <c r="M993" s="320"/>
      <c r="N993" s="164"/>
      <c r="O993" s="320"/>
      <c r="P993" s="164"/>
      <c r="Q993" s="188"/>
      <c r="R993" s="188"/>
      <c r="S993" s="20"/>
      <c r="T993" s="20"/>
      <c r="U993" s="20"/>
      <c r="V993" s="20"/>
      <c r="W993" s="20"/>
      <c r="X993" s="20"/>
      <c r="Y993" s="20"/>
      <c r="Z993" s="20"/>
    </row>
    <row r="994">
      <c r="A994" s="320"/>
      <c r="B994" s="164"/>
      <c r="C994" s="320"/>
      <c r="D994" s="164"/>
      <c r="E994" s="320"/>
      <c r="F994" s="164"/>
      <c r="G994" s="320"/>
      <c r="H994" s="164"/>
      <c r="I994" s="320"/>
      <c r="J994" s="164"/>
      <c r="K994" s="320"/>
      <c r="L994" s="164"/>
      <c r="M994" s="320"/>
      <c r="N994" s="164"/>
      <c r="O994" s="320"/>
      <c r="P994" s="164"/>
      <c r="Q994" s="188"/>
      <c r="R994" s="188"/>
      <c r="S994" s="20"/>
      <c r="T994" s="20"/>
      <c r="U994" s="20"/>
      <c r="V994" s="20"/>
      <c r="W994" s="20"/>
      <c r="X994" s="20"/>
      <c r="Y994" s="20"/>
      <c r="Z994" s="20"/>
    </row>
    <row r="995">
      <c r="A995" s="320"/>
      <c r="B995" s="164"/>
      <c r="C995" s="320"/>
      <c r="D995" s="164"/>
      <c r="E995" s="320"/>
      <c r="F995" s="164"/>
      <c r="G995" s="320"/>
      <c r="H995" s="164"/>
      <c r="I995" s="320"/>
      <c r="J995" s="164"/>
      <c r="K995" s="320"/>
      <c r="L995" s="164"/>
      <c r="M995" s="320"/>
      <c r="N995" s="164"/>
      <c r="O995" s="320"/>
      <c r="P995" s="164"/>
      <c r="Q995" s="188"/>
      <c r="R995" s="188"/>
      <c r="S995" s="20"/>
      <c r="T995" s="20"/>
      <c r="U995" s="20"/>
      <c r="V995" s="20"/>
      <c r="W995" s="20"/>
      <c r="X995" s="20"/>
      <c r="Y995" s="20"/>
      <c r="Z995" s="20"/>
    </row>
    <row r="996">
      <c r="A996" s="320"/>
      <c r="B996" s="164"/>
      <c r="C996" s="320"/>
      <c r="D996" s="164"/>
      <c r="E996" s="320"/>
      <c r="F996" s="164"/>
      <c r="G996" s="320"/>
      <c r="H996" s="164"/>
      <c r="I996" s="320"/>
      <c r="J996" s="164"/>
      <c r="K996" s="320"/>
      <c r="L996" s="164"/>
      <c r="M996" s="320"/>
      <c r="N996" s="164"/>
      <c r="O996" s="320"/>
      <c r="P996" s="164"/>
      <c r="Q996" s="188"/>
      <c r="R996" s="188"/>
      <c r="S996" s="20"/>
      <c r="T996" s="20"/>
      <c r="U996" s="20"/>
      <c r="V996" s="20"/>
      <c r="W996" s="20"/>
      <c r="X996" s="20"/>
      <c r="Y996" s="20"/>
      <c r="Z996" s="20"/>
    </row>
    <row r="997">
      <c r="A997" s="320"/>
      <c r="B997" s="164"/>
      <c r="C997" s="320"/>
      <c r="D997" s="164"/>
      <c r="E997" s="320"/>
      <c r="F997" s="164"/>
      <c r="G997" s="320"/>
      <c r="H997" s="164"/>
      <c r="I997" s="320"/>
      <c r="J997" s="164"/>
      <c r="K997" s="320"/>
      <c r="L997" s="164"/>
      <c r="M997" s="320"/>
      <c r="N997" s="164"/>
      <c r="O997" s="320"/>
      <c r="P997" s="164"/>
      <c r="Q997" s="188"/>
      <c r="R997" s="188"/>
      <c r="S997" s="20"/>
      <c r="T997" s="20"/>
      <c r="U997" s="20"/>
      <c r="V997" s="20"/>
      <c r="W997" s="20"/>
      <c r="X997" s="20"/>
      <c r="Y997" s="20"/>
      <c r="Z997" s="20"/>
    </row>
    <row r="998">
      <c r="A998" s="320"/>
      <c r="B998" s="164"/>
      <c r="C998" s="320"/>
      <c r="D998" s="164"/>
      <c r="E998" s="320"/>
      <c r="F998" s="164"/>
      <c r="G998" s="320"/>
      <c r="H998" s="164"/>
      <c r="I998" s="320"/>
      <c r="J998" s="164"/>
      <c r="K998" s="320"/>
      <c r="L998" s="164"/>
      <c r="M998" s="320"/>
      <c r="N998" s="164"/>
      <c r="O998" s="320"/>
      <c r="P998" s="164"/>
      <c r="Q998" s="188"/>
      <c r="R998" s="188"/>
      <c r="S998" s="20"/>
      <c r="T998" s="20"/>
      <c r="U998" s="20"/>
      <c r="V998" s="20"/>
      <c r="W998" s="20"/>
      <c r="X998" s="20"/>
      <c r="Y998" s="20"/>
      <c r="Z998" s="20"/>
    </row>
    <row r="999">
      <c r="A999" s="320"/>
      <c r="B999" s="164"/>
      <c r="C999" s="320"/>
      <c r="D999" s="164"/>
      <c r="E999" s="320"/>
      <c r="F999" s="164"/>
      <c r="G999" s="320"/>
      <c r="H999" s="164"/>
      <c r="I999" s="320"/>
      <c r="J999" s="164"/>
      <c r="K999" s="320"/>
      <c r="L999" s="164"/>
      <c r="M999" s="320"/>
      <c r="N999" s="164"/>
      <c r="O999" s="320"/>
      <c r="P999" s="164"/>
      <c r="Q999" s="188"/>
      <c r="R999" s="188"/>
      <c r="S999" s="20"/>
      <c r="T999" s="20"/>
      <c r="U999" s="20"/>
      <c r="V999" s="20"/>
      <c r="W999" s="20"/>
      <c r="X999" s="20"/>
      <c r="Y999" s="20"/>
      <c r="Z999" s="20"/>
    </row>
    <row r="1000">
      <c r="A1000" s="320"/>
      <c r="B1000" s="164"/>
      <c r="C1000" s="320"/>
      <c r="D1000" s="164"/>
      <c r="E1000" s="320"/>
      <c r="F1000" s="164"/>
      <c r="G1000" s="320"/>
      <c r="H1000" s="164"/>
      <c r="I1000" s="320"/>
      <c r="J1000" s="164"/>
      <c r="K1000" s="320"/>
      <c r="L1000" s="164"/>
      <c r="M1000" s="320"/>
      <c r="N1000" s="164"/>
      <c r="O1000" s="320"/>
      <c r="P1000" s="164"/>
      <c r="Q1000" s="188"/>
      <c r="R1000" s="188"/>
      <c r="S1000" s="20"/>
      <c r="T1000" s="20"/>
      <c r="U1000" s="20"/>
      <c r="V1000" s="20"/>
      <c r="W1000" s="20"/>
      <c r="X1000" s="20"/>
      <c r="Y1000" s="20"/>
      <c r="Z1000" s="20"/>
    </row>
    <row r="1001">
      <c r="A1001" s="320"/>
      <c r="B1001" s="164"/>
      <c r="C1001" s="320"/>
      <c r="D1001" s="164"/>
      <c r="E1001" s="320"/>
      <c r="F1001" s="164"/>
      <c r="G1001" s="320"/>
      <c r="H1001" s="164"/>
      <c r="I1001" s="320"/>
      <c r="J1001" s="164"/>
      <c r="K1001" s="320"/>
      <c r="L1001" s="164"/>
      <c r="M1001" s="320"/>
      <c r="N1001" s="164"/>
      <c r="O1001" s="320"/>
      <c r="P1001" s="164"/>
      <c r="Q1001" s="320"/>
      <c r="R1001" s="164"/>
      <c r="S1001" s="20"/>
      <c r="T1001" s="20"/>
      <c r="U1001" s="20"/>
      <c r="V1001" s="20"/>
      <c r="W1001" s="20"/>
      <c r="X1001" s="20"/>
      <c r="Y1001" s="20"/>
      <c r="Z1001" s="20"/>
    </row>
    <row r="1002">
      <c r="A1002" s="320"/>
      <c r="B1002" s="164"/>
      <c r="C1002" s="320"/>
      <c r="D1002" s="164"/>
      <c r="E1002" s="320"/>
      <c r="F1002" s="164"/>
      <c r="G1002" s="320"/>
      <c r="H1002" s="164"/>
      <c r="I1002" s="320"/>
      <c r="J1002" s="164"/>
      <c r="K1002" s="320"/>
      <c r="L1002" s="164"/>
      <c r="M1002" s="320"/>
      <c r="N1002" s="164"/>
      <c r="O1002" s="320"/>
      <c r="P1002" s="164"/>
      <c r="Q1002" s="320"/>
      <c r="R1002" s="164"/>
      <c r="S1002" s="20"/>
      <c r="T1002" s="20"/>
      <c r="U1002" s="20"/>
      <c r="V1002" s="20"/>
      <c r="W1002" s="20"/>
      <c r="X1002" s="20"/>
      <c r="Y1002" s="20"/>
      <c r="Z1002" s="20"/>
    </row>
    <row r="1003">
      <c r="A1003" s="320"/>
      <c r="B1003" s="164"/>
      <c r="C1003" s="320"/>
      <c r="D1003" s="164"/>
      <c r="E1003" s="320"/>
      <c r="F1003" s="164"/>
      <c r="G1003" s="320"/>
      <c r="H1003" s="164"/>
      <c r="I1003" s="320"/>
      <c r="J1003" s="164"/>
      <c r="K1003" s="320"/>
      <c r="L1003" s="164"/>
      <c r="M1003" s="320"/>
      <c r="N1003" s="164"/>
      <c r="O1003" s="320"/>
      <c r="P1003" s="164"/>
      <c r="Q1003" s="320"/>
      <c r="R1003" s="164"/>
      <c r="S1003" s="20"/>
      <c r="T1003" s="20"/>
      <c r="U1003" s="20"/>
      <c r="V1003" s="20"/>
      <c r="W1003" s="20"/>
      <c r="X1003" s="20"/>
      <c r="Y1003" s="20"/>
      <c r="Z1003" s="20"/>
    </row>
    <row r="1004">
      <c r="A1004" s="320"/>
      <c r="B1004" s="164"/>
      <c r="C1004" s="320"/>
      <c r="D1004" s="164"/>
      <c r="E1004" s="320"/>
      <c r="F1004" s="164"/>
      <c r="G1004" s="320"/>
      <c r="H1004" s="164"/>
      <c r="I1004" s="320"/>
      <c r="J1004" s="164"/>
      <c r="K1004" s="320"/>
      <c r="L1004" s="164"/>
      <c r="M1004" s="320"/>
      <c r="N1004" s="164"/>
      <c r="O1004" s="320"/>
      <c r="P1004" s="164"/>
      <c r="Q1004" s="320"/>
      <c r="R1004" s="164"/>
      <c r="S1004" s="20"/>
      <c r="T1004" s="20"/>
      <c r="U1004" s="20"/>
      <c r="V1004" s="20"/>
      <c r="W1004" s="20"/>
      <c r="X1004" s="20"/>
      <c r="Y1004" s="20"/>
      <c r="Z1004" s="20"/>
    </row>
    <row r="1005">
      <c r="A1005" s="320"/>
      <c r="B1005" s="164"/>
      <c r="C1005" s="320"/>
      <c r="D1005" s="164"/>
      <c r="E1005" s="320"/>
      <c r="F1005" s="164"/>
      <c r="G1005" s="320"/>
      <c r="H1005" s="164"/>
      <c r="I1005" s="320"/>
      <c r="J1005" s="164"/>
      <c r="K1005" s="320"/>
      <c r="L1005" s="164"/>
      <c r="M1005" s="320"/>
      <c r="N1005" s="164"/>
      <c r="O1005" s="320"/>
      <c r="P1005" s="164"/>
      <c r="Q1005" s="320"/>
      <c r="R1005" s="164"/>
      <c r="S1005" s="20"/>
      <c r="T1005" s="20"/>
      <c r="U1005" s="20"/>
      <c r="V1005" s="20"/>
      <c r="W1005" s="20"/>
      <c r="X1005" s="20"/>
      <c r="Y1005" s="20"/>
      <c r="Z1005" s="20"/>
    </row>
    <row r="1006">
      <c r="A1006" s="320"/>
      <c r="B1006" s="164"/>
      <c r="C1006" s="320"/>
      <c r="D1006" s="164"/>
      <c r="E1006" s="320"/>
      <c r="F1006" s="164"/>
      <c r="G1006" s="320"/>
      <c r="H1006" s="164"/>
      <c r="I1006" s="320"/>
      <c r="J1006" s="164"/>
      <c r="K1006" s="320"/>
      <c r="L1006" s="164"/>
      <c r="M1006" s="320"/>
      <c r="N1006" s="164"/>
      <c r="O1006" s="320"/>
      <c r="P1006" s="164"/>
      <c r="Q1006" s="320"/>
      <c r="R1006" s="164"/>
      <c r="S1006" s="20"/>
      <c r="T1006" s="20"/>
      <c r="U1006" s="20"/>
      <c r="V1006" s="20"/>
      <c r="W1006" s="20"/>
      <c r="X1006" s="20"/>
      <c r="Y1006" s="20"/>
      <c r="Z1006" s="20"/>
    </row>
    <row r="1007">
      <c r="A1007" s="320"/>
      <c r="B1007" s="164"/>
      <c r="C1007" s="320"/>
      <c r="D1007" s="164"/>
      <c r="E1007" s="320"/>
      <c r="F1007" s="164"/>
      <c r="G1007" s="320"/>
      <c r="H1007" s="164"/>
      <c r="I1007" s="320"/>
      <c r="J1007" s="164"/>
      <c r="K1007" s="320"/>
      <c r="L1007" s="164"/>
      <c r="M1007" s="320"/>
      <c r="N1007" s="164"/>
      <c r="O1007" s="320"/>
      <c r="P1007" s="164"/>
      <c r="Q1007" s="320"/>
      <c r="R1007" s="164"/>
      <c r="S1007" s="20"/>
      <c r="T1007" s="20"/>
      <c r="U1007" s="20"/>
      <c r="V1007" s="20"/>
      <c r="W1007" s="20"/>
      <c r="X1007" s="20"/>
      <c r="Y1007" s="20"/>
      <c r="Z1007" s="20"/>
    </row>
    <row r="1008">
      <c r="A1008" s="320"/>
      <c r="B1008" s="164"/>
      <c r="C1008" s="320"/>
      <c r="D1008" s="164"/>
      <c r="E1008" s="320"/>
      <c r="F1008" s="164"/>
      <c r="G1008" s="320"/>
      <c r="H1008" s="164"/>
      <c r="I1008" s="320"/>
      <c r="J1008" s="164"/>
      <c r="K1008" s="320"/>
      <c r="L1008" s="164"/>
      <c r="M1008" s="320"/>
      <c r="N1008" s="164"/>
      <c r="O1008" s="320"/>
      <c r="P1008" s="164"/>
      <c r="Q1008" s="320"/>
      <c r="R1008" s="164"/>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4" t="s">
        <v>2115</v>
      </c>
      <c r="S1" s="62" t="s">
        <v>6519</v>
      </c>
      <c r="U1" s="287"/>
      <c r="V1" s="287"/>
    </row>
    <row r="2">
      <c r="A2" s="313" t="s">
        <v>6520</v>
      </c>
      <c r="B2" s="76" t="s">
        <v>6521</v>
      </c>
      <c r="C2" s="313" t="str">
        <f>IFERROR(__xludf.DUMMYFUNCTION("GOOGLETRANSLATE(A2,""zh-tw"",""ja"")"),"小道具名")</f>
        <v>小道具名</v>
      </c>
      <c r="D2" s="76" t="str">
        <f>IFERROR(__xludf.DUMMYFUNCTION("GOOGLETRANSLATE(B2,""zh-tw"",""ja"")"),"効果")</f>
        <v>効果</v>
      </c>
      <c r="E2" s="315" t="str">
        <f>IFERROR(__xludf.DUMMYFUNCTION("GOOGLETRANSLATE(A2,""zh-tw"",""en"")"),"Prop name")</f>
        <v>Prop name</v>
      </c>
      <c r="F2" s="73" t="str">
        <f>IFERROR(__xludf.DUMMYFUNCTION("GOOGLETRANSLATE(B2,""zh-tw"",""en"")"),"Effect")</f>
        <v>Effect</v>
      </c>
      <c r="G2" s="313" t="str">
        <f>IFERROR(__xludf.DUMMYFUNCTION("GOOGLETRANSLATE(A2,""zh-tw"",""zh"")"),"道具名称")</f>
        <v>道具名称</v>
      </c>
      <c r="H2" s="76" t="str">
        <f>IFERROR(__xludf.DUMMYFUNCTION("GOOGLETRANSLATE(B2,""zh-tw"",""zh"")"),"效果")</f>
        <v>效果</v>
      </c>
      <c r="I2" s="314" t="str">
        <f>IFERROR(__xludf.DUMMYFUNCTION("GOOGLETRANSLATE(A2,""zh-tw"",""es-MX"")"),"Nombre del objeto")</f>
        <v>Nombre del objeto</v>
      </c>
      <c r="J2" s="43" t="str">
        <f>IFERROR(__xludf.DUMMYFUNCTION("GOOGLETRANSLATE(B2,""zh-tw"",""es-MX"")"),"Efecto")</f>
        <v>Efecto</v>
      </c>
      <c r="K2" s="314" t="str">
        <f>IFERROR(__xludf.DUMMYFUNCTION("GOOGLETRANSLATE(A2,""zh-tw"",""KO"")"),"소품 이름")</f>
        <v>소품 이름</v>
      </c>
      <c r="L2" s="43" t="str">
        <f>IFERROR(__xludf.DUMMYFUNCTION("GOOGLETRANSLATE(B2,""zh-tw"",""KO"")"),"효과")</f>
        <v>효과</v>
      </c>
      <c r="M2" s="314" t="str">
        <f>IFERROR(__xludf.DUMMYFUNCTION("GOOGLETRANSLATE(A2,""zh-tw"",""ru"")"),"Имя реквизита")</f>
        <v>Имя реквизита</v>
      </c>
      <c r="N2" s="43" t="str">
        <f>IFERROR(__xludf.DUMMYFUNCTION("GOOGLETRANSLATE(B2,""zh-tw"",""ru"")"),"Эффект")</f>
        <v>Эффект</v>
      </c>
      <c r="O2" s="313" t="s">
        <v>6522</v>
      </c>
      <c r="P2" s="76" t="s">
        <v>6523</v>
      </c>
      <c r="Q2" s="335" t="s">
        <v>6524</v>
      </c>
      <c r="R2" s="69" t="s">
        <v>6525</v>
      </c>
      <c r="S2" s="315" t="s">
        <v>6526</v>
      </c>
      <c r="T2" s="73" t="s">
        <v>6527</v>
      </c>
      <c r="U2" s="336"/>
      <c r="V2" s="336"/>
    </row>
    <row r="3">
      <c r="A3" s="318" t="s">
        <v>6528</v>
      </c>
      <c r="B3" s="163" t="s">
        <v>6529</v>
      </c>
      <c r="C3" s="318" t="s">
        <v>6530</v>
      </c>
      <c r="D3" s="163" t="s">
        <v>6531</v>
      </c>
      <c r="E3" s="318" t="s">
        <v>6532</v>
      </c>
      <c r="F3" s="163" t="s">
        <v>6533</v>
      </c>
      <c r="G3" s="318" t="str">
        <f>IFERROR(__xludf.DUMMYFUNCTION("GOOGLETRANSLATE(A3,""zh-tw"",""zh"")"),"好喝的牛奶")</f>
        <v>好喝的牛奶</v>
      </c>
      <c r="H3" s="163" t="str">
        <f>IFERROR(__xludf.DUMMYFUNCTION("GOOGLETRANSLATE(B3,""zh-tw"",""zh"")"),"回复体力120，自动回复效果")</f>
        <v>回复体力120，自动回复效果</v>
      </c>
      <c r="I3" s="320" t="str">
        <f>IFERROR(__xludf.DUMMYFUNCTION("GOOGLETRANSLATE(A3,""zh-tw"",""es-MX"")"),"Leche deliciosa")</f>
        <v>Leche deliciosa</v>
      </c>
      <c r="J3" s="164" t="str">
        <f>IFERROR(__xludf.DUMMYFUNCTION("GOOGLETRANSLATE(B3,""zh-tw"",""es-MX"")"),"Restaura 120 de resistencia; efecto de recuperación de resistencia automático.")</f>
        <v>Restaura 120 de resistencia; efecto de recuperación de resistencia automático.</v>
      </c>
      <c r="K3" s="320" t="str">
        <f>IFERROR(__xludf.DUMMYFUNCTION("GOOGLETRANSLATE(A3,""zh-tw"",""KO"")"),"맛있는 우유")</f>
        <v>맛있는 우유</v>
      </c>
      <c r="L3" s="163" t="s">
        <v>6534</v>
      </c>
      <c r="M3" s="320"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8" t="s">
        <v>6535</v>
      </c>
      <c r="P3" s="163" t="s">
        <v>6536</v>
      </c>
      <c r="Q3" s="324" t="s">
        <v>6537</v>
      </c>
      <c r="R3" s="41" t="s">
        <v>6538</v>
      </c>
      <c r="S3" s="320" t="s">
        <v>6539</v>
      </c>
      <c r="T3" s="163" t="s">
        <v>6540</v>
      </c>
      <c r="U3" s="20"/>
      <c r="V3" s="20"/>
    </row>
    <row r="4">
      <c r="A4" s="318" t="s">
        <v>6541</v>
      </c>
      <c r="B4" s="163" t="s">
        <v>6542</v>
      </c>
      <c r="C4" s="318" t="s">
        <v>6543</v>
      </c>
      <c r="D4" s="163" t="s">
        <v>6544</v>
      </c>
      <c r="E4" s="318" t="s">
        <v>6545</v>
      </c>
      <c r="F4" s="163" t="s">
        <v>6546</v>
      </c>
      <c r="G4" s="318" t="str">
        <f>IFERROR(__xludf.DUMMYFUNCTION("GOOGLETRANSLATE(A4,""zh-tw"",""zh"")"),"胡萝卜牛奶")</f>
        <v>胡萝卜牛奶</v>
      </c>
      <c r="H4" s="163" t="str">
        <f>IFERROR(__xludf.DUMMYFUNCTION("GOOGLETRANSLATE(B4,""zh-tw"",""zh"")"),"回复体力75，消除异常")</f>
        <v>回复体力75，消除异常</v>
      </c>
      <c r="I4" s="320"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20" t="str">
        <f>IFERROR(__xludf.DUMMYFUNCTION("GOOGLETRANSLATE(A4,""zh-tw"",""KO"")"),"당근 우유")</f>
        <v>당근 우유</v>
      </c>
      <c r="L4" s="163" t="s">
        <v>6547</v>
      </c>
      <c r="M4" s="320"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8" t="s">
        <v>6548</v>
      </c>
      <c r="P4" s="163" t="s">
        <v>6549</v>
      </c>
      <c r="Q4" s="324" t="s">
        <v>6550</v>
      </c>
      <c r="R4" s="41" t="s">
        <v>6551</v>
      </c>
      <c r="S4" s="320" t="s">
        <v>6552</v>
      </c>
      <c r="T4" s="164" t="s">
        <v>6553</v>
      </c>
      <c r="U4" s="20"/>
      <c r="V4" s="20"/>
    </row>
    <row r="5">
      <c r="A5" s="318" t="s">
        <v>6554</v>
      </c>
      <c r="B5" s="163" t="s">
        <v>6555</v>
      </c>
      <c r="C5" s="318" t="s">
        <v>6556</v>
      </c>
      <c r="D5" s="163" t="s">
        <v>6557</v>
      </c>
      <c r="E5" s="318" t="s">
        <v>6558</v>
      </c>
      <c r="F5" s="163" t="s">
        <v>6559</v>
      </c>
      <c r="G5" s="318" t="str">
        <f>IFERROR(__xludf.DUMMYFUNCTION("GOOGLETRANSLATE(A5,""zh-tw"",""zh"")"),"草莓味牛奶")</f>
        <v>草莓味牛奶</v>
      </c>
      <c r="H5" s="163" t="str">
        <f>IFERROR(__xludf.DUMMYFUNCTION("GOOGLETRANSLATE(B5,""zh-tw"",""zh"")"),"回复体力75，提高50%攻击")</f>
        <v>回复体力75，提高50%攻击</v>
      </c>
      <c r="I5" s="320" t="str">
        <f>IFERROR(__xludf.DUMMYFUNCTION("GOOGLETRANSLATE(A5,""zh-tw"",""es-MX"")"),"Leche de fresa")</f>
        <v>Leche de fresa</v>
      </c>
      <c r="J5" s="164" t="str">
        <f>IFERROR(__xludf.DUMMYFUNCTION("GOOGLETRANSLATE(B5,""zh-tw"",""es-MX"")"),"Restaura 75 de resistencia y aumenta el ataque en un 50%.")</f>
        <v>Restaura 75 de resistencia y aumenta el ataque en un 50%.</v>
      </c>
      <c r="K5" s="318" t="s">
        <v>6560</v>
      </c>
      <c r="L5" s="164"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8" t="s">
        <v>6561</v>
      </c>
      <c r="P5" s="163" t="s">
        <v>6562</v>
      </c>
      <c r="Q5" s="324" t="s">
        <v>6563</v>
      </c>
      <c r="R5" s="41" t="s">
        <v>6564</v>
      </c>
      <c r="S5" s="320" t="s">
        <v>6565</v>
      </c>
      <c r="T5" s="164" t="s">
        <v>6566</v>
      </c>
      <c r="U5" s="20"/>
      <c r="V5" s="20"/>
    </row>
    <row r="6">
      <c r="A6" s="318" t="s">
        <v>6567</v>
      </c>
      <c r="B6" s="163" t="s">
        <v>6568</v>
      </c>
      <c r="C6" s="318" t="s">
        <v>6569</v>
      </c>
      <c r="D6" s="163" t="s">
        <v>6570</v>
      </c>
      <c r="E6" s="318" t="s">
        <v>6571</v>
      </c>
      <c r="F6" s="163" t="s">
        <v>6572</v>
      </c>
      <c r="G6" s="318" t="str">
        <f>IFERROR(__xludf.DUMMYFUNCTION("GOOGLETRANSLATE(A6,""zh-tw"",""zh"")"),"蜜瓜味牛奶")</f>
        <v>蜜瓜味牛奶</v>
      </c>
      <c r="H6" s="163" t="str">
        <f>IFERROR(__xludf.DUMMYFUNCTION("GOOGLETRANSLATE(B6,""zh-tw"",""zh"")"),"回复体力75，提高50%魔力")</f>
        <v>回复体力75，提高50%魔力</v>
      </c>
      <c r="I6" s="320" t="str">
        <f>IFERROR(__xludf.DUMMYFUNCTION("GOOGLETRANSLATE(A6,""zh-tw"",""es-MX"")"),"Leche con sabor a melón dulce")</f>
        <v>Leche con sabor a melón dulce</v>
      </c>
      <c r="J6" s="164" t="str">
        <f>IFERROR(__xludf.DUMMYFUNCTION("GOOGLETRANSLATE(B6,""zh-tw"",""es-MX"")"),"Restaura 75 de resistencia y aumenta el poder mágico en un 50%.")</f>
        <v>Restaura 75 de resistencia y aumenta el poder mágico en un 50%.</v>
      </c>
      <c r="K6" s="318" t="s">
        <v>6573</v>
      </c>
      <c r="L6" s="164" t="str">
        <f>IFERROR(__xludf.DUMMYFUNCTION("GOOGLETRANSLATE(B6,""zh-tw"",""KO"")"),"체력을 75 회복하고 마법력을 50% 증가시킵니다.")</f>
        <v>체력을 75 회복하고 마법력을 50% 증가시킵니다.</v>
      </c>
      <c r="M6" s="320"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18" t="s">
        <v>6574</v>
      </c>
      <c r="P6" s="163" t="s">
        <v>6575</v>
      </c>
      <c r="Q6" s="324" t="s">
        <v>6576</v>
      </c>
      <c r="R6" s="41" t="s">
        <v>6577</v>
      </c>
      <c r="S6" s="320" t="s">
        <v>6578</v>
      </c>
      <c r="T6" s="164" t="s">
        <v>6579</v>
      </c>
      <c r="U6" s="20"/>
      <c r="V6" s="20"/>
    </row>
    <row r="7">
      <c r="A7" s="318" t="s">
        <v>6580</v>
      </c>
      <c r="B7" s="163" t="s">
        <v>6581</v>
      </c>
      <c r="C7" s="318" t="s">
        <v>6582</v>
      </c>
      <c r="D7" s="163" t="s">
        <v>6583</v>
      </c>
      <c r="E7" s="318" t="s">
        <v>6584</v>
      </c>
      <c r="F7" s="163" t="s">
        <v>6585</v>
      </c>
      <c r="G7" s="318" t="str">
        <f>IFERROR(__xludf.DUMMYFUNCTION("GOOGLETRANSLATE(A7,""zh-tw"",""zh"")"),"香蕉味牛奶")</f>
        <v>香蕉味牛奶</v>
      </c>
      <c r="H7" s="163" t="str">
        <f>IFERROR(__xludf.DUMMYFUNCTION("GOOGLETRANSLATE(B7,""zh-tw"",""zh"")"),"回复体力75，移速增强")</f>
        <v>回复体力75，移速增强</v>
      </c>
      <c r="I7" s="320" t="str">
        <f>IFERROR(__xludf.DUMMYFUNCTION("GOOGLETRANSLATE(A7,""zh-tw"",""es-MX"")"),"Leche con sabor a plátano")</f>
        <v>Leche con sabor a plátano</v>
      </c>
      <c r="J7" s="164" t="str">
        <f>IFERROR(__xludf.DUMMYFUNCTION("GOOGLETRANSLATE(B7,""zh-tw"",""es-MX"")"),"Restaura 75 de resistencia y aumenta la velocidad de movimiento.")</f>
        <v>Restaura 75 de resistencia y aumenta la velocidad de movimiento.</v>
      </c>
      <c r="K7" s="320" t="str">
        <f>IFERROR(__xludf.DUMMYFUNCTION("GOOGLETRANSLATE(A7,""zh-tw"",""KO"")"),"바나나맛 우유")</f>
        <v>바나나맛 우유</v>
      </c>
      <c r="L7" s="163" t="s">
        <v>6586</v>
      </c>
      <c r="M7" s="320" t="str">
        <f>IFERROR(__xludf.DUMMYFUNCTION("GOOGLETRANSLATE(A7,""zh-tw"",""ru"")"),"Банановое молоко")</f>
        <v>Банановое молоко</v>
      </c>
      <c r="N7" s="164"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8" t="s">
        <v>6587</v>
      </c>
      <c r="P7" s="163" t="s">
        <v>6588</v>
      </c>
      <c r="Q7" s="324" t="s">
        <v>6589</v>
      </c>
      <c r="R7" s="41" t="s">
        <v>6590</v>
      </c>
      <c r="S7" s="320" t="s">
        <v>6591</v>
      </c>
      <c r="T7" s="164" t="s">
        <v>6592</v>
      </c>
      <c r="U7" s="20"/>
      <c r="V7" s="20"/>
    </row>
    <row r="8">
      <c r="A8" s="318" t="s">
        <v>6593</v>
      </c>
      <c r="B8" s="163" t="s">
        <v>6594</v>
      </c>
      <c r="C8" s="318" t="s">
        <v>6595</v>
      </c>
      <c r="D8" s="163" t="s">
        <v>6596</v>
      </c>
      <c r="E8" s="318" t="s">
        <v>6597</v>
      </c>
      <c r="F8" s="163" t="s">
        <v>6598</v>
      </c>
      <c r="G8" s="318" t="str">
        <f>IFERROR(__xludf.DUMMYFUNCTION("GOOGLETRANSLATE(A8,""zh-tw"",""zh"")"),"巧克力牛奶")</f>
        <v>巧克力牛奶</v>
      </c>
      <c r="H8" s="163" t="str">
        <f>IFERROR(__xludf.DUMMYFUNCTION("GOOGLETRANSLATE(B8,""zh-tw"",""zh"")"),"回复体力78，霸体效果
(未实装)")</f>
        <v>回复体力78，霸体效果
(未实装)</v>
      </c>
      <c r="I8" s="320" t="str">
        <f>IFERROR(__xludf.DUMMYFUNCTION("GOOGLETRANSLATE(A8,""zh-tw"",""es-MX"")"),"Leche con chocolate")</f>
        <v>Leche con chocolate</v>
      </c>
      <c r="J8" s="164" t="str">
        <f>IFERROR(__xludf.DUMMYFUNCTION("GOOGLETRANSLATE(B8,""zh-tw"",""es-MX"")"),"Restaura 78 de resistencia y otorga invulnerabilidad.
(Aún no implementado)")</f>
        <v>Restaura 78 de resistencia y otorga invulnerabilidad.
(Aún no implementado)</v>
      </c>
      <c r="K8" s="318" t="s">
        <v>6599</v>
      </c>
      <c r="L8" s="164"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8" t="s">
        <v>6600</v>
      </c>
      <c r="P8" s="163" t="s">
        <v>6601</v>
      </c>
      <c r="Q8" s="324" t="s">
        <v>6602</v>
      </c>
      <c r="R8" s="41" t="s">
        <v>6603</v>
      </c>
      <c r="S8" s="326" t="s">
        <v>6597</v>
      </c>
      <c r="T8" s="164" t="s">
        <v>6604</v>
      </c>
      <c r="U8" s="20"/>
      <c r="V8" s="20"/>
    </row>
    <row r="9">
      <c r="A9" s="318" t="s">
        <v>6605</v>
      </c>
      <c r="B9" s="163" t="s">
        <v>6606</v>
      </c>
      <c r="C9" s="318" t="s">
        <v>6607</v>
      </c>
      <c r="D9" s="163" t="s">
        <v>6608</v>
      </c>
      <c r="E9" s="318" t="s">
        <v>6609</v>
      </c>
      <c r="F9" s="163" t="s">
        <v>6610</v>
      </c>
      <c r="G9" s="318" t="str">
        <f>IFERROR(__xludf.DUMMYFUNCTION("GOOGLETRANSLATE(A9,""zh-tw"",""zh"")"),"逆流可乐")</f>
        <v>逆流可乐</v>
      </c>
      <c r="H9" s="163" t="str">
        <f>IFERROR(__xludf.DUMMYFUNCTION("GOOGLETRANSLATE(B9,""zh-tw"",""zh"")"),"(战斗效果未实装)")</f>
        <v>(战斗效果未实装)</v>
      </c>
      <c r="I9" s="318" t="s">
        <v>6609</v>
      </c>
      <c r="J9" s="164" t="str">
        <f>IFERROR(__xludf.DUMMYFUNCTION("GOOGLETRANSLATE(B9,""zh-tw"",""es-MX"")"),"(Efectos de combate aún no implementados)")</f>
        <v>(Efectos de combate aún no implementados)</v>
      </c>
      <c r="K9" s="318" t="s">
        <v>6611</v>
      </c>
      <c r="L9" s="164"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18" t="s">
        <v>6609</v>
      </c>
      <c r="P9" s="163" t="s">
        <v>6612</v>
      </c>
      <c r="Q9" s="324" t="s">
        <v>6609</v>
      </c>
      <c r="R9" s="41" t="s">
        <v>6613</v>
      </c>
      <c r="S9" s="320" t="s">
        <v>6614</v>
      </c>
      <c r="T9" s="164" t="s">
        <v>6615</v>
      </c>
      <c r="U9" s="20"/>
      <c r="V9" s="20"/>
    </row>
    <row r="10">
      <c r="A10" s="318" t="s">
        <v>6616</v>
      </c>
      <c r="B10" s="163" t="s">
        <v>6617</v>
      </c>
      <c r="C10" s="318" t="s">
        <v>6618</v>
      </c>
      <c r="D10" s="163" t="s">
        <v>6619</v>
      </c>
      <c r="E10" s="318" t="s">
        <v>6620</v>
      </c>
      <c r="F10" s="163" t="s">
        <v>6621</v>
      </c>
      <c r="G10" s="318"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64"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18" t="s">
        <v>6622</v>
      </c>
      <c r="L10" s="163" t="s">
        <v>6623</v>
      </c>
      <c r="M10" s="320"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8" t="s">
        <v>6624</v>
      </c>
      <c r="P10" s="163" t="s">
        <v>6625</v>
      </c>
      <c r="Q10" s="324" t="s">
        <v>6626</v>
      </c>
      <c r="R10" s="41" t="s">
        <v>6627</v>
      </c>
      <c r="S10" s="320" t="s">
        <v>6628</v>
      </c>
      <c r="T10" s="164" t="s">
        <v>6629</v>
      </c>
      <c r="U10" s="20"/>
      <c r="V10" s="20"/>
    </row>
    <row r="11">
      <c r="A11" s="318" t="s">
        <v>6630</v>
      </c>
      <c r="B11" s="163" t="s">
        <v>6631</v>
      </c>
      <c r="C11" s="318" t="s">
        <v>6632</v>
      </c>
      <c r="D11" s="163" t="s">
        <v>6633</v>
      </c>
      <c r="E11" s="318" t="s">
        <v>6634</v>
      </c>
      <c r="F11" s="163" t="s">
        <v>6635</v>
      </c>
      <c r="G11" s="318"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64"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18" t="s">
        <v>6636</v>
      </c>
      <c r="L11" s="163" t="s">
        <v>6637</v>
      </c>
      <c r="M11" s="320"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8" t="s">
        <v>6638</v>
      </c>
      <c r="P11" s="163" t="s">
        <v>6639</v>
      </c>
      <c r="Q11" s="324" t="s">
        <v>6640</v>
      </c>
      <c r="R11" s="41" t="s">
        <v>6641</v>
      </c>
      <c r="S11" s="320" t="s">
        <v>6642</v>
      </c>
      <c r="T11" s="164" t="s">
        <v>6643</v>
      </c>
      <c r="U11" s="20"/>
      <c r="V11" s="20"/>
    </row>
    <row r="12">
      <c r="A12" s="318" t="s">
        <v>6644</v>
      </c>
      <c r="B12" s="163" t="s">
        <v>6645</v>
      </c>
      <c r="C12" s="318" t="s">
        <v>6646</v>
      </c>
      <c r="D12" s="163" t="s">
        <v>644</v>
      </c>
      <c r="E12" s="318" t="s">
        <v>6647</v>
      </c>
      <c r="F12" s="163" t="s">
        <v>6648</v>
      </c>
      <c r="G12" s="318" t="str">
        <f>IFERROR(__xludf.DUMMYFUNCTION("GOOGLETRANSLATE(A12,""zh-tw"",""zh"")"),"绿色金平糖")</f>
        <v>绿色金平糖</v>
      </c>
      <c r="H12" s="163" t="str">
        <f>IFERROR(__xludf.DUMMYFUNCTION("GOOGLETRANSLATE(B12,""zh-tw"",""zh"")"),"效果未实装")</f>
        <v>效果未实装</v>
      </c>
      <c r="I12" s="320" t="str">
        <f>IFERROR(__xludf.DUMMYFUNCTION("GOOGLETRANSLATE(A12,""zh-tw"",""es-MX"")"),"Kinpeito verde")</f>
        <v>Kinpeito verde</v>
      </c>
      <c r="J12" s="164" t="str">
        <f>IFERROR(__xludf.DUMMYFUNCTION("GOOGLETRANSLATE(B12,""zh-tw"",""es-MX"")"),"El efecto no se ha implementado.")</f>
        <v>El efecto no se ha implementado.</v>
      </c>
      <c r="K12" s="318" t="s">
        <v>6649</v>
      </c>
      <c r="L12" s="164"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18" t="s">
        <v>6650</v>
      </c>
      <c r="P12" s="163" t="s">
        <v>2840</v>
      </c>
      <c r="Q12" s="324" t="s">
        <v>6651</v>
      </c>
      <c r="R12" s="41" t="s">
        <v>6652</v>
      </c>
      <c r="S12" s="320" t="s">
        <v>6653</v>
      </c>
      <c r="T12" s="164" t="s">
        <v>6654</v>
      </c>
      <c r="U12" s="20"/>
      <c r="V12" s="20"/>
    </row>
    <row r="13">
      <c r="A13" s="318" t="s">
        <v>6655</v>
      </c>
      <c r="B13" s="163" t="s">
        <v>6656</v>
      </c>
      <c r="C13" s="318" t="s">
        <v>6657</v>
      </c>
      <c r="D13" s="163" t="s">
        <v>6658</v>
      </c>
      <c r="E13" s="318" t="s">
        <v>6659</v>
      </c>
      <c r="F13" s="163" t="s">
        <v>6660</v>
      </c>
      <c r="G13" s="318" t="str">
        <f>IFERROR(__xludf.DUMMYFUNCTION("GOOGLETRANSLATE(A13,""zh-tw"",""zh"")"),"天上之石碎片")</f>
        <v>天上之石碎片</v>
      </c>
      <c r="H13" s="163"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64" t="str">
        <f>IFERROR(__xludf.DUMMYFUNCTION("GOOGLETRANSLATE(B13,""zh-tw"",""es-MX"")"),"Aumenta la condición del hermano o transfórmalo en ""Líquido de Médula Roja"".")</f>
        <v>Aumenta la condición del hermano o transfórmalo en "Líquido de Médula Roja".</v>
      </c>
      <c r="K13" s="320" t="str">
        <f>IFERROR(__xludf.DUMMYFUNCTION("GOOGLETRANSLATE(A13,""zh-tw"",""KO"")"),"천상의 돌 조각들")</f>
        <v>천상의 돌 조각들</v>
      </c>
      <c r="L13" s="163" t="s">
        <v>6661</v>
      </c>
      <c r="M13" s="320" t="str">
        <f>IFERROR(__xludf.DUMMYFUNCTION("GOOGLETRANSLATE(A13,""zh-tw"",""ru"")"),"Фрагменты Небесного Камня")</f>
        <v>Фрагменты Небесного Камня</v>
      </c>
      <c r="N13" s="164"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8" t="s">
        <v>6662</v>
      </c>
      <c r="P13" s="163" t="s">
        <v>6663</v>
      </c>
      <c r="Q13" s="324" t="s">
        <v>6664</v>
      </c>
      <c r="R13" s="163" t="s">
        <v>6665</v>
      </c>
      <c r="S13" s="320" t="s">
        <v>6666</v>
      </c>
      <c r="T13" s="163" t="s">
        <v>6667</v>
      </c>
      <c r="U13" s="20"/>
      <c r="V13" s="20"/>
    </row>
    <row r="14">
      <c r="A14" s="318" t="s">
        <v>6668</v>
      </c>
      <c r="B14" s="163" t="s">
        <v>6669</v>
      </c>
      <c r="C14" s="318" t="s">
        <v>6670</v>
      </c>
      <c r="D14" s="163" t="s">
        <v>6671</v>
      </c>
      <c r="E14" s="318" t="s">
        <v>6672</v>
      </c>
      <c r="F14" s="163" t="s">
        <v>6673</v>
      </c>
      <c r="G14" s="318" t="str">
        <f>IFERROR(__xludf.DUMMYFUNCTION("GOOGLETRANSLATE(A14,""zh-tw"",""zh"")"),"卢恩符文A")</f>
        <v>卢恩符文A</v>
      </c>
      <c r="H14" s="163" t="s">
        <v>6674</v>
      </c>
      <c r="I14" s="320" t="str">
        <f>IFERROR(__xludf.DUMMYFUNCTION("GOOGLETRANSLATE(A14,""zh-tw"",""es-MX"")"),"Runa A")</f>
        <v>Runa A</v>
      </c>
      <c r="J14" s="164" t="str">
        <f>IFERROR(__xludf.DUMMYFUNCTION("GOOGLETRANSLATE(B14,""zh-tw"",""es-MX"")"),"Dejar constancia escrita")</f>
        <v>Dejar constancia escrita</v>
      </c>
      <c r="K14" s="318" t="s">
        <v>6675</v>
      </c>
      <c r="L14" s="163" t="s">
        <v>6676</v>
      </c>
      <c r="M14" s="320" t="str">
        <f>IFERROR(__xludf.DUMMYFUNCTION("GOOGLETRANSLATE(A14,""zh-tw"",""ru"")"),"Руна А")</f>
        <v>Руна А</v>
      </c>
      <c r="N14" s="164" t="str">
        <f>IFERROR(__xludf.DUMMYFUNCTION("GOOGLETRANSLATE(B14,""zh-tw"",""ru"")"),"Оставьте письменный отчет")</f>
        <v>Оставьте письменный отчет</v>
      </c>
      <c r="O14" s="318" t="s">
        <v>6677</v>
      </c>
      <c r="P14" s="163" t="s">
        <v>6678</v>
      </c>
      <c r="Q14" s="318" t="s">
        <v>6679</v>
      </c>
      <c r="R14" s="41" t="s">
        <v>6680</v>
      </c>
      <c r="S14" s="320" t="s">
        <v>6672</v>
      </c>
      <c r="T14" s="164" t="s">
        <v>6681</v>
      </c>
      <c r="U14" s="20"/>
      <c r="V14" s="20"/>
    </row>
    <row r="15">
      <c r="A15" s="318" t="s">
        <v>6682</v>
      </c>
      <c r="B15" s="163" t="s">
        <v>6683</v>
      </c>
      <c r="C15" s="318" t="s">
        <v>6684</v>
      </c>
      <c r="D15" s="163" t="s">
        <v>6685</v>
      </c>
      <c r="E15" s="318" t="s">
        <v>6686</v>
      </c>
      <c r="F15" s="163" t="s">
        <v>6687</v>
      </c>
      <c r="G15" s="318" t="str">
        <f>IFERROR(__xludf.DUMMYFUNCTION("GOOGLETRANSLATE(A15,""zh-tw"",""zh"")"),"卢恩符文R")</f>
        <v>卢恩符文R</v>
      </c>
      <c r="H15" s="163" t="str">
        <f>IFERROR(__xludf.DUMMYFUNCTION("GOOGLETRANSLATE(B15,""zh-tw"",""zh"")"),"投掷后，滑鼠点选R的位置进行交换")</f>
        <v>投掷后，滑鼠点选R的位置进行交换</v>
      </c>
      <c r="I15" s="320" t="str">
        <f>IFERROR(__xludf.DUMMYFUNCTION("GOOGLETRANSLATE(A15,""zh-tw"",""es-MX"")"),"Runa R")</f>
        <v>Runa R</v>
      </c>
      <c r="J15" s="164" t="str">
        <f>IFERROR(__xludf.DUMMYFUNCTION("GOOGLETRANSLATE(B15,""zh-tw"",""es-MX"")"),"Luego de lanzar, haga clic en la posición de R con el mouse para intercambiar.")</f>
        <v>Luego de lanzar, haga clic en la posición de R con el mouse para intercambiar.</v>
      </c>
      <c r="K15" s="318" t="s">
        <v>6688</v>
      </c>
      <c r="L15" s="163" t="s">
        <v>6689</v>
      </c>
      <c r="M15" s="320"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8" t="s">
        <v>6690</v>
      </c>
      <c r="P15" s="163" t="s">
        <v>6691</v>
      </c>
      <c r="Q15" s="318" t="s">
        <v>6692</v>
      </c>
      <c r="R15" s="41" t="s">
        <v>6693</v>
      </c>
      <c r="S15" s="320" t="s">
        <v>6686</v>
      </c>
      <c r="T15" s="164" t="s">
        <v>6694</v>
      </c>
      <c r="U15" s="20"/>
      <c r="V15" s="20"/>
    </row>
    <row r="16">
      <c r="A16" s="318" t="s">
        <v>6695</v>
      </c>
      <c r="B16" s="163" t="s">
        <v>6696</v>
      </c>
      <c r="C16" s="318" t="s">
        <v>6697</v>
      </c>
      <c r="D16" s="163" t="s">
        <v>6698</v>
      </c>
      <c r="E16" s="318" t="s">
        <v>6699</v>
      </c>
      <c r="F16" s="163" t="s">
        <v>6700</v>
      </c>
      <c r="G16" s="318" t="str">
        <f>IFERROR(__xludf.DUMMYFUNCTION("GOOGLETRANSLATE(A16,""zh-tw"",""zh"")"),"卢恩符文E")</f>
        <v>卢恩符文E</v>
      </c>
      <c r="H16" s="163" t="str">
        <f>IFERROR(__xludf.DUMMYFUNCTION("GOOGLETRANSLATE(B16,""zh-tw"",""zh"")"),"投掷后与目标进行位置交换")</f>
        <v>投掷后与目标进行位置交换</v>
      </c>
      <c r="I16" s="320" t="str">
        <f>IFERROR(__xludf.DUMMYFUNCTION("GOOGLETRANSLATE(A16,""zh-tw"",""es-MX"")"),"Runa E")</f>
        <v>Runa E</v>
      </c>
      <c r="J16" s="164" t="str">
        <f>IFERROR(__xludf.DUMMYFUNCTION("GOOGLETRANSLATE(B16,""zh-tw"",""es-MX"")"),"Después de lanzar, intercambia posiciones con el objetivo.")</f>
        <v>Después de lanzar, intercambia posiciones con el objetivo.</v>
      </c>
      <c r="K16" s="318" t="s">
        <v>6701</v>
      </c>
      <c r="L16" s="163" t="s">
        <v>6702</v>
      </c>
      <c r="M16" s="320"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18" t="s">
        <v>6703</v>
      </c>
      <c r="P16" s="163" t="s">
        <v>6704</v>
      </c>
      <c r="Q16" s="318" t="s">
        <v>6705</v>
      </c>
      <c r="R16" s="41" t="s">
        <v>6706</v>
      </c>
      <c r="S16" s="320" t="s">
        <v>6699</v>
      </c>
      <c r="T16" s="164" t="s">
        <v>6707</v>
      </c>
      <c r="U16" s="20"/>
      <c r="V16" s="20"/>
    </row>
    <row r="17">
      <c r="A17" s="324" t="s">
        <v>6708</v>
      </c>
      <c r="B17" s="164" t="s">
        <v>6709</v>
      </c>
      <c r="C17" s="320" t="s">
        <v>6710</v>
      </c>
      <c r="D17" s="164" t="s">
        <v>6711</v>
      </c>
      <c r="E17" s="320" t="s">
        <v>6712</v>
      </c>
      <c r="F17" s="164" t="s">
        <v>6713</v>
      </c>
      <c r="G17" s="318" t="str">
        <f>IFERROR(__xludf.DUMMYFUNCTION("GOOGLETRANSLATE(A17,""zh-tw"",""zh"")"),"卢恩符文Kenaz")</f>
        <v>卢恩符文Kenaz</v>
      </c>
      <c r="H17" s="163"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64"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64"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6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6712</v>
      </c>
      <c r="P17" s="164" t="s">
        <v>6713</v>
      </c>
      <c r="Q17" s="318" t="s">
        <v>6714</v>
      </c>
      <c r="R17" s="164" t="s">
        <v>6715</v>
      </c>
      <c r="S17" s="320" t="s">
        <v>6716</v>
      </c>
      <c r="T17" s="164" t="s">
        <v>6717</v>
      </c>
      <c r="U17" s="20"/>
      <c r="V17" s="20"/>
    </row>
    <row r="18">
      <c r="A18" s="318" t="s">
        <v>6718</v>
      </c>
      <c r="B18" s="163" t="s">
        <v>6719</v>
      </c>
      <c r="C18" s="318" t="s">
        <v>6720</v>
      </c>
      <c r="D18" s="163" t="s">
        <v>6721</v>
      </c>
      <c r="E18" s="318" t="s">
        <v>6722</v>
      </c>
      <c r="F18" s="163" t="s">
        <v>6723</v>
      </c>
      <c r="G18" s="318" t="str">
        <f>IFERROR(__xludf.DUMMYFUNCTION("GOOGLETRANSLATE(A18,""zh-tw"",""zh"")"),"塔罗牌-节制")</f>
        <v>塔罗牌-节制</v>
      </c>
      <c r="H18" s="163" t="str">
        <f>IFERROR(__xludf.DUMMYFUNCTION("GOOGLETRANSLATE(B18,""zh-tw"",""zh"")"),"召唤扭蛋机")</f>
        <v>召唤扭蛋机</v>
      </c>
      <c r="I18" s="320" t="str">
        <f>IFERROR(__xludf.DUMMYFUNCTION("GOOGLETRANSLATE(A18,""zh-tw"",""es-MX"")"),"Tarot - Templanza")</f>
        <v>Tarot - Templanza</v>
      </c>
      <c r="J18" s="164" t="str">
        <f>IFERROR(__xludf.DUMMYFUNCTION("GOOGLETRANSLATE(B18,""zh-tw"",""es-MX"")"),"Invocación de la máquina Gashapon")</f>
        <v>Invocación de la máquina Gashapon</v>
      </c>
      <c r="K18" s="318" t="s">
        <v>6724</v>
      </c>
      <c r="L18" s="164" t="str">
        <f>IFERROR(__xludf.DUMMYFUNCTION("GOOGLETRANSLATE(B18,""zh-tw"",""KO"")"),"소환 가샤폰 머신")</f>
        <v>소환 가샤폰 머신</v>
      </c>
      <c r="M18" s="320" t="str">
        <f>IFERROR(__xludf.DUMMYFUNCTION("GOOGLETRANSLATE(A18,""zh-tw"",""ru"")"),"Таро - Умеренность")</f>
        <v>Таро - Умеренность</v>
      </c>
      <c r="N18" s="164" t="str">
        <f>IFERROR(__xludf.DUMMYFUNCTION("GOOGLETRANSLATE(B18,""zh-tw"",""ru"")"),"Вызов Гасяпон-машины")</f>
        <v>Вызов Гасяпон-машины</v>
      </c>
      <c r="O18" s="318" t="s">
        <v>6725</v>
      </c>
      <c r="P18" s="163" t="s">
        <v>6726</v>
      </c>
      <c r="Q18" s="324" t="s">
        <v>6722</v>
      </c>
      <c r="R18" s="41" t="s">
        <v>6727</v>
      </c>
      <c r="S18" s="320" t="s">
        <v>6728</v>
      </c>
      <c r="T18" s="164" t="s">
        <v>6729</v>
      </c>
      <c r="U18" s="20"/>
      <c r="V18" s="20"/>
    </row>
    <row r="19">
      <c r="A19" s="318" t="s">
        <v>6730</v>
      </c>
      <c r="B19" s="163" t="s">
        <v>6731</v>
      </c>
      <c r="C19" s="318" t="s">
        <v>6732</v>
      </c>
      <c r="D19" s="163" t="s">
        <v>6733</v>
      </c>
      <c r="E19" s="318" t="s">
        <v>6734</v>
      </c>
      <c r="F19" s="163" t="s">
        <v>6735</v>
      </c>
      <c r="G19" s="318" t="str">
        <f>IFERROR(__xludf.DUMMYFUNCTION("GOOGLETRANSLATE(A19,""zh-tw"",""zh"")"),"塔罗牌-正义")</f>
        <v>塔罗牌-正义</v>
      </c>
      <c r="H19" s="163" t="str">
        <f>IFERROR(__xludf.DUMMYFUNCTION("GOOGLETRANSLATE(B19,""zh-tw"",""zh"")"),"消除状态")</f>
        <v>消除状态</v>
      </c>
      <c r="I19" s="320" t="str">
        <f>IFERROR(__xludf.DUMMYFUNCTION("GOOGLETRANSLATE(A19,""zh-tw"",""es-MX"")"),"Tarot - Justicia")</f>
        <v>Tarot - Justicia</v>
      </c>
      <c r="J19" s="164" t="str">
        <f>IFERROR(__xludf.DUMMYFUNCTION("GOOGLETRANSLATE(B19,""zh-tw"",""es-MX"")"),"Eliminar el estado")</f>
        <v>Eliminar el estado</v>
      </c>
      <c r="K19" s="318" t="s">
        <v>6736</v>
      </c>
      <c r="L19" s="305" t="s">
        <v>6737</v>
      </c>
      <c r="M19" s="320" t="str">
        <f>IFERROR(__xludf.DUMMYFUNCTION("GOOGLETRANSLATE(A19,""zh-tw"",""ru"")"),"Таро - Правосудие")</f>
        <v>Таро - Правосудие</v>
      </c>
      <c r="N19" s="164" t="str">
        <f>IFERROR(__xludf.DUMMYFUNCTION("GOOGLETRANSLATE(B19,""zh-tw"",""ru"")"),"Устранить состояние")</f>
        <v>Устранить состояние</v>
      </c>
      <c r="O19" s="318" t="s">
        <v>6738</v>
      </c>
      <c r="P19" s="163" t="s">
        <v>6739</v>
      </c>
      <c r="Q19" s="324" t="s">
        <v>6734</v>
      </c>
      <c r="R19" s="41" t="s">
        <v>6735</v>
      </c>
      <c r="S19" s="320" t="s">
        <v>6740</v>
      </c>
      <c r="T19" s="164" t="s">
        <v>6741</v>
      </c>
      <c r="U19" s="20"/>
      <c r="V19" s="20"/>
    </row>
    <row r="20">
      <c r="A20" s="318" t="s">
        <v>6742</v>
      </c>
      <c r="B20" s="163" t="s">
        <v>6743</v>
      </c>
      <c r="C20" s="318" t="s">
        <v>6744</v>
      </c>
      <c r="D20" s="163" t="s">
        <v>6745</v>
      </c>
      <c r="E20" s="318" t="s">
        <v>6746</v>
      </c>
      <c r="F20" s="163" t="s">
        <v>6747</v>
      </c>
      <c r="G20" s="318" t="str">
        <f>IFERROR(__xludf.DUMMYFUNCTION("GOOGLETRANSLATE(A20,""zh-tw"",""zh"")"),"塔罗牌-力")</f>
        <v>塔罗牌-力</v>
      </c>
      <c r="H20" s="163" t="str">
        <f>IFERROR(__xludf.DUMMYFUNCTION("GOOGLETRANSLATE(B20,""zh-tw"",""zh"")"),"武器巨大化增强")</f>
        <v>武器巨大化增强</v>
      </c>
      <c r="I20" s="320" t="str">
        <f>IFERROR(__xludf.DUMMYFUNCTION("GOOGLETRANSLATE(A20,""zh-tw"",""es-MX"")"),"Carta del Tarot - Fuerza")</f>
        <v>Carta del Tarot - Fuerza</v>
      </c>
      <c r="J20" s="164" t="str">
        <f>IFERROR(__xludf.DUMMYFUNCTION("GOOGLETRANSLATE(B20,""zh-tw"",""es-MX"")"),"Mejora de la ampliación de armas")</f>
        <v>Mejora de la ampliación de armas</v>
      </c>
      <c r="K20" s="320" t="str">
        <f>IFERROR(__xludf.DUMMYFUNCTION("GOOGLETRANSLATE(A20,""zh-tw"",""KO"")"),"타로 카드 - 힘")</f>
        <v>타로 카드 - 힘</v>
      </c>
      <c r="L20" s="163" t="s">
        <v>6748</v>
      </c>
      <c r="M20" s="320" t="str">
        <f>IFERROR(__xludf.DUMMYFUNCTION("GOOGLETRANSLATE(A20,""zh-tw"",""ru"")"),"Карта Таро — Сила")</f>
        <v>Карта Таро — Сила</v>
      </c>
      <c r="N20" s="164" t="str">
        <f>IFERROR(__xludf.DUMMYFUNCTION("GOOGLETRANSLATE(B20,""zh-tw"",""ru"")"),"Улучшение увеличения оружия")</f>
        <v>Улучшение увеличения оружия</v>
      </c>
      <c r="O20" s="318" t="s">
        <v>6749</v>
      </c>
      <c r="P20" s="163" t="s">
        <v>6750</v>
      </c>
      <c r="Q20" s="324" t="s">
        <v>6746</v>
      </c>
      <c r="R20" s="41" t="s">
        <v>6751</v>
      </c>
      <c r="S20" s="320" t="s">
        <v>6752</v>
      </c>
      <c r="T20" s="164" t="s">
        <v>6753</v>
      </c>
      <c r="U20" s="20"/>
      <c r="V20" s="20"/>
    </row>
    <row r="21">
      <c r="A21" s="318" t="s">
        <v>6754</v>
      </c>
      <c r="B21" s="163" t="s">
        <v>6755</v>
      </c>
      <c r="C21" s="318" t="s">
        <v>6756</v>
      </c>
      <c r="D21" s="163" t="s">
        <v>6757</v>
      </c>
      <c r="E21" s="318" t="s">
        <v>6758</v>
      </c>
      <c r="F21" s="163" t="s">
        <v>6759</v>
      </c>
      <c r="G21" s="318" t="str">
        <f>IFERROR(__xludf.DUMMYFUNCTION("GOOGLETRANSLATE(A21,""zh-tw"",""zh"")"),"塔罗牌-皇帝")</f>
        <v>塔罗牌-皇帝</v>
      </c>
      <c r="H21" s="163" t="str">
        <f>IFERROR(__xludf.DUMMYFUNCTION("GOOGLETRANSLATE(B21,""zh-tw"",""zh"")"),"巨龙咆啸")</f>
        <v>巨龙咆啸</v>
      </c>
      <c r="I21" s="320" t="str">
        <f>IFERROR(__xludf.DUMMYFUNCTION("GOOGLETRANSLATE(A21,""zh-tw"",""es-MX"")"),"Tarot - El Emperador")</f>
        <v>Tarot - El Emperador</v>
      </c>
      <c r="J21" s="164" t="str">
        <f>IFERROR(__xludf.DUMMYFUNCTION("GOOGLETRANSLATE(B21,""zh-tw"",""es-MX"")"),"Rugido de dragón")</f>
        <v>Rugido de dragón</v>
      </c>
      <c r="K21" s="320" t="str">
        <f>IFERROR(__xludf.DUMMYFUNCTION("GOOGLETRANSLATE(A21,""zh-tw"",""KO"")"),"타로 - 황제")</f>
        <v>타로 - 황제</v>
      </c>
      <c r="L21" s="163" t="s">
        <v>6760</v>
      </c>
      <c r="M21" s="320" t="str">
        <f>IFERROR(__xludf.DUMMYFUNCTION("GOOGLETRANSLATE(A21,""zh-tw"",""ru"")"),"Таро - Император")</f>
        <v>Таро - Император</v>
      </c>
      <c r="N21" s="164" t="str">
        <f>IFERROR(__xludf.DUMMYFUNCTION("GOOGLETRANSLATE(B21,""zh-tw"",""ru"")"),"Рев Дракона")</f>
        <v>Рев Дракона</v>
      </c>
      <c r="O21" s="318" t="s">
        <v>6761</v>
      </c>
      <c r="P21" s="163" t="s">
        <v>6762</v>
      </c>
      <c r="Q21" s="324" t="s">
        <v>6758</v>
      </c>
      <c r="R21" s="41" t="s">
        <v>6763</v>
      </c>
      <c r="S21" s="320" t="s">
        <v>6764</v>
      </c>
      <c r="T21" s="164" t="s">
        <v>6765</v>
      </c>
      <c r="U21" s="20"/>
      <c r="V21" s="20"/>
    </row>
    <row r="22">
      <c r="A22" s="318" t="s">
        <v>6766</v>
      </c>
      <c r="B22" s="163" t="s">
        <v>6767</v>
      </c>
      <c r="C22" s="318" t="str">
        <f>IFERROR(__xludf.DUMMYFUNCTION("GOOGLETRANSLATE(A22,""zh-tw"",""ja"")"),"タロット - 星")</f>
        <v>タロット - 星</v>
      </c>
      <c r="D22" s="163" t="s">
        <v>6768</v>
      </c>
      <c r="E22" s="318" t="s">
        <v>6769</v>
      </c>
      <c r="F22" s="163" t="s">
        <v>6770</v>
      </c>
      <c r="G22" s="318" t="str">
        <f>IFERROR(__xludf.DUMMYFUNCTION("GOOGLETRANSLATE(A22,""zh-tw"",""zh"")"),"塔罗牌-星")</f>
        <v>塔罗牌-星</v>
      </c>
      <c r="H22" s="163" t="str">
        <f>IFERROR(__xludf.DUMMYFUNCTION("GOOGLETRANSLATE(B22,""zh-tw"",""zh"")"),"星之门")</f>
        <v>星之门</v>
      </c>
      <c r="I22" s="320" t="str">
        <f>IFERROR(__xludf.DUMMYFUNCTION("GOOGLETRANSLATE(A22,""zh-tw"",""es-MX"")"),"Tarot - La Estrella")</f>
        <v>Tarot - La Estrella</v>
      </c>
      <c r="J22" s="164" t="str">
        <f>IFERROR(__xludf.DUMMYFUNCTION("GOOGLETRANSLATE(B22,""zh-tw"",""es-MX"")"),"Puerta Estelar")</f>
        <v>Puerta Estelar</v>
      </c>
      <c r="K22" s="320" t="str">
        <f>IFERROR(__xludf.DUMMYFUNCTION("GOOGLETRANSLATE(A22,""zh-tw"",""KO"")"),"타로 - 별")</f>
        <v>타로 - 별</v>
      </c>
      <c r="L22" s="163" t="s">
        <v>6771</v>
      </c>
      <c r="M22" s="320" t="str">
        <f>IFERROR(__xludf.DUMMYFUNCTION("GOOGLETRANSLATE(A22,""zh-tw"",""ru"")"),"Таро - Звезда")</f>
        <v>Таро - Звезда</v>
      </c>
      <c r="N22" s="164" t="str">
        <f>IFERROR(__xludf.DUMMYFUNCTION("GOOGLETRANSLATE(B22,""zh-tw"",""ru"")"),"Звездные Врата")</f>
        <v>Звездные Врата</v>
      </c>
      <c r="O22" s="318" t="s">
        <v>6772</v>
      </c>
      <c r="P22" s="163" t="s">
        <v>6773</v>
      </c>
      <c r="Q22" s="324" t="s">
        <v>6769</v>
      </c>
      <c r="R22" s="41" t="s">
        <v>6774</v>
      </c>
      <c r="S22" s="320" t="s">
        <v>6775</v>
      </c>
      <c r="T22" s="164" t="s">
        <v>6776</v>
      </c>
      <c r="U22" s="20"/>
      <c r="V22" s="20"/>
    </row>
    <row r="23">
      <c r="A23" s="318" t="s">
        <v>6777</v>
      </c>
      <c r="B23" s="163" t="s">
        <v>6778</v>
      </c>
      <c r="C23" s="318" t="s">
        <v>6779</v>
      </c>
      <c r="D23" s="163" t="s">
        <v>6780</v>
      </c>
      <c r="E23" s="318" t="s">
        <v>6781</v>
      </c>
      <c r="F23" s="163" t="s">
        <v>6782</v>
      </c>
      <c r="G23" s="318" t="str">
        <f>IFERROR(__xludf.DUMMYFUNCTION("GOOGLETRANSLATE(A23,""zh-tw"",""zh"")"),"塔罗牌-战车")</f>
        <v>塔罗牌-战车</v>
      </c>
      <c r="H23" s="163" t="str">
        <f>IFERROR(__xludf.DUMMYFUNCTION("GOOGLETRANSLATE(B23,""zh-tw"",""zh"")"),"召唤猫娘商店车")</f>
        <v>召唤猫娘商店车</v>
      </c>
      <c r="I23" s="320" t="str">
        <f>IFERROR(__xludf.DUMMYFUNCTION("GOOGLETRANSLATE(A23,""zh-tw"",""es-MX"")"),"Tarot - El Carro")</f>
        <v>Tarot - El Carro</v>
      </c>
      <c r="J23" s="164" t="str">
        <f>IFERROR(__xludf.DUMMYFUNCTION("GOOGLETRANSLATE(B23,""zh-tw"",""es-MX"")"),"Carrito de la tienda de Invocar a Chica Gato")</f>
        <v>Carrito de la tienda de Invocar a Chica Gato</v>
      </c>
      <c r="K23" s="318" t="s">
        <v>6783</v>
      </c>
      <c r="L23" s="164"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64" t="str">
        <f>IFERROR(__xludf.DUMMYFUNCTION("GOOGLETRANSLATE(B23,""zh-tw"",""ru"")"),"Корзина магазина «Призыв девушки-кошки»")</f>
        <v>Корзина магазина «Призыв девушки-кошки»</v>
      </c>
      <c r="O23" s="318" t="s">
        <v>6784</v>
      </c>
      <c r="P23" s="163" t="s">
        <v>6785</v>
      </c>
      <c r="Q23" s="324" t="s">
        <v>6781</v>
      </c>
      <c r="R23" s="41" t="s">
        <v>6786</v>
      </c>
      <c r="S23" s="320" t="s">
        <v>6787</v>
      </c>
      <c r="T23" s="164" t="s">
        <v>6788</v>
      </c>
      <c r="U23" s="20"/>
      <c r="V23" s="20"/>
    </row>
    <row r="24">
      <c r="A24" s="318" t="s">
        <v>6789</v>
      </c>
      <c r="B24" s="163" t="s">
        <v>6790</v>
      </c>
      <c r="C24" s="318" t="s">
        <v>6791</v>
      </c>
      <c r="D24" s="163" t="s">
        <v>6792</v>
      </c>
      <c r="E24" s="318" t="s">
        <v>6793</v>
      </c>
      <c r="F24" s="163" t="s">
        <v>6794</v>
      </c>
      <c r="G24" s="318" t="str">
        <f>IFERROR(__xludf.DUMMYFUNCTION("GOOGLETRANSLATE(A24,""zh-tw"",""zh"")"),"塔罗牌-女祭司")</f>
        <v>塔罗牌-女祭司</v>
      </c>
      <c r="H24" s="163" t="str">
        <f>IFERROR(__xludf.DUMMYFUNCTION("GOOGLETRANSLATE(B24,""zh-tw"",""zh"")"),"召唤教堂")</f>
        <v>召唤教堂</v>
      </c>
      <c r="I24" s="320" t="str">
        <f>IFERROR(__xludf.DUMMYFUNCTION("GOOGLETRANSLATE(A24,""zh-tw"",""es-MX"")"),"Tarot - La Suma Sacerdotisa")</f>
        <v>Tarot - La Suma Sacerdotisa</v>
      </c>
      <c r="J24" s="164" t="str">
        <f>IFERROR(__xludf.DUMMYFUNCTION("GOOGLETRANSLATE(B24,""zh-tw"",""es-MX"")"),"Iglesia de invocación")</f>
        <v>Iglesia de invocación</v>
      </c>
      <c r="K24" s="318" t="s">
        <v>6795</v>
      </c>
      <c r="L24" s="163" t="s">
        <v>6796</v>
      </c>
      <c r="M24" s="320" t="str">
        <f>IFERROR(__xludf.DUMMYFUNCTION("GOOGLETRANSLATE(A24,""zh-tw"",""ru"")"),"Таро - Верховная Жрица")</f>
        <v>Таро - Верховная Жрица</v>
      </c>
      <c r="N24" s="164" t="str">
        <f>IFERROR(__xludf.DUMMYFUNCTION("GOOGLETRANSLATE(B24,""zh-tw"",""ru"")"),"Церковь призыва")</f>
        <v>Церковь призыва</v>
      </c>
      <c r="O24" s="318" t="s">
        <v>6797</v>
      </c>
      <c r="P24" s="163" t="s">
        <v>6798</v>
      </c>
      <c r="Q24" s="324" t="s">
        <v>6793</v>
      </c>
      <c r="R24" s="41" t="s">
        <v>6799</v>
      </c>
      <c r="S24" s="320" t="s">
        <v>6800</v>
      </c>
      <c r="T24" s="164" t="s">
        <v>6801</v>
      </c>
      <c r="U24" s="20"/>
      <c r="V24" s="20"/>
    </row>
    <row r="25">
      <c r="A25" s="318" t="s">
        <v>6802</v>
      </c>
      <c r="B25" s="163" t="s">
        <v>6803</v>
      </c>
      <c r="C25" s="318" t="s">
        <v>6804</v>
      </c>
      <c r="D25" s="163" t="s">
        <v>6805</v>
      </c>
      <c r="E25" s="318" t="s">
        <v>6806</v>
      </c>
      <c r="F25" s="163" t="s">
        <v>6807</v>
      </c>
      <c r="G25" s="318" t="str">
        <f>IFERROR(__xludf.DUMMYFUNCTION("GOOGLETRANSLATE(A25,""zh-tw"",""zh"")"),"塔罗牌-命运之轮")</f>
        <v>塔罗牌-命运之轮</v>
      </c>
      <c r="H25" s="163" t="str">
        <f>IFERROR(__xludf.DUMMYFUNCTION("GOOGLETRANSLATE(B25,""zh-tw"",""zh"")"),"随机BUFF效果")</f>
        <v>随机BUFF效果</v>
      </c>
      <c r="I25" s="320" t="str">
        <f>IFERROR(__xludf.DUMMYFUNCTION("GOOGLETRANSLATE(A25,""zh-tw"",""es-MX"")"),"Tarot - Rueda de la fortuna")</f>
        <v>Tarot - Rueda de la fortuna</v>
      </c>
      <c r="J25" s="164" t="str">
        <f>IFERROR(__xludf.DUMMYFUNCTION("GOOGLETRANSLATE(B25,""zh-tw"",""es-MX"")"),"Efectos de mejora aleatorios")</f>
        <v>Efectos de mejora aleatorios</v>
      </c>
      <c r="K25" s="318" t="s">
        <v>6808</v>
      </c>
      <c r="L25" s="163" t="s">
        <v>6809</v>
      </c>
      <c r="M25" s="320" t="str">
        <f>IFERROR(__xludf.DUMMYFUNCTION("GOOGLETRANSLATE(A25,""zh-tw"",""ru"")"),"Таро - Колесо Фортуны")</f>
        <v>Таро - Колесо Фортуны</v>
      </c>
      <c r="N25" s="164" t="str">
        <f>IFERROR(__xludf.DUMMYFUNCTION("GOOGLETRANSLATE(B25,""zh-tw"",""ru"")"),"Случайные положительные эффекты")</f>
        <v>Случайные положительные эффекты</v>
      </c>
      <c r="O25" s="318" t="s">
        <v>6810</v>
      </c>
      <c r="P25" s="163" t="s">
        <v>6811</v>
      </c>
      <c r="Q25" s="324" t="s">
        <v>6806</v>
      </c>
      <c r="R25" s="41" t="s">
        <v>6812</v>
      </c>
      <c r="S25" s="320" t="s">
        <v>6813</v>
      </c>
      <c r="T25" s="164" t="s">
        <v>6814</v>
      </c>
      <c r="U25" s="20"/>
      <c r="V25" s="20"/>
    </row>
    <row r="26">
      <c r="A26" s="318" t="s">
        <v>6815</v>
      </c>
      <c r="B26" s="163" t="s">
        <v>6816</v>
      </c>
      <c r="C26" s="318" t="s">
        <v>6817</v>
      </c>
      <c r="D26" s="163" t="s">
        <v>6818</v>
      </c>
      <c r="E26" s="318" t="s">
        <v>6819</v>
      </c>
      <c r="F26" s="163" t="s">
        <v>6820</v>
      </c>
      <c r="G26" s="318" t="str">
        <f>IFERROR(__xludf.DUMMYFUNCTION("GOOGLETRANSLATE(A26,""zh-tw"",""zh"")"),"塔罗牌-世界")</f>
        <v>塔罗牌-世界</v>
      </c>
      <c r="H26" s="163" t="str">
        <f>IFERROR(__xludf.DUMMYFUNCTION("GOOGLETRANSLATE(B26,""zh-tw"",""zh"")"),"重制场地")</f>
        <v>重制场地</v>
      </c>
      <c r="I26" s="320" t="str">
        <f>IFERROR(__xludf.DUMMYFUNCTION("GOOGLETRANSLATE(A26,""zh-tw"",""es-MX"")"),"Tarot - El Mundo")</f>
        <v>Tarot - El Mundo</v>
      </c>
      <c r="J26" s="164" t="str">
        <f>IFERROR(__xludf.DUMMYFUNCTION("GOOGLETRANSLATE(B26,""zh-tw"",""es-MX"")"),"Sitio de reconstrucción")</f>
        <v>Sitio de reconstrucción</v>
      </c>
      <c r="K26" s="320" t="str">
        <f>IFERROR(__xludf.DUMMYFUNCTION("GOOGLETRANSLATE(A26,""zh-tw"",""KO"")"),"타로 - 세계")</f>
        <v>타로 - 세계</v>
      </c>
      <c r="L26" s="163" t="s">
        <v>6821</v>
      </c>
      <c r="M26" s="320" t="str">
        <f>IFERROR(__xludf.DUMMYFUNCTION("GOOGLETRANSLATE(A26,""zh-tw"",""ru"")"),"Таро - Мир")</f>
        <v>Таро - Мир</v>
      </c>
      <c r="N26" s="164" t="str">
        <f>IFERROR(__xludf.DUMMYFUNCTION("GOOGLETRANSLATE(B26,""zh-tw"",""ru"")"),"Место реконструкции")</f>
        <v>Место реконструкции</v>
      </c>
      <c r="O26" s="318" t="s">
        <v>6822</v>
      </c>
      <c r="P26" s="163" t="s">
        <v>6823</v>
      </c>
      <c r="Q26" s="324" t="s">
        <v>6819</v>
      </c>
      <c r="R26" s="41" t="s">
        <v>6824</v>
      </c>
      <c r="S26" s="320" t="s">
        <v>6825</v>
      </c>
      <c r="T26" s="164" t="s">
        <v>6826</v>
      </c>
      <c r="U26" s="20"/>
      <c r="V26" s="20"/>
    </row>
    <row r="27">
      <c r="A27" s="318" t="s">
        <v>6827</v>
      </c>
      <c r="B27" s="163" t="s">
        <v>6828</v>
      </c>
      <c r="C27" s="318" t="s">
        <v>6829</v>
      </c>
      <c r="D27" s="164" t="str">
        <f>IFERROR(__xludf.DUMMYFUNCTION("GOOGLETRANSLATE(B27,""zh-tw"",""ja"")"),"一定時間内に1回復活することができます。")</f>
        <v>一定時間内に1回復活することができます。</v>
      </c>
      <c r="E27" s="318" t="s">
        <v>6830</v>
      </c>
      <c r="F27" s="163" t="s">
        <v>6831</v>
      </c>
      <c r="G27" s="318" t="str">
        <f>IFERROR(__xludf.DUMMYFUNCTION("GOOGLETRANSLATE(A27,""zh-tw"",""zh"")"),"塔罗牌-日")</f>
        <v>塔罗牌-日</v>
      </c>
      <c r="H27" s="163" t="str">
        <f>IFERROR(__xludf.DUMMYFUNCTION("GOOGLETRANSLATE(B27,""zh-tw"",""zh"")"),"一定时间内，可复活一次")</f>
        <v>一定时间内，可复活一次</v>
      </c>
      <c r="I27" s="320" t="str">
        <f>IFERROR(__xludf.DUMMYFUNCTION("GOOGLETRANSLATE(A27,""zh-tw"",""es-MX"")"),"Tarot - Sol")</f>
        <v>Tarot - Sol</v>
      </c>
      <c r="J27" s="164" t="str">
        <f>IFERROR(__xludf.DUMMYFUNCTION("GOOGLETRANSLATE(B27,""zh-tw"",""es-MX"")"),"Puedes revivir una vez dentro de un cierto período de tiempo.")</f>
        <v>Puedes revivir una vez dentro de un cierto período de tiempo.</v>
      </c>
      <c r="K27" s="337" t="s">
        <v>6832</v>
      </c>
      <c r="L27" s="163" t="s">
        <v>6833</v>
      </c>
      <c r="M27" s="320" t="str">
        <f>IFERROR(__xludf.DUMMYFUNCTION("GOOGLETRANSLATE(A27,""zh-tw"",""ru"")"),"Таро - Солнце")</f>
        <v>Таро - Солнце</v>
      </c>
      <c r="N27" s="164"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8" t="s">
        <v>6834</v>
      </c>
      <c r="P27" s="163" t="s">
        <v>6835</v>
      </c>
      <c r="Q27" s="324" t="s">
        <v>6830</v>
      </c>
      <c r="R27" s="41" t="s">
        <v>6836</v>
      </c>
      <c r="S27" s="320" t="s">
        <v>6837</v>
      </c>
      <c r="T27" s="164" t="s">
        <v>6838</v>
      </c>
      <c r="U27" s="20"/>
      <c r="V27" s="20"/>
    </row>
    <row r="28">
      <c r="A28" s="324" t="s">
        <v>6839</v>
      </c>
      <c r="B28" s="163" t="s">
        <v>6840</v>
      </c>
      <c r="C28" s="324" t="s">
        <v>6841</v>
      </c>
      <c r="D28" s="163" t="s">
        <v>6842</v>
      </c>
      <c r="E28" s="324" t="s">
        <v>6843</v>
      </c>
      <c r="F28" s="41" t="s">
        <v>6844</v>
      </c>
      <c r="G28" s="318" t="str">
        <f>IFERROR(__xludf.DUMMYFUNCTION("GOOGLETRANSLATE(A28,""zh-tw"",""zh"")"),"塔罗牌-死神")</f>
        <v>塔罗牌-死神</v>
      </c>
      <c r="H28" s="163"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64"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64"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64"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8" t="s">
        <v>6845</v>
      </c>
      <c r="P28" s="163" t="s">
        <v>6846</v>
      </c>
      <c r="Q28" s="324" t="s">
        <v>6843</v>
      </c>
      <c r="R28" s="41" t="s">
        <v>6847</v>
      </c>
      <c r="S28" s="320" t="s">
        <v>6848</v>
      </c>
      <c r="T28" s="164" t="s">
        <v>6849</v>
      </c>
      <c r="U28" s="20"/>
      <c r="V28" s="20"/>
    </row>
    <row r="29">
      <c r="A29" s="318" t="s">
        <v>6850</v>
      </c>
      <c r="B29" s="163" t="s">
        <v>6851</v>
      </c>
      <c r="C29" s="318" t="str">
        <f>IFERROR(__xludf.DUMMYFUNCTION("GOOGLETRANSLATE(A29,""zh-tw"",""ja"")"),"ジャック・ボム")</f>
        <v>ジャック・ボム</v>
      </c>
      <c r="D29" s="163" t="s">
        <v>6852</v>
      </c>
      <c r="E29" s="318" t="s">
        <v>6853</v>
      </c>
      <c r="F29" s="163" t="s">
        <v>6854</v>
      </c>
      <c r="G29" s="318" t="str">
        <f>IFERROR(__xludf.DUMMYFUNCTION("GOOGLETRANSLATE(A29,""zh-tw"",""zh"")"),"杰克爆弹")</f>
        <v>杰克爆弹</v>
      </c>
      <c r="H29" s="163" t="str">
        <f>IFERROR(__xludf.DUMMYFUNCTION("GOOGLETRANSLATE(B29,""zh-tw"",""zh"")"),"炸弹(无视防御)")</f>
        <v>炸弹(无视防御)</v>
      </c>
      <c r="I29" s="320" t="str">
        <f>IFERROR(__xludf.DUMMYFUNCTION("GOOGLETRANSLATE(A29,""zh-tw"",""es-MX"")"),"Jack Bomb")</f>
        <v>Jack Bomb</v>
      </c>
      <c r="J29" s="164" t="str">
        <f>IFERROR(__xludf.DUMMYFUNCTION("GOOGLETRANSLATE(B29,""zh-tw"",""es-MX"")"),"Bomba (ignora la defensa)")</f>
        <v>Bomba (ignora la defensa)</v>
      </c>
      <c r="K29" s="318" t="s">
        <v>6855</v>
      </c>
      <c r="L29" s="164" t="str">
        <f>IFERROR(__xludf.DUMMYFUNCTION("GOOGLETRANSLATE(B29,""zh-tw"",""KO"")"),"폭탄(방어 무시)")</f>
        <v>폭탄(방어 무시)</v>
      </c>
      <c r="M29" s="320" t="str">
        <f>IFERROR(__xludf.DUMMYFUNCTION("GOOGLETRANSLATE(A29,""zh-tw"",""ru"")"),"Джек Бомба")</f>
        <v>Джек Бомба</v>
      </c>
      <c r="N29" s="164" t="str">
        <f>IFERROR(__xludf.DUMMYFUNCTION("GOOGLETRANSLATE(B29,""zh-tw"",""ru"")"),"Бомба (игнорирует защиту)")</f>
        <v>Бомба (игнорирует защиту)</v>
      </c>
      <c r="O29" s="318" t="s">
        <v>6856</v>
      </c>
      <c r="P29" s="163" t="s">
        <v>6857</v>
      </c>
      <c r="Q29" s="324" t="s">
        <v>6853</v>
      </c>
      <c r="R29" s="41" t="s">
        <v>6858</v>
      </c>
      <c r="S29" s="320" t="s">
        <v>6859</v>
      </c>
      <c r="T29" s="164" t="s">
        <v>6860</v>
      </c>
      <c r="U29" s="20"/>
      <c r="V29" s="20"/>
    </row>
    <row r="30">
      <c r="A30" s="318" t="s">
        <v>6861</v>
      </c>
      <c r="B30" s="163" t="s">
        <v>6862</v>
      </c>
      <c r="C30" s="318" t="s">
        <v>6863</v>
      </c>
      <c r="D30" s="163" t="s">
        <v>6864</v>
      </c>
      <c r="E30" s="318" t="s">
        <v>6865</v>
      </c>
      <c r="F30" s="163" t="s">
        <v>6866</v>
      </c>
      <c r="G30" s="318" t="str">
        <f>IFERROR(__xludf.DUMMYFUNCTION("GOOGLETRANSLATE(A30,""zh-tw"",""zh"")"),"冰霜杰克爆弹")</f>
        <v>冰霜杰克爆弹</v>
      </c>
      <c r="H30" s="163" t="str">
        <f>IFERROR(__xludf.DUMMYFUNCTION("GOOGLETRANSLATE(B30,""zh-tw"",""zh"")"),"冰属性炸弹")</f>
        <v>冰属性炸弹</v>
      </c>
      <c r="I30" s="320" t="str">
        <f>IFERROR(__xludf.DUMMYFUNCTION("GOOGLETRANSLATE(A30,""zh-tw"",""es-MX"")"),"Bomba Frost Jack")</f>
        <v>Bomba Frost Jack</v>
      </c>
      <c r="J30" s="164" t="str">
        <f>IFERROR(__xludf.DUMMYFUNCTION("GOOGLETRANSLATE(B30,""zh-tw"",""es-MX"")"),"Bomba de hielo")</f>
        <v>Bomba de hielo</v>
      </c>
      <c r="K30" s="320" t="str">
        <f>IFERROR(__xludf.DUMMYFUNCTION("GOOGLETRANSLATE(A30,""zh-tw"",""KO"")"),"프로스트 잭 폭탄")</f>
        <v>프로스트 잭 폭탄</v>
      </c>
      <c r="L30" s="163" t="s">
        <v>6867</v>
      </c>
      <c r="M30" s="320" t="str">
        <f>IFERROR(__xludf.DUMMYFUNCTION("GOOGLETRANSLATE(A30,""zh-tw"",""ru"")"),"Фрост Джек Бомба")</f>
        <v>Фрост Джек Бомба</v>
      </c>
      <c r="N30" s="164" t="str">
        <f>IFERROR(__xludf.DUMMYFUNCTION("GOOGLETRANSLATE(B30,""zh-tw"",""ru"")"),"Ледяная бомба")</f>
        <v>Ледяная бомба</v>
      </c>
      <c r="O30" s="318" t="s">
        <v>6868</v>
      </c>
      <c r="P30" s="163" t="s">
        <v>6869</v>
      </c>
      <c r="Q30" s="324" t="s">
        <v>6865</v>
      </c>
      <c r="R30" s="41" t="s">
        <v>6870</v>
      </c>
      <c r="S30" s="320" t="s">
        <v>6871</v>
      </c>
      <c r="T30" s="164" t="s">
        <v>6872</v>
      </c>
      <c r="U30" s="20"/>
      <c r="V30" s="20"/>
    </row>
    <row r="31">
      <c r="A31" s="318" t="s">
        <v>6873</v>
      </c>
      <c r="B31" s="163" t="s">
        <v>6874</v>
      </c>
      <c r="C31" s="318" t="s">
        <v>6875</v>
      </c>
      <c r="D31" s="163" t="s">
        <v>6876</v>
      </c>
      <c r="E31" s="318" t="s">
        <v>6877</v>
      </c>
      <c r="F31" s="163" t="s">
        <v>6878</v>
      </c>
      <c r="G31" s="318" t="str">
        <f>IFERROR(__xludf.DUMMYFUNCTION("GOOGLETRANSLATE(A31,""zh-tw"",""zh"")"),"猛毒杰克爆弹")</f>
        <v>猛毒杰克爆弹</v>
      </c>
      <c r="H31" s="163" t="str">
        <f>IFERROR(__xludf.DUMMYFUNCTION("GOOGLETRANSLATE(B31,""zh-tw"",""zh"")"),"毒属性炸弹")</f>
        <v>毒属性炸弹</v>
      </c>
      <c r="I31" s="320" t="str">
        <f>IFERROR(__xludf.DUMMYFUNCTION("GOOGLETRANSLATE(A31,""zh-tw"",""es-MX"")"),"Bomba de Venom Jack")</f>
        <v>Bomba de Venom Jack</v>
      </c>
      <c r="J31" s="164" t="str">
        <f>IFERROR(__xludf.DUMMYFUNCTION("GOOGLETRANSLATE(B31,""zh-tw"",""es-MX"")"),"bomba venenosa")</f>
        <v>bomba venenosa</v>
      </c>
      <c r="K31" s="318" t="s">
        <v>6879</v>
      </c>
      <c r="L31" s="163" t="s">
        <v>6880</v>
      </c>
      <c r="M31" s="320" t="str">
        <f>IFERROR(__xludf.DUMMYFUNCTION("GOOGLETRANSLATE(A31,""zh-tw"",""ru"")"),"Веном Джек Бомба")</f>
        <v>Веном Джек Бомба</v>
      </c>
      <c r="N31" s="164" t="str">
        <f>IFERROR(__xludf.DUMMYFUNCTION("GOOGLETRANSLATE(B31,""zh-tw"",""ru"")"),"Ядовитая бомба")</f>
        <v>Ядовитая бомба</v>
      </c>
      <c r="O31" s="318" t="s">
        <v>6881</v>
      </c>
      <c r="P31" s="163" t="s">
        <v>6882</v>
      </c>
      <c r="Q31" s="324" t="s">
        <v>6877</v>
      </c>
      <c r="R31" s="41" t="s">
        <v>6883</v>
      </c>
      <c r="S31" s="320" t="s">
        <v>6884</v>
      </c>
      <c r="T31" s="164" t="s">
        <v>6885</v>
      </c>
      <c r="U31" s="20"/>
      <c r="V31" s="20"/>
    </row>
    <row r="32">
      <c r="A32" s="318" t="s">
        <v>6886</v>
      </c>
      <c r="B32" s="163" t="s">
        <v>6887</v>
      </c>
      <c r="C32" s="318" t="s">
        <v>6888</v>
      </c>
      <c r="D32" s="163" t="s">
        <v>6889</v>
      </c>
      <c r="E32" s="318" t="s">
        <v>6890</v>
      </c>
      <c r="F32" s="163" t="s">
        <v>6891</v>
      </c>
      <c r="G32" s="318" t="str">
        <f>IFERROR(__xludf.DUMMYFUNCTION("GOOGLETRANSLATE(A32,""zh-tw"",""zh"")"),"封存的时计")</f>
        <v>封存的时计</v>
      </c>
      <c r="H32" s="163" t="str">
        <f>IFERROR(__xludf.DUMMYFUNCTION("GOOGLETRANSLATE(B32,""zh-tw"",""zh"")"),"范围暂停")</f>
        <v>范围暂停</v>
      </c>
      <c r="I32" s="320" t="str">
        <f>IFERROR(__xludf.DUMMYFUNCTION("GOOGLETRANSLATE(A32,""zh-tw"",""es-MX"")"),"Relojes sellados")</f>
        <v>Relojes sellados</v>
      </c>
      <c r="J32" s="164" t="str">
        <f>IFERROR(__xludf.DUMMYFUNCTION("GOOGLETRANSLATE(B32,""zh-tw"",""es-MX"")"),"Pausa de rango")</f>
        <v>Pausa de rango</v>
      </c>
      <c r="K32" s="318" t="s">
        <v>6892</v>
      </c>
      <c r="L32" s="163" t="s">
        <v>6893</v>
      </c>
      <c r="M32" s="320" t="str">
        <f>IFERROR(__xludf.DUMMYFUNCTION("GOOGLETRANSLATE(A32,""zh-tw"",""ru"")"),"Герметичные часы")</f>
        <v>Герметичные часы</v>
      </c>
      <c r="N32" s="164" t="str">
        <f>IFERROR(__xludf.DUMMYFUNCTION("GOOGLETRANSLATE(B32,""zh-tw"",""ru"")"),"Пауза диапазона")</f>
        <v>Пауза диапазона</v>
      </c>
      <c r="O32" s="318" t="s">
        <v>6894</v>
      </c>
      <c r="P32" s="163" t="s">
        <v>6895</v>
      </c>
      <c r="Q32" s="324" t="s">
        <v>6896</v>
      </c>
      <c r="R32" s="41" t="s">
        <v>6897</v>
      </c>
      <c r="S32" s="320" t="s">
        <v>6898</v>
      </c>
      <c r="T32" s="164" t="s">
        <v>6899</v>
      </c>
      <c r="U32" s="20"/>
      <c r="V32" s="20"/>
    </row>
    <row r="33">
      <c r="A33" s="318" t="s">
        <v>6900</v>
      </c>
      <c r="B33" s="163" t="s">
        <v>6901</v>
      </c>
      <c r="C33" s="318" t="str">
        <f>IFERROR(__xludf.DUMMYFUNCTION("GOOGLETRANSLATE(A33,""zh-tw"",""ja"")"),"寿司プリン")</f>
        <v>寿司プリン</v>
      </c>
      <c r="D33" s="163" t="s">
        <v>6902</v>
      </c>
      <c r="E33" s="318" t="s">
        <v>6903</v>
      </c>
      <c r="F33" s="163" t="s">
        <v>6904</v>
      </c>
      <c r="G33" s="318" t="str">
        <f>IFERROR(__xludf.DUMMYFUNCTION("GOOGLETRANSLATE(A33,""zh-tw"",""zh"")"),"寿司布丁")</f>
        <v>寿司布丁</v>
      </c>
      <c r="H33" s="163" t="str">
        <f>IFERROR(__xludf.DUMMYFUNCTION("GOOGLETRANSLATE(B33,""zh-tw"",""zh"")"),"飞向恶魔商店的位置")</f>
        <v>飞向恶魔商店的位置</v>
      </c>
      <c r="I33" s="320" t="str">
        <f>IFERROR(__xludf.DUMMYFUNCTION("GOOGLETRANSLATE(A33,""zh-tw"",""es-MX"")"),"Pudín de sushi")</f>
        <v>Pudín de sushi</v>
      </c>
      <c r="J33" s="164" t="str">
        <f>IFERROR(__xludf.DUMMYFUNCTION("GOOGLETRANSLATE(B33,""zh-tw"",""es-MX"")"),"Vuela a la ubicación de la Tienda de Demonios")</f>
        <v>Vuela a la ubicación de la Tienda de Demonios</v>
      </c>
      <c r="K33" s="320" t="str">
        <f>IFERROR(__xludf.DUMMYFUNCTION("GOOGLETRANSLATE(A33,""zh-tw"",""KO"")"),"스시 푸딩")</f>
        <v>스시 푸딩</v>
      </c>
      <c r="L33" s="164" t="str">
        <f>IFERROR(__xludf.DUMMYFUNCTION("GOOGLETRANSLATE(B33,""zh-tw"",""KO"")"),"악마상점 위치로 날아가세요")</f>
        <v>악마상점 위치로 날아가세요</v>
      </c>
      <c r="M33" s="320" t="str">
        <f>IFERROR(__xludf.DUMMYFUNCTION("GOOGLETRANSLATE(A33,""zh-tw"",""ru"")"),"Суши-пудинг")</f>
        <v>Суши-пудинг</v>
      </c>
      <c r="N33" s="164" t="str">
        <f>IFERROR(__xludf.DUMMYFUNCTION("GOOGLETRANSLATE(B33,""zh-tw"",""ru"")"),"Летите к месту расположения Демонического Магазина.")</f>
        <v>Летите к месту расположения Демонического Магазина.</v>
      </c>
      <c r="O33" s="318" t="s">
        <v>6903</v>
      </c>
      <c r="P33" s="163" t="s">
        <v>6905</v>
      </c>
      <c r="Q33" s="324" t="s">
        <v>6903</v>
      </c>
      <c r="R33" s="41" t="s">
        <v>6906</v>
      </c>
      <c r="S33" s="320" t="s">
        <v>6907</v>
      </c>
      <c r="T33" s="164" t="s">
        <v>6908</v>
      </c>
      <c r="U33" s="20"/>
      <c r="V33" s="20"/>
    </row>
    <row r="34">
      <c r="A34" s="318" t="s">
        <v>6909</v>
      </c>
      <c r="B34" s="163" t="s">
        <v>6910</v>
      </c>
      <c r="C34" s="318" t="str">
        <f>IFERROR(__xludf.DUMMYFUNCTION("GOOGLETRANSLATE(A34,""zh-tw"",""ja"")"),"ポラロイド 1～35")</f>
        <v>ポラロイド 1～35</v>
      </c>
      <c r="D34" s="163" t="s">
        <v>6911</v>
      </c>
      <c r="E34" s="318" t="s">
        <v>6907</v>
      </c>
      <c r="F34" s="163" t="s">
        <v>6912</v>
      </c>
      <c r="G34" s="318" t="str">
        <f>IFERROR(__xludf.DUMMYFUNCTION("GOOGLETRANSLATE(A34,""zh-tw"",""zh"")"),"拍立得1~35")</f>
        <v>拍立得1~35</v>
      </c>
      <c r="H34" s="163" t="str">
        <f>IFERROR(__xludf.DUMMYFUNCTION("GOOGLETRANSLATE(B34,""zh-tw"",""zh"")"),"查看优质照片")</f>
        <v>查看优质照片</v>
      </c>
      <c r="I34" s="320" t="str">
        <f>IFERROR(__xludf.DUMMYFUNCTION("GOOGLETRANSLATE(A34,""zh-tw"",""es-MX"")"),"Polaroid 1~35")</f>
        <v>Polaroid 1~35</v>
      </c>
      <c r="J34" s="164" t="str">
        <f>IFERROR(__xludf.DUMMYFUNCTION("GOOGLETRANSLATE(B34,""zh-tw"",""es-MX"")"),"Ver fotos de alta calidad")</f>
        <v>Ver fotos de alta calidad</v>
      </c>
      <c r="K34" s="320" t="str">
        <f>IFERROR(__xludf.DUMMYFUNCTION("GOOGLETRANSLATE(A34,""zh-tw"",""KO"")"),"폴라로이드 1~35")</f>
        <v>폴라로이드 1~35</v>
      </c>
      <c r="L34" s="164" t="str">
        <f>IFERROR(__xludf.DUMMYFUNCTION("GOOGLETRANSLATE(B34,""zh-tw"",""KO"")"),"고품질 사진 보기")</f>
        <v>고품질 사진 보기</v>
      </c>
      <c r="M34" s="320" t="str">
        <f>IFERROR(__xludf.DUMMYFUNCTION("GOOGLETRANSLATE(A34,""zh-tw"",""ru"")"),"Полароид 1~35")</f>
        <v>Полароид 1~35</v>
      </c>
      <c r="N34" s="164" t="str">
        <f>IFERROR(__xludf.DUMMYFUNCTION("GOOGLETRANSLATE(B34,""zh-tw"",""ru"")"),"Посмотреть качественные фотографии")</f>
        <v>Посмотреть качественные фотографии</v>
      </c>
      <c r="O34" s="318" t="s">
        <v>6913</v>
      </c>
      <c r="P34" s="163" t="s">
        <v>6914</v>
      </c>
      <c r="Q34" s="324" t="s">
        <v>6907</v>
      </c>
      <c r="R34" s="41" t="s">
        <v>6915</v>
      </c>
      <c r="S34" s="326" t="s">
        <v>6916</v>
      </c>
      <c r="T34" s="164" t="s">
        <v>6917</v>
      </c>
      <c r="U34" s="20"/>
      <c r="V34" s="20"/>
    </row>
    <row r="35">
      <c r="A35" s="318" t="s">
        <v>6918</v>
      </c>
      <c r="B35" s="163" t="s">
        <v>6919</v>
      </c>
      <c r="C35" s="318" t="s">
        <v>6920</v>
      </c>
      <c r="D35" s="163" t="s">
        <v>6921</v>
      </c>
      <c r="E35" s="318" t="s">
        <v>6916</v>
      </c>
      <c r="F35" s="163" t="s">
        <v>6922</v>
      </c>
      <c r="G35" s="318" t="str">
        <f>IFERROR(__xludf.DUMMYFUNCTION("GOOGLETRANSLATE(A35,""zh-tw"",""zh"")"),"魔力小凝胶")</f>
        <v>魔力小凝胶</v>
      </c>
      <c r="H35" s="163" t="str">
        <f>IFERROR(__xludf.DUMMYFUNCTION("GOOGLETRANSLATE(B35,""zh-tw"",""zh"")"),"扩充格子")</f>
        <v>扩充格子</v>
      </c>
      <c r="I35" s="320" t="str">
        <f>IFERROR(__xludf.DUMMYFUNCTION("GOOGLETRANSLATE(A35,""zh-tw"",""es-MX"")"),"Gel mágico")</f>
        <v>Gel mágico</v>
      </c>
      <c r="J35" s="164" t="str">
        <f>IFERROR(__xludf.DUMMYFUNCTION("GOOGLETRANSLATE(B35,""zh-tw"",""es-MX"")"),"Ampliar la cuadrícula")</f>
        <v>Ampliar la cuadrícula</v>
      </c>
      <c r="K35" s="319" t="s">
        <v>6923</v>
      </c>
      <c r="L35" s="164" t="str">
        <f>IFERROR(__xludf.DUMMYFUNCTION("GOOGLETRANSLATE(B35,""zh-tw"",""KO"")"),"그리드 확장")</f>
        <v>그리드 확장</v>
      </c>
      <c r="M35" s="320" t="str">
        <f>IFERROR(__xludf.DUMMYFUNCTION("GOOGLETRANSLATE(A35,""zh-tw"",""ru"")"),"Волшебный гель")</f>
        <v>Волшебный гель</v>
      </c>
      <c r="N35" s="164" t="str">
        <f>IFERROR(__xludf.DUMMYFUNCTION("GOOGLETRANSLATE(B35,""zh-tw"",""ru"")"),"Развернуть сетку")</f>
        <v>Развернуть сетку</v>
      </c>
      <c r="O35" s="318" t="s">
        <v>6924</v>
      </c>
      <c r="P35" s="163" t="s">
        <v>6925</v>
      </c>
      <c r="Q35" s="324" t="s">
        <v>6926</v>
      </c>
      <c r="R35" s="41" t="s">
        <v>6927</v>
      </c>
      <c r="S35" s="320" t="s">
        <v>6928</v>
      </c>
      <c r="T35" s="164" t="s">
        <v>6929</v>
      </c>
      <c r="U35" s="20"/>
      <c r="V35" s="20"/>
    </row>
    <row r="36">
      <c r="A36" s="318" t="s">
        <v>6930</v>
      </c>
      <c r="B36" s="163" t="s">
        <v>6931</v>
      </c>
      <c r="C36" s="318" t="s">
        <v>6932</v>
      </c>
      <c r="D36" s="163" t="s">
        <v>6933</v>
      </c>
      <c r="E36" s="318" t="s">
        <v>6934</v>
      </c>
      <c r="F36" s="163" t="s">
        <v>6935</v>
      </c>
      <c r="G36" s="318" t="str">
        <f>IFERROR(__xludf.DUMMYFUNCTION("GOOGLETRANSLATE(A36,""zh-tw"",""zh"")"),"百合同人本")</f>
        <v>百合同人本</v>
      </c>
      <c r="H36" s="163" t="str">
        <f>IFERROR(__xludf.DUMMYFUNCTION("GOOGLETRANSLATE(B36,""zh-tw"",""zh"")"),"提升性欲
(战车商店贩售)")</f>
        <v>提升性欲
(战车商店贩售)</v>
      </c>
      <c r="I36" s="320" t="str">
        <f>IFERROR(__xludf.DUMMYFUNCTION("GOOGLETRANSLATE(A36,""zh-tw"",""es-MX"")"),"Baijejejejeje")</f>
        <v>Baijejejejeje</v>
      </c>
      <c r="J36" s="164" t="str">
        <f>IFERROR(__xludf.DUMMYFUNCTION("GOOGLETRANSLATE(B36,""zh-tw"",""es-MX"")"),"Aumenta la libido
(Disponible en la tienda de tanques)")</f>
        <v>Aumenta la libido
(Disponible en la tienda de tanques)</v>
      </c>
      <c r="K36" s="320" t="str">
        <f>IFERROR(__xludf.DUMMYFUNCTION("GOOGLETRANSLATE(A36,""zh-tw"",""KO"")"),"바이헤헤헤헤헤")</f>
        <v>바이헤헤헤헤헤</v>
      </c>
      <c r="L36" s="163" t="s">
        <v>6936</v>
      </c>
      <c r="M36" s="320" t="str">
        <f>IFERROR(__xludf.DUMMYFUNCTION("GOOGLETRANSLATE(A36,""zh-tw"",""ru"")"),"Байхехехехе")</f>
        <v>Байхехехехе</v>
      </c>
      <c r="N36" s="164" t="str">
        <f>IFERROR(__xludf.DUMMYFUNCTION("GOOGLETRANSLATE(B36,""zh-tw"",""ru"")"),"Повышает либидо
(Продаётся в магазине Tank Shop)")</f>
        <v>Повышает либидо
(Продаётся в магазине Tank Shop)</v>
      </c>
      <c r="O36" s="318" t="s">
        <v>6937</v>
      </c>
      <c r="P36" s="163" t="s">
        <v>6938</v>
      </c>
      <c r="Q36" s="324" t="s">
        <v>6928</v>
      </c>
      <c r="R36" s="41" t="s">
        <v>6939</v>
      </c>
      <c r="S36" s="320" t="s">
        <v>6940</v>
      </c>
      <c r="T36" s="164" t="s">
        <v>6929</v>
      </c>
      <c r="U36" s="20"/>
      <c r="V36" s="20"/>
    </row>
    <row r="37">
      <c r="A37" s="318" t="s">
        <v>6941</v>
      </c>
      <c r="B37" s="163" t="s">
        <v>6931</v>
      </c>
      <c r="C37" s="318" t="s">
        <v>6942</v>
      </c>
      <c r="D37" s="163" t="s">
        <v>6943</v>
      </c>
      <c r="E37" s="318" t="s">
        <v>6944</v>
      </c>
      <c r="F37" s="163" t="s">
        <v>6935</v>
      </c>
      <c r="G37" s="318" t="str">
        <f>IFERROR(__xludf.DUMMYFUNCTION("GOOGLETRANSLATE(A37,""zh-tw"",""zh"")"),"萌萌同人本")</f>
        <v>萌萌同人本</v>
      </c>
      <c r="H37" s="163" t="str">
        <f>IFERROR(__xludf.DUMMYFUNCTION("GOOGLETRANSLATE(B37,""zh-tw"",""zh"")"),"提升性欲
(战车商店贩售)")</f>
        <v>提升性欲
(战车商店贩售)</v>
      </c>
      <c r="I37" s="320" t="str">
        <f>IFERROR(__xludf.DUMMYFUNCTION("GOOGLETRANSLATE(A37,""zh-tw"",""es-MX"")"),"lindo doujinshi")</f>
        <v>lindo doujinshi</v>
      </c>
      <c r="J37" s="164" t="str">
        <f>IFERROR(__xludf.DUMMYFUNCTION("GOOGLETRANSLATE(B37,""zh-tw"",""es-MX"")"),"Aumenta la libido
(Disponible en la tienda de tanques)")</f>
        <v>Aumenta la libido
(Disponible en la tienda de tanques)</v>
      </c>
      <c r="K37" s="319" t="s">
        <v>6923</v>
      </c>
      <c r="L37" s="164" t="str">
        <f>IFERROR(__xludf.DUMMYFUNCTION("GOOGLETRANSLATE(B37,""zh-tw"",""KO"")"),"성욕 증진
(탱크샵에서 구매 가능)")</f>
        <v>성욕 증진
(탱크샵에서 구매 가능)</v>
      </c>
      <c r="M37" s="320" t="str">
        <f>IFERROR(__xludf.DUMMYFUNCTION("GOOGLETRANSLATE(A37,""zh-tw"",""ru"")"),"Милый додзинси")</f>
        <v>Милый додзинси</v>
      </c>
      <c r="N37" s="164" t="str">
        <f>IFERROR(__xludf.DUMMYFUNCTION("GOOGLETRANSLATE(B37,""zh-tw"",""ru"")"),"Повышает либидо
(Продаётся в магазине Tank Shop)")</f>
        <v>Повышает либидо
(Продаётся в магазине Tank Shop)</v>
      </c>
      <c r="O37" s="318" t="s">
        <v>6924</v>
      </c>
      <c r="P37" s="163" t="s">
        <v>6925</v>
      </c>
      <c r="Q37" s="324" t="s">
        <v>6940</v>
      </c>
      <c r="R37" s="41" t="s">
        <v>6939</v>
      </c>
      <c r="S37" s="320" t="s">
        <v>6945</v>
      </c>
      <c r="T37" s="164" t="s">
        <v>6946</v>
      </c>
      <c r="U37" s="20"/>
      <c r="V37" s="20"/>
    </row>
    <row r="38">
      <c r="A38" s="318" t="s">
        <v>6947</v>
      </c>
      <c r="B38" s="163" t="s">
        <v>6948</v>
      </c>
      <c r="C38" s="318" t="s">
        <v>6949</v>
      </c>
      <c r="D38" s="163" t="s">
        <v>6950</v>
      </c>
      <c r="E38" s="318" t="s">
        <v>6951</v>
      </c>
      <c r="F38" s="163" t="s">
        <v>6952</v>
      </c>
      <c r="G38" s="318" t="str">
        <f>IFERROR(__xludf.DUMMYFUNCTION("GOOGLETRANSLATE(A38,""zh-tw"",""zh"")"),"电风扇")</f>
        <v>电风扇</v>
      </c>
      <c r="H38" s="163" t="str">
        <f>IFERROR(__xludf.DUMMYFUNCTION("GOOGLETRANSLATE(B38,""zh-tw"",""zh"")"),"炎热剧情道具
(战车商店贩售)")</f>
        <v>炎热剧情道具
(战车商店贩售)</v>
      </c>
      <c r="I38" s="320" t="str">
        <f>IFERROR(__xludf.DUMMYFUNCTION("GOOGLETRANSLATE(A38,""zh-tw"",""es-MX"")"),"ventilador eléctrico")</f>
        <v>ventilador eléctrico</v>
      </c>
      <c r="J38" s="164" t="str">
        <f>IFERROR(__xludf.DUMMYFUNCTION("GOOGLETRANSLATE(B38,""zh-tw"",""es-MX"")"),"Artículos de la historia de moda
(Se venden en la Tienda de Tanques)")</f>
        <v>Artículos de la historia de moda
(Se venden en la Tienda de Tanques)</v>
      </c>
      <c r="K38" s="320" t="str">
        <f>IFERROR(__xludf.DUMMYFUNCTION("GOOGLETRANSLATE(A38,""zh-tw"",""KO"")"),"선풍기")</f>
        <v>선풍기</v>
      </c>
      <c r="L38" s="163" t="s">
        <v>6936</v>
      </c>
      <c r="M38" s="320" t="str">
        <f>IFERROR(__xludf.DUMMYFUNCTION("GOOGLETRANSLATE(A38,""zh-tw"",""ru"")"),"электрический вентилятор")</f>
        <v>электрический вентилятор</v>
      </c>
      <c r="N38" s="164"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18" t="s">
        <v>6937</v>
      </c>
      <c r="P38" s="163" t="s">
        <v>6938</v>
      </c>
      <c r="Q38" s="324" t="s">
        <v>6953</v>
      </c>
      <c r="R38" s="41" t="s">
        <v>6954</v>
      </c>
      <c r="S38" s="320" t="s">
        <v>6955</v>
      </c>
      <c r="T38" s="164" t="s">
        <v>6956</v>
      </c>
      <c r="U38" s="20"/>
      <c r="V38" s="20"/>
    </row>
    <row r="39">
      <c r="A39" s="324" t="s">
        <v>6957</v>
      </c>
      <c r="B39" s="164" t="s">
        <v>6958</v>
      </c>
      <c r="C39" s="318" t="s">
        <v>6959</v>
      </c>
      <c r="D39" s="163" t="s">
        <v>6960</v>
      </c>
      <c r="E39" s="320" t="s">
        <v>6961</v>
      </c>
      <c r="F39" s="164" t="s">
        <v>6962</v>
      </c>
      <c r="G39" s="318" t="str">
        <f>IFERROR(__xludf.DUMMYFUNCTION("GOOGLETRANSLATE(A39,""zh-tw"",""zh"")"),"茶点心券")</f>
        <v>茶点心券</v>
      </c>
      <c r="H39" s="163"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0" t="str">
        <f>IFERROR(__xludf.DUMMYFUNCTION("GOOGLETRANSLATE(A39,""zh-tw"",""es-MX"")"),"Cupones para té y snacks")</f>
        <v>Cupones para té y snacks</v>
      </c>
      <c r="J39" s="164"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0" t="str">
        <f>IFERROR(__xludf.DUMMYFUNCTION("GOOGLETRANSLATE(A39,""zh-tw"",""KO"")"),"차와 간식 쿠폰")</f>
        <v>차와 간식 쿠폰</v>
      </c>
      <c r="L39" s="164"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0" t="str">
        <f>IFERROR(__xludf.DUMMYFUNCTION("GOOGLETRANSLATE(A39,""zh-tw"",""ru"")"),"Купоны на чай и закуски")</f>
        <v>Купоны на чай и закуски</v>
      </c>
      <c r="N39" s="164"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18" t="s">
        <v>6963</v>
      </c>
      <c r="P39" s="163" t="s">
        <v>6964</v>
      </c>
      <c r="Q39" s="324" t="s">
        <v>6965</v>
      </c>
      <c r="R39" s="163" t="s">
        <v>6966</v>
      </c>
      <c r="S39" s="320" t="s">
        <v>6967</v>
      </c>
      <c r="T39" s="164" t="s">
        <v>6968</v>
      </c>
      <c r="U39" s="20"/>
      <c r="V39" s="20"/>
    </row>
    <row r="40">
      <c r="A40" s="318" t="s">
        <v>6969</v>
      </c>
      <c r="B40" s="163" t="s">
        <v>6970</v>
      </c>
      <c r="C40" s="318" t="s">
        <v>6971</v>
      </c>
      <c r="D40" s="163" t="s">
        <v>6972</v>
      </c>
      <c r="E40" s="318" t="s">
        <v>6973</v>
      </c>
      <c r="F40" s="163" t="s">
        <v>6974</v>
      </c>
      <c r="G40" s="318" t="str">
        <f>IFERROR(__xludf.DUMMYFUNCTION("GOOGLETRANSLATE(A40,""zh-tw"",""zh"")"),"超敏软Q水馒头")</f>
        <v>超敏软Q水馒头</v>
      </c>
      <c r="H40" s="163" t="str">
        <f>IFERROR(__xludf.DUMMYFUNCTION("GOOGLETRANSLATE(B40,""zh-tw"",""zh"")"),"于AKI商店购买
提升敏感度")</f>
        <v>于AKI商店购买
提升敏感度</v>
      </c>
      <c r="I40" s="320" t="str">
        <f>IFERROR(__xludf.DUMMYFUNCTION("GOOGLETRANSLATE(A40,""zh-tw"",""es-MX"")"),"Bollos al vapor súper sensibles, suaves y masticables")</f>
        <v>Bollos al vapor súper sensibles, suaves y masticables</v>
      </c>
      <c r="J40" s="164" t="str">
        <f>IFERROR(__xludf.DUMMYFUNCTION("GOOGLETRANSLATE(B40,""zh-tw"",""es-MX"")"),"Comprado en la tienda AKI.
Aumenta la sensibilidad.")</f>
        <v>Comprado en la tienda AKI.
Aumenta la sensibilidad.</v>
      </c>
      <c r="K40" s="320" t="str">
        <f>IFERROR(__xludf.DUMMYFUNCTION("GOOGLETRANSLATE(A40,""zh-tw"",""KO"")"),"초민감 부드럽고 쫄깃한 찐빵")</f>
        <v>초민감 부드럽고 쫄깃한 찐빵</v>
      </c>
      <c r="L40" s="164" t="str">
        <f>IFERROR(__xludf.DUMMYFUNCTION("GOOGLETRANSLATE(B40,""zh-tw"",""KO"")"),"AKI 스토어에서 구매
민감도 증가")</f>
        <v>AKI 스토어에서 구매
민감도 증가</v>
      </c>
      <c r="M40" s="320"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4" t="str">
        <f>IFERROR(__xludf.DUMMYFUNCTION("GOOGLETRANSLATE(B40,""zh-tw"",""ru"")"),"Куплено в магазине AKI
Повышает чувствительность")</f>
        <v>Куплено в магазине AKI
Повышает чувствительность</v>
      </c>
      <c r="O40" s="318" t="s">
        <v>6975</v>
      </c>
      <c r="P40" s="163" t="s">
        <v>6976</v>
      </c>
      <c r="Q40" s="324" t="s">
        <v>6977</v>
      </c>
      <c r="R40" s="41" t="s">
        <v>6978</v>
      </c>
      <c r="S40" s="320" t="s">
        <v>6712</v>
      </c>
      <c r="T40" s="164" t="s">
        <v>6979</v>
      </c>
      <c r="U40" s="20"/>
      <c r="V40" s="20"/>
    </row>
    <row r="41">
      <c r="A41" s="318" t="s">
        <v>6980</v>
      </c>
      <c r="B41" s="163" t="s">
        <v>6981</v>
      </c>
      <c r="C41" s="318" t="s">
        <v>6982</v>
      </c>
      <c r="D41" s="164" t="str">
        <f>IFERROR(__xludf.DUMMYFUNCTION("GOOGLETRANSLATE(B41,""zh-tw"",""ja"")"),"現時点では（宝石を）引き換える方法はありません。")</f>
        <v>現時点では（宝石を）引き換える方法はありません。</v>
      </c>
      <c r="E41" s="318" t="s">
        <v>6983</v>
      </c>
      <c r="F41" s="163" t="s">
        <v>6984</v>
      </c>
      <c r="G41" s="318" t="str">
        <f>IFERROR(__xludf.DUMMYFUNCTION("GOOGLETRANSLATE(A41,""zh-tw"",""zh"")"),"蓝辉石")</f>
        <v>蓝辉石</v>
      </c>
      <c r="H41" s="163" t="str">
        <f>IFERROR(__xludf.DUMMYFUNCTION("GOOGLETRANSLATE(B41,""zh-tw"",""zh"")"),"目前没有兑换方式
(宝石)")</f>
        <v>目前没有兑换方式
(宝石)</v>
      </c>
      <c r="I41" s="320" t="str">
        <f>IFERROR(__xludf.DUMMYFUNCTION("GOOGLETRANSLATE(A41,""zh-tw"",""es-MX"")"),"Zafiro azul")</f>
        <v>Zafiro azul</v>
      </c>
      <c r="J41" s="164" t="str">
        <f>IFERROR(__xludf.DUMMYFUNCTION("GOOGLETRANSLATE(B41,""zh-tw"",""es-MX"")"),"Actualmente no hay forma de canjear (gemas).")</f>
        <v>Actualmente no hay forma de canjear (gemas).</v>
      </c>
      <c r="K41" s="320"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20"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19" t="s">
        <v>6985</v>
      </c>
      <c r="P41" s="305" t="s">
        <v>6986</v>
      </c>
      <c r="Q41" s="318" t="s">
        <v>6987</v>
      </c>
      <c r="R41" s="41" t="s">
        <v>6988</v>
      </c>
      <c r="S41" s="326" t="s">
        <v>6983</v>
      </c>
      <c r="T41" s="164" t="s">
        <v>6989</v>
      </c>
      <c r="U41" s="20"/>
      <c r="V41" s="20"/>
    </row>
    <row r="42">
      <c r="A42" s="318" t="s">
        <v>6990</v>
      </c>
      <c r="B42" s="163" t="s">
        <v>6981</v>
      </c>
      <c r="C42" s="318" t="s">
        <v>6991</v>
      </c>
      <c r="D42" s="163" t="s">
        <v>6992</v>
      </c>
      <c r="E42" s="318" t="s">
        <v>6993</v>
      </c>
      <c r="F42" s="163" t="s">
        <v>3084</v>
      </c>
      <c r="G42" s="318" t="str">
        <f>IFERROR(__xludf.DUMMYFUNCTION("GOOGLETRANSLATE(A42,""zh-tw"",""zh"")"),"火菱石")</f>
        <v>火菱石</v>
      </c>
      <c r="H42" s="163" t="str">
        <f>IFERROR(__xludf.DUMMYFUNCTION("GOOGLETRANSLATE(B42,""zh-tw"",""zh"")"),"目前没有兑换方式
(宝石)")</f>
        <v>目前没有兑换方式
(宝石)</v>
      </c>
      <c r="I42" s="320" t="str">
        <f>IFERROR(__xludf.DUMMYFUNCTION("GOOGLETRANSLATE(A42,""zh-tw"",""es-MX"")"),"Firestone")</f>
        <v>Firestone</v>
      </c>
      <c r="J42" s="164" t="str">
        <f>IFERROR(__xludf.DUMMYFUNCTION("GOOGLETRANSLATE(B42,""zh-tw"",""es-MX"")"),"Actualmente no hay forma de canjear (gemas).")</f>
        <v>Actualmente no hay forma de canjear (gemas).</v>
      </c>
      <c r="K42" s="320"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20"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8" t="s">
        <v>6994</v>
      </c>
      <c r="P42" s="163" t="s">
        <v>6995</v>
      </c>
      <c r="Q42" s="318" t="s">
        <v>6996</v>
      </c>
      <c r="R42" s="41" t="s">
        <v>3690</v>
      </c>
      <c r="S42" s="326" t="s">
        <v>6993</v>
      </c>
      <c r="T42" s="164" t="s">
        <v>6997</v>
      </c>
      <c r="U42" s="20"/>
      <c r="V42" s="20"/>
    </row>
    <row r="43">
      <c r="A43" s="324" t="s">
        <v>6998</v>
      </c>
      <c r="B43" s="164" t="s">
        <v>6999</v>
      </c>
      <c r="C43" s="318" t="s">
        <v>7000</v>
      </c>
      <c r="D43" s="163" t="s">
        <v>7001</v>
      </c>
      <c r="E43" s="318" t="s">
        <v>7002</v>
      </c>
      <c r="F43" s="163" t="s">
        <v>7003</v>
      </c>
      <c r="G43" s="318" t="str">
        <f>IFERROR(__xludf.DUMMYFUNCTION("GOOGLETRANSLATE(A43,""zh-tw"",""zh"")"),"茶会拍立得收藏集")</f>
        <v>茶会拍立得收藏集</v>
      </c>
      <c r="H43" s="163" t="str">
        <f>IFERROR(__xludf.DUMMYFUNCTION("GOOGLETRANSLATE(B43,""zh-tw"",""zh"")"),"完成后提升幸运值")</f>
        <v>完成后提升幸运值</v>
      </c>
      <c r="I43" s="320" t="str">
        <f>IFERROR(__xludf.DUMMYFUNCTION("GOOGLETRANSLATE(A43,""zh-tw"",""es-MX"")"),"Colección Polaroid de la fiesta del té")</f>
        <v>Colección Polaroid de la fiesta del té</v>
      </c>
      <c r="J43" s="164" t="str">
        <f>IFERROR(__xludf.DUMMYFUNCTION("GOOGLETRANSLATE(B43,""zh-tw"",""es-MX"")"),"Aumenta el valor de la suerte al completarlo")</f>
        <v>Aumenta el valor de la suerte al completarlo</v>
      </c>
      <c r="K43" s="320"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20"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18" t="s">
        <v>7004</v>
      </c>
      <c r="P43" s="163" t="s">
        <v>7005</v>
      </c>
      <c r="Q43" s="318" t="s">
        <v>7006</v>
      </c>
      <c r="R43" s="163" t="s">
        <v>7007</v>
      </c>
      <c r="S43" s="320" t="s">
        <v>7008</v>
      </c>
      <c r="T43" s="164" t="s">
        <v>7009</v>
      </c>
      <c r="U43" s="20"/>
      <c r="V43" s="20"/>
    </row>
    <row r="44">
      <c r="A44" s="318" t="s">
        <v>7010</v>
      </c>
      <c r="B44" s="163" t="s">
        <v>7011</v>
      </c>
      <c r="C44" s="318" t="s">
        <v>7012</v>
      </c>
      <c r="D44" s="163" t="s">
        <v>7013</v>
      </c>
      <c r="E44" s="318" t="s">
        <v>7014</v>
      </c>
      <c r="F44" s="163" t="s">
        <v>7015</v>
      </c>
      <c r="G44" s="318" t="str">
        <f>IFERROR(__xludf.DUMMYFUNCTION("GOOGLETRANSLATE(A44,""zh-tw"",""zh"")"),"银坷拉")</f>
        <v>银坷拉</v>
      </c>
      <c r="H44" s="163" t="str">
        <f>IFERROR(__xludf.DUMMYFUNCTION("GOOGLETRANSLATE(B44,""zh-tw"",""zh"")"),"诱饵/粉尘爆炸")</f>
        <v>诱饵/粉尘爆炸</v>
      </c>
      <c r="I44" s="320" t="str">
        <f>IFERROR(__xludf.DUMMYFUNCTION("GOOGLETRANSLATE(A44,""zh-tw"",""es-MX"")"),"Yin Kela")</f>
        <v>Yin Kela</v>
      </c>
      <c r="J44" s="164" t="str">
        <f>IFERROR(__xludf.DUMMYFUNCTION("GOOGLETRANSLATE(B44,""zh-tw"",""es-MX"")"),"Señuelo/Explosión de polvo")</f>
        <v>Señuelo/Explosión de polvo</v>
      </c>
      <c r="K44" s="320" t="str">
        <f>IFERROR(__xludf.DUMMYFUNCTION("GOOGLETRANSLATE(A44,""zh-tw"",""KO"")"),"인 켈라")</f>
        <v>인 켈라</v>
      </c>
      <c r="L44" s="164" t="str">
        <f>IFERROR(__xludf.DUMMYFUNCTION("GOOGLETRANSLATE(B44,""zh-tw"",""KO"")"),"미끼/먼지 폭발")</f>
        <v>미끼/먼지 폭발</v>
      </c>
      <c r="M44" s="320" t="str">
        <f>IFERROR(__xludf.DUMMYFUNCTION("GOOGLETRANSLATE(A44,""zh-tw"",""ru"")"),"Инь Кела")</f>
        <v>Инь Кела</v>
      </c>
      <c r="N44" s="164" t="str">
        <f>IFERROR(__xludf.DUMMYFUNCTION("GOOGLETRANSLATE(B44,""zh-tw"",""ru"")"),"Ложный/пылевой взрыв")</f>
        <v>Ложный/пылевой взрыв</v>
      </c>
      <c r="O44" s="318" t="s">
        <v>7014</v>
      </c>
      <c r="P44" s="163" t="s">
        <v>7016</v>
      </c>
      <c r="Q44" s="318" t="s">
        <v>7014</v>
      </c>
      <c r="R44" s="163" t="s">
        <v>7017</v>
      </c>
      <c r="S44" s="320" t="s">
        <v>7014</v>
      </c>
      <c r="T44" s="164" t="s">
        <v>7018</v>
      </c>
      <c r="U44" s="20"/>
      <c r="V44" s="20"/>
    </row>
    <row r="45">
      <c r="A45" s="318" t="s">
        <v>7019</v>
      </c>
      <c r="B45" s="163" t="s">
        <v>7020</v>
      </c>
      <c r="C45" s="318" t="s">
        <v>7021</v>
      </c>
      <c r="D45" s="163" t="s">
        <v>7022</v>
      </c>
      <c r="E45" s="318" t="s">
        <v>7023</v>
      </c>
      <c r="F45" s="163" t="s">
        <v>7024</v>
      </c>
      <c r="G45" s="318"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64"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8" t="s">
        <v>7025</v>
      </c>
      <c r="P45" s="163" t="s">
        <v>7026</v>
      </c>
      <c r="Q45" s="318" t="s">
        <v>7027</v>
      </c>
      <c r="R45" s="163" t="s">
        <v>7028</v>
      </c>
      <c r="S45" s="320" t="s">
        <v>7029</v>
      </c>
      <c r="T45" s="164" t="s">
        <v>7030</v>
      </c>
      <c r="U45" s="20"/>
      <c r="V45" s="20"/>
    </row>
    <row r="46">
      <c r="A46" s="318" t="s">
        <v>7031</v>
      </c>
      <c r="B46" s="163" t="s">
        <v>7032</v>
      </c>
      <c r="C46" s="318" t="s">
        <v>7033</v>
      </c>
      <c r="D46" s="163" t="s">
        <v>7034</v>
      </c>
      <c r="E46" s="318" t="s">
        <v>7035</v>
      </c>
      <c r="F46" s="163" t="s">
        <v>7036</v>
      </c>
      <c r="G46" s="318" t="str">
        <f>IFERROR(__xludf.DUMMYFUNCTION("GOOGLETRANSLATE(A46,""zh-tw"",""zh"")"),"兔子地图")</f>
        <v>兔子地图</v>
      </c>
      <c r="H46" s="163"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8" t="s">
        <v>7037</v>
      </c>
      <c r="P46" s="163" t="s">
        <v>7038</v>
      </c>
      <c r="Q46" s="318" t="s">
        <v>7039</v>
      </c>
      <c r="R46" s="163" t="s">
        <v>7040</v>
      </c>
      <c r="S46" s="320" t="s">
        <v>7041</v>
      </c>
      <c r="T46" s="164" t="s">
        <v>7042</v>
      </c>
      <c r="U46" s="20"/>
      <c r="V46" s="20"/>
    </row>
    <row r="47">
      <c r="A47" s="318" t="s">
        <v>7043</v>
      </c>
      <c r="B47" s="163" t="s">
        <v>7044</v>
      </c>
      <c r="C47" s="318" t="s">
        <v>7045</v>
      </c>
      <c r="D47" s="163" t="s">
        <v>7046</v>
      </c>
      <c r="E47" s="318" t="s">
        <v>7047</v>
      </c>
      <c r="F47" s="163" t="s">
        <v>7048</v>
      </c>
      <c r="G47" s="318" t="str">
        <f>IFERROR(__xludf.DUMMYFUNCTION("GOOGLETRANSLATE(A47,""zh-tw"",""zh"")"),"红髓液")</f>
        <v>红髓液</v>
      </c>
      <c r="H47" s="163" t="str">
        <f>IFERROR(__xludf.DUMMYFUNCTION("GOOGLETRANSLATE(B47,""zh-tw"",""zh"")"),"使用于治疗妹妹")</f>
        <v>使用于治疗妹妹</v>
      </c>
      <c r="I47" s="320" t="str">
        <f>IFERROR(__xludf.DUMMYFUNCTION("GOOGLETRANSLATE(A47,""zh-tw"",""es-MX"")"),"Líquido medular rojo")</f>
        <v>Líquido medular rojo</v>
      </c>
      <c r="J47" s="164" t="str">
        <f>IFERROR(__xludf.DUMMYFUNCTION("GOOGLETRANSLATE(B47,""zh-tw"",""es-MX"")"),"Solía ​​tratar a mi hermana.")</f>
        <v>Solía ​​tratar a mi hermana.</v>
      </c>
      <c r="K47" s="320" t="str">
        <f>IFERROR(__xludf.DUMMYFUNCTION("GOOGLETRANSLATE(A47,""zh-tw"",""KO"")"),"적골수액")</f>
        <v>적골수액</v>
      </c>
      <c r="L47" s="164"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64" t="str">
        <f>IFERROR(__xludf.DUMMYFUNCTION("GOOGLETRANSLATE(B47,""zh-tw"",""ru"")"),"Использовался для лечения моей сестры.")</f>
        <v>Использовался для лечения моей сестры.</v>
      </c>
      <c r="O47" s="320"/>
      <c r="P47" s="164"/>
      <c r="Q47" s="318" t="s">
        <v>7049</v>
      </c>
      <c r="R47" s="163" t="s">
        <v>7050</v>
      </c>
      <c r="S47" s="320" t="s">
        <v>7051</v>
      </c>
      <c r="T47" s="164" t="s">
        <v>7052</v>
      </c>
      <c r="U47" s="20"/>
      <c r="V47" s="20"/>
    </row>
    <row r="48">
      <c r="A48" s="318" t="s">
        <v>7053</v>
      </c>
      <c r="B48" s="163" t="s">
        <v>7054</v>
      </c>
      <c r="C48" s="318" t="s">
        <v>7055</v>
      </c>
      <c r="D48" s="163" t="s">
        <v>7056</v>
      </c>
      <c r="E48" s="318" t="s">
        <v>7057</v>
      </c>
      <c r="F48" s="163" t="s">
        <v>7058</v>
      </c>
      <c r="G48" s="318" t="str">
        <f>IFERROR(__xludf.DUMMYFUNCTION("GOOGLETRANSLATE(A48,""zh-tw"",""zh"")"),"什么都行券")</f>
        <v>什么都行券</v>
      </c>
      <c r="H48" s="163" t="str">
        <f>IFERROR(__xludf.DUMMYFUNCTION("GOOGLETRANSLATE(B48,""zh-tw"",""zh"")"),"使用于SLG相关的事件")</f>
        <v>使用于SLG相关的事件</v>
      </c>
      <c r="I48" s="320" t="str">
        <f>IFERROR(__xludf.DUMMYFUNCTION("GOOGLETRANSLATE(A48,""zh-tw"",""es-MX"")"),"Cualquier cupón")</f>
        <v>Cualquier cupón</v>
      </c>
      <c r="J48" s="164" t="str">
        <f>IFERROR(__xludf.DUMMYFUNCTION("GOOGLETRANSLATE(B48,""zh-tw"",""es-MX"")"),"Eventos relacionados con SLG")</f>
        <v>Eventos relacionados con SLG</v>
      </c>
      <c r="K48" s="320" t="str">
        <f>IFERROR(__xludf.DUMMYFUNCTION("GOOGLETRANSLATE(A48,""zh-tw"",""KO"")"),"무엇이든 쿠폰")</f>
        <v>무엇이든 쿠폰</v>
      </c>
      <c r="L48" s="164" t="str">
        <f>IFERROR(__xludf.DUMMYFUNCTION("GOOGLETRANSLATE(B48,""zh-tw"",""KO"")"),"SLG 관련 이벤트")</f>
        <v>SLG 관련 이벤트</v>
      </c>
      <c r="M48" s="320" t="str">
        <f>IFERROR(__xludf.DUMMYFUNCTION("GOOGLETRANSLATE(A48,""zh-tw"",""ru"")"),"Купон на что угодно")</f>
        <v>Купон на что угодно</v>
      </c>
      <c r="N48" s="164" t="str">
        <f>IFERROR(__xludf.DUMMYFUNCTION("GOOGLETRANSLATE(B48,""zh-tw"",""ru"")"),"События, связанные с SLG")</f>
        <v>События, связанные с SLG</v>
      </c>
      <c r="O48" s="320"/>
      <c r="P48" s="164"/>
      <c r="Q48" s="318" t="s">
        <v>7059</v>
      </c>
      <c r="R48" s="163" t="s">
        <v>7060</v>
      </c>
      <c r="S48" s="320" t="s">
        <v>7061</v>
      </c>
      <c r="T48" s="164" t="s">
        <v>7062</v>
      </c>
      <c r="U48" s="20"/>
      <c r="V48" s="20"/>
    </row>
    <row r="49">
      <c r="A49" s="320"/>
      <c r="B49" s="164"/>
      <c r="C49" s="320"/>
      <c r="D49" s="164"/>
      <c r="E49" s="320"/>
      <c r="F49" s="164"/>
      <c r="G49" s="320"/>
      <c r="H49" s="164"/>
      <c r="I49" s="327"/>
      <c r="J49" s="117"/>
      <c r="K49" s="327"/>
      <c r="L49" s="117"/>
      <c r="M49" s="320"/>
      <c r="N49" s="164"/>
      <c r="O49" s="320"/>
      <c r="P49" s="164"/>
      <c r="Q49" s="324"/>
      <c r="R49" s="41"/>
      <c r="S49" s="20"/>
      <c r="T49" s="20"/>
      <c r="U49" s="20"/>
      <c r="V49" s="20"/>
    </row>
    <row r="50">
      <c r="A50" s="320"/>
      <c r="B50" s="164"/>
      <c r="C50" s="320"/>
      <c r="D50" s="164"/>
      <c r="E50" s="320"/>
      <c r="F50" s="164"/>
      <c r="G50" s="320"/>
      <c r="H50" s="164"/>
      <c r="I50" s="327"/>
      <c r="J50" s="117"/>
      <c r="K50" s="327"/>
      <c r="L50" s="117"/>
      <c r="M50" s="320"/>
      <c r="N50" s="164"/>
      <c r="O50" s="320"/>
      <c r="P50" s="164"/>
      <c r="Q50" s="324"/>
      <c r="R50" s="41"/>
      <c r="S50" s="20"/>
      <c r="T50" s="20"/>
      <c r="U50" s="20"/>
      <c r="V50" s="20"/>
    </row>
    <row r="51">
      <c r="A51" s="320"/>
      <c r="B51" s="164"/>
      <c r="C51" s="320"/>
      <c r="D51" s="164"/>
      <c r="E51" s="320"/>
      <c r="F51" s="164"/>
      <c r="G51" s="320"/>
      <c r="H51" s="164"/>
      <c r="I51" s="327"/>
      <c r="J51" s="117"/>
      <c r="K51" s="327"/>
      <c r="L51" s="117"/>
      <c r="M51" s="320"/>
      <c r="N51" s="164"/>
      <c r="O51" s="320"/>
      <c r="P51" s="164"/>
      <c r="Q51" s="324"/>
      <c r="R51" s="41"/>
      <c r="S51" s="20"/>
      <c r="T51" s="20"/>
      <c r="U51" s="20"/>
      <c r="V51" s="20"/>
    </row>
    <row r="52">
      <c r="A52" s="320"/>
      <c r="B52" s="164"/>
      <c r="C52" s="320"/>
      <c r="D52" s="164"/>
      <c r="E52" s="320"/>
      <c r="F52" s="164"/>
      <c r="G52" s="320"/>
      <c r="H52" s="164"/>
      <c r="I52" s="327"/>
      <c r="J52" s="117"/>
      <c r="K52" s="327"/>
      <c r="L52" s="117"/>
      <c r="M52" s="320"/>
      <c r="N52" s="164"/>
      <c r="O52" s="320"/>
      <c r="P52" s="164"/>
      <c r="Q52" s="324"/>
      <c r="R52" s="41"/>
      <c r="S52" s="20"/>
      <c r="T52" s="20"/>
      <c r="U52" s="20"/>
      <c r="V52" s="20"/>
    </row>
    <row r="53">
      <c r="A53" s="320"/>
      <c r="B53" s="164"/>
      <c r="C53" s="320"/>
      <c r="D53" s="164"/>
      <c r="E53" s="320"/>
      <c r="F53" s="164"/>
      <c r="G53" s="320"/>
      <c r="H53" s="164"/>
      <c r="I53" s="327"/>
      <c r="J53" s="117"/>
      <c r="K53" s="327"/>
      <c r="L53" s="117"/>
      <c r="M53" s="320"/>
      <c r="N53" s="164"/>
      <c r="O53" s="320"/>
      <c r="P53" s="164"/>
      <c r="Q53" s="324"/>
      <c r="R53" s="41"/>
      <c r="S53" s="20"/>
      <c r="T53" s="20"/>
      <c r="U53" s="20"/>
      <c r="V53" s="20"/>
    </row>
    <row r="54">
      <c r="A54" s="320"/>
      <c r="B54" s="164"/>
      <c r="C54" s="320"/>
      <c r="D54" s="164"/>
      <c r="E54" s="320"/>
      <c r="F54" s="164"/>
      <c r="G54" s="320"/>
      <c r="H54" s="164"/>
      <c r="I54" s="327"/>
      <c r="J54" s="117"/>
      <c r="K54" s="327"/>
      <c r="L54" s="117"/>
      <c r="M54" s="320"/>
      <c r="N54" s="164"/>
      <c r="O54" s="320"/>
      <c r="P54" s="164"/>
      <c r="Q54" s="324"/>
      <c r="R54" s="41"/>
      <c r="S54" s="20"/>
      <c r="T54" s="20"/>
      <c r="U54" s="20"/>
      <c r="V54" s="20"/>
    </row>
    <row r="55">
      <c r="A55" s="320"/>
      <c r="B55" s="164"/>
      <c r="C55" s="320"/>
      <c r="D55" s="164"/>
      <c r="E55" s="320"/>
      <c r="F55" s="164"/>
      <c r="G55" s="320"/>
      <c r="H55" s="164"/>
      <c r="I55" s="327"/>
      <c r="J55" s="117"/>
      <c r="K55" s="327"/>
      <c r="L55" s="117"/>
      <c r="M55" s="320"/>
      <c r="N55" s="164"/>
      <c r="O55" s="320"/>
      <c r="P55" s="164"/>
      <c r="Q55" s="324"/>
      <c r="R55" s="41"/>
      <c r="S55" s="20"/>
      <c r="T55" s="20"/>
      <c r="U55" s="20"/>
      <c r="V55" s="20"/>
    </row>
    <row r="56">
      <c r="A56" s="320"/>
      <c r="B56" s="164"/>
      <c r="C56" s="320"/>
      <c r="D56" s="164"/>
      <c r="E56" s="320"/>
      <c r="F56" s="164"/>
      <c r="G56" s="320"/>
      <c r="H56" s="164"/>
      <c r="I56" s="327"/>
      <c r="J56" s="117"/>
      <c r="K56" s="327"/>
      <c r="L56" s="117"/>
      <c r="M56" s="320"/>
      <c r="N56" s="164"/>
      <c r="O56" s="320"/>
      <c r="P56" s="164"/>
      <c r="Q56" s="324"/>
      <c r="R56" s="41"/>
      <c r="S56" s="20"/>
      <c r="T56" s="20"/>
      <c r="U56" s="20"/>
      <c r="V56" s="20"/>
    </row>
    <row r="57">
      <c r="A57" s="320"/>
      <c r="B57" s="164"/>
      <c r="C57" s="320"/>
      <c r="D57" s="164"/>
      <c r="E57" s="320"/>
      <c r="F57" s="164"/>
      <c r="G57" s="320"/>
      <c r="H57" s="164"/>
      <c r="I57" s="327"/>
      <c r="J57" s="117"/>
      <c r="K57" s="327"/>
      <c r="L57" s="117"/>
      <c r="M57" s="320"/>
      <c r="N57" s="164"/>
      <c r="O57" s="320"/>
      <c r="P57" s="164"/>
      <c r="Q57" s="324"/>
      <c r="R57" s="41"/>
      <c r="S57" s="20"/>
      <c r="T57" s="20"/>
      <c r="U57" s="20"/>
      <c r="V57" s="20"/>
    </row>
    <row r="58">
      <c r="A58" s="320"/>
      <c r="B58" s="164"/>
      <c r="C58" s="320"/>
      <c r="D58" s="164"/>
      <c r="E58" s="320"/>
      <c r="F58" s="164"/>
      <c r="G58" s="320"/>
      <c r="H58" s="164"/>
      <c r="I58" s="327"/>
      <c r="J58" s="117"/>
      <c r="K58" s="327"/>
      <c r="L58" s="117"/>
      <c r="M58" s="320"/>
      <c r="N58" s="164"/>
      <c r="O58" s="320"/>
      <c r="P58" s="164"/>
      <c r="Q58" s="324"/>
      <c r="R58" s="41"/>
      <c r="S58" s="20"/>
      <c r="T58" s="20"/>
      <c r="U58" s="20"/>
      <c r="V58" s="20"/>
    </row>
    <row r="59">
      <c r="A59" s="320"/>
      <c r="B59" s="164"/>
      <c r="C59" s="320"/>
      <c r="D59" s="164"/>
      <c r="E59" s="320"/>
      <c r="F59" s="164"/>
      <c r="G59" s="320"/>
      <c r="H59" s="164"/>
      <c r="I59" s="327"/>
      <c r="J59" s="117"/>
      <c r="K59" s="327"/>
      <c r="L59" s="117"/>
      <c r="M59" s="320"/>
      <c r="N59" s="164"/>
      <c r="O59" s="320"/>
      <c r="P59" s="164"/>
      <c r="Q59" s="324"/>
      <c r="R59" s="41"/>
      <c r="S59" s="20"/>
      <c r="T59" s="20"/>
      <c r="U59" s="20"/>
      <c r="V59" s="20"/>
    </row>
    <row r="60">
      <c r="A60" s="320"/>
      <c r="B60" s="164"/>
      <c r="C60" s="320"/>
      <c r="D60" s="164"/>
      <c r="E60" s="320"/>
      <c r="F60" s="164"/>
      <c r="G60" s="320"/>
      <c r="H60" s="164"/>
      <c r="I60" s="327"/>
      <c r="J60" s="117"/>
      <c r="K60" s="327"/>
      <c r="L60" s="117"/>
      <c r="M60" s="320"/>
      <c r="N60" s="164"/>
      <c r="O60" s="320"/>
      <c r="P60" s="164"/>
      <c r="Q60" s="324"/>
      <c r="R60" s="41"/>
      <c r="S60" s="20"/>
      <c r="T60" s="20"/>
      <c r="U60" s="20"/>
      <c r="V60" s="20"/>
    </row>
    <row r="61">
      <c r="A61" s="320"/>
      <c r="B61" s="164"/>
      <c r="C61" s="320"/>
      <c r="D61" s="164"/>
      <c r="E61" s="320"/>
      <c r="F61" s="164"/>
      <c r="G61" s="320"/>
      <c r="H61" s="164"/>
      <c r="I61" s="327"/>
      <c r="J61" s="117"/>
      <c r="K61" s="327"/>
      <c r="L61" s="117"/>
      <c r="M61" s="320"/>
      <c r="N61" s="164"/>
      <c r="O61" s="320"/>
      <c r="P61" s="164"/>
      <c r="Q61" s="324"/>
      <c r="R61" s="41"/>
      <c r="S61" s="20"/>
      <c r="T61" s="20"/>
      <c r="U61" s="20"/>
      <c r="V61" s="20"/>
    </row>
    <row r="62">
      <c r="A62" s="320"/>
      <c r="B62" s="164"/>
      <c r="C62" s="320"/>
      <c r="D62" s="164"/>
      <c r="E62" s="320"/>
      <c r="F62" s="164"/>
      <c r="G62" s="320"/>
      <c r="H62" s="164"/>
      <c r="I62" s="327"/>
      <c r="J62" s="117"/>
      <c r="K62" s="327"/>
      <c r="L62" s="117"/>
      <c r="M62" s="320"/>
      <c r="N62" s="164"/>
      <c r="O62" s="320"/>
      <c r="P62" s="164"/>
      <c r="Q62" s="324"/>
      <c r="R62" s="41"/>
      <c r="S62" s="20"/>
      <c r="T62" s="20"/>
      <c r="U62" s="20"/>
      <c r="V62" s="20"/>
    </row>
    <row r="63">
      <c r="A63" s="320"/>
      <c r="B63" s="164"/>
      <c r="C63" s="320"/>
      <c r="D63" s="164"/>
      <c r="E63" s="320"/>
      <c r="F63" s="164"/>
      <c r="G63" s="320"/>
      <c r="H63" s="164"/>
      <c r="I63" s="327"/>
      <c r="J63" s="117"/>
      <c r="K63" s="327"/>
      <c r="L63" s="117"/>
      <c r="M63" s="320"/>
      <c r="N63" s="164"/>
      <c r="O63" s="320"/>
      <c r="P63" s="164"/>
      <c r="Q63" s="324"/>
      <c r="R63" s="41"/>
      <c r="S63" s="20"/>
      <c r="T63" s="20"/>
      <c r="U63" s="20"/>
      <c r="V63" s="20"/>
    </row>
    <row r="64">
      <c r="A64" s="320"/>
      <c r="B64" s="164"/>
      <c r="C64" s="320"/>
      <c r="D64" s="164"/>
      <c r="E64" s="320"/>
      <c r="F64" s="164"/>
      <c r="G64" s="320"/>
      <c r="H64" s="164"/>
      <c r="I64" s="327"/>
      <c r="J64" s="117"/>
      <c r="K64" s="327"/>
      <c r="L64" s="117"/>
      <c r="M64" s="320"/>
      <c r="N64" s="164"/>
      <c r="O64" s="320"/>
      <c r="P64" s="164"/>
      <c r="Q64" s="324"/>
      <c r="R64" s="41"/>
      <c r="S64" s="20"/>
      <c r="T64" s="20"/>
      <c r="U64" s="20"/>
      <c r="V64" s="20"/>
    </row>
    <row r="65">
      <c r="A65" s="320"/>
      <c r="B65" s="164"/>
      <c r="C65" s="320"/>
      <c r="D65" s="164"/>
      <c r="E65" s="320"/>
      <c r="F65" s="164"/>
      <c r="G65" s="320"/>
      <c r="H65" s="164"/>
      <c r="I65" s="327"/>
      <c r="J65" s="117"/>
      <c r="K65" s="327"/>
      <c r="L65" s="117"/>
      <c r="M65" s="320"/>
      <c r="N65" s="164"/>
      <c r="O65" s="320"/>
      <c r="P65" s="164"/>
      <c r="Q65" s="324"/>
      <c r="R65" s="41"/>
      <c r="S65" s="20"/>
      <c r="T65" s="20"/>
      <c r="U65" s="20"/>
      <c r="V65" s="20"/>
    </row>
    <row r="66">
      <c r="A66" s="320"/>
      <c r="B66" s="164"/>
      <c r="C66" s="320"/>
      <c r="D66" s="164"/>
      <c r="E66" s="320"/>
      <c r="F66" s="164"/>
      <c r="G66" s="320"/>
      <c r="H66" s="164"/>
      <c r="I66" s="327"/>
      <c r="J66" s="117"/>
      <c r="K66" s="327"/>
      <c r="L66" s="117"/>
      <c r="M66" s="320"/>
      <c r="N66" s="164"/>
      <c r="O66" s="320"/>
      <c r="P66" s="164"/>
      <c r="Q66" s="324"/>
      <c r="R66" s="41"/>
      <c r="S66" s="20"/>
      <c r="T66" s="20"/>
      <c r="U66" s="20"/>
      <c r="V66" s="20"/>
    </row>
    <row r="67">
      <c r="A67" s="320"/>
      <c r="B67" s="164"/>
      <c r="C67" s="320"/>
      <c r="D67" s="164"/>
      <c r="E67" s="320"/>
      <c r="F67" s="164"/>
      <c r="G67" s="320"/>
      <c r="H67" s="164"/>
      <c r="I67" s="327"/>
      <c r="J67" s="117"/>
      <c r="K67" s="327"/>
      <c r="L67" s="117"/>
      <c r="M67" s="320"/>
      <c r="N67" s="164"/>
      <c r="O67" s="320"/>
      <c r="P67" s="164"/>
      <c r="Q67" s="324"/>
      <c r="R67" s="41"/>
      <c r="S67" s="20"/>
      <c r="T67" s="20"/>
      <c r="U67" s="20"/>
      <c r="V67" s="20"/>
    </row>
    <row r="68">
      <c r="A68" s="320"/>
      <c r="B68" s="164"/>
      <c r="C68" s="320"/>
      <c r="D68" s="164"/>
      <c r="E68" s="320"/>
      <c r="F68" s="164"/>
      <c r="G68" s="320"/>
      <c r="H68" s="164"/>
      <c r="I68" s="327"/>
      <c r="J68" s="117"/>
      <c r="K68" s="327"/>
      <c r="L68" s="117"/>
      <c r="M68" s="320"/>
      <c r="N68" s="164"/>
      <c r="O68" s="320"/>
      <c r="P68" s="164"/>
      <c r="Q68" s="324"/>
      <c r="R68" s="41"/>
      <c r="S68" s="20"/>
      <c r="T68" s="20"/>
      <c r="U68" s="20"/>
      <c r="V68" s="20"/>
    </row>
    <row r="69">
      <c r="A69" s="320"/>
      <c r="B69" s="164"/>
      <c r="C69" s="320"/>
      <c r="D69" s="164"/>
      <c r="E69" s="320"/>
      <c r="F69" s="164"/>
      <c r="G69" s="320"/>
      <c r="H69" s="164"/>
      <c r="I69" s="327"/>
      <c r="J69" s="117"/>
      <c r="K69" s="327"/>
      <c r="L69" s="117"/>
      <c r="M69" s="320"/>
      <c r="N69" s="164"/>
      <c r="O69" s="320"/>
      <c r="P69" s="164"/>
      <c r="Q69" s="324"/>
      <c r="R69" s="41"/>
      <c r="S69" s="20"/>
      <c r="T69" s="20"/>
      <c r="U69" s="20"/>
      <c r="V69" s="20"/>
    </row>
    <row r="70">
      <c r="A70" s="320"/>
      <c r="B70" s="164"/>
      <c r="C70" s="320"/>
      <c r="D70" s="164"/>
      <c r="E70" s="320"/>
      <c r="F70" s="164"/>
      <c r="G70" s="320"/>
      <c r="H70" s="164"/>
      <c r="I70" s="327"/>
      <c r="J70" s="117"/>
      <c r="K70" s="327"/>
      <c r="L70" s="117"/>
      <c r="M70" s="320"/>
      <c r="N70" s="164"/>
      <c r="O70" s="320"/>
      <c r="P70" s="164"/>
      <c r="Q70" s="324"/>
      <c r="R70" s="41"/>
      <c r="S70" s="20"/>
      <c r="T70" s="20"/>
      <c r="U70" s="20"/>
      <c r="V70" s="20"/>
    </row>
    <row r="71">
      <c r="A71" s="320"/>
      <c r="B71" s="164"/>
      <c r="C71" s="320"/>
      <c r="D71" s="164"/>
      <c r="E71" s="320"/>
      <c r="F71" s="164"/>
      <c r="G71" s="320"/>
      <c r="H71" s="164"/>
      <c r="I71" s="327"/>
      <c r="J71" s="117"/>
      <c r="K71" s="327"/>
      <c r="L71" s="117"/>
      <c r="M71" s="320"/>
      <c r="N71" s="164"/>
      <c r="O71" s="320"/>
      <c r="P71" s="164"/>
      <c r="Q71" s="324"/>
      <c r="R71" s="41"/>
      <c r="S71" s="20"/>
      <c r="T71" s="20"/>
      <c r="U71" s="20"/>
      <c r="V71" s="20"/>
    </row>
    <row r="72">
      <c r="A72" s="320"/>
      <c r="B72" s="164"/>
      <c r="C72" s="320"/>
      <c r="D72" s="164"/>
      <c r="E72" s="320"/>
      <c r="F72" s="164"/>
      <c r="G72" s="320"/>
      <c r="H72" s="164"/>
      <c r="I72" s="327"/>
      <c r="J72" s="117"/>
      <c r="K72" s="327"/>
      <c r="L72" s="117"/>
      <c r="M72" s="320"/>
      <c r="N72" s="164"/>
      <c r="O72" s="320"/>
      <c r="P72" s="164"/>
      <c r="Q72" s="324"/>
      <c r="R72" s="41"/>
      <c r="S72" s="20"/>
      <c r="T72" s="20"/>
      <c r="U72" s="20"/>
      <c r="V72" s="20"/>
    </row>
    <row r="73">
      <c r="A73" s="320"/>
      <c r="B73" s="164"/>
      <c r="C73" s="320"/>
      <c r="D73" s="164"/>
      <c r="E73" s="320"/>
      <c r="F73" s="164"/>
      <c r="G73" s="320"/>
      <c r="H73" s="164"/>
      <c r="I73" s="327"/>
      <c r="J73" s="117"/>
      <c r="K73" s="327"/>
      <c r="L73" s="117"/>
      <c r="M73" s="320"/>
      <c r="N73" s="164"/>
      <c r="O73" s="320"/>
      <c r="P73" s="164"/>
      <c r="Q73" s="324"/>
      <c r="R73" s="41"/>
      <c r="S73" s="20"/>
      <c r="T73" s="20"/>
      <c r="U73" s="20"/>
      <c r="V73" s="20"/>
    </row>
    <row r="74">
      <c r="A74" s="320"/>
      <c r="B74" s="164"/>
      <c r="C74" s="320"/>
      <c r="D74" s="164"/>
      <c r="E74" s="320"/>
      <c r="F74" s="164"/>
      <c r="G74" s="320"/>
      <c r="H74" s="164"/>
      <c r="I74" s="327"/>
      <c r="J74" s="117"/>
      <c r="K74" s="327"/>
      <c r="L74" s="117"/>
      <c r="M74" s="320"/>
      <c r="N74" s="164"/>
      <c r="O74" s="320"/>
      <c r="P74" s="164"/>
      <c r="Q74" s="324"/>
      <c r="R74" s="41"/>
      <c r="S74" s="20"/>
      <c r="T74" s="20"/>
      <c r="U74" s="20"/>
      <c r="V74" s="20"/>
    </row>
    <row r="75">
      <c r="A75" s="320"/>
      <c r="B75" s="164"/>
      <c r="C75" s="320"/>
      <c r="D75" s="164"/>
      <c r="E75" s="320"/>
      <c r="F75" s="164"/>
      <c r="G75" s="320"/>
      <c r="H75" s="164"/>
      <c r="I75" s="327"/>
      <c r="J75" s="117"/>
      <c r="K75" s="327"/>
      <c r="L75" s="117"/>
      <c r="M75" s="320"/>
      <c r="N75" s="164"/>
      <c r="O75" s="320"/>
      <c r="P75" s="164"/>
      <c r="Q75" s="324"/>
      <c r="R75" s="41"/>
      <c r="S75" s="20"/>
      <c r="T75" s="20"/>
      <c r="U75" s="20"/>
      <c r="V75" s="20"/>
    </row>
    <row r="76">
      <c r="A76" s="320"/>
      <c r="B76" s="164"/>
      <c r="C76" s="320"/>
      <c r="D76" s="164"/>
      <c r="E76" s="320"/>
      <c r="F76" s="164"/>
      <c r="G76" s="320"/>
      <c r="H76" s="164"/>
      <c r="I76" s="327"/>
      <c r="J76" s="117"/>
      <c r="K76" s="327"/>
      <c r="L76" s="117"/>
      <c r="M76" s="320"/>
      <c r="N76" s="164"/>
      <c r="O76" s="320"/>
      <c r="P76" s="164"/>
      <c r="Q76" s="324"/>
      <c r="R76" s="41"/>
      <c r="S76" s="20"/>
      <c r="T76" s="20"/>
      <c r="U76" s="20"/>
      <c r="V76" s="20"/>
    </row>
    <row r="77">
      <c r="A77" s="320"/>
      <c r="B77" s="164"/>
      <c r="C77" s="320"/>
      <c r="D77" s="164"/>
      <c r="E77" s="320"/>
      <c r="F77" s="164"/>
      <c r="G77" s="320"/>
      <c r="H77" s="164"/>
      <c r="I77" s="327"/>
      <c r="J77" s="117"/>
      <c r="K77" s="327"/>
      <c r="L77" s="117"/>
      <c r="M77" s="320"/>
      <c r="N77" s="164"/>
      <c r="O77" s="320"/>
      <c r="P77" s="164"/>
      <c r="Q77" s="324"/>
      <c r="R77" s="41"/>
      <c r="S77" s="20"/>
      <c r="T77" s="20"/>
      <c r="U77" s="20"/>
      <c r="V77" s="20"/>
    </row>
    <row r="78">
      <c r="A78" s="320"/>
      <c r="B78" s="164"/>
      <c r="C78" s="320"/>
      <c r="D78" s="164"/>
      <c r="E78" s="320"/>
      <c r="F78" s="164"/>
      <c r="G78" s="320"/>
      <c r="H78" s="164"/>
      <c r="I78" s="327"/>
      <c r="J78" s="117"/>
      <c r="K78" s="327"/>
      <c r="L78" s="117"/>
      <c r="M78" s="320"/>
      <c r="N78" s="164"/>
      <c r="O78" s="320"/>
      <c r="P78" s="164"/>
      <c r="Q78" s="324"/>
      <c r="R78" s="41"/>
      <c r="S78" s="20"/>
      <c r="T78" s="20"/>
      <c r="U78" s="20"/>
      <c r="V78" s="20"/>
    </row>
    <row r="79">
      <c r="A79" s="320"/>
      <c r="B79" s="164"/>
      <c r="C79" s="320"/>
      <c r="D79" s="164"/>
      <c r="E79" s="320"/>
      <c r="F79" s="164"/>
      <c r="G79" s="320"/>
      <c r="H79" s="164"/>
      <c r="I79" s="327"/>
      <c r="J79" s="117"/>
      <c r="K79" s="327"/>
      <c r="L79" s="117"/>
      <c r="M79" s="320"/>
      <c r="N79" s="164"/>
      <c r="O79" s="320"/>
      <c r="P79" s="164"/>
      <c r="Q79" s="324"/>
      <c r="R79" s="41"/>
      <c r="S79" s="20"/>
      <c r="T79" s="20"/>
      <c r="U79" s="20"/>
      <c r="V79" s="20"/>
    </row>
    <row r="80">
      <c r="A80" s="320"/>
      <c r="B80" s="164"/>
      <c r="C80" s="320"/>
      <c r="D80" s="164"/>
      <c r="E80" s="320"/>
      <c r="F80" s="164"/>
      <c r="G80" s="320"/>
      <c r="H80" s="164"/>
      <c r="I80" s="327"/>
      <c r="J80" s="117"/>
      <c r="K80" s="327"/>
      <c r="L80" s="117"/>
      <c r="M80" s="320"/>
      <c r="N80" s="164"/>
      <c r="O80" s="320"/>
      <c r="P80" s="164"/>
      <c r="Q80" s="324"/>
      <c r="R80" s="41"/>
      <c r="S80" s="20"/>
      <c r="T80" s="20"/>
      <c r="U80" s="20"/>
      <c r="V80" s="20"/>
    </row>
    <row r="81">
      <c r="A81" s="320"/>
      <c r="B81" s="164"/>
      <c r="C81" s="320"/>
      <c r="D81" s="164"/>
      <c r="E81" s="320"/>
      <c r="F81" s="164"/>
      <c r="G81" s="320"/>
      <c r="H81" s="164"/>
      <c r="I81" s="327"/>
      <c r="J81" s="117"/>
      <c r="K81" s="327"/>
      <c r="L81" s="117"/>
      <c r="M81" s="320"/>
      <c r="N81" s="164"/>
      <c r="O81" s="320"/>
      <c r="P81" s="164"/>
      <c r="Q81" s="324"/>
      <c r="R81" s="41"/>
      <c r="S81" s="20"/>
      <c r="T81" s="20"/>
      <c r="U81" s="20"/>
      <c r="V81" s="20"/>
    </row>
    <row r="82">
      <c r="A82" s="320"/>
      <c r="B82" s="164"/>
      <c r="C82" s="320"/>
      <c r="D82" s="164"/>
      <c r="E82" s="320"/>
      <c r="F82" s="164"/>
      <c r="G82" s="320"/>
      <c r="H82" s="164"/>
      <c r="I82" s="327"/>
      <c r="J82" s="117"/>
      <c r="K82" s="327"/>
      <c r="L82" s="117"/>
      <c r="M82" s="320"/>
      <c r="N82" s="164"/>
      <c r="O82" s="320"/>
      <c r="P82" s="164"/>
      <c r="Q82" s="324"/>
      <c r="R82" s="41"/>
      <c r="S82" s="20"/>
      <c r="T82" s="20"/>
      <c r="U82" s="20"/>
      <c r="V82" s="20"/>
    </row>
    <row r="83">
      <c r="A83" s="320"/>
      <c r="B83" s="164"/>
      <c r="C83" s="320"/>
      <c r="D83" s="164"/>
      <c r="E83" s="320"/>
      <c r="F83" s="164"/>
      <c r="G83" s="320"/>
      <c r="H83" s="164"/>
      <c r="I83" s="327"/>
      <c r="J83" s="117"/>
      <c r="K83" s="327"/>
      <c r="L83" s="117"/>
      <c r="M83" s="320"/>
      <c r="N83" s="164"/>
      <c r="O83" s="320"/>
      <c r="P83" s="164"/>
      <c r="Q83" s="324"/>
      <c r="R83" s="41"/>
      <c r="S83" s="20"/>
      <c r="T83" s="20"/>
      <c r="U83" s="20"/>
      <c r="V83" s="20"/>
    </row>
    <row r="84">
      <c r="A84" s="320"/>
      <c r="B84" s="164"/>
      <c r="C84" s="320"/>
      <c r="D84" s="164"/>
      <c r="E84" s="320"/>
      <c r="F84" s="164"/>
      <c r="G84" s="320"/>
      <c r="H84" s="164"/>
      <c r="I84" s="327"/>
      <c r="J84" s="117"/>
      <c r="K84" s="327"/>
      <c r="L84" s="117"/>
      <c r="M84" s="320"/>
      <c r="N84" s="164"/>
      <c r="O84" s="320"/>
      <c r="P84" s="164"/>
      <c r="Q84" s="324"/>
      <c r="R84" s="41"/>
      <c r="S84" s="20"/>
      <c r="T84" s="20"/>
      <c r="U84" s="20"/>
      <c r="V84" s="20"/>
    </row>
    <row r="85">
      <c r="A85" s="320"/>
      <c r="B85" s="164"/>
      <c r="C85" s="320"/>
      <c r="D85" s="164"/>
      <c r="E85" s="320"/>
      <c r="F85" s="164"/>
      <c r="G85" s="320"/>
      <c r="H85" s="164"/>
      <c r="I85" s="327"/>
      <c r="J85" s="117"/>
      <c r="K85" s="327"/>
      <c r="L85" s="117"/>
      <c r="M85" s="320"/>
      <c r="N85" s="164"/>
      <c r="O85" s="320"/>
      <c r="P85" s="164"/>
      <c r="Q85" s="324"/>
      <c r="R85" s="41"/>
      <c r="S85" s="20"/>
      <c r="T85" s="20"/>
      <c r="U85" s="20"/>
      <c r="V85" s="20"/>
    </row>
    <row r="86">
      <c r="A86" s="320"/>
      <c r="B86" s="164"/>
      <c r="C86" s="320"/>
      <c r="D86" s="164"/>
      <c r="E86" s="320"/>
      <c r="F86" s="164"/>
      <c r="G86" s="320"/>
      <c r="H86" s="164"/>
      <c r="I86" s="327"/>
      <c r="J86" s="117"/>
      <c r="K86" s="327"/>
      <c r="L86" s="117"/>
      <c r="M86" s="320"/>
      <c r="N86" s="164"/>
      <c r="O86" s="320"/>
      <c r="P86" s="164"/>
      <c r="Q86" s="324"/>
      <c r="R86" s="41"/>
      <c r="S86" s="20"/>
      <c r="T86" s="20"/>
      <c r="U86" s="20"/>
      <c r="V86" s="20"/>
    </row>
    <row r="87">
      <c r="A87" s="320"/>
      <c r="B87" s="164"/>
      <c r="C87" s="320"/>
      <c r="D87" s="164"/>
      <c r="E87" s="320"/>
      <c r="F87" s="164"/>
      <c r="G87" s="320"/>
      <c r="H87" s="164"/>
      <c r="I87" s="327"/>
      <c r="J87" s="117"/>
      <c r="K87" s="327"/>
      <c r="L87" s="117"/>
      <c r="M87" s="320"/>
      <c r="N87" s="164"/>
      <c r="O87" s="320"/>
      <c r="P87" s="164"/>
      <c r="Q87" s="324"/>
      <c r="R87" s="41"/>
      <c r="S87" s="20"/>
      <c r="T87" s="20"/>
      <c r="U87" s="20"/>
      <c r="V87" s="20"/>
    </row>
    <row r="88">
      <c r="A88" s="320"/>
      <c r="B88" s="164"/>
      <c r="C88" s="320"/>
      <c r="D88" s="164"/>
      <c r="E88" s="320"/>
      <c r="F88" s="164"/>
      <c r="G88" s="320"/>
      <c r="H88" s="164"/>
      <c r="I88" s="327"/>
      <c r="J88" s="117"/>
      <c r="K88" s="327"/>
      <c r="L88" s="117"/>
      <c r="M88" s="320"/>
      <c r="N88" s="164"/>
      <c r="O88" s="320"/>
      <c r="P88" s="164"/>
      <c r="Q88" s="320"/>
      <c r="R88" s="164"/>
      <c r="S88" s="20"/>
      <c r="T88" s="20"/>
      <c r="U88" s="20"/>
      <c r="V88" s="20"/>
    </row>
    <row r="89">
      <c r="A89" s="320"/>
      <c r="B89" s="164"/>
      <c r="C89" s="320"/>
      <c r="D89" s="164"/>
      <c r="E89" s="320"/>
      <c r="F89" s="164"/>
      <c r="G89" s="320"/>
      <c r="H89" s="164"/>
      <c r="I89" s="327"/>
      <c r="J89" s="117"/>
      <c r="K89" s="327"/>
      <c r="L89" s="117"/>
      <c r="M89" s="320"/>
      <c r="N89" s="164"/>
      <c r="O89" s="320"/>
      <c r="P89" s="164"/>
      <c r="Q89" s="320"/>
      <c r="R89" s="164"/>
      <c r="S89" s="20"/>
      <c r="T89" s="20"/>
      <c r="U89" s="20"/>
      <c r="V89" s="20"/>
    </row>
    <row r="90">
      <c r="A90" s="320"/>
      <c r="B90" s="164"/>
      <c r="C90" s="320"/>
      <c r="D90" s="164"/>
      <c r="E90" s="320"/>
      <c r="F90" s="164"/>
      <c r="G90" s="320"/>
      <c r="H90" s="164"/>
      <c r="I90" s="327"/>
      <c r="J90" s="117"/>
      <c r="K90" s="327"/>
      <c r="L90" s="117"/>
      <c r="M90" s="320"/>
      <c r="N90" s="164"/>
      <c r="O90" s="320"/>
      <c r="P90" s="164"/>
      <c r="Q90" s="320"/>
      <c r="R90" s="164"/>
      <c r="S90" s="20"/>
      <c r="T90" s="20"/>
      <c r="U90" s="20"/>
      <c r="V90" s="20"/>
    </row>
    <row r="91">
      <c r="A91" s="320"/>
      <c r="B91" s="164"/>
      <c r="C91" s="320"/>
      <c r="D91" s="164"/>
      <c r="E91" s="320"/>
      <c r="F91" s="164"/>
      <c r="G91" s="320"/>
      <c r="H91" s="164"/>
      <c r="I91" s="327"/>
      <c r="J91" s="117"/>
      <c r="K91" s="327"/>
      <c r="L91" s="117"/>
      <c r="M91" s="320"/>
      <c r="N91" s="164"/>
      <c r="O91" s="320"/>
      <c r="P91" s="164"/>
      <c r="Q91" s="320"/>
      <c r="R91" s="164"/>
      <c r="S91" s="20"/>
      <c r="T91" s="20"/>
      <c r="U91" s="20"/>
      <c r="V91" s="20"/>
    </row>
    <row r="92">
      <c r="A92" s="320"/>
      <c r="B92" s="164"/>
      <c r="C92" s="320"/>
      <c r="D92" s="164"/>
      <c r="E92" s="320"/>
      <c r="F92" s="164"/>
      <c r="G92" s="320"/>
      <c r="H92" s="164"/>
      <c r="I92" s="327"/>
      <c r="J92" s="117"/>
      <c r="K92" s="327"/>
      <c r="L92" s="117"/>
      <c r="M92" s="320"/>
      <c r="N92" s="164"/>
      <c r="O92" s="320"/>
      <c r="P92" s="164"/>
      <c r="Q92" s="320"/>
      <c r="R92" s="164"/>
      <c r="S92" s="20"/>
      <c r="T92" s="20"/>
      <c r="U92" s="20"/>
      <c r="V92" s="20"/>
    </row>
    <row r="93">
      <c r="A93" s="320"/>
      <c r="B93" s="164"/>
      <c r="C93" s="320"/>
      <c r="D93" s="164"/>
      <c r="E93" s="320"/>
      <c r="F93" s="164"/>
      <c r="G93" s="320"/>
      <c r="H93" s="164"/>
      <c r="I93" s="327"/>
      <c r="J93" s="117"/>
      <c r="K93" s="327"/>
      <c r="L93" s="117"/>
      <c r="M93" s="320"/>
      <c r="N93" s="164"/>
      <c r="O93" s="320"/>
      <c r="P93" s="164"/>
      <c r="Q93" s="320"/>
      <c r="R93" s="164"/>
      <c r="S93" s="20"/>
      <c r="T93" s="20"/>
      <c r="U93" s="20"/>
      <c r="V93" s="20"/>
    </row>
    <row r="94">
      <c r="A94" s="320"/>
      <c r="B94" s="164"/>
      <c r="C94" s="320"/>
      <c r="D94" s="164"/>
      <c r="E94" s="320"/>
      <c r="F94" s="164"/>
      <c r="G94" s="320"/>
      <c r="H94" s="164"/>
      <c r="I94" s="327"/>
      <c r="J94" s="117"/>
      <c r="K94" s="327"/>
      <c r="L94" s="117"/>
      <c r="M94" s="320"/>
      <c r="N94" s="164"/>
      <c r="O94" s="320"/>
      <c r="P94" s="164"/>
      <c r="Q94" s="320"/>
      <c r="R94" s="164"/>
      <c r="S94" s="20"/>
      <c r="T94" s="20"/>
      <c r="U94" s="20"/>
      <c r="V94" s="20"/>
    </row>
    <row r="95">
      <c r="A95" s="320"/>
      <c r="B95" s="164"/>
      <c r="C95" s="320"/>
      <c r="D95" s="164"/>
      <c r="E95" s="320"/>
      <c r="F95" s="164"/>
      <c r="G95" s="320"/>
      <c r="H95" s="164"/>
      <c r="I95" s="327"/>
      <c r="J95" s="117"/>
      <c r="K95" s="327"/>
      <c r="L95" s="117"/>
      <c r="M95" s="320"/>
      <c r="N95" s="164"/>
      <c r="O95" s="320"/>
      <c r="P95" s="164"/>
      <c r="Q95" s="320"/>
      <c r="R95" s="164"/>
      <c r="S95" s="20"/>
      <c r="T95" s="20"/>
      <c r="U95" s="20"/>
      <c r="V95" s="20"/>
    </row>
    <row r="96">
      <c r="A96" s="320"/>
      <c r="B96" s="164"/>
      <c r="C96" s="320"/>
      <c r="D96" s="164"/>
      <c r="E96" s="320"/>
      <c r="F96" s="164"/>
      <c r="G96" s="320"/>
      <c r="H96" s="164"/>
      <c r="I96" s="327"/>
      <c r="J96" s="117"/>
      <c r="K96" s="327"/>
      <c r="L96" s="117"/>
      <c r="M96" s="320"/>
      <c r="N96" s="164"/>
      <c r="O96" s="320"/>
      <c r="P96" s="164"/>
      <c r="Q96" s="320"/>
      <c r="R96" s="164"/>
      <c r="S96" s="20"/>
      <c r="T96" s="20"/>
      <c r="U96" s="20"/>
      <c r="V96" s="20"/>
    </row>
    <row r="97">
      <c r="A97" s="320"/>
      <c r="B97" s="164"/>
      <c r="C97" s="320"/>
      <c r="D97" s="164"/>
      <c r="E97" s="320"/>
      <c r="F97" s="164"/>
      <c r="G97" s="320"/>
      <c r="H97" s="164"/>
      <c r="I97" s="327"/>
      <c r="J97" s="117"/>
      <c r="K97" s="327"/>
      <c r="L97" s="117"/>
      <c r="M97" s="320"/>
      <c r="N97" s="164"/>
      <c r="O97" s="320"/>
      <c r="P97" s="164"/>
      <c r="Q97" s="320"/>
      <c r="R97" s="164"/>
      <c r="S97" s="20"/>
      <c r="T97" s="20"/>
      <c r="U97" s="20"/>
      <c r="V97" s="20"/>
    </row>
    <row r="98">
      <c r="A98" s="320"/>
      <c r="B98" s="164"/>
      <c r="C98" s="320"/>
      <c r="D98" s="164"/>
      <c r="E98" s="320"/>
      <c r="F98" s="164"/>
      <c r="G98" s="320"/>
      <c r="H98" s="164"/>
      <c r="I98" s="327"/>
      <c r="J98" s="117"/>
      <c r="K98" s="327"/>
      <c r="L98" s="117"/>
      <c r="M98" s="320"/>
      <c r="N98" s="164"/>
      <c r="O98" s="320"/>
      <c r="P98" s="164"/>
      <c r="Q98" s="320"/>
      <c r="R98" s="164"/>
      <c r="S98" s="20"/>
      <c r="T98" s="20"/>
      <c r="U98" s="20"/>
      <c r="V98" s="20"/>
    </row>
    <row r="99">
      <c r="A99" s="320"/>
      <c r="B99" s="164"/>
      <c r="C99" s="320"/>
      <c r="D99" s="164"/>
      <c r="E99" s="320"/>
      <c r="F99" s="164"/>
      <c r="G99" s="320"/>
      <c r="H99" s="164"/>
      <c r="I99" s="327"/>
      <c r="J99" s="117"/>
      <c r="K99" s="327"/>
      <c r="L99" s="117"/>
      <c r="M99" s="320"/>
      <c r="N99" s="164"/>
      <c r="O99" s="320"/>
      <c r="P99" s="164"/>
      <c r="Q99" s="320"/>
      <c r="R99" s="164"/>
      <c r="S99" s="20"/>
      <c r="T99" s="20"/>
      <c r="U99" s="20"/>
      <c r="V99" s="20"/>
    </row>
    <row r="100">
      <c r="A100" s="320"/>
      <c r="B100" s="164"/>
      <c r="C100" s="320"/>
      <c r="D100" s="164"/>
      <c r="E100" s="320"/>
      <c r="F100" s="164"/>
      <c r="G100" s="320"/>
      <c r="H100" s="164"/>
      <c r="I100" s="327"/>
      <c r="J100" s="117"/>
      <c r="K100" s="327"/>
      <c r="L100" s="117"/>
      <c r="M100" s="320"/>
      <c r="N100" s="164"/>
      <c r="O100" s="320"/>
      <c r="P100" s="164"/>
      <c r="Q100" s="320"/>
      <c r="R100" s="164"/>
      <c r="S100" s="20"/>
      <c r="T100" s="20"/>
      <c r="U100" s="20"/>
      <c r="V100" s="20"/>
    </row>
    <row r="101">
      <c r="A101" s="320"/>
      <c r="B101" s="164"/>
      <c r="C101" s="320"/>
      <c r="D101" s="164"/>
      <c r="E101" s="320"/>
      <c r="F101" s="164"/>
      <c r="G101" s="320"/>
      <c r="H101" s="164"/>
      <c r="I101" s="327"/>
      <c r="J101" s="117"/>
      <c r="K101" s="327"/>
      <c r="L101" s="117"/>
      <c r="M101" s="320"/>
      <c r="N101" s="164"/>
      <c r="O101" s="320"/>
      <c r="P101" s="164"/>
      <c r="Q101" s="320"/>
      <c r="R101" s="164"/>
      <c r="S101" s="20"/>
      <c r="T101" s="20"/>
      <c r="U101" s="20"/>
      <c r="V101" s="20"/>
    </row>
    <row r="102">
      <c r="A102" s="320"/>
      <c r="B102" s="164"/>
      <c r="C102" s="320"/>
      <c r="D102" s="164"/>
      <c r="E102" s="320"/>
      <c r="F102" s="164"/>
      <c r="G102" s="320"/>
      <c r="H102" s="164"/>
      <c r="I102" s="327"/>
      <c r="J102" s="117"/>
      <c r="K102" s="327"/>
      <c r="L102" s="117"/>
      <c r="M102" s="320"/>
      <c r="N102" s="164"/>
      <c r="O102" s="320"/>
      <c r="P102" s="164"/>
      <c r="Q102" s="320"/>
      <c r="R102" s="164"/>
      <c r="S102" s="20"/>
      <c r="T102" s="20"/>
      <c r="U102" s="20"/>
      <c r="V102" s="20"/>
    </row>
    <row r="103">
      <c r="A103" s="320"/>
      <c r="B103" s="164"/>
      <c r="C103" s="320"/>
      <c r="D103" s="164"/>
      <c r="E103" s="320"/>
      <c r="F103" s="164"/>
      <c r="G103" s="320"/>
      <c r="H103" s="164"/>
      <c r="I103" s="327"/>
      <c r="J103" s="117"/>
      <c r="K103" s="327"/>
      <c r="L103" s="117"/>
      <c r="M103" s="320"/>
      <c r="N103" s="164"/>
      <c r="O103" s="320"/>
      <c r="P103" s="164"/>
      <c r="Q103" s="320"/>
      <c r="R103" s="164"/>
      <c r="S103" s="20"/>
      <c r="T103" s="20"/>
      <c r="U103" s="20"/>
      <c r="V103" s="20"/>
    </row>
    <row r="104">
      <c r="A104" s="320"/>
      <c r="B104" s="164"/>
      <c r="C104" s="320"/>
      <c r="D104" s="164"/>
      <c r="E104" s="320"/>
      <c r="F104" s="164"/>
      <c r="G104" s="320"/>
      <c r="H104" s="164"/>
      <c r="I104" s="327"/>
      <c r="J104" s="117"/>
      <c r="K104" s="327"/>
      <c r="L104" s="117"/>
      <c r="M104" s="320"/>
      <c r="N104" s="164"/>
      <c r="O104" s="320"/>
      <c r="P104" s="164"/>
      <c r="Q104" s="320"/>
      <c r="R104" s="164"/>
      <c r="S104" s="20"/>
      <c r="T104" s="20"/>
      <c r="U104" s="20"/>
      <c r="V104" s="20"/>
    </row>
    <row r="105">
      <c r="A105" s="320"/>
      <c r="B105" s="164"/>
      <c r="C105" s="320"/>
      <c r="D105" s="164"/>
      <c r="E105" s="320"/>
      <c r="F105" s="164"/>
      <c r="G105" s="320"/>
      <c r="H105" s="164"/>
      <c r="I105" s="327"/>
      <c r="J105" s="117"/>
      <c r="K105" s="327"/>
      <c r="L105" s="117"/>
      <c r="M105" s="320"/>
      <c r="N105" s="164"/>
      <c r="O105" s="320"/>
      <c r="P105" s="164"/>
      <c r="Q105" s="320"/>
      <c r="R105" s="164"/>
      <c r="S105" s="20"/>
      <c r="T105" s="20"/>
      <c r="U105" s="20"/>
      <c r="V105" s="20"/>
    </row>
    <row r="106">
      <c r="A106" s="320"/>
      <c r="B106" s="164"/>
      <c r="C106" s="320"/>
      <c r="D106" s="164"/>
      <c r="E106" s="320"/>
      <c r="F106" s="164"/>
      <c r="G106" s="320"/>
      <c r="H106" s="164"/>
      <c r="I106" s="327"/>
      <c r="J106" s="117"/>
      <c r="K106" s="327"/>
      <c r="L106" s="117"/>
      <c r="M106" s="320"/>
      <c r="N106" s="164"/>
      <c r="O106" s="320"/>
      <c r="P106" s="164"/>
      <c r="Q106" s="320"/>
      <c r="R106" s="164"/>
      <c r="S106" s="20"/>
      <c r="T106" s="20"/>
      <c r="U106" s="20"/>
      <c r="V106" s="20"/>
    </row>
    <row r="107">
      <c r="A107" s="320"/>
      <c r="B107" s="164"/>
      <c r="C107" s="320"/>
      <c r="D107" s="164"/>
      <c r="E107" s="320"/>
      <c r="F107" s="164"/>
      <c r="G107" s="320"/>
      <c r="H107" s="164"/>
      <c r="I107" s="327"/>
      <c r="J107" s="117"/>
      <c r="K107" s="327"/>
      <c r="L107" s="117"/>
      <c r="M107" s="320"/>
      <c r="N107" s="164"/>
      <c r="O107" s="320"/>
      <c r="P107" s="164"/>
      <c r="Q107" s="320"/>
      <c r="R107" s="164"/>
      <c r="S107" s="20"/>
      <c r="T107" s="20"/>
      <c r="U107" s="20"/>
      <c r="V107" s="20"/>
    </row>
    <row r="108">
      <c r="A108" s="320"/>
      <c r="B108" s="164"/>
      <c r="C108" s="320"/>
      <c r="D108" s="164"/>
      <c r="E108" s="320"/>
      <c r="F108" s="164"/>
      <c r="G108" s="320"/>
      <c r="H108" s="164"/>
      <c r="I108" s="327"/>
      <c r="J108" s="117"/>
      <c r="K108" s="327"/>
      <c r="L108" s="117"/>
      <c r="M108" s="320"/>
      <c r="N108" s="164"/>
      <c r="O108" s="320"/>
      <c r="P108" s="164"/>
      <c r="Q108" s="320"/>
      <c r="R108" s="164"/>
      <c r="S108" s="20"/>
      <c r="T108" s="20"/>
      <c r="U108" s="20"/>
      <c r="V108" s="20"/>
    </row>
    <row r="109">
      <c r="A109" s="320"/>
      <c r="B109" s="164"/>
      <c r="C109" s="320"/>
      <c r="D109" s="164"/>
      <c r="E109" s="320"/>
      <c r="F109" s="164"/>
      <c r="G109" s="320"/>
      <c r="H109" s="164"/>
      <c r="I109" s="327"/>
      <c r="J109" s="117"/>
      <c r="K109" s="327"/>
      <c r="L109" s="117"/>
      <c r="M109" s="320"/>
      <c r="N109" s="164"/>
      <c r="O109" s="320"/>
      <c r="P109" s="164"/>
      <c r="Q109" s="320"/>
      <c r="R109" s="164"/>
      <c r="S109" s="20"/>
      <c r="T109" s="20"/>
      <c r="U109" s="20"/>
      <c r="V109" s="20"/>
    </row>
    <row r="110">
      <c r="A110" s="320"/>
      <c r="B110" s="164"/>
      <c r="C110" s="320"/>
      <c r="D110" s="164"/>
      <c r="E110" s="320"/>
      <c r="F110" s="164"/>
      <c r="G110" s="320"/>
      <c r="H110" s="164"/>
      <c r="I110" s="327"/>
      <c r="J110" s="117"/>
      <c r="K110" s="327"/>
      <c r="L110" s="117"/>
      <c r="M110" s="320"/>
      <c r="N110" s="164"/>
      <c r="O110" s="320"/>
      <c r="P110" s="164"/>
      <c r="Q110" s="320"/>
      <c r="R110" s="164"/>
      <c r="S110" s="20"/>
      <c r="T110" s="20"/>
      <c r="U110" s="20"/>
      <c r="V110" s="20"/>
    </row>
    <row r="111">
      <c r="A111" s="320"/>
      <c r="B111" s="164"/>
      <c r="C111" s="320"/>
      <c r="D111" s="164"/>
      <c r="E111" s="320"/>
      <c r="F111" s="164"/>
      <c r="G111" s="320"/>
      <c r="H111" s="164"/>
      <c r="I111" s="327"/>
      <c r="J111" s="117"/>
      <c r="K111" s="327"/>
      <c r="L111" s="117"/>
      <c r="M111" s="320"/>
      <c r="N111" s="164"/>
      <c r="O111" s="320"/>
      <c r="P111" s="164"/>
      <c r="Q111" s="320"/>
      <c r="R111" s="164"/>
      <c r="S111" s="20"/>
      <c r="T111" s="20"/>
      <c r="U111" s="20"/>
      <c r="V111" s="20"/>
    </row>
    <row r="112">
      <c r="A112" s="320"/>
      <c r="B112" s="164"/>
      <c r="C112" s="320"/>
      <c r="D112" s="164"/>
      <c r="E112" s="320"/>
      <c r="F112" s="164"/>
      <c r="G112" s="320"/>
      <c r="H112" s="164"/>
      <c r="I112" s="327"/>
      <c r="J112" s="117"/>
      <c r="K112" s="327"/>
      <c r="L112" s="117"/>
      <c r="M112" s="320"/>
      <c r="N112" s="164"/>
      <c r="O112" s="320"/>
      <c r="P112" s="164"/>
      <c r="Q112" s="320"/>
      <c r="R112" s="164"/>
      <c r="S112" s="20"/>
      <c r="T112" s="20"/>
      <c r="U112" s="20"/>
      <c r="V112" s="20"/>
    </row>
    <row r="113">
      <c r="A113" s="320"/>
      <c r="B113" s="164"/>
      <c r="C113" s="320"/>
      <c r="D113" s="164"/>
      <c r="E113" s="320"/>
      <c r="F113" s="164"/>
      <c r="G113" s="320"/>
      <c r="H113" s="164"/>
      <c r="I113" s="327"/>
      <c r="J113" s="117"/>
      <c r="K113" s="327"/>
      <c r="L113" s="117"/>
      <c r="M113" s="320"/>
      <c r="N113" s="164"/>
      <c r="O113" s="320"/>
      <c r="P113" s="164"/>
      <c r="Q113" s="320"/>
      <c r="R113" s="164"/>
      <c r="S113" s="20"/>
      <c r="T113" s="20"/>
      <c r="U113" s="20"/>
      <c r="V113" s="20"/>
    </row>
    <row r="114">
      <c r="A114" s="320"/>
      <c r="B114" s="164"/>
      <c r="C114" s="320"/>
      <c r="D114" s="164"/>
      <c r="E114" s="320"/>
      <c r="F114" s="164"/>
      <c r="G114" s="320"/>
      <c r="H114" s="164"/>
      <c r="I114" s="327"/>
      <c r="J114" s="117"/>
      <c r="K114" s="327"/>
      <c r="L114" s="117"/>
      <c r="M114" s="320"/>
      <c r="N114" s="164"/>
      <c r="O114" s="320"/>
      <c r="P114" s="164"/>
      <c r="Q114" s="320"/>
      <c r="R114" s="164"/>
      <c r="S114" s="20"/>
      <c r="T114" s="20"/>
      <c r="U114" s="20"/>
      <c r="V114" s="20"/>
    </row>
    <row r="115">
      <c r="A115" s="320"/>
      <c r="B115" s="164"/>
      <c r="C115" s="320"/>
      <c r="D115" s="164"/>
      <c r="E115" s="320"/>
      <c r="F115" s="164"/>
      <c r="G115" s="320"/>
      <c r="H115" s="164"/>
      <c r="I115" s="327"/>
      <c r="J115" s="117"/>
      <c r="K115" s="327"/>
      <c r="L115" s="117"/>
      <c r="M115" s="320"/>
      <c r="N115" s="164"/>
      <c r="O115" s="320"/>
      <c r="P115" s="164"/>
      <c r="Q115" s="320"/>
      <c r="R115" s="164"/>
      <c r="S115" s="20"/>
      <c r="T115" s="20"/>
      <c r="U115" s="20"/>
      <c r="V115" s="20"/>
    </row>
    <row r="116">
      <c r="A116" s="320"/>
      <c r="B116" s="164"/>
      <c r="C116" s="320"/>
      <c r="D116" s="164"/>
      <c r="E116" s="320"/>
      <c r="F116" s="164"/>
      <c r="G116" s="320"/>
      <c r="H116" s="164"/>
      <c r="I116" s="327"/>
      <c r="J116" s="117"/>
      <c r="K116" s="327"/>
      <c r="L116" s="117"/>
      <c r="M116" s="320"/>
      <c r="N116" s="164"/>
      <c r="O116" s="320"/>
      <c r="P116" s="164"/>
      <c r="Q116" s="320"/>
      <c r="R116" s="164"/>
      <c r="S116" s="20"/>
      <c r="T116" s="20"/>
      <c r="U116" s="20"/>
      <c r="V116" s="20"/>
    </row>
    <row r="117">
      <c r="A117" s="320"/>
      <c r="B117" s="164"/>
      <c r="C117" s="320"/>
      <c r="D117" s="164"/>
      <c r="E117" s="320"/>
      <c r="F117" s="164"/>
      <c r="G117" s="320"/>
      <c r="H117" s="164"/>
      <c r="I117" s="327"/>
      <c r="J117" s="117"/>
      <c r="K117" s="327"/>
      <c r="L117" s="117"/>
      <c r="M117" s="320"/>
      <c r="N117" s="164"/>
      <c r="O117" s="320"/>
      <c r="P117" s="164"/>
      <c r="Q117" s="320"/>
      <c r="R117" s="164"/>
      <c r="S117" s="20"/>
      <c r="T117" s="20"/>
      <c r="U117" s="20"/>
      <c r="V117" s="20"/>
    </row>
    <row r="118">
      <c r="A118" s="320"/>
      <c r="B118" s="164"/>
      <c r="C118" s="320"/>
      <c r="D118" s="164"/>
      <c r="E118" s="320"/>
      <c r="F118" s="164"/>
      <c r="G118" s="320"/>
      <c r="H118" s="164"/>
      <c r="I118" s="327"/>
      <c r="J118" s="117"/>
      <c r="K118" s="327"/>
      <c r="L118" s="117"/>
      <c r="M118" s="320"/>
      <c r="N118" s="164"/>
      <c r="O118" s="320"/>
      <c r="P118" s="164"/>
      <c r="Q118" s="320"/>
      <c r="R118" s="164"/>
      <c r="S118" s="20"/>
      <c r="T118" s="20"/>
      <c r="U118" s="20"/>
      <c r="V118" s="20"/>
    </row>
    <row r="119">
      <c r="A119" s="320"/>
      <c r="B119" s="164"/>
      <c r="C119" s="320"/>
      <c r="D119" s="164"/>
      <c r="E119" s="320"/>
      <c r="F119" s="164"/>
      <c r="G119" s="320"/>
      <c r="H119" s="164"/>
      <c r="I119" s="327"/>
      <c r="J119" s="117"/>
      <c r="K119" s="327"/>
      <c r="L119" s="117"/>
      <c r="M119" s="320"/>
      <c r="N119" s="164"/>
      <c r="O119" s="320"/>
      <c r="P119" s="164"/>
      <c r="Q119" s="320"/>
      <c r="R119" s="164"/>
      <c r="S119" s="20"/>
      <c r="T119" s="20"/>
      <c r="U119" s="20"/>
      <c r="V119" s="20"/>
    </row>
    <row r="120">
      <c r="A120" s="320"/>
      <c r="B120" s="164"/>
      <c r="C120" s="320"/>
      <c r="D120" s="164"/>
      <c r="E120" s="320"/>
      <c r="F120" s="164"/>
      <c r="G120" s="320"/>
      <c r="H120" s="164"/>
      <c r="I120" s="327"/>
      <c r="J120" s="117"/>
      <c r="K120" s="327"/>
      <c r="L120" s="117"/>
      <c r="M120" s="320"/>
      <c r="N120" s="164"/>
      <c r="O120" s="320"/>
      <c r="P120" s="164"/>
      <c r="Q120" s="320"/>
      <c r="R120" s="164"/>
      <c r="S120" s="20"/>
      <c r="T120" s="20"/>
      <c r="U120" s="20"/>
      <c r="V120" s="20"/>
    </row>
    <row r="121">
      <c r="A121" s="320"/>
      <c r="B121" s="164"/>
      <c r="C121" s="320"/>
      <c r="D121" s="164"/>
      <c r="E121" s="320"/>
      <c r="F121" s="164"/>
      <c r="G121" s="320"/>
      <c r="H121" s="164"/>
      <c r="I121" s="327"/>
      <c r="J121" s="117"/>
      <c r="K121" s="327"/>
      <c r="L121" s="117"/>
      <c r="M121" s="320"/>
      <c r="N121" s="164"/>
      <c r="O121" s="320"/>
      <c r="P121" s="164"/>
      <c r="Q121" s="320"/>
      <c r="R121" s="164"/>
      <c r="S121" s="20"/>
      <c r="T121" s="20"/>
      <c r="U121" s="20"/>
      <c r="V121" s="20"/>
    </row>
    <row r="122">
      <c r="A122" s="320"/>
      <c r="B122" s="164"/>
      <c r="C122" s="320"/>
      <c r="D122" s="164"/>
      <c r="E122" s="320"/>
      <c r="F122" s="164"/>
      <c r="G122" s="320"/>
      <c r="H122" s="164"/>
      <c r="I122" s="327"/>
      <c r="J122" s="117"/>
      <c r="K122" s="327"/>
      <c r="L122" s="117"/>
      <c r="M122" s="320"/>
      <c r="N122" s="164"/>
      <c r="O122" s="320"/>
      <c r="P122" s="164"/>
      <c r="Q122" s="320"/>
      <c r="R122" s="164"/>
      <c r="S122" s="20"/>
      <c r="T122" s="20"/>
      <c r="U122" s="20"/>
      <c r="V122" s="20"/>
    </row>
    <row r="123">
      <c r="A123" s="320"/>
      <c r="B123" s="164"/>
      <c r="C123" s="320"/>
      <c r="D123" s="164"/>
      <c r="E123" s="320"/>
      <c r="F123" s="164"/>
      <c r="G123" s="320"/>
      <c r="H123" s="164"/>
      <c r="I123" s="327"/>
      <c r="J123" s="117"/>
      <c r="K123" s="327"/>
      <c r="L123" s="117"/>
      <c r="M123" s="320"/>
      <c r="N123" s="164"/>
      <c r="O123" s="320"/>
      <c r="P123" s="164"/>
      <c r="Q123" s="320"/>
      <c r="R123" s="164"/>
      <c r="S123" s="20"/>
      <c r="T123" s="20"/>
      <c r="U123" s="20"/>
      <c r="V123" s="20"/>
    </row>
    <row r="124">
      <c r="A124" s="320"/>
      <c r="B124" s="164"/>
      <c r="C124" s="320"/>
      <c r="D124" s="164"/>
      <c r="E124" s="320"/>
      <c r="F124" s="164"/>
      <c r="G124" s="320"/>
      <c r="H124" s="164"/>
      <c r="I124" s="327"/>
      <c r="J124" s="117"/>
      <c r="K124" s="327"/>
      <c r="L124" s="117"/>
      <c r="M124" s="320"/>
      <c r="N124" s="164"/>
      <c r="O124" s="320"/>
      <c r="P124" s="164"/>
      <c r="Q124" s="320"/>
      <c r="R124" s="164"/>
      <c r="S124" s="20"/>
      <c r="T124" s="20"/>
      <c r="U124" s="20"/>
      <c r="V124" s="20"/>
    </row>
    <row r="125">
      <c r="A125" s="320"/>
      <c r="B125" s="164"/>
      <c r="C125" s="320"/>
      <c r="D125" s="164"/>
      <c r="E125" s="320"/>
      <c r="F125" s="164"/>
      <c r="G125" s="320"/>
      <c r="H125" s="164"/>
      <c r="I125" s="327"/>
      <c r="J125" s="117"/>
      <c r="K125" s="327"/>
      <c r="L125" s="117"/>
      <c r="M125" s="320"/>
      <c r="N125" s="164"/>
      <c r="O125" s="320"/>
      <c r="P125" s="164"/>
      <c r="Q125" s="320"/>
      <c r="R125" s="164"/>
      <c r="S125" s="20"/>
      <c r="T125" s="20"/>
      <c r="U125" s="20"/>
      <c r="V125" s="20"/>
    </row>
    <row r="126">
      <c r="A126" s="320"/>
      <c r="B126" s="164"/>
      <c r="C126" s="320"/>
      <c r="D126" s="164"/>
      <c r="E126" s="320"/>
      <c r="F126" s="164"/>
      <c r="G126" s="320"/>
      <c r="H126" s="164"/>
      <c r="I126" s="327"/>
      <c r="J126" s="117"/>
      <c r="K126" s="327"/>
      <c r="L126" s="117"/>
      <c r="M126" s="320"/>
      <c r="N126" s="164"/>
      <c r="O126" s="320"/>
      <c r="P126" s="164"/>
      <c r="Q126" s="320"/>
      <c r="R126" s="164"/>
      <c r="S126" s="20"/>
      <c r="T126" s="20"/>
      <c r="U126" s="20"/>
      <c r="V126" s="20"/>
    </row>
    <row r="127">
      <c r="A127" s="320"/>
      <c r="B127" s="164"/>
      <c r="C127" s="320"/>
      <c r="D127" s="164"/>
      <c r="E127" s="320"/>
      <c r="F127" s="164"/>
      <c r="G127" s="320"/>
      <c r="H127" s="164"/>
      <c r="I127" s="327"/>
      <c r="J127" s="117"/>
      <c r="K127" s="327"/>
      <c r="L127" s="117"/>
      <c r="M127" s="320"/>
      <c r="N127" s="164"/>
      <c r="O127" s="320"/>
      <c r="P127" s="164"/>
      <c r="Q127" s="320"/>
      <c r="R127" s="164"/>
      <c r="S127" s="20"/>
      <c r="T127" s="20"/>
      <c r="U127" s="20"/>
      <c r="V127" s="20"/>
    </row>
    <row r="128">
      <c r="A128" s="320"/>
      <c r="B128" s="164"/>
      <c r="C128" s="320"/>
      <c r="D128" s="164"/>
      <c r="E128" s="320"/>
      <c r="F128" s="164"/>
      <c r="G128" s="320"/>
      <c r="H128" s="164"/>
      <c r="I128" s="327"/>
      <c r="J128" s="117"/>
      <c r="K128" s="327"/>
      <c r="L128" s="117"/>
      <c r="M128" s="320"/>
      <c r="N128" s="164"/>
      <c r="O128" s="320"/>
      <c r="P128" s="164"/>
      <c r="Q128" s="320"/>
      <c r="R128" s="164"/>
      <c r="S128" s="20"/>
      <c r="T128" s="20"/>
      <c r="U128" s="20"/>
      <c r="V128" s="20"/>
    </row>
    <row r="129">
      <c r="A129" s="320"/>
      <c r="B129" s="164"/>
      <c r="C129" s="320"/>
      <c r="D129" s="164"/>
      <c r="E129" s="320"/>
      <c r="F129" s="164"/>
      <c r="G129" s="320"/>
      <c r="H129" s="164"/>
      <c r="I129" s="327"/>
      <c r="J129" s="117"/>
      <c r="K129" s="327"/>
      <c r="L129" s="117"/>
      <c r="M129" s="320"/>
      <c r="N129" s="164"/>
      <c r="O129" s="320"/>
      <c r="P129" s="164"/>
      <c r="Q129" s="320"/>
      <c r="R129" s="164"/>
      <c r="S129" s="20"/>
      <c r="T129" s="20"/>
      <c r="U129" s="20"/>
      <c r="V129" s="20"/>
    </row>
    <row r="130">
      <c r="A130" s="320"/>
      <c r="B130" s="164"/>
      <c r="C130" s="320"/>
      <c r="D130" s="164"/>
      <c r="E130" s="320"/>
      <c r="F130" s="164"/>
      <c r="G130" s="320"/>
      <c r="H130" s="164"/>
      <c r="I130" s="327"/>
      <c r="J130" s="117"/>
      <c r="K130" s="327"/>
      <c r="L130" s="117"/>
      <c r="M130" s="320"/>
      <c r="N130" s="164"/>
      <c r="O130" s="320"/>
      <c r="P130" s="164"/>
      <c r="Q130" s="320"/>
      <c r="R130" s="164"/>
      <c r="S130" s="20"/>
      <c r="T130" s="20"/>
      <c r="U130" s="20"/>
      <c r="V130" s="20"/>
    </row>
    <row r="131">
      <c r="A131" s="320"/>
      <c r="B131" s="164"/>
      <c r="C131" s="320"/>
      <c r="D131" s="164"/>
      <c r="E131" s="320"/>
      <c r="F131" s="164"/>
      <c r="G131" s="320"/>
      <c r="H131" s="164"/>
      <c r="I131" s="327"/>
      <c r="J131" s="117"/>
      <c r="K131" s="327"/>
      <c r="L131" s="117"/>
      <c r="M131" s="320"/>
      <c r="N131" s="164"/>
      <c r="O131" s="320"/>
      <c r="P131" s="164"/>
      <c r="Q131" s="320"/>
      <c r="R131" s="164"/>
      <c r="S131" s="20"/>
      <c r="T131" s="20"/>
      <c r="U131" s="20"/>
      <c r="V131" s="20"/>
    </row>
    <row r="132">
      <c r="A132" s="320"/>
      <c r="B132" s="164"/>
      <c r="C132" s="320"/>
      <c r="D132" s="164"/>
      <c r="E132" s="320"/>
      <c r="F132" s="164"/>
      <c r="G132" s="320"/>
      <c r="H132" s="164"/>
      <c r="I132" s="327"/>
      <c r="J132" s="117"/>
      <c r="K132" s="327"/>
      <c r="L132" s="117"/>
      <c r="M132" s="320"/>
      <c r="N132" s="164"/>
      <c r="O132" s="320"/>
      <c r="P132" s="164"/>
      <c r="Q132" s="320"/>
      <c r="R132" s="164"/>
      <c r="S132" s="20"/>
      <c r="T132" s="20"/>
      <c r="U132" s="20"/>
      <c r="V132" s="20"/>
    </row>
    <row r="133">
      <c r="A133" s="320"/>
      <c r="B133" s="164"/>
      <c r="C133" s="320"/>
      <c r="D133" s="164"/>
      <c r="E133" s="320"/>
      <c r="F133" s="164"/>
      <c r="G133" s="320"/>
      <c r="H133" s="164"/>
      <c r="I133" s="327"/>
      <c r="J133" s="117"/>
      <c r="K133" s="327"/>
      <c r="L133" s="117"/>
      <c r="M133" s="320"/>
      <c r="N133" s="164"/>
      <c r="O133" s="320"/>
      <c r="P133" s="164"/>
      <c r="Q133" s="320"/>
      <c r="R133" s="164"/>
      <c r="S133" s="20"/>
      <c r="T133" s="20"/>
      <c r="U133" s="20"/>
      <c r="V133" s="20"/>
    </row>
    <row r="134">
      <c r="A134" s="320"/>
      <c r="B134" s="164"/>
      <c r="C134" s="320"/>
      <c r="D134" s="164"/>
      <c r="E134" s="320"/>
      <c r="F134" s="164"/>
      <c r="G134" s="320"/>
      <c r="H134" s="164"/>
      <c r="I134" s="327"/>
      <c r="J134" s="117"/>
      <c r="K134" s="327"/>
      <c r="L134" s="117"/>
      <c r="M134" s="320"/>
      <c r="N134" s="164"/>
      <c r="O134" s="320"/>
      <c r="P134" s="164"/>
      <c r="Q134" s="320"/>
      <c r="R134" s="164"/>
      <c r="S134" s="20"/>
      <c r="T134" s="20"/>
      <c r="U134" s="20"/>
      <c r="V134" s="20"/>
    </row>
    <row r="135">
      <c r="A135" s="320"/>
      <c r="B135" s="164"/>
      <c r="C135" s="320"/>
      <c r="D135" s="164"/>
      <c r="E135" s="320"/>
      <c r="F135" s="164"/>
      <c r="G135" s="320"/>
      <c r="H135" s="164"/>
      <c r="I135" s="327"/>
      <c r="J135" s="117"/>
      <c r="K135" s="327"/>
      <c r="L135" s="117"/>
      <c r="M135" s="320"/>
      <c r="N135" s="164"/>
      <c r="O135" s="320"/>
      <c r="P135" s="164"/>
      <c r="Q135" s="320"/>
      <c r="R135" s="164"/>
      <c r="S135" s="20"/>
      <c r="T135" s="20"/>
      <c r="U135" s="20"/>
      <c r="V135" s="20"/>
    </row>
    <row r="136">
      <c r="A136" s="320"/>
      <c r="B136" s="164"/>
      <c r="C136" s="320"/>
      <c r="D136" s="164"/>
      <c r="E136" s="320"/>
      <c r="F136" s="164"/>
      <c r="G136" s="320"/>
      <c r="H136" s="164"/>
      <c r="I136" s="327"/>
      <c r="J136" s="117"/>
      <c r="K136" s="327"/>
      <c r="L136" s="117"/>
      <c r="M136" s="320"/>
      <c r="N136" s="164"/>
      <c r="O136" s="320"/>
      <c r="P136" s="164"/>
      <c r="Q136" s="320"/>
      <c r="R136" s="164"/>
      <c r="S136" s="20"/>
      <c r="T136" s="20"/>
      <c r="U136" s="20"/>
      <c r="V136" s="20"/>
    </row>
    <row r="137">
      <c r="A137" s="320"/>
      <c r="B137" s="164"/>
      <c r="C137" s="320"/>
      <c r="D137" s="164"/>
      <c r="E137" s="320"/>
      <c r="F137" s="164"/>
      <c r="G137" s="320"/>
      <c r="H137" s="164"/>
      <c r="I137" s="327"/>
      <c r="J137" s="117"/>
      <c r="K137" s="327"/>
      <c r="L137" s="117"/>
      <c r="M137" s="320"/>
      <c r="N137" s="164"/>
      <c r="O137" s="320"/>
      <c r="P137" s="164"/>
      <c r="Q137" s="320"/>
      <c r="R137" s="164"/>
      <c r="S137" s="20"/>
      <c r="T137" s="20"/>
      <c r="U137" s="20"/>
      <c r="V137" s="20"/>
    </row>
    <row r="138">
      <c r="A138" s="320"/>
      <c r="B138" s="164"/>
      <c r="C138" s="320"/>
      <c r="D138" s="164"/>
      <c r="E138" s="320"/>
      <c r="F138" s="164"/>
      <c r="G138" s="320"/>
      <c r="H138" s="164"/>
      <c r="I138" s="327"/>
      <c r="J138" s="117"/>
      <c r="K138" s="327"/>
      <c r="L138" s="117"/>
      <c r="M138" s="320"/>
      <c r="N138" s="164"/>
      <c r="O138" s="320"/>
      <c r="P138" s="164"/>
      <c r="Q138" s="320"/>
      <c r="R138" s="164"/>
      <c r="S138" s="20"/>
      <c r="T138" s="20"/>
      <c r="U138" s="20"/>
      <c r="V138" s="20"/>
    </row>
    <row r="139">
      <c r="A139" s="320"/>
      <c r="B139" s="164"/>
      <c r="C139" s="320"/>
      <c r="D139" s="164"/>
      <c r="E139" s="320"/>
      <c r="F139" s="164"/>
      <c r="G139" s="320"/>
      <c r="H139" s="164"/>
      <c r="I139" s="327"/>
      <c r="J139" s="117"/>
      <c r="K139" s="327"/>
      <c r="L139" s="117"/>
      <c r="M139" s="320"/>
      <c r="N139" s="164"/>
      <c r="O139" s="320"/>
      <c r="P139" s="164"/>
      <c r="Q139" s="320"/>
      <c r="R139" s="164"/>
      <c r="S139" s="20"/>
      <c r="T139" s="20"/>
      <c r="U139" s="20"/>
      <c r="V139" s="20"/>
    </row>
    <row r="140">
      <c r="A140" s="320"/>
      <c r="B140" s="164"/>
      <c r="C140" s="320"/>
      <c r="D140" s="164"/>
      <c r="E140" s="320"/>
      <c r="F140" s="164"/>
      <c r="G140" s="320"/>
      <c r="H140" s="164"/>
      <c r="I140" s="327"/>
      <c r="J140" s="117"/>
      <c r="K140" s="327"/>
      <c r="L140" s="117"/>
      <c r="M140" s="320"/>
      <c r="N140" s="164"/>
      <c r="O140" s="320"/>
      <c r="P140" s="164"/>
      <c r="Q140" s="320"/>
      <c r="R140" s="164"/>
      <c r="S140" s="20"/>
      <c r="T140" s="20"/>
      <c r="U140" s="20"/>
      <c r="V140" s="20"/>
    </row>
    <row r="141">
      <c r="A141" s="320"/>
      <c r="B141" s="164"/>
      <c r="C141" s="320"/>
      <c r="D141" s="164"/>
      <c r="E141" s="320"/>
      <c r="F141" s="164"/>
      <c r="G141" s="320"/>
      <c r="H141" s="164"/>
      <c r="I141" s="327"/>
      <c r="J141" s="117"/>
      <c r="K141" s="327"/>
      <c r="L141" s="117"/>
      <c r="M141" s="320"/>
      <c r="N141" s="164"/>
      <c r="O141" s="320"/>
      <c r="P141" s="164"/>
      <c r="Q141" s="320"/>
      <c r="R141" s="164"/>
      <c r="S141" s="20"/>
      <c r="T141" s="20"/>
      <c r="U141" s="20"/>
      <c r="V141" s="20"/>
    </row>
    <row r="142">
      <c r="A142" s="320"/>
      <c r="B142" s="164"/>
      <c r="C142" s="320"/>
      <c r="D142" s="164"/>
      <c r="E142" s="320"/>
      <c r="F142" s="164"/>
      <c r="G142" s="320"/>
      <c r="H142" s="164"/>
      <c r="I142" s="327"/>
      <c r="J142" s="117"/>
      <c r="K142" s="327"/>
      <c r="L142" s="117"/>
      <c r="M142" s="320"/>
      <c r="N142" s="164"/>
      <c r="O142" s="320"/>
      <c r="P142" s="164"/>
      <c r="Q142" s="320"/>
      <c r="R142" s="164"/>
      <c r="S142" s="20"/>
      <c r="T142" s="20"/>
      <c r="U142" s="20"/>
      <c r="V142" s="20"/>
    </row>
    <row r="143">
      <c r="A143" s="320"/>
      <c r="B143" s="164"/>
      <c r="C143" s="320"/>
      <c r="D143" s="164"/>
      <c r="E143" s="320"/>
      <c r="F143" s="164"/>
      <c r="G143" s="320"/>
      <c r="H143" s="164"/>
      <c r="I143" s="327"/>
      <c r="J143" s="117"/>
      <c r="K143" s="327"/>
      <c r="L143" s="117"/>
      <c r="M143" s="320"/>
      <c r="N143" s="164"/>
      <c r="O143" s="320"/>
      <c r="P143" s="164"/>
      <c r="Q143" s="320"/>
      <c r="R143" s="164"/>
      <c r="S143" s="20"/>
      <c r="T143" s="20"/>
      <c r="U143" s="20"/>
      <c r="V143" s="20"/>
    </row>
    <row r="144">
      <c r="A144" s="320"/>
      <c r="B144" s="164"/>
      <c r="C144" s="320"/>
      <c r="D144" s="164"/>
      <c r="E144" s="320"/>
      <c r="F144" s="164"/>
      <c r="G144" s="320"/>
      <c r="H144" s="164"/>
      <c r="I144" s="327"/>
      <c r="J144" s="117"/>
      <c r="K144" s="327"/>
      <c r="L144" s="117"/>
      <c r="M144" s="320"/>
      <c r="N144" s="164"/>
      <c r="O144" s="320"/>
      <c r="P144" s="164"/>
      <c r="Q144" s="320"/>
      <c r="R144" s="164"/>
      <c r="S144" s="20"/>
      <c r="T144" s="20"/>
      <c r="U144" s="20"/>
      <c r="V144" s="20"/>
    </row>
    <row r="145">
      <c r="A145" s="320"/>
      <c r="B145" s="164"/>
      <c r="C145" s="320"/>
      <c r="D145" s="164"/>
      <c r="E145" s="320"/>
      <c r="F145" s="164"/>
      <c r="G145" s="320"/>
      <c r="H145" s="164"/>
      <c r="I145" s="327"/>
      <c r="J145" s="117"/>
      <c r="K145" s="327"/>
      <c r="L145" s="117"/>
      <c r="M145" s="320"/>
      <c r="N145" s="164"/>
      <c r="O145" s="320"/>
      <c r="P145" s="164"/>
      <c r="Q145" s="320"/>
      <c r="R145" s="164"/>
      <c r="S145" s="20"/>
      <c r="T145" s="20"/>
      <c r="U145" s="20"/>
      <c r="V145" s="20"/>
    </row>
    <row r="146">
      <c r="A146" s="320"/>
      <c r="B146" s="164"/>
      <c r="C146" s="320"/>
      <c r="D146" s="164"/>
      <c r="E146" s="320"/>
      <c r="F146" s="164"/>
      <c r="G146" s="320"/>
      <c r="H146" s="164"/>
      <c r="I146" s="327"/>
      <c r="J146" s="117"/>
      <c r="K146" s="327"/>
      <c r="L146" s="117"/>
      <c r="M146" s="320"/>
      <c r="N146" s="164"/>
      <c r="O146" s="320"/>
      <c r="P146" s="164"/>
      <c r="Q146" s="320"/>
      <c r="R146" s="164"/>
      <c r="S146" s="20"/>
      <c r="T146" s="20"/>
      <c r="U146" s="20"/>
      <c r="V146" s="20"/>
    </row>
    <row r="147">
      <c r="A147" s="320"/>
      <c r="B147" s="164"/>
      <c r="C147" s="320"/>
      <c r="D147" s="164"/>
      <c r="E147" s="320"/>
      <c r="F147" s="164"/>
      <c r="G147" s="320"/>
      <c r="H147" s="164"/>
      <c r="I147" s="327"/>
      <c r="J147" s="117"/>
      <c r="K147" s="327"/>
      <c r="L147" s="117"/>
      <c r="M147" s="320"/>
      <c r="N147" s="164"/>
      <c r="O147" s="320"/>
      <c r="P147" s="164"/>
      <c r="Q147" s="320"/>
      <c r="R147" s="164"/>
      <c r="S147" s="20"/>
      <c r="T147" s="20"/>
      <c r="U147" s="20"/>
      <c r="V147" s="20"/>
    </row>
    <row r="148">
      <c r="A148" s="320"/>
      <c r="B148" s="164"/>
      <c r="C148" s="320"/>
      <c r="D148" s="164"/>
      <c r="E148" s="320"/>
      <c r="F148" s="164"/>
      <c r="G148" s="320"/>
      <c r="H148" s="164"/>
      <c r="I148" s="327"/>
      <c r="J148" s="117"/>
      <c r="K148" s="327"/>
      <c r="L148" s="117"/>
      <c r="M148" s="320"/>
      <c r="N148" s="164"/>
      <c r="O148" s="320"/>
      <c r="P148" s="164"/>
      <c r="Q148" s="320"/>
      <c r="R148" s="164"/>
      <c r="S148" s="20"/>
      <c r="T148" s="20"/>
      <c r="U148" s="20"/>
      <c r="V148" s="20"/>
    </row>
    <row r="149">
      <c r="A149" s="320"/>
      <c r="B149" s="164"/>
      <c r="C149" s="320"/>
      <c r="D149" s="164"/>
      <c r="E149" s="320"/>
      <c r="F149" s="164"/>
      <c r="G149" s="320"/>
      <c r="H149" s="164"/>
      <c r="I149" s="327"/>
      <c r="J149" s="117"/>
      <c r="K149" s="327"/>
      <c r="L149" s="117"/>
      <c r="M149" s="320"/>
      <c r="N149" s="164"/>
      <c r="O149" s="320"/>
      <c r="P149" s="164"/>
      <c r="Q149" s="320"/>
      <c r="R149" s="164"/>
      <c r="S149" s="20"/>
      <c r="T149" s="20"/>
      <c r="U149" s="20"/>
      <c r="V149" s="20"/>
    </row>
    <row r="150">
      <c r="A150" s="320"/>
      <c r="B150" s="164"/>
      <c r="C150" s="320"/>
      <c r="D150" s="164"/>
      <c r="E150" s="320"/>
      <c r="F150" s="164"/>
      <c r="G150" s="320"/>
      <c r="H150" s="164"/>
      <c r="I150" s="327"/>
      <c r="J150" s="117"/>
      <c r="K150" s="327"/>
      <c r="L150" s="117"/>
      <c r="M150" s="320"/>
      <c r="N150" s="164"/>
      <c r="O150" s="320"/>
      <c r="P150" s="164"/>
      <c r="Q150" s="320"/>
      <c r="R150" s="164"/>
      <c r="S150" s="20"/>
      <c r="T150" s="20"/>
      <c r="U150" s="20"/>
      <c r="V150" s="20"/>
    </row>
    <row r="151">
      <c r="A151" s="320"/>
      <c r="B151" s="164"/>
      <c r="C151" s="320"/>
      <c r="D151" s="164"/>
      <c r="E151" s="320"/>
      <c r="F151" s="164"/>
      <c r="G151" s="320"/>
      <c r="H151" s="164"/>
      <c r="I151" s="327"/>
      <c r="J151" s="117"/>
      <c r="K151" s="327"/>
      <c r="L151" s="117"/>
      <c r="M151" s="320"/>
      <c r="N151" s="164"/>
      <c r="O151" s="320"/>
      <c r="P151" s="164"/>
      <c r="Q151" s="320"/>
      <c r="R151" s="164"/>
      <c r="S151" s="20"/>
      <c r="T151" s="20"/>
      <c r="U151" s="20"/>
      <c r="V151" s="20"/>
    </row>
    <row r="152">
      <c r="A152" s="320"/>
      <c r="B152" s="164"/>
      <c r="C152" s="320"/>
      <c r="D152" s="164"/>
      <c r="E152" s="320"/>
      <c r="F152" s="164"/>
      <c r="G152" s="320"/>
      <c r="H152" s="164"/>
      <c r="I152" s="327"/>
      <c r="J152" s="117"/>
      <c r="K152" s="327"/>
      <c r="L152" s="117"/>
      <c r="M152" s="320"/>
      <c r="N152" s="164"/>
      <c r="O152" s="320"/>
      <c r="P152" s="164"/>
      <c r="Q152" s="320"/>
      <c r="R152" s="164"/>
      <c r="S152" s="20"/>
      <c r="T152" s="20"/>
      <c r="U152" s="20"/>
      <c r="V152" s="20"/>
    </row>
    <row r="153">
      <c r="A153" s="320"/>
      <c r="B153" s="164"/>
      <c r="C153" s="320"/>
      <c r="D153" s="164"/>
      <c r="E153" s="320"/>
      <c r="F153" s="164"/>
      <c r="G153" s="320"/>
      <c r="H153" s="164"/>
      <c r="I153" s="327"/>
      <c r="J153" s="117"/>
      <c r="K153" s="327"/>
      <c r="L153" s="117"/>
      <c r="M153" s="320"/>
      <c r="N153" s="164"/>
      <c r="O153" s="320"/>
      <c r="P153" s="164"/>
      <c r="Q153" s="320"/>
      <c r="R153" s="164"/>
      <c r="S153" s="20"/>
      <c r="T153" s="20"/>
      <c r="U153" s="20"/>
      <c r="V153" s="20"/>
    </row>
    <row r="154">
      <c r="A154" s="320"/>
      <c r="B154" s="164"/>
      <c r="C154" s="320"/>
      <c r="D154" s="164"/>
      <c r="E154" s="320"/>
      <c r="F154" s="164"/>
      <c r="G154" s="320"/>
      <c r="H154" s="164"/>
      <c r="I154" s="327"/>
      <c r="J154" s="117"/>
      <c r="K154" s="327"/>
      <c r="L154" s="117"/>
      <c r="M154" s="320"/>
      <c r="N154" s="164"/>
      <c r="O154" s="320"/>
      <c r="P154" s="164"/>
      <c r="Q154" s="320"/>
      <c r="R154" s="164"/>
      <c r="S154" s="20"/>
      <c r="T154" s="20"/>
      <c r="U154" s="20"/>
      <c r="V154" s="20"/>
    </row>
    <row r="155">
      <c r="A155" s="320"/>
      <c r="B155" s="164"/>
      <c r="C155" s="320"/>
      <c r="D155" s="164"/>
      <c r="E155" s="320"/>
      <c r="F155" s="164"/>
      <c r="G155" s="320"/>
      <c r="H155" s="164"/>
      <c r="I155" s="327"/>
      <c r="J155" s="117"/>
      <c r="K155" s="327"/>
      <c r="L155" s="117"/>
      <c r="M155" s="320"/>
      <c r="N155" s="164"/>
      <c r="O155" s="320"/>
      <c r="P155" s="164"/>
      <c r="Q155" s="320"/>
      <c r="R155" s="164"/>
      <c r="S155" s="20"/>
      <c r="T155" s="20"/>
      <c r="U155" s="20"/>
      <c r="V155" s="20"/>
    </row>
    <row r="156">
      <c r="A156" s="320"/>
      <c r="B156" s="164"/>
      <c r="C156" s="320"/>
      <c r="D156" s="164"/>
      <c r="E156" s="320"/>
      <c r="F156" s="164"/>
      <c r="G156" s="320"/>
      <c r="H156" s="164"/>
      <c r="I156" s="327"/>
      <c r="J156" s="117"/>
      <c r="K156" s="327"/>
      <c r="L156" s="117"/>
      <c r="M156" s="320"/>
      <c r="N156" s="164"/>
      <c r="O156" s="320"/>
      <c r="P156" s="164"/>
      <c r="Q156" s="320"/>
      <c r="R156" s="164"/>
      <c r="S156" s="20"/>
      <c r="T156" s="20"/>
      <c r="U156" s="20"/>
      <c r="V156" s="20"/>
    </row>
    <row r="157">
      <c r="A157" s="320"/>
      <c r="B157" s="164"/>
      <c r="C157" s="320"/>
      <c r="D157" s="164"/>
      <c r="E157" s="320"/>
      <c r="F157" s="164"/>
      <c r="G157" s="320"/>
      <c r="H157" s="164"/>
      <c r="I157" s="327"/>
      <c r="J157" s="117"/>
      <c r="K157" s="327"/>
      <c r="L157" s="117"/>
      <c r="M157" s="320"/>
      <c r="N157" s="164"/>
      <c r="O157" s="320"/>
      <c r="P157" s="164"/>
      <c r="Q157" s="320"/>
      <c r="R157" s="164"/>
      <c r="S157" s="20"/>
      <c r="T157" s="20"/>
      <c r="U157" s="20"/>
      <c r="V157" s="20"/>
    </row>
    <row r="158">
      <c r="A158" s="320"/>
      <c r="B158" s="164"/>
      <c r="C158" s="320"/>
      <c r="D158" s="164"/>
      <c r="E158" s="320"/>
      <c r="F158" s="164"/>
      <c r="G158" s="320"/>
      <c r="H158" s="164"/>
      <c r="I158" s="327"/>
      <c r="J158" s="117"/>
      <c r="K158" s="327"/>
      <c r="L158" s="117"/>
      <c r="M158" s="320"/>
      <c r="N158" s="164"/>
      <c r="O158" s="320"/>
      <c r="P158" s="164"/>
      <c r="Q158" s="320"/>
      <c r="R158" s="164"/>
      <c r="S158" s="20"/>
      <c r="T158" s="20"/>
      <c r="U158" s="20"/>
      <c r="V158" s="20"/>
    </row>
    <row r="159">
      <c r="A159" s="320"/>
      <c r="B159" s="164"/>
      <c r="C159" s="320"/>
      <c r="D159" s="164"/>
      <c r="E159" s="320"/>
      <c r="F159" s="164"/>
      <c r="G159" s="320"/>
      <c r="H159" s="164"/>
      <c r="I159" s="327"/>
      <c r="J159" s="117"/>
      <c r="K159" s="327"/>
      <c r="L159" s="117"/>
      <c r="M159" s="320"/>
      <c r="N159" s="164"/>
      <c r="O159" s="320"/>
      <c r="P159" s="164"/>
      <c r="Q159" s="320"/>
      <c r="R159" s="164"/>
      <c r="S159" s="20"/>
      <c r="T159" s="20"/>
      <c r="U159" s="20"/>
      <c r="V159" s="20"/>
    </row>
    <row r="160">
      <c r="A160" s="320"/>
      <c r="B160" s="164"/>
      <c r="C160" s="320"/>
      <c r="D160" s="164"/>
      <c r="E160" s="320"/>
      <c r="F160" s="164"/>
      <c r="G160" s="320"/>
      <c r="H160" s="164"/>
      <c r="I160" s="327"/>
      <c r="J160" s="117"/>
      <c r="K160" s="327"/>
      <c r="L160" s="117"/>
      <c r="M160" s="320"/>
      <c r="N160" s="164"/>
      <c r="O160" s="320"/>
      <c r="P160" s="164"/>
      <c r="Q160" s="320"/>
      <c r="R160" s="164"/>
      <c r="S160" s="20"/>
      <c r="T160" s="20"/>
      <c r="U160" s="20"/>
      <c r="V160" s="20"/>
    </row>
    <row r="161">
      <c r="A161" s="320"/>
      <c r="B161" s="164"/>
      <c r="C161" s="320"/>
      <c r="D161" s="164"/>
      <c r="E161" s="320"/>
      <c r="F161" s="164"/>
      <c r="G161" s="320"/>
      <c r="H161" s="164"/>
      <c r="I161" s="327"/>
      <c r="J161" s="117"/>
      <c r="K161" s="327"/>
      <c r="L161" s="117"/>
      <c r="M161" s="320"/>
      <c r="N161" s="164"/>
      <c r="O161" s="320"/>
      <c r="P161" s="164"/>
      <c r="Q161" s="320"/>
      <c r="R161" s="164"/>
      <c r="S161" s="20"/>
      <c r="T161" s="20"/>
      <c r="U161" s="20"/>
      <c r="V161" s="20"/>
    </row>
    <row r="162">
      <c r="A162" s="320"/>
      <c r="B162" s="164"/>
      <c r="C162" s="320"/>
      <c r="D162" s="164"/>
      <c r="E162" s="320"/>
      <c r="F162" s="164"/>
      <c r="G162" s="320"/>
      <c r="H162" s="164"/>
      <c r="I162" s="327"/>
      <c r="J162" s="117"/>
      <c r="K162" s="327"/>
      <c r="L162" s="117"/>
      <c r="M162" s="320"/>
      <c r="N162" s="164"/>
      <c r="O162" s="320"/>
      <c r="P162" s="164"/>
      <c r="Q162" s="320"/>
      <c r="R162" s="164"/>
      <c r="S162" s="20"/>
      <c r="T162" s="20"/>
      <c r="U162" s="20"/>
      <c r="V162" s="20"/>
    </row>
    <row r="163">
      <c r="A163" s="320"/>
      <c r="B163" s="164"/>
      <c r="C163" s="320"/>
      <c r="D163" s="164"/>
      <c r="E163" s="320"/>
      <c r="F163" s="164"/>
      <c r="G163" s="320"/>
      <c r="H163" s="164"/>
      <c r="I163" s="327"/>
      <c r="J163" s="117"/>
      <c r="K163" s="327"/>
      <c r="L163" s="117"/>
      <c r="M163" s="320"/>
      <c r="N163" s="164"/>
      <c r="O163" s="320"/>
      <c r="P163" s="164"/>
      <c r="Q163" s="320"/>
      <c r="R163" s="164"/>
      <c r="S163" s="20"/>
      <c r="T163" s="20"/>
      <c r="U163" s="20"/>
      <c r="V163" s="20"/>
    </row>
    <row r="164">
      <c r="A164" s="320"/>
      <c r="B164" s="164"/>
      <c r="C164" s="320"/>
      <c r="D164" s="164"/>
      <c r="E164" s="320"/>
      <c r="F164" s="164"/>
      <c r="G164" s="320"/>
      <c r="H164" s="164"/>
      <c r="I164" s="327"/>
      <c r="J164" s="117"/>
      <c r="K164" s="327"/>
      <c r="L164" s="117"/>
      <c r="M164" s="320"/>
      <c r="N164" s="164"/>
      <c r="O164" s="320"/>
      <c r="P164" s="164"/>
      <c r="Q164" s="320"/>
      <c r="R164" s="164"/>
      <c r="S164" s="20"/>
      <c r="T164" s="20"/>
      <c r="U164" s="20"/>
      <c r="V164" s="20"/>
    </row>
    <row r="165">
      <c r="A165" s="320"/>
      <c r="B165" s="164"/>
      <c r="C165" s="320"/>
      <c r="D165" s="164"/>
      <c r="E165" s="320"/>
      <c r="F165" s="164"/>
      <c r="G165" s="320"/>
      <c r="H165" s="164"/>
      <c r="I165" s="327"/>
      <c r="J165" s="117"/>
      <c r="K165" s="327"/>
      <c r="L165" s="117"/>
      <c r="M165" s="320"/>
      <c r="N165" s="164"/>
      <c r="O165" s="320"/>
      <c r="P165" s="164"/>
      <c r="Q165" s="320"/>
      <c r="R165" s="164"/>
      <c r="S165" s="20"/>
      <c r="T165" s="20"/>
      <c r="U165" s="20"/>
      <c r="V165" s="20"/>
    </row>
    <row r="166">
      <c r="A166" s="320"/>
      <c r="B166" s="164"/>
      <c r="C166" s="320"/>
      <c r="D166" s="164"/>
      <c r="E166" s="320"/>
      <c r="F166" s="164"/>
      <c r="G166" s="320"/>
      <c r="H166" s="164"/>
      <c r="I166" s="327"/>
      <c r="J166" s="117"/>
      <c r="K166" s="327"/>
      <c r="L166" s="117"/>
      <c r="M166" s="320"/>
      <c r="N166" s="164"/>
      <c r="O166" s="320"/>
      <c r="P166" s="164"/>
      <c r="Q166" s="320"/>
      <c r="R166" s="164"/>
      <c r="S166" s="20"/>
      <c r="T166" s="20"/>
      <c r="U166" s="20"/>
      <c r="V166" s="20"/>
    </row>
    <row r="167">
      <c r="A167" s="320"/>
      <c r="B167" s="164"/>
      <c r="C167" s="320"/>
      <c r="D167" s="164"/>
      <c r="E167" s="320"/>
      <c r="F167" s="164"/>
      <c r="G167" s="320"/>
      <c r="H167" s="164"/>
      <c r="I167" s="327"/>
      <c r="J167" s="117"/>
      <c r="K167" s="327"/>
      <c r="L167" s="117"/>
      <c r="M167" s="320"/>
      <c r="N167" s="164"/>
      <c r="O167" s="320"/>
      <c r="P167" s="164"/>
      <c r="Q167" s="320"/>
      <c r="R167" s="164"/>
      <c r="S167" s="20"/>
      <c r="T167" s="20"/>
      <c r="U167" s="20"/>
      <c r="V167" s="20"/>
    </row>
    <row r="168">
      <c r="A168" s="320"/>
      <c r="B168" s="164"/>
      <c r="C168" s="320"/>
      <c r="D168" s="164"/>
      <c r="E168" s="320"/>
      <c r="F168" s="164"/>
      <c r="G168" s="320"/>
      <c r="H168" s="164"/>
      <c r="I168" s="327"/>
      <c r="J168" s="117"/>
      <c r="K168" s="327"/>
      <c r="L168" s="117"/>
      <c r="M168" s="320"/>
      <c r="N168" s="164"/>
      <c r="O168" s="320"/>
      <c r="P168" s="164"/>
      <c r="Q168" s="320"/>
      <c r="R168" s="164"/>
      <c r="S168" s="20"/>
      <c r="T168" s="20"/>
      <c r="U168" s="20"/>
      <c r="V168" s="20"/>
    </row>
    <row r="169">
      <c r="A169" s="320"/>
      <c r="B169" s="164"/>
      <c r="C169" s="320"/>
      <c r="D169" s="164"/>
      <c r="E169" s="320"/>
      <c r="F169" s="164"/>
      <c r="G169" s="320"/>
      <c r="H169" s="164"/>
      <c r="I169" s="327"/>
      <c r="J169" s="117"/>
      <c r="K169" s="327"/>
      <c r="L169" s="117"/>
      <c r="M169" s="320"/>
      <c r="N169" s="164"/>
      <c r="O169" s="320"/>
      <c r="P169" s="164"/>
      <c r="Q169" s="320"/>
      <c r="R169" s="164"/>
      <c r="S169" s="20"/>
      <c r="T169" s="20"/>
      <c r="U169" s="20"/>
      <c r="V169" s="20"/>
    </row>
    <row r="170">
      <c r="A170" s="320"/>
      <c r="B170" s="164"/>
      <c r="C170" s="320"/>
      <c r="D170" s="164"/>
      <c r="E170" s="320"/>
      <c r="F170" s="164"/>
      <c r="G170" s="320"/>
      <c r="H170" s="164"/>
      <c r="I170" s="327"/>
      <c r="J170" s="117"/>
      <c r="K170" s="327"/>
      <c r="L170" s="117"/>
      <c r="M170" s="320"/>
      <c r="N170" s="164"/>
      <c r="O170" s="320"/>
      <c r="P170" s="164"/>
      <c r="Q170" s="320"/>
      <c r="R170" s="164"/>
      <c r="S170" s="20"/>
      <c r="T170" s="20"/>
      <c r="U170" s="20"/>
      <c r="V170" s="20"/>
    </row>
    <row r="171">
      <c r="A171" s="320"/>
      <c r="B171" s="164"/>
      <c r="C171" s="320"/>
      <c r="D171" s="164"/>
      <c r="E171" s="320"/>
      <c r="F171" s="164"/>
      <c r="G171" s="320"/>
      <c r="H171" s="164"/>
      <c r="I171" s="327"/>
      <c r="J171" s="117"/>
      <c r="K171" s="327"/>
      <c r="L171" s="117"/>
      <c r="M171" s="320"/>
      <c r="N171" s="164"/>
      <c r="O171" s="320"/>
      <c r="P171" s="164"/>
      <c r="Q171" s="320"/>
      <c r="R171" s="164"/>
      <c r="S171" s="20"/>
      <c r="T171" s="20"/>
      <c r="U171" s="20"/>
      <c r="V171" s="20"/>
    </row>
    <row r="172">
      <c r="A172" s="320"/>
      <c r="B172" s="164"/>
      <c r="C172" s="320"/>
      <c r="D172" s="164"/>
      <c r="E172" s="320"/>
      <c r="F172" s="164"/>
      <c r="G172" s="320"/>
      <c r="H172" s="164"/>
      <c r="I172" s="327"/>
      <c r="J172" s="117"/>
      <c r="K172" s="327"/>
      <c r="L172" s="117"/>
      <c r="M172" s="320"/>
      <c r="N172" s="164"/>
      <c r="O172" s="320"/>
      <c r="P172" s="164"/>
      <c r="Q172" s="320"/>
      <c r="R172" s="164"/>
      <c r="S172" s="20"/>
      <c r="T172" s="20"/>
      <c r="U172" s="20"/>
      <c r="V172" s="20"/>
    </row>
    <row r="173">
      <c r="A173" s="320"/>
      <c r="B173" s="164"/>
      <c r="C173" s="320"/>
      <c r="D173" s="164"/>
      <c r="E173" s="320"/>
      <c r="F173" s="164"/>
      <c r="G173" s="320"/>
      <c r="H173" s="164"/>
      <c r="I173" s="327"/>
      <c r="J173" s="117"/>
      <c r="K173" s="327"/>
      <c r="L173" s="117"/>
      <c r="M173" s="320"/>
      <c r="N173" s="164"/>
      <c r="O173" s="320"/>
      <c r="P173" s="164"/>
      <c r="Q173" s="320"/>
      <c r="R173" s="164"/>
      <c r="S173" s="20"/>
      <c r="T173" s="20"/>
      <c r="U173" s="20"/>
      <c r="V173" s="20"/>
    </row>
    <row r="174">
      <c r="A174" s="320"/>
      <c r="B174" s="164"/>
      <c r="C174" s="320"/>
      <c r="D174" s="164"/>
      <c r="E174" s="320"/>
      <c r="F174" s="164"/>
      <c r="G174" s="320"/>
      <c r="H174" s="164"/>
      <c r="I174" s="327"/>
      <c r="J174" s="117"/>
      <c r="K174" s="327"/>
      <c r="L174" s="117"/>
      <c r="M174" s="320"/>
      <c r="N174" s="164"/>
      <c r="O174" s="320"/>
      <c r="P174" s="164"/>
      <c r="Q174" s="320"/>
      <c r="R174" s="164"/>
      <c r="S174" s="20"/>
      <c r="T174" s="20"/>
      <c r="U174" s="20"/>
      <c r="V174" s="20"/>
    </row>
    <row r="175">
      <c r="A175" s="320"/>
      <c r="B175" s="164"/>
      <c r="C175" s="320"/>
      <c r="D175" s="164"/>
      <c r="E175" s="320"/>
      <c r="F175" s="164"/>
      <c r="G175" s="320"/>
      <c r="H175" s="164"/>
      <c r="I175" s="327"/>
      <c r="J175" s="117"/>
      <c r="K175" s="327"/>
      <c r="L175" s="117"/>
      <c r="M175" s="320"/>
      <c r="N175" s="164"/>
      <c r="O175" s="320"/>
      <c r="P175" s="164"/>
      <c r="Q175" s="320"/>
      <c r="R175" s="164"/>
      <c r="S175" s="20"/>
      <c r="T175" s="20"/>
      <c r="U175" s="20"/>
      <c r="V175" s="20"/>
    </row>
    <row r="176">
      <c r="A176" s="320"/>
      <c r="B176" s="164"/>
      <c r="C176" s="320"/>
      <c r="D176" s="164"/>
      <c r="E176" s="320"/>
      <c r="F176" s="164"/>
      <c r="G176" s="320"/>
      <c r="H176" s="164"/>
      <c r="I176" s="327"/>
      <c r="J176" s="117"/>
      <c r="K176" s="327"/>
      <c r="L176" s="117"/>
      <c r="M176" s="320"/>
      <c r="N176" s="164"/>
      <c r="O176" s="320"/>
      <c r="P176" s="164"/>
      <c r="Q176" s="320"/>
      <c r="R176" s="164"/>
      <c r="S176" s="20"/>
      <c r="T176" s="20"/>
      <c r="U176" s="20"/>
      <c r="V176" s="20"/>
    </row>
    <row r="177">
      <c r="A177" s="320"/>
      <c r="B177" s="164"/>
      <c r="C177" s="320"/>
      <c r="D177" s="164"/>
      <c r="E177" s="320"/>
      <c r="F177" s="164"/>
      <c r="G177" s="320"/>
      <c r="H177" s="164"/>
      <c r="I177" s="327"/>
      <c r="J177" s="117"/>
      <c r="K177" s="327"/>
      <c r="L177" s="117"/>
      <c r="M177" s="320"/>
      <c r="N177" s="164"/>
      <c r="O177" s="320"/>
      <c r="P177" s="164"/>
      <c r="Q177" s="320"/>
      <c r="R177" s="164"/>
      <c r="S177" s="20"/>
      <c r="T177" s="20"/>
      <c r="U177" s="20"/>
      <c r="V177" s="20"/>
    </row>
    <row r="178">
      <c r="A178" s="320"/>
      <c r="B178" s="164"/>
      <c r="C178" s="320"/>
      <c r="D178" s="164"/>
      <c r="E178" s="320"/>
      <c r="F178" s="164"/>
      <c r="G178" s="320"/>
      <c r="H178" s="164"/>
      <c r="I178" s="327"/>
      <c r="J178" s="117"/>
      <c r="K178" s="327"/>
      <c r="L178" s="117"/>
      <c r="M178" s="320"/>
      <c r="N178" s="164"/>
      <c r="O178" s="320"/>
      <c r="P178" s="164"/>
      <c r="Q178" s="320"/>
      <c r="R178" s="164"/>
      <c r="S178" s="20"/>
      <c r="T178" s="20"/>
      <c r="U178" s="20"/>
      <c r="V178" s="20"/>
    </row>
    <row r="179">
      <c r="A179" s="320"/>
      <c r="B179" s="164"/>
      <c r="C179" s="320"/>
      <c r="D179" s="164"/>
      <c r="E179" s="320"/>
      <c r="F179" s="164"/>
      <c r="G179" s="320"/>
      <c r="H179" s="164"/>
      <c r="I179" s="327"/>
      <c r="J179" s="117"/>
      <c r="K179" s="327"/>
      <c r="L179" s="117"/>
      <c r="M179" s="320"/>
      <c r="N179" s="164"/>
      <c r="O179" s="320"/>
      <c r="P179" s="164"/>
      <c r="Q179" s="320"/>
      <c r="R179" s="164"/>
      <c r="S179" s="20"/>
      <c r="T179" s="20"/>
      <c r="U179" s="20"/>
      <c r="V179" s="20"/>
    </row>
    <row r="180">
      <c r="A180" s="320"/>
      <c r="B180" s="164"/>
      <c r="C180" s="320"/>
      <c r="D180" s="164"/>
      <c r="E180" s="320"/>
      <c r="F180" s="164"/>
      <c r="G180" s="320"/>
      <c r="H180" s="164"/>
      <c r="I180" s="327"/>
      <c r="J180" s="117"/>
      <c r="K180" s="327"/>
      <c r="L180" s="117"/>
      <c r="M180" s="320"/>
      <c r="N180" s="164"/>
      <c r="O180" s="320"/>
      <c r="P180" s="164"/>
      <c r="Q180" s="320"/>
      <c r="R180" s="164"/>
      <c r="S180" s="20"/>
      <c r="T180" s="20"/>
      <c r="U180" s="20"/>
      <c r="V180" s="20"/>
    </row>
    <row r="181">
      <c r="A181" s="320"/>
      <c r="B181" s="164"/>
      <c r="C181" s="320"/>
      <c r="D181" s="164"/>
      <c r="E181" s="320"/>
      <c r="F181" s="164"/>
      <c r="G181" s="320"/>
      <c r="H181" s="164"/>
      <c r="I181" s="327"/>
      <c r="J181" s="117"/>
      <c r="K181" s="327"/>
      <c r="L181" s="117"/>
      <c r="M181" s="320"/>
      <c r="N181" s="164"/>
      <c r="O181" s="320"/>
      <c r="P181" s="164"/>
      <c r="Q181" s="320"/>
      <c r="R181" s="164"/>
      <c r="S181" s="20"/>
      <c r="T181" s="20"/>
      <c r="U181" s="20"/>
      <c r="V181" s="20"/>
    </row>
    <row r="182">
      <c r="A182" s="320"/>
      <c r="B182" s="164"/>
      <c r="C182" s="320"/>
      <c r="D182" s="164"/>
      <c r="E182" s="320"/>
      <c r="F182" s="164"/>
      <c r="G182" s="320"/>
      <c r="H182" s="164"/>
      <c r="I182" s="327"/>
      <c r="J182" s="117"/>
      <c r="K182" s="327"/>
      <c r="L182" s="117"/>
      <c r="M182" s="320"/>
      <c r="N182" s="164"/>
      <c r="O182" s="320"/>
      <c r="P182" s="164"/>
      <c r="Q182" s="320"/>
      <c r="R182" s="164"/>
      <c r="S182" s="20"/>
      <c r="T182" s="20"/>
      <c r="U182" s="20"/>
      <c r="V182" s="20"/>
    </row>
    <row r="183">
      <c r="A183" s="320"/>
      <c r="B183" s="164"/>
      <c r="C183" s="320"/>
      <c r="D183" s="164"/>
      <c r="E183" s="320"/>
      <c r="F183" s="164"/>
      <c r="G183" s="320"/>
      <c r="H183" s="164"/>
      <c r="I183" s="327"/>
      <c r="J183" s="117"/>
      <c r="K183" s="327"/>
      <c r="L183" s="117"/>
      <c r="M183" s="320"/>
      <c r="N183" s="164"/>
      <c r="O183" s="320"/>
      <c r="P183" s="164"/>
      <c r="Q183" s="320"/>
      <c r="R183" s="164"/>
      <c r="S183" s="20"/>
      <c r="T183" s="20"/>
      <c r="U183" s="20"/>
      <c r="V183" s="20"/>
    </row>
    <row r="184">
      <c r="A184" s="320"/>
      <c r="B184" s="164"/>
      <c r="C184" s="320"/>
      <c r="D184" s="164"/>
      <c r="E184" s="320"/>
      <c r="F184" s="164"/>
      <c r="G184" s="320"/>
      <c r="H184" s="164"/>
      <c r="I184" s="327"/>
      <c r="J184" s="117"/>
      <c r="K184" s="327"/>
      <c r="L184" s="117"/>
      <c r="M184" s="320"/>
      <c r="N184" s="164"/>
      <c r="O184" s="320"/>
      <c r="P184" s="164"/>
      <c r="Q184" s="320"/>
      <c r="R184" s="164"/>
      <c r="S184" s="20"/>
      <c r="T184" s="20"/>
      <c r="U184" s="20"/>
      <c r="V184" s="20"/>
    </row>
    <row r="185">
      <c r="A185" s="320"/>
      <c r="B185" s="164"/>
      <c r="C185" s="320"/>
      <c r="D185" s="164"/>
      <c r="E185" s="320"/>
      <c r="F185" s="164"/>
      <c r="G185" s="320"/>
      <c r="H185" s="164"/>
      <c r="I185" s="327"/>
      <c r="J185" s="117"/>
      <c r="K185" s="327"/>
      <c r="L185" s="117"/>
      <c r="M185" s="320"/>
      <c r="N185" s="164"/>
      <c r="O185" s="320"/>
      <c r="P185" s="164"/>
      <c r="Q185" s="320"/>
      <c r="R185" s="164"/>
      <c r="S185" s="20"/>
      <c r="T185" s="20"/>
      <c r="U185" s="20"/>
      <c r="V185" s="20"/>
    </row>
    <row r="186">
      <c r="A186" s="320"/>
      <c r="B186" s="164"/>
      <c r="C186" s="320"/>
      <c r="D186" s="164"/>
      <c r="E186" s="320"/>
      <c r="F186" s="164"/>
      <c r="G186" s="320"/>
      <c r="H186" s="164"/>
      <c r="I186" s="327"/>
      <c r="J186" s="117"/>
      <c r="K186" s="327"/>
      <c r="L186" s="117"/>
      <c r="M186" s="320"/>
      <c r="N186" s="164"/>
      <c r="O186" s="320"/>
      <c r="P186" s="164"/>
      <c r="Q186" s="320"/>
      <c r="R186" s="164"/>
      <c r="S186" s="20"/>
      <c r="T186" s="20"/>
      <c r="U186" s="20"/>
      <c r="V186" s="20"/>
    </row>
    <row r="187">
      <c r="A187" s="320"/>
      <c r="B187" s="164"/>
      <c r="C187" s="320"/>
      <c r="D187" s="164"/>
      <c r="E187" s="320"/>
      <c r="F187" s="164"/>
      <c r="G187" s="320"/>
      <c r="H187" s="164"/>
      <c r="I187" s="327"/>
      <c r="J187" s="117"/>
      <c r="K187" s="327"/>
      <c r="L187" s="117"/>
      <c r="M187" s="320"/>
      <c r="N187" s="164"/>
      <c r="O187" s="320"/>
      <c r="P187" s="164"/>
      <c r="Q187" s="320"/>
      <c r="R187" s="164"/>
      <c r="S187" s="20"/>
      <c r="T187" s="20"/>
      <c r="U187" s="20"/>
      <c r="V187" s="20"/>
    </row>
    <row r="188">
      <c r="A188" s="320"/>
      <c r="B188" s="164"/>
      <c r="C188" s="320"/>
      <c r="D188" s="164"/>
      <c r="E188" s="320"/>
      <c r="F188" s="164"/>
      <c r="G188" s="320"/>
      <c r="H188" s="164"/>
      <c r="I188" s="327"/>
      <c r="J188" s="117"/>
      <c r="K188" s="327"/>
      <c r="L188" s="117"/>
      <c r="M188" s="320"/>
      <c r="N188" s="164"/>
      <c r="O188" s="320"/>
      <c r="P188" s="164"/>
      <c r="Q188" s="320"/>
      <c r="R188" s="164"/>
      <c r="S188" s="20"/>
      <c r="T188" s="20"/>
      <c r="U188" s="20"/>
      <c r="V188" s="20"/>
    </row>
    <row r="189">
      <c r="A189" s="320"/>
      <c r="B189" s="164"/>
      <c r="C189" s="320"/>
      <c r="D189" s="164"/>
      <c r="E189" s="320"/>
      <c r="F189" s="164"/>
      <c r="G189" s="320"/>
      <c r="H189" s="164"/>
      <c r="I189" s="327"/>
      <c r="J189" s="117"/>
      <c r="K189" s="327"/>
      <c r="L189" s="117"/>
      <c r="M189" s="320"/>
      <c r="N189" s="164"/>
      <c r="O189" s="320"/>
      <c r="P189" s="164"/>
      <c r="Q189" s="320"/>
      <c r="R189" s="164"/>
      <c r="S189" s="20"/>
      <c r="T189" s="20"/>
      <c r="U189" s="20"/>
      <c r="V189" s="20"/>
    </row>
    <row r="190">
      <c r="A190" s="320"/>
      <c r="B190" s="164"/>
      <c r="C190" s="320"/>
      <c r="D190" s="164"/>
      <c r="E190" s="320"/>
      <c r="F190" s="164"/>
      <c r="G190" s="320"/>
      <c r="H190" s="164"/>
      <c r="I190" s="327"/>
      <c r="J190" s="117"/>
      <c r="K190" s="327"/>
      <c r="L190" s="117"/>
      <c r="M190" s="320"/>
      <c r="N190" s="164"/>
      <c r="O190" s="320"/>
      <c r="P190" s="164"/>
      <c r="Q190" s="320"/>
      <c r="R190" s="164"/>
      <c r="S190" s="20"/>
      <c r="T190" s="20"/>
      <c r="U190" s="20"/>
      <c r="V190" s="20"/>
    </row>
    <row r="191">
      <c r="A191" s="320"/>
      <c r="B191" s="164"/>
      <c r="C191" s="320"/>
      <c r="D191" s="164"/>
      <c r="E191" s="320"/>
      <c r="F191" s="164"/>
      <c r="G191" s="320"/>
      <c r="H191" s="164"/>
      <c r="I191" s="327"/>
      <c r="J191" s="117"/>
      <c r="K191" s="327"/>
      <c r="L191" s="117"/>
      <c r="M191" s="320"/>
      <c r="N191" s="164"/>
      <c r="O191" s="320"/>
      <c r="P191" s="164"/>
      <c r="Q191" s="320"/>
      <c r="R191" s="164"/>
      <c r="S191" s="20"/>
      <c r="T191" s="20"/>
      <c r="U191" s="20"/>
      <c r="V191" s="20"/>
    </row>
    <row r="192">
      <c r="A192" s="320"/>
      <c r="B192" s="164"/>
      <c r="C192" s="320"/>
      <c r="D192" s="164"/>
      <c r="E192" s="320"/>
      <c r="F192" s="164"/>
      <c r="G192" s="320"/>
      <c r="H192" s="164"/>
      <c r="I192" s="327"/>
      <c r="J192" s="117"/>
      <c r="K192" s="327"/>
      <c r="L192" s="117"/>
      <c r="M192" s="320"/>
      <c r="N192" s="164"/>
      <c r="O192" s="320"/>
      <c r="P192" s="164"/>
      <c r="Q192" s="320"/>
      <c r="R192" s="164"/>
      <c r="S192" s="20"/>
      <c r="T192" s="20"/>
      <c r="U192" s="20"/>
      <c r="V192" s="20"/>
    </row>
    <row r="193">
      <c r="A193" s="320"/>
      <c r="B193" s="164"/>
      <c r="C193" s="320"/>
      <c r="D193" s="164"/>
      <c r="E193" s="320"/>
      <c r="F193" s="164"/>
      <c r="G193" s="320"/>
      <c r="H193" s="164"/>
      <c r="I193" s="327"/>
      <c r="J193" s="117"/>
      <c r="K193" s="327"/>
      <c r="L193" s="117"/>
      <c r="M193" s="320"/>
      <c r="N193" s="164"/>
      <c r="O193" s="320"/>
      <c r="P193" s="164"/>
      <c r="Q193" s="320"/>
      <c r="R193" s="164"/>
      <c r="S193" s="20"/>
      <c r="T193" s="20"/>
      <c r="U193" s="20"/>
      <c r="V193" s="20"/>
    </row>
    <row r="194">
      <c r="A194" s="320"/>
      <c r="B194" s="164"/>
      <c r="C194" s="320"/>
      <c r="D194" s="164"/>
      <c r="E194" s="320"/>
      <c r="F194" s="164"/>
      <c r="G194" s="320"/>
      <c r="H194" s="164"/>
      <c r="I194" s="327"/>
      <c r="J194" s="117"/>
      <c r="K194" s="327"/>
      <c r="L194" s="117"/>
      <c r="M194" s="320"/>
      <c r="N194" s="164"/>
      <c r="O194" s="320"/>
      <c r="P194" s="164"/>
      <c r="Q194" s="320"/>
      <c r="R194" s="164"/>
      <c r="S194" s="20"/>
      <c r="T194" s="20"/>
      <c r="U194" s="20"/>
      <c r="V194" s="20"/>
    </row>
    <row r="195">
      <c r="A195" s="320"/>
      <c r="B195" s="164"/>
      <c r="C195" s="320"/>
      <c r="D195" s="164"/>
      <c r="E195" s="320"/>
      <c r="F195" s="164"/>
      <c r="G195" s="320"/>
      <c r="H195" s="164"/>
      <c r="I195" s="327"/>
      <c r="J195" s="117"/>
      <c r="K195" s="327"/>
      <c r="L195" s="117"/>
      <c r="M195" s="320"/>
      <c r="N195" s="164"/>
      <c r="O195" s="320"/>
      <c r="P195" s="164"/>
      <c r="Q195" s="320"/>
      <c r="R195" s="164"/>
      <c r="S195" s="20"/>
      <c r="T195" s="20"/>
      <c r="U195" s="20"/>
      <c r="V195" s="20"/>
    </row>
    <row r="196">
      <c r="A196" s="320"/>
      <c r="B196" s="164"/>
      <c r="C196" s="320"/>
      <c r="D196" s="164"/>
      <c r="E196" s="320"/>
      <c r="F196" s="164"/>
      <c r="G196" s="320"/>
      <c r="H196" s="164"/>
      <c r="I196" s="327"/>
      <c r="J196" s="117"/>
      <c r="K196" s="327"/>
      <c r="L196" s="117"/>
      <c r="M196" s="320"/>
      <c r="N196" s="164"/>
      <c r="O196" s="320"/>
      <c r="P196" s="164"/>
      <c r="Q196" s="320"/>
      <c r="R196" s="164"/>
      <c r="S196" s="20"/>
      <c r="T196" s="20"/>
      <c r="U196" s="20"/>
      <c r="V196" s="20"/>
    </row>
    <row r="197">
      <c r="A197" s="320"/>
      <c r="B197" s="164"/>
      <c r="C197" s="320"/>
      <c r="D197" s="164"/>
      <c r="E197" s="320"/>
      <c r="F197" s="164"/>
      <c r="G197" s="320"/>
      <c r="H197" s="164"/>
      <c r="I197" s="327"/>
      <c r="J197" s="117"/>
      <c r="K197" s="327"/>
      <c r="L197" s="117"/>
      <c r="M197" s="320"/>
      <c r="N197" s="164"/>
      <c r="O197" s="320"/>
      <c r="P197" s="164"/>
      <c r="Q197" s="320"/>
      <c r="R197" s="164"/>
      <c r="S197" s="20"/>
      <c r="T197" s="20"/>
      <c r="U197" s="20"/>
      <c r="V197" s="20"/>
    </row>
    <row r="198">
      <c r="A198" s="320"/>
      <c r="B198" s="164"/>
      <c r="C198" s="320"/>
      <c r="D198" s="164"/>
      <c r="E198" s="320"/>
      <c r="F198" s="164"/>
      <c r="G198" s="320"/>
      <c r="H198" s="164"/>
      <c r="I198" s="327"/>
      <c r="J198" s="117"/>
      <c r="K198" s="327"/>
      <c r="L198" s="117"/>
      <c r="M198" s="320"/>
      <c r="N198" s="164"/>
      <c r="O198" s="320"/>
      <c r="P198" s="164"/>
      <c r="Q198" s="320"/>
      <c r="R198" s="164"/>
      <c r="S198" s="20"/>
      <c r="T198" s="20"/>
      <c r="U198" s="20"/>
      <c r="V198" s="20"/>
    </row>
    <row r="199">
      <c r="A199" s="320"/>
      <c r="B199" s="164"/>
      <c r="C199" s="320"/>
      <c r="D199" s="164"/>
      <c r="E199" s="320"/>
      <c r="F199" s="164"/>
      <c r="G199" s="320"/>
      <c r="H199" s="164"/>
      <c r="I199" s="327"/>
      <c r="J199" s="117"/>
      <c r="K199" s="327"/>
      <c r="L199" s="117"/>
      <c r="M199" s="320"/>
      <c r="N199" s="164"/>
      <c r="O199" s="320"/>
      <c r="P199" s="164"/>
      <c r="Q199" s="320"/>
      <c r="R199" s="164"/>
      <c r="S199" s="20"/>
      <c r="T199" s="20"/>
      <c r="U199" s="20"/>
      <c r="V199" s="20"/>
    </row>
    <row r="200">
      <c r="A200" s="320"/>
      <c r="B200" s="164"/>
      <c r="C200" s="320"/>
      <c r="D200" s="164"/>
      <c r="E200" s="320"/>
      <c r="F200" s="164"/>
      <c r="G200" s="320"/>
      <c r="H200" s="164"/>
      <c r="I200" s="327"/>
      <c r="J200" s="117"/>
      <c r="K200" s="327"/>
      <c r="L200" s="117"/>
      <c r="M200" s="320"/>
      <c r="N200" s="164"/>
      <c r="O200" s="320"/>
      <c r="P200" s="164"/>
      <c r="Q200" s="320"/>
      <c r="R200" s="164"/>
      <c r="S200" s="20"/>
      <c r="T200" s="20"/>
      <c r="U200" s="20"/>
      <c r="V200" s="20"/>
    </row>
    <row r="201">
      <c r="A201" s="320"/>
      <c r="B201" s="164"/>
      <c r="C201" s="320"/>
      <c r="D201" s="164"/>
      <c r="E201" s="320"/>
      <c r="F201" s="164"/>
      <c r="G201" s="320"/>
      <c r="H201" s="164"/>
      <c r="I201" s="327"/>
      <c r="J201" s="117"/>
      <c r="K201" s="327"/>
      <c r="L201" s="117"/>
      <c r="M201" s="320"/>
      <c r="N201" s="164"/>
      <c r="O201" s="320"/>
      <c r="P201" s="164"/>
      <c r="Q201" s="320"/>
      <c r="R201" s="164"/>
      <c r="S201" s="20"/>
      <c r="T201" s="20"/>
      <c r="U201" s="20"/>
      <c r="V201" s="20"/>
    </row>
    <row r="202">
      <c r="A202" s="320"/>
      <c r="B202" s="164"/>
      <c r="C202" s="320"/>
      <c r="D202" s="164"/>
      <c r="E202" s="320"/>
      <c r="F202" s="164"/>
      <c r="G202" s="320"/>
      <c r="H202" s="164"/>
      <c r="I202" s="327"/>
      <c r="J202" s="117"/>
      <c r="K202" s="327"/>
      <c r="L202" s="117"/>
      <c r="M202" s="320"/>
      <c r="N202" s="164"/>
      <c r="O202" s="320"/>
      <c r="P202" s="164"/>
      <c r="Q202" s="320"/>
      <c r="R202" s="164"/>
      <c r="S202" s="20"/>
      <c r="T202" s="20"/>
      <c r="U202" s="20"/>
      <c r="V202" s="20"/>
    </row>
    <row r="203">
      <c r="A203" s="320"/>
      <c r="B203" s="164"/>
      <c r="C203" s="320"/>
      <c r="D203" s="164"/>
      <c r="E203" s="320"/>
      <c r="F203" s="164"/>
      <c r="G203" s="320"/>
      <c r="H203" s="164"/>
      <c r="I203" s="327"/>
      <c r="J203" s="117"/>
      <c r="K203" s="327"/>
      <c r="L203" s="117"/>
      <c r="M203" s="320"/>
      <c r="N203" s="164"/>
      <c r="O203" s="320"/>
      <c r="P203" s="164"/>
      <c r="Q203" s="320"/>
      <c r="R203" s="164"/>
      <c r="S203" s="20"/>
      <c r="T203" s="20"/>
      <c r="U203" s="20"/>
      <c r="V203" s="20"/>
    </row>
    <row r="204">
      <c r="A204" s="320"/>
      <c r="B204" s="164"/>
      <c r="C204" s="320"/>
      <c r="D204" s="164"/>
      <c r="E204" s="320"/>
      <c r="F204" s="164"/>
      <c r="G204" s="320"/>
      <c r="H204" s="164"/>
      <c r="I204" s="327"/>
      <c r="J204" s="117"/>
      <c r="K204" s="327"/>
      <c r="L204" s="117"/>
      <c r="M204" s="320"/>
      <c r="N204" s="164"/>
      <c r="O204" s="320"/>
      <c r="P204" s="164"/>
      <c r="Q204" s="320"/>
      <c r="R204" s="164"/>
      <c r="S204" s="20"/>
      <c r="T204" s="20"/>
      <c r="U204" s="20"/>
      <c r="V204" s="20"/>
    </row>
    <row r="205">
      <c r="A205" s="320"/>
      <c r="B205" s="164"/>
      <c r="C205" s="320"/>
      <c r="D205" s="164"/>
      <c r="E205" s="320"/>
      <c r="F205" s="164"/>
      <c r="G205" s="320"/>
      <c r="H205" s="164"/>
      <c r="I205" s="327"/>
      <c r="J205" s="117"/>
      <c r="K205" s="327"/>
      <c r="L205" s="117"/>
      <c r="M205" s="320"/>
      <c r="N205" s="164"/>
      <c r="O205" s="320"/>
      <c r="P205" s="164"/>
      <c r="Q205" s="320"/>
      <c r="R205" s="164"/>
      <c r="S205" s="20"/>
      <c r="T205" s="20"/>
      <c r="U205" s="20"/>
      <c r="V205" s="20"/>
    </row>
    <row r="206">
      <c r="A206" s="320"/>
      <c r="B206" s="164"/>
      <c r="C206" s="320"/>
      <c r="D206" s="164"/>
      <c r="E206" s="320"/>
      <c r="F206" s="164"/>
      <c r="G206" s="320"/>
      <c r="H206" s="164"/>
      <c r="I206" s="327"/>
      <c r="J206" s="117"/>
      <c r="K206" s="327"/>
      <c r="L206" s="117"/>
      <c r="M206" s="320"/>
      <c r="N206" s="164"/>
      <c r="O206" s="320"/>
      <c r="P206" s="164"/>
      <c r="Q206" s="320"/>
      <c r="R206" s="164"/>
      <c r="S206" s="20"/>
      <c r="T206" s="20"/>
      <c r="U206" s="20"/>
      <c r="V206" s="20"/>
    </row>
    <row r="207">
      <c r="A207" s="320"/>
      <c r="B207" s="164"/>
      <c r="C207" s="320"/>
      <c r="D207" s="164"/>
      <c r="E207" s="320"/>
      <c r="F207" s="164"/>
      <c r="G207" s="320"/>
      <c r="H207" s="164"/>
      <c r="I207" s="327"/>
      <c r="J207" s="117"/>
      <c r="K207" s="327"/>
      <c r="L207" s="117"/>
      <c r="M207" s="320"/>
      <c r="N207" s="164"/>
      <c r="O207" s="320"/>
      <c r="P207" s="164"/>
      <c r="Q207" s="320"/>
      <c r="R207" s="164"/>
      <c r="S207" s="20"/>
      <c r="T207" s="20"/>
      <c r="U207" s="20"/>
      <c r="V207" s="20"/>
    </row>
    <row r="208">
      <c r="A208" s="320"/>
      <c r="B208" s="164"/>
      <c r="C208" s="320"/>
      <c r="D208" s="164"/>
      <c r="E208" s="320"/>
      <c r="F208" s="164"/>
      <c r="G208" s="320"/>
      <c r="H208" s="164"/>
      <c r="I208" s="327"/>
      <c r="J208" s="117"/>
      <c r="K208" s="327"/>
      <c r="L208" s="117"/>
      <c r="M208" s="320"/>
      <c r="N208" s="164"/>
      <c r="O208" s="320"/>
      <c r="P208" s="164"/>
      <c r="Q208" s="320"/>
      <c r="R208" s="164"/>
      <c r="S208" s="20"/>
      <c r="T208" s="20"/>
      <c r="U208" s="20"/>
      <c r="V208" s="20"/>
    </row>
    <row r="209">
      <c r="A209" s="320"/>
      <c r="B209" s="164"/>
      <c r="C209" s="320"/>
      <c r="D209" s="164"/>
      <c r="E209" s="320"/>
      <c r="F209" s="164"/>
      <c r="G209" s="320"/>
      <c r="H209" s="164"/>
      <c r="I209" s="327"/>
      <c r="J209" s="117"/>
      <c r="K209" s="327"/>
      <c r="L209" s="117"/>
      <c r="M209" s="320"/>
      <c r="N209" s="164"/>
      <c r="O209" s="320"/>
      <c r="P209" s="164"/>
      <c r="Q209" s="320"/>
      <c r="R209" s="164"/>
      <c r="S209" s="20"/>
      <c r="T209" s="20"/>
      <c r="U209" s="20"/>
      <c r="V209" s="20"/>
    </row>
    <row r="210">
      <c r="A210" s="320"/>
      <c r="B210" s="164"/>
      <c r="C210" s="320"/>
      <c r="D210" s="164"/>
      <c r="E210" s="320"/>
      <c r="F210" s="164"/>
      <c r="G210" s="320"/>
      <c r="H210" s="164"/>
      <c r="I210" s="327"/>
      <c r="J210" s="117"/>
      <c r="K210" s="327"/>
      <c r="L210" s="117"/>
      <c r="M210" s="320"/>
      <c r="N210" s="164"/>
      <c r="O210" s="320"/>
      <c r="P210" s="164"/>
      <c r="Q210" s="320"/>
      <c r="R210" s="164"/>
      <c r="S210" s="20"/>
      <c r="T210" s="20"/>
      <c r="U210" s="20"/>
      <c r="V210" s="20"/>
    </row>
    <row r="211">
      <c r="A211" s="320"/>
      <c r="B211" s="164"/>
      <c r="C211" s="320"/>
      <c r="D211" s="164"/>
      <c r="E211" s="320"/>
      <c r="F211" s="164"/>
      <c r="G211" s="320"/>
      <c r="H211" s="164"/>
      <c r="I211" s="327"/>
      <c r="J211" s="117"/>
      <c r="K211" s="327"/>
      <c r="L211" s="117"/>
      <c r="M211" s="320"/>
      <c r="N211" s="164"/>
      <c r="O211" s="320"/>
      <c r="P211" s="164"/>
      <c r="Q211" s="320"/>
      <c r="R211" s="164"/>
      <c r="S211" s="20"/>
      <c r="T211" s="20"/>
      <c r="U211" s="20"/>
      <c r="V211" s="20"/>
    </row>
    <row r="212">
      <c r="A212" s="320"/>
      <c r="B212" s="164"/>
      <c r="C212" s="320"/>
      <c r="D212" s="164"/>
      <c r="E212" s="320"/>
      <c r="F212" s="164"/>
      <c r="G212" s="320"/>
      <c r="H212" s="164"/>
      <c r="I212" s="327"/>
      <c r="J212" s="117"/>
      <c r="K212" s="327"/>
      <c r="L212" s="117"/>
      <c r="M212" s="320"/>
      <c r="N212" s="164"/>
      <c r="O212" s="320"/>
      <c r="P212" s="164"/>
      <c r="Q212" s="320"/>
      <c r="R212" s="164"/>
      <c r="S212" s="20"/>
      <c r="T212" s="20"/>
      <c r="U212" s="20"/>
      <c r="V212" s="20"/>
    </row>
    <row r="213">
      <c r="A213" s="320"/>
      <c r="B213" s="164"/>
      <c r="C213" s="320"/>
      <c r="D213" s="164"/>
      <c r="E213" s="320"/>
      <c r="F213" s="164"/>
      <c r="G213" s="320"/>
      <c r="H213" s="164"/>
      <c r="I213" s="327"/>
      <c r="J213" s="117"/>
      <c r="K213" s="327"/>
      <c r="L213" s="117"/>
      <c r="M213" s="320"/>
      <c r="N213" s="164"/>
      <c r="O213" s="320"/>
      <c r="P213" s="164"/>
      <c r="Q213" s="320"/>
      <c r="R213" s="164"/>
      <c r="S213" s="20"/>
      <c r="T213" s="20"/>
      <c r="U213" s="20"/>
      <c r="V213" s="20"/>
    </row>
    <row r="214">
      <c r="A214" s="320"/>
      <c r="B214" s="164"/>
      <c r="C214" s="320"/>
      <c r="D214" s="164"/>
      <c r="E214" s="320"/>
      <c r="F214" s="164"/>
      <c r="G214" s="320"/>
      <c r="H214" s="164"/>
      <c r="I214" s="327"/>
      <c r="J214" s="117"/>
      <c r="K214" s="327"/>
      <c r="L214" s="117"/>
      <c r="M214" s="320"/>
      <c r="N214" s="164"/>
      <c r="O214" s="320"/>
      <c r="P214" s="164"/>
      <c r="Q214" s="320"/>
      <c r="R214" s="164"/>
      <c r="S214" s="20"/>
      <c r="T214" s="20"/>
      <c r="U214" s="20"/>
      <c r="V214" s="20"/>
    </row>
    <row r="215">
      <c r="A215" s="320"/>
      <c r="B215" s="164"/>
      <c r="C215" s="320"/>
      <c r="D215" s="164"/>
      <c r="E215" s="320"/>
      <c r="F215" s="164"/>
      <c r="G215" s="320"/>
      <c r="H215" s="164"/>
      <c r="I215" s="327"/>
      <c r="J215" s="117"/>
      <c r="K215" s="327"/>
      <c r="L215" s="117"/>
      <c r="M215" s="320"/>
      <c r="N215" s="164"/>
      <c r="O215" s="320"/>
      <c r="P215" s="164"/>
      <c r="Q215" s="320"/>
      <c r="R215" s="164"/>
      <c r="S215" s="20"/>
      <c r="T215" s="20"/>
      <c r="U215" s="20"/>
      <c r="V215" s="20"/>
    </row>
    <row r="216">
      <c r="A216" s="320"/>
      <c r="B216" s="164"/>
      <c r="C216" s="320"/>
      <c r="D216" s="164"/>
      <c r="E216" s="320"/>
      <c r="F216" s="164"/>
      <c r="G216" s="320"/>
      <c r="H216" s="164"/>
      <c r="I216" s="327"/>
      <c r="J216" s="117"/>
      <c r="K216" s="327"/>
      <c r="L216" s="117"/>
      <c r="M216" s="320"/>
      <c r="N216" s="164"/>
      <c r="O216" s="320"/>
      <c r="P216" s="164"/>
      <c r="Q216" s="320"/>
      <c r="R216" s="164"/>
      <c r="S216" s="20"/>
      <c r="T216" s="20"/>
      <c r="U216" s="20"/>
      <c r="V216" s="20"/>
    </row>
    <row r="217">
      <c r="A217" s="320"/>
      <c r="B217" s="164"/>
      <c r="C217" s="320"/>
      <c r="D217" s="164"/>
      <c r="E217" s="320"/>
      <c r="F217" s="164"/>
      <c r="G217" s="320"/>
      <c r="H217" s="164"/>
      <c r="I217" s="327"/>
      <c r="J217" s="117"/>
      <c r="K217" s="327"/>
      <c r="L217" s="117"/>
      <c r="M217" s="320"/>
      <c r="N217" s="164"/>
      <c r="O217" s="320"/>
      <c r="P217" s="164"/>
      <c r="Q217" s="320"/>
      <c r="R217" s="164"/>
      <c r="S217" s="20"/>
      <c r="T217" s="20"/>
      <c r="U217" s="20"/>
      <c r="V217" s="20"/>
    </row>
    <row r="218">
      <c r="A218" s="320"/>
      <c r="B218" s="164"/>
      <c r="C218" s="320"/>
      <c r="D218" s="164"/>
      <c r="E218" s="320"/>
      <c r="F218" s="164"/>
      <c r="G218" s="320"/>
      <c r="H218" s="164"/>
      <c r="I218" s="327"/>
      <c r="J218" s="117"/>
      <c r="K218" s="327"/>
      <c r="L218" s="117"/>
      <c r="M218" s="320"/>
      <c r="N218" s="164"/>
      <c r="O218" s="320"/>
      <c r="P218" s="164"/>
      <c r="Q218" s="320"/>
      <c r="R218" s="164"/>
      <c r="S218" s="20"/>
      <c r="T218" s="20"/>
      <c r="U218" s="20"/>
      <c r="V218" s="20"/>
    </row>
    <row r="219">
      <c r="A219" s="320"/>
      <c r="B219" s="164"/>
      <c r="C219" s="320"/>
      <c r="D219" s="164"/>
      <c r="E219" s="320"/>
      <c r="F219" s="164"/>
      <c r="G219" s="320"/>
      <c r="H219" s="164"/>
      <c r="I219" s="327"/>
      <c r="J219" s="117"/>
      <c r="K219" s="327"/>
      <c r="L219" s="117"/>
      <c r="M219" s="320"/>
      <c r="N219" s="164"/>
      <c r="O219" s="320"/>
      <c r="P219" s="164"/>
      <c r="Q219" s="320"/>
      <c r="R219" s="164"/>
      <c r="S219" s="20"/>
      <c r="T219" s="20"/>
      <c r="U219" s="20"/>
      <c r="V219" s="20"/>
    </row>
    <row r="220">
      <c r="A220" s="320"/>
      <c r="B220" s="164"/>
      <c r="C220" s="320"/>
      <c r="D220" s="164"/>
      <c r="E220" s="320"/>
      <c r="F220" s="164"/>
      <c r="G220" s="320"/>
      <c r="H220" s="164"/>
      <c r="I220" s="327"/>
      <c r="J220" s="117"/>
      <c r="K220" s="327"/>
      <c r="L220" s="117"/>
      <c r="M220" s="320"/>
      <c r="N220" s="164"/>
      <c r="O220" s="320"/>
      <c r="P220" s="164"/>
      <c r="Q220" s="320"/>
      <c r="R220" s="164"/>
      <c r="S220" s="20"/>
      <c r="T220" s="20"/>
      <c r="U220" s="20"/>
      <c r="V220" s="20"/>
    </row>
    <row r="221">
      <c r="A221" s="320"/>
      <c r="B221" s="164"/>
      <c r="C221" s="320"/>
      <c r="D221" s="164"/>
      <c r="E221" s="320"/>
      <c r="F221" s="164"/>
      <c r="G221" s="320"/>
      <c r="H221" s="164"/>
      <c r="I221" s="327"/>
      <c r="J221" s="117"/>
      <c r="K221" s="327"/>
      <c r="L221" s="117"/>
      <c r="M221" s="320"/>
      <c r="N221" s="164"/>
      <c r="O221" s="320"/>
      <c r="P221" s="164"/>
      <c r="Q221" s="320"/>
      <c r="R221" s="164"/>
      <c r="S221" s="20"/>
      <c r="T221" s="20"/>
      <c r="U221" s="20"/>
      <c r="V221" s="20"/>
    </row>
    <row r="222">
      <c r="A222" s="320"/>
      <c r="B222" s="164"/>
      <c r="C222" s="320"/>
      <c r="D222" s="164"/>
      <c r="E222" s="320"/>
      <c r="F222" s="164"/>
      <c r="G222" s="320"/>
      <c r="H222" s="164"/>
      <c r="I222" s="327"/>
      <c r="J222" s="117"/>
      <c r="K222" s="327"/>
      <c r="L222" s="117"/>
      <c r="M222" s="320"/>
      <c r="N222" s="164"/>
      <c r="O222" s="320"/>
      <c r="P222" s="164"/>
      <c r="Q222" s="320"/>
      <c r="R222" s="164"/>
      <c r="S222" s="20"/>
      <c r="T222" s="20"/>
      <c r="U222" s="20"/>
      <c r="V222" s="20"/>
    </row>
    <row r="223">
      <c r="A223" s="320"/>
      <c r="B223" s="164"/>
      <c r="C223" s="320"/>
      <c r="D223" s="164"/>
      <c r="E223" s="320"/>
      <c r="F223" s="164"/>
      <c r="G223" s="320"/>
      <c r="H223" s="164"/>
      <c r="I223" s="327"/>
      <c r="J223" s="117"/>
      <c r="K223" s="327"/>
      <c r="L223" s="117"/>
      <c r="M223" s="320"/>
      <c r="N223" s="164"/>
      <c r="O223" s="320"/>
      <c r="P223" s="164"/>
      <c r="Q223" s="320"/>
      <c r="R223" s="164"/>
      <c r="S223" s="20"/>
      <c r="T223" s="20"/>
      <c r="U223" s="20"/>
      <c r="V223" s="20"/>
    </row>
    <row r="224">
      <c r="A224" s="320"/>
      <c r="B224" s="164"/>
      <c r="C224" s="320"/>
      <c r="D224" s="164"/>
      <c r="E224" s="320"/>
      <c r="F224" s="164"/>
      <c r="G224" s="320"/>
      <c r="H224" s="164"/>
      <c r="I224" s="327"/>
      <c r="J224" s="117"/>
      <c r="K224" s="327"/>
      <c r="L224" s="117"/>
      <c r="M224" s="320"/>
      <c r="N224" s="164"/>
      <c r="O224" s="320"/>
      <c r="P224" s="164"/>
      <c r="Q224" s="320"/>
      <c r="R224" s="164"/>
      <c r="S224" s="20"/>
      <c r="T224" s="20"/>
      <c r="U224" s="20"/>
      <c r="V224" s="20"/>
    </row>
    <row r="225">
      <c r="A225" s="320"/>
      <c r="B225" s="164"/>
      <c r="C225" s="320"/>
      <c r="D225" s="164"/>
      <c r="E225" s="320"/>
      <c r="F225" s="164"/>
      <c r="G225" s="320"/>
      <c r="H225" s="164"/>
      <c r="I225" s="327"/>
      <c r="J225" s="117"/>
      <c r="K225" s="327"/>
      <c r="L225" s="117"/>
      <c r="M225" s="320"/>
      <c r="N225" s="164"/>
      <c r="O225" s="320"/>
      <c r="P225" s="164"/>
      <c r="Q225" s="320"/>
      <c r="R225" s="164"/>
      <c r="S225" s="20"/>
      <c r="T225" s="20"/>
      <c r="U225" s="20"/>
      <c r="V225" s="20"/>
    </row>
    <row r="226">
      <c r="A226" s="320"/>
      <c r="B226" s="164"/>
      <c r="C226" s="320"/>
      <c r="D226" s="164"/>
      <c r="E226" s="320"/>
      <c r="F226" s="164"/>
      <c r="G226" s="320"/>
      <c r="H226" s="164"/>
      <c r="I226" s="327"/>
      <c r="J226" s="117"/>
      <c r="K226" s="327"/>
      <c r="L226" s="117"/>
      <c r="M226" s="320"/>
      <c r="N226" s="164"/>
      <c r="O226" s="320"/>
      <c r="P226" s="164"/>
      <c r="Q226" s="320"/>
      <c r="R226" s="164"/>
      <c r="S226" s="20"/>
      <c r="T226" s="20"/>
      <c r="U226" s="20"/>
      <c r="V226" s="20"/>
    </row>
    <row r="227">
      <c r="A227" s="320"/>
      <c r="B227" s="164"/>
      <c r="C227" s="320"/>
      <c r="D227" s="164"/>
      <c r="E227" s="320"/>
      <c r="F227" s="164"/>
      <c r="G227" s="320"/>
      <c r="H227" s="164"/>
      <c r="I227" s="327"/>
      <c r="J227" s="117"/>
      <c r="K227" s="327"/>
      <c r="L227" s="117"/>
      <c r="M227" s="320"/>
      <c r="N227" s="164"/>
      <c r="O227" s="320"/>
      <c r="P227" s="164"/>
      <c r="Q227" s="320"/>
      <c r="R227" s="164"/>
      <c r="S227" s="20"/>
      <c r="T227" s="20"/>
      <c r="U227" s="20"/>
      <c r="V227" s="20"/>
    </row>
    <row r="228">
      <c r="A228" s="320"/>
      <c r="B228" s="164"/>
      <c r="C228" s="320"/>
      <c r="D228" s="164"/>
      <c r="E228" s="320"/>
      <c r="F228" s="164"/>
      <c r="G228" s="320"/>
      <c r="H228" s="164"/>
      <c r="I228" s="327"/>
      <c r="J228" s="117"/>
      <c r="K228" s="327"/>
      <c r="L228" s="117"/>
      <c r="M228" s="320"/>
      <c r="N228" s="164"/>
      <c r="O228" s="320"/>
      <c r="P228" s="164"/>
      <c r="Q228" s="320"/>
      <c r="R228" s="164"/>
      <c r="S228" s="20"/>
      <c r="T228" s="20"/>
      <c r="U228" s="20"/>
      <c r="V228" s="20"/>
    </row>
    <row r="229">
      <c r="A229" s="320"/>
      <c r="B229" s="164"/>
      <c r="C229" s="320"/>
      <c r="D229" s="164"/>
      <c r="E229" s="320"/>
      <c r="F229" s="164"/>
      <c r="G229" s="320"/>
      <c r="H229" s="164"/>
      <c r="I229" s="327"/>
      <c r="J229" s="117"/>
      <c r="K229" s="327"/>
      <c r="L229" s="117"/>
      <c r="M229" s="320"/>
      <c r="N229" s="164"/>
      <c r="O229" s="320"/>
      <c r="P229" s="164"/>
      <c r="Q229" s="320"/>
      <c r="R229" s="164"/>
      <c r="S229" s="20"/>
      <c r="T229" s="20"/>
      <c r="U229" s="20"/>
      <c r="V229" s="20"/>
    </row>
    <row r="230">
      <c r="A230" s="320"/>
      <c r="B230" s="164"/>
      <c r="C230" s="320"/>
      <c r="D230" s="164"/>
      <c r="E230" s="320"/>
      <c r="F230" s="164"/>
      <c r="G230" s="320"/>
      <c r="H230" s="164"/>
      <c r="I230" s="327"/>
      <c r="J230" s="117"/>
      <c r="K230" s="327"/>
      <c r="L230" s="117"/>
      <c r="M230" s="320"/>
      <c r="N230" s="164"/>
      <c r="O230" s="320"/>
      <c r="P230" s="164"/>
      <c r="Q230" s="320"/>
      <c r="R230" s="164"/>
      <c r="S230" s="20"/>
      <c r="T230" s="20"/>
      <c r="U230" s="20"/>
      <c r="V230" s="20"/>
    </row>
    <row r="231">
      <c r="A231" s="320"/>
      <c r="B231" s="164"/>
      <c r="C231" s="320"/>
      <c r="D231" s="164"/>
      <c r="E231" s="320"/>
      <c r="F231" s="164"/>
      <c r="G231" s="320"/>
      <c r="H231" s="164"/>
      <c r="I231" s="327"/>
      <c r="J231" s="117"/>
      <c r="K231" s="327"/>
      <c r="L231" s="117"/>
      <c r="M231" s="320"/>
      <c r="N231" s="164"/>
      <c r="O231" s="320"/>
      <c r="P231" s="164"/>
      <c r="Q231" s="320"/>
      <c r="R231" s="164"/>
      <c r="S231" s="20"/>
      <c r="T231" s="20"/>
      <c r="U231" s="20"/>
      <c r="V231" s="20"/>
    </row>
    <row r="232">
      <c r="A232" s="320"/>
      <c r="B232" s="164"/>
      <c r="C232" s="320"/>
      <c r="D232" s="164"/>
      <c r="E232" s="320"/>
      <c r="F232" s="164"/>
      <c r="G232" s="320"/>
      <c r="H232" s="164"/>
      <c r="I232" s="327"/>
      <c r="J232" s="117"/>
      <c r="K232" s="327"/>
      <c r="L232" s="117"/>
      <c r="M232" s="320"/>
      <c r="N232" s="164"/>
      <c r="O232" s="320"/>
      <c r="P232" s="164"/>
      <c r="Q232" s="320"/>
      <c r="R232" s="164"/>
      <c r="S232" s="20"/>
      <c r="T232" s="20"/>
      <c r="U232" s="20"/>
      <c r="V232" s="20"/>
    </row>
    <row r="233">
      <c r="A233" s="320"/>
      <c r="B233" s="164"/>
      <c r="C233" s="320"/>
      <c r="D233" s="164"/>
      <c r="E233" s="320"/>
      <c r="F233" s="164"/>
      <c r="G233" s="320"/>
      <c r="H233" s="164"/>
      <c r="I233" s="327"/>
      <c r="J233" s="117"/>
      <c r="K233" s="327"/>
      <c r="L233" s="117"/>
      <c r="M233" s="320"/>
      <c r="N233" s="164"/>
      <c r="O233" s="320"/>
      <c r="P233" s="164"/>
      <c r="Q233" s="320"/>
      <c r="R233" s="164"/>
      <c r="S233" s="20"/>
      <c r="T233" s="20"/>
      <c r="U233" s="20"/>
      <c r="V233" s="20"/>
    </row>
    <row r="234">
      <c r="A234" s="320"/>
      <c r="B234" s="164"/>
      <c r="C234" s="320"/>
      <c r="D234" s="164"/>
      <c r="E234" s="320"/>
      <c r="F234" s="164"/>
      <c r="G234" s="320"/>
      <c r="H234" s="164"/>
      <c r="I234" s="327"/>
      <c r="J234" s="117"/>
      <c r="K234" s="327"/>
      <c r="L234" s="117"/>
      <c r="M234" s="320"/>
      <c r="N234" s="164"/>
      <c r="O234" s="320"/>
      <c r="P234" s="164"/>
      <c r="Q234" s="320"/>
      <c r="R234" s="164"/>
      <c r="S234" s="20"/>
      <c r="T234" s="20"/>
      <c r="U234" s="20"/>
      <c r="V234" s="20"/>
    </row>
    <row r="235">
      <c r="A235" s="320"/>
      <c r="B235" s="164"/>
      <c r="C235" s="320"/>
      <c r="D235" s="164"/>
      <c r="E235" s="320"/>
      <c r="F235" s="164"/>
      <c r="G235" s="320"/>
      <c r="H235" s="164"/>
      <c r="I235" s="327"/>
      <c r="J235" s="117"/>
      <c r="K235" s="327"/>
      <c r="L235" s="117"/>
      <c r="M235" s="320"/>
      <c r="N235" s="164"/>
      <c r="O235" s="320"/>
      <c r="P235" s="164"/>
      <c r="Q235" s="320"/>
      <c r="R235" s="164"/>
      <c r="S235" s="20"/>
      <c r="T235" s="20"/>
      <c r="U235" s="20"/>
      <c r="V235" s="20"/>
    </row>
    <row r="236">
      <c r="A236" s="320"/>
      <c r="B236" s="164"/>
      <c r="C236" s="320"/>
      <c r="D236" s="164"/>
      <c r="E236" s="320"/>
      <c r="F236" s="164"/>
      <c r="G236" s="320"/>
      <c r="H236" s="164"/>
      <c r="I236" s="327"/>
      <c r="J236" s="117"/>
      <c r="K236" s="327"/>
      <c r="L236" s="117"/>
      <c r="M236" s="320"/>
      <c r="N236" s="164"/>
      <c r="O236" s="320"/>
      <c r="P236" s="164"/>
      <c r="Q236" s="320"/>
      <c r="R236" s="164"/>
      <c r="S236" s="20"/>
      <c r="T236" s="20"/>
      <c r="U236" s="20"/>
      <c r="V236" s="20"/>
    </row>
    <row r="237">
      <c r="A237" s="320"/>
      <c r="B237" s="164"/>
      <c r="C237" s="320"/>
      <c r="D237" s="164"/>
      <c r="E237" s="320"/>
      <c r="F237" s="164"/>
      <c r="G237" s="320"/>
      <c r="H237" s="164"/>
      <c r="I237" s="327"/>
      <c r="J237" s="117"/>
      <c r="K237" s="327"/>
      <c r="L237" s="117"/>
      <c r="M237" s="320"/>
      <c r="N237" s="164"/>
      <c r="O237" s="320"/>
      <c r="P237" s="164"/>
      <c r="Q237" s="320"/>
      <c r="R237" s="164"/>
      <c r="S237" s="20"/>
      <c r="T237" s="20"/>
      <c r="U237" s="20"/>
      <c r="V237" s="20"/>
    </row>
    <row r="238">
      <c r="A238" s="320"/>
      <c r="B238" s="164"/>
      <c r="C238" s="320"/>
      <c r="D238" s="164"/>
      <c r="E238" s="320"/>
      <c r="F238" s="164"/>
      <c r="G238" s="320"/>
      <c r="H238" s="164"/>
      <c r="I238" s="327"/>
      <c r="J238" s="117"/>
      <c r="K238" s="327"/>
      <c r="L238" s="117"/>
      <c r="M238" s="320"/>
      <c r="N238" s="164"/>
      <c r="O238" s="320"/>
      <c r="P238" s="164"/>
      <c r="Q238" s="320"/>
      <c r="R238" s="164"/>
      <c r="S238" s="20"/>
      <c r="T238" s="20"/>
      <c r="U238" s="20"/>
      <c r="V238" s="20"/>
    </row>
    <row r="239">
      <c r="A239" s="320"/>
      <c r="B239" s="164"/>
      <c r="C239" s="320"/>
      <c r="D239" s="164"/>
      <c r="E239" s="320"/>
      <c r="F239" s="164"/>
      <c r="G239" s="320"/>
      <c r="H239" s="164"/>
      <c r="I239" s="327"/>
      <c r="J239" s="117"/>
      <c r="K239" s="327"/>
      <c r="L239" s="117"/>
      <c r="M239" s="320"/>
      <c r="N239" s="164"/>
      <c r="O239" s="320"/>
      <c r="P239" s="164"/>
      <c r="Q239" s="320"/>
      <c r="R239" s="164"/>
      <c r="S239" s="20"/>
      <c r="T239" s="20"/>
      <c r="U239" s="20"/>
      <c r="V239" s="20"/>
    </row>
    <row r="240">
      <c r="A240" s="320"/>
      <c r="B240" s="164"/>
      <c r="C240" s="320"/>
      <c r="D240" s="164"/>
      <c r="E240" s="320"/>
      <c r="F240" s="164"/>
      <c r="G240" s="320"/>
      <c r="H240" s="164"/>
      <c r="I240" s="327"/>
      <c r="J240" s="117"/>
      <c r="K240" s="327"/>
      <c r="L240" s="117"/>
      <c r="M240" s="320"/>
      <c r="N240" s="164"/>
      <c r="O240" s="320"/>
      <c r="P240" s="164"/>
      <c r="Q240" s="320"/>
      <c r="R240" s="164"/>
      <c r="S240" s="20"/>
      <c r="T240" s="20"/>
      <c r="U240" s="20"/>
      <c r="V240" s="20"/>
    </row>
    <row r="241">
      <c r="A241" s="320"/>
      <c r="B241" s="164"/>
      <c r="C241" s="320"/>
      <c r="D241" s="164"/>
      <c r="E241" s="320"/>
      <c r="F241" s="164"/>
      <c r="G241" s="320"/>
      <c r="H241" s="164"/>
      <c r="I241" s="327"/>
      <c r="J241" s="117"/>
      <c r="K241" s="327"/>
      <c r="L241" s="117"/>
      <c r="M241" s="320"/>
      <c r="N241" s="164"/>
      <c r="O241" s="320"/>
      <c r="P241" s="164"/>
      <c r="Q241" s="320"/>
      <c r="R241" s="164"/>
      <c r="S241" s="20"/>
      <c r="T241" s="20"/>
      <c r="U241" s="20"/>
      <c r="V241" s="20"/>
    </row>
    <row r="242">
      <c r="A242" s="320"/>
      <c r="B242" s="164"/>
      <c r="C242" s="320"/>
      <c r="D242" s="164"/>
      <c r="E242" s="320"/>
      <c r="F242" s="164"/>
      <c r="G242" s="320"/>
      <c r="H242" s="164"/>
      <c r="I242" s="327"/>
      <c r="J242" s="117"/>
      <c r="K242" s="327"/>
      <c r="L242" s="117"/>
      <c r="M242" s="320"/>
      <c r="N242" s="164"/>
      <c r="O242" s="320"/>
      <c r="P242" s="164"/>
      <c r="Q242" s="320"/>
      <c r="R242" s="164"/>
      <c r="S242" s="20"/>
      <c r="T242" s="20"/>
      <c r="U242" s="20"/>
      <c r="V242" s="20"/>
    </row>
    <row r="243">
      <c r="A243" s="320"/>
      <c r="B243" s="164"/>
      <c r="C243" s="320"/>
      <c r="D243" s="164"/>
      <c r="E243" s="320"/>
      <c r="F243" s="164"/>
      <c r="G243" s="320"/>
      <c r="H243" s="164"/>
      <c r="I243" s="327"/>
      <c r="J243" s="117"/>
      <c r="K243" s="327"/>
      <c r="L243" s="117"/>
      <c r="M243" s="320"/>
      <c r="N243" s="164"/>
      <c r="O243" s="320"/>
      <c r="P243" s="164"/>
      <c r="Q243" s="320"/>
      <c r="R243" s="164"/>
      <c r="S243" s="20"/>
      <c r="T243" s="20"/>
      <c r="U243" s="20"/>
      <c r="V243" s="20"/>
    </row>
    <row r="244">
      <c r="A244" s="320"/>
      <c r="B244" s="164"/>
      <c r="C244" s="320"/>
      <c r="D244" s="164"/>
      <c r="E244" s="320"/>
      <c r="F244" s="164"/>
      <c r="G244" s="320"/>
      <c r="H244" s="164"/>
      <c r="I244" s="327"/>
      <c r="J244" s="117"/>
      <c r="K244" s="327"/>
      <c r="L244" s="117"/>
      <c r="M244" s="320"/>
      <c r="N244" s="164"/>
      <c r="O244" s="320"/>
      <c r="P244" s="164"/>
      <c r="Q244" s="320"/>
      <c r="R244" s="164"/>
      <c r="S244" s="20"/>
      <c r="T244" s="20"/>
      <c r="U244" s="20"/>
      <c r="V244" s="20"/>
    </row>
    <row r="245">
      <c r="A245" s="320"/>
      <c r="B245" s="164"/>
      <c r="C245" s="320"/>
      <c r="D245" s="164"/>
      <c r="E245" s="320"/>
      <c r="F245" s="164"/>
      <c r="G245" s="320"/>
      <c r="H245" s="164"/>
      <c r="I245" s="327"/>
      <c r="J245" s="117"/>
      <c r="K245" s="327"/>
      <c r="L245" s="117"/>
      <c r="M245" s="320"/>
      <c r="N245" s="164"/>
      <c r="O245" s="320"/>
      <c r="P245" s="164"/>
      <c r="Q245" s="320"/>
      <c r="R245" s="164"/>
      <c r="S245" s="20"/>
      <c r="T245" s="20"/>
      <c r="U245" s="20"/>
      <c r="V245" s="20"/>
    </row>
    <row r="246">
      <c r="A246" s="320"/>
      <c r="B246" s="164"/>
      <c r="C246" s="320"/>
      <c r="D246" s="164"/>
      <c r="E246" s="320"/>
      <c r="F246" s="164"/>
      <c r="G246" s="320"/>
      <c r="H246" s="164"/>
      <c r="I246" s="327"/>
      <c r="J246" s="117"/>
      <c r="K246" s="327"/>
      <c r="L246" s="117"/>
      <c r="M246" s="320"/>
      <c r="N246" s="164"/>
      <c r="O246" s="320"/>
      <c r="P246" s="164"/>
      <c r="Q246" s="320"/>
      <c r="R246" s="164"/>
      <c r="S246" s="20"/>
      <c r="T246" s="20"/>
      <c r="U246" s="20"/>
      <c r="V246" s="20"/>
    </row>
    <row r="247">
      <c r="A247" s="320"/>
      <c r="B247" s="164"/>
      <c r="C247" s="320"/>
      <c r="D247" s="164"/>
      <c r="E247" s="320"/>
      <c r="F247" s="164"/>
      <c r="G247" s="320"/>
      <c r="H247" s="164"/>
      <c r="I247" s="327"/>
      <c r="J247" s="117"/>
      <c r="K247" s="327"/>
      <c r="L247" s="117"/>
      <c r="M247" s="320"/>
      <c r="N247" s="164"/>
      <c r="O247" s="320"/>
      <c r="P247" s="164"/>
      <c r="Q247" s="320"/>
      <c r="R247" s="164"/>
      <c r="S247" s="20"/>
      <c r="T247" s="20"/>
      <c r="U247" s="20"/>
      <c r="V247" s="20"/>
    </row>
    <row r="248">
      <c r="A248" s="320"/>
      <c r="B248" s="164"/>
      <c r="C248" s="320"/>
      <c r="D248" s="164"/>
      <c r="E248" s="320"/>
      <c r="F248" s="164"/>
      <c r="G248" s="320"/>
      <c r="H248" s="164"/>
      <c r="I248" s="327"/>
      <c r="J248" s="117"/>
      <c r="K248" s="327"/>
      <c r="L248" s="117"/>
      <c r="M248" s="320"/>
      <c r="N248" s="164"/>
      <c r="O248" s="320"/>
      <c r="P248" s="164"/>
      <c r="Q248" s="320"/>
      <c r="R248" s="164"/>
      <c r="S248" s="20"/>
      <c r="T248" s="20"/>
      <c r="U248" s="20"/>
      <c r="V248" s="20"/>
    </row>
    <row r="249">
      <c r="A249" s="320"/>
      <c r="B249" s="164"/>
      <c r="C249" s="320"/>
      <c r="D249" s="164"/>
      <c r="E249" s="320"/>
      <c r="F249" s="164"/>
      <c r="G249" s="320"/>
      <c r="H249" s="164"/>
      <c r="I249" s="327"/>
      <c r="J249" s="117"/>
      <c r="K249" s="327"/>
      <c r="L249" s="117"/>
      <c r="M249" s="320"/>
      <c r="N249" s="164"/>
      <c r="O249" s="320"/>
      <c r="P249" s="164"/>
      <c r="Q249" s="320"/>
      <c r="R249" s="164"/>
      <c r="S249" s="20"/>
      <c r="T249" s="20"/>
      <c r="U249" s="20"/>
      <c r="V249" s="20"/>
    </row>
    <row r="250">
      <c r="A250" s="320"/>
      <c r="B250" s="164"/>
      <c r="C250" s="320"/>
      <c r="D250" s="164"/>
      <c r="E250" s="320"/>
      <c r="F250" s="164"/>
      <c r="G250" s="320"/>
      <c r="H250" s="164"/>
      <c r="I250" s="327"/>
      <c r="J250" s="117"/>
      <c r="K250" s="327"/>
      <c r="L250" s="117"/>
      <c r="M250" s="320"/>
      <c r="N250" s="164"/>
      <c r="O250" s="320"/>
      <c r="P250" s="164"/>
      <c r="Q250" s="320"/>
      <c r="R250" s="164"/>
      <c r="S250" s="20"/>
      <c r="T250" s="20"/>
      <c r="U250" s="20"/>
      <c r="V250" s="20"/>
    </row>
    <row r="251">
      <c r="A251" s="320"/>
      <c r="B251" s="164"/>
      <c r="C251" s="320"/>
      <c r="D251" s="164"/>
      <c r="E251" s="320"/>
      <c r="F251" s="164"/>
      <c r="G251" s="320"/>
      <c r="H251" s="164"/>
      <c r="I251" s="327"/>
      <c r="J251" s="117"/>
      <c r="K251" s="327"/>
      <c r="L251" s="117"/>
      <c r="M251" s="320"/>
      <c r="N251" s="164"/>
      <c r="O251" s="320"/>
      <c r="P251" s="164"/>
      <c r="Q251" s="320"/>
      <c r="R251" s="164"/>
      <c r="S251" s="20"/>
      <c r="T251" s="20"/>
      <c r="U251" s="20"/>
      <c r="V251" s="20"/>
    </row>
    <row r="252">
      <c r="A252" s="320"/>
      <c r="B252" s="164"/>
      <c r="C252" s="320"/>
      <c r="D252" s="164"/>
      <c r="E252" s="320"/>
      <c r="F252" s="164"/>
      <c r="G252" s="320"/>
      <c r="H252" s="164"/>
      <c r="I252" s="327"/>
      <c r="J252" s="117"/>
      <c r="K252" s="327"/>
      <c r="L252" s="117"/>
      <c r="M252" s="320"/>
      <c r="N252" s="164"/>
      <c r="O252" s="320"/>
      <c r="P252" s="164"/>
      <c r="Q252" s="320"/>
      <c r="R252" s="164"/>
      <c r="S252" s="20"/>
      <c r="T252" s="20"/>
      <c r="U252" s="20"/>
      <c r="V252" s="20"/>
    </row>
    <row r="253">
      <c r="A253" s="320"/>
      <c r="B253" s="164"/>
      <c r="C253" s="320"/>
      <c r="D253" s="164"/>
      <c r="E253" s="320"/>
      <c r="F253" s="164"/>
      <c r="G253" s="320"/>
      <c r="H253" s="164"/>
      <c r="I253" s="327"/>
      <c r="J253" s="117"/>
      <c r="K253" s="327"/>
      <c r="L253" s="117"/>
      <c r="M253" s="320"/>
      <c r="N253" s="164"/>
      <c r="O253" s="320"/>
      <c r="P253" s="164"/>
      <c r="Q253" s="320"/>
      <c r="R253" s="164"/>
      <c r="S253" s="20"/>
      <c r="T253" s="20"/>
      <c r="U253" s="20"/>
      <c r="V253" s="20"/>
    </row>
    <row r="254">
      <c r="A254" s="320"/>
      <c r="B254" s="164"/>
      <c r="C254" s="320"/>
      <c r="D254" s="164"/>
      <c r="E254" s="320"/>
      <c r="F254" s="164"/>
      <c r="G254" s="320"/>
      <c r="H254" s="164"/>
      <c r="I254" s="327"/>
      <c r="J254" s="117"/>
      <c r="K254" s="327"/>
      <c r="L254" s="117"/>
      <c r="M254" s="320"/>
      <c r="N254" s="164"/>
      <c r="O254" s="320"/>
      <c r="P254" s="164"/>
      <c r="Q254" s="320"/>
      <c r="R254" s="164"/>
      <c r="S254" s="20"/>
      <c r="T254" s="20"/>
      <c r="U254" s="20"/>
      <c r="V254" s="20"/>
    </row>
    <row r="255">
      <c r="A255" s="320"/>
      <c r="B255" s="164"/>
      <c r="C255" s="320"/>
      <c r="D255" s="164"/>
      <c r="E255" s="320"/>
      <c r="F255" s="164"/>
      <c r="G255" s="320"/>
      <c r="H255" s="164"/>
      <c r="I255" s="327"/>
      <c r="J255" s="117"/>
      <c r="K255" s="327"/>
      <c r="L255" s="117"/>
      <c r="M255" s="320"/>
      <c r="N255" s="164"/>
      <c r="O255" s="320"/>
      <c r="P255" s="164"/>
      <c r="Q255" s="320"/>
      <c r="R255" s="164"/>
      <c r="S255" s="20"/>
      <c r="T255" s="20"/>
      <c r="U255" s="20"/>
      <c r="V255" s="20"/>
    </row>
    <row r="256">
      <c r="A256" s="320"/>
      <c r="B256" s="164"/>
      <c r="C256" s="320"/>
      <c r="D256" s="164"/>
      <c r="E256" s="320"/>
      <c r="F256" s="164"/>
      <c r="G256" s="320"/>
      <c r="H256" s="164"/>
      <c r="I256" s="327"/>
      <c r="J256" s="117"/>
      <c r="K256" s="327"/>
      <c r="L256" s="117"/>
      <c r="M256" s="320"/>
      <c r="N256" s="164"/>
      <c r="O256" s="320"/>
      <c r="P256" s="164"/>
      <c r="Q256" s="320"/>
      <c r="R256" s="164"/>
      <c r="S256" s="20"/>
      <c r="T256" s="20"/>
      <c r="U256" s="20"/>
      <c r="V256" s="20"/>
    </row>
    <row r="257">
      <c r="A257" s="320"/>
      <c r="B257" s="164"/>
      <c r="C257" s="320"/>
      <c r="D257" s="164"/>
      <c r="E257" s="320"/>
      <c r="F257" s="164"/>
      <c r="G257" s="320"/>
      <c r="H257" s="164"/>
      <c r="I257" s="327"/>
      <c r="J257" s="117"/>
      <c r="K257" s="327"/>
      <c r="L257" s="117"/>
      <c r="M257" s="320"/>
      <c r="N257" s="164"/>
      <c r="O257" s="320"/>
      <c r="P257" s="164"/>
      <c r="Q257" s="320"/>
      <c r="R257" s="164"/>
      <c r="S257" s="20"/>
      <c r="T257" s="20"/>
      <c r="U257" s="20"/>
      <c r="V257" s="20"/>
    </row>
    <row r="258">
      <c r="A258" s="320"/>
      <c r="B258" s="164"/>
      <c r="C258" s="320"/>
      <c r="D258" s="164"/>
      <c r="E258" s="320"/>
      <c r="F258" s="164"/>
      <c r="G258" s="320"/>
      <c r="H258" s="164"/>
      <c r="I258" s="327"/>
      <c r="J258" s="117"/>
      <c r="K258" s="327"/>
      <c r="L258" s="117"/>
      <c r="M258" s="320"/>
      <c r="N258" s="164"/>
      <c r="O258" s="320"/>
      <c r="P258" s="164"/>
      <c r="Q258" s="320"/>
      <c r="R258" s="164"/>
      <c r="S258" s="20"/>
      <c r="T258" s="20"/>
      <c r="U258" s="20"/>
      <c r="V258" s="20"/>
    </row>
    <row r="259">
      <c r="A259" s="320"/>
      <c r="B259" s="164"/>
      <c r="C259" s="320"/>
      <c r="D259" s="164"/>
      <c r="E259" s="320"/>
      <c r="F259" s="164"/>
      <c r="G259" s="320"/>
      <c r="H259" s="164"/>
      <c r="I259" s="327"/>
      <c r="J259" s="117"/>
      <c r="K259" s="327"/>
      <c r="L259" s="117"/>
      <c r="M259" s="320"/>
      <c r="N259" s="164"/>
      <c r="O259" s="320"/>
      <c r="P259" s="164"/>
      <c r="Q259" s="320"/>
      <c r="R259" s="164"/>
      <c r="S259" s="20"/>
      <c r="T259" s="20"/>
      <c r="U259" s="20"/>
      <c r="V259" s="20"/>
    </row>
    <row r="260">
      <c r="A260" s="320"/>
      <c r="B260" s="164"/>
      <c r="C260" s="320"/>
      <c r="D260" s="164"/>
      <c r="E260" s="320"/>
      <c r="F260" s="164"/>
      <c r="G260" s="320"/>
      <c r="H260" s="164"/>
      <c r="I260" s="327"/>
      <c r="J260" s="117"/>
      <c r="K260" s="327"/>
      <c r="L260" s="117"/>
      <c r="M260" s="320"/>
      <c r="N260" s="164"/>
      <c r="O260" s="320"/>
      <c r="P260" s="164"/>
      <c r="Q260" s="320"/>
      <c r="R260" s="164"/>
      <c r="S260" s="20"/>
      <c r="T260" s="20"/>
      <c r="U260" s="20"/>
      <c r="V260" s="20"/>
    </row>
    <row r="261">
      <c r="A261" s="320"/>
      <c r="B261" s="164"/>
      <c r="C261" s="320"/>
      <c r="D261" s="164"/>
      <c r="E261" s="320"/>
      <c r="F261" s="164"/>
      <c r="G261" s="320"/>
      <c r="H261" s="164"/>
      <c r="I261" s="327"/>
      <c r="J261" s="117"/>
      <c r="K261" s="327"/>
      <c r="L261" s="117"/>
      <c r="M261" s="320"/>
      <c r="N261" s="164"/>
      <c r="O261" s="320"/>
      <c r="P261" s="164"/>
      <c r="Q261" s="320"/>
      <c r="R261" s="164"/>
      <c r="S261" s="20"/>
      <c r="T261" s="20"/>
      <c r="U261" s="20"/>
      <c r="V261" s="20"/>
    </row>
    <row r="262">
      <c r="A262" s="320"/>
      <c r="B262" s="164"/>
      <c r="C262" s="320"/>
      <c r="D262" s="164"/>
      <c r="E262" s="320"/>
      <c r="F262" s="164"/>
      <c r="G262" s="320"/>
      <c r="H262" s="164"/>
      <c r="I262" s="327"/>
      <c r="J262" s="117"/>
      <c r="K262" s="327"/>
      <c r="L262" s="117"/>
      <c r="M262" s="320"/>
      <c r="N262" s="164"/>
      <c r="O262" s="320"/>
      <c r="P262" s="164"/>
      <c r="Q262" s="320"/>
      <c r="R262" s="164"/>
      <c r="S262" s="20"/>
      <c r="T262" s="20"/>
      <c r="U262" s="20"/>
      <c r="V262" s="20"/>
    </row>
    <row r="263">
      <c r="A263" s="320"/>
      <c r="B263" s="164"/>
      <c r="C263" s="320"/>
      <c r="D263" s="164"/>
      <c r="E263" s="320"/>
      <c r="F263" s="164"/>
      <c r="G263" s="320"/>
      <c r="H263" s="164"/>
      <c r="I263" s="327"/>
      <c r="J263" s="117"/>
      <c r="K263" s="327"/>
      <c r="L263" s="117"/>
      <c r="M263" s="320"/>
      <c r="N263" s="164"/>
      <c r="O263" s="320"/>
      <c r="P263" s="164"/>
      <c r="Q263" s="320"/>
      <c r="R263" s="164"/>
      <c r="S263" s="20"/>
      <c r="T263" s="20"/>
      <c r="U263" s="20"/>
      <c r="V263" s="20"/>
    </row>
    <row r="264">
      <c r="A264" s="320"/>
      <c r="B264" s="164"/>
      <c r="C264" s="320"/>
      <c r="D264" s="164"/>
      <c r="E264" s="320"/>
      <c r="F264" s="164"/>
      <c r="G264" s="320"/>
      <c r="H264" s="164"/>
      <c r="I264" s="327"/>
      <c r="J264" s="117"/>
      <c r="K264" s="327"/>
      <c r="L264" s="117"/>
      <c r="M264" s="320"/>
      <c r="N264" s="164"/>
      <c r="O264" s="320"/>
      <c r="P264" s="164"/>
      <c r="Q264" s="320"/>
      <c r="R264" s="164"/>
      <c r="S264" s="20"/>
      <c r="T264" s="20"/>
      <c r="U264" s="20"/>
      <c r="V264" s="20"/>
    </row>
    <row r="265">
      <c r="A265" s="320"/>
      <c r="B265" s="164"/>
      <c r="C265" s="320"/>
      <c r="D265" s="164"/>
      <c r="E265" s="320"/>
      <c r="F265" s="164"/>
      <c r="G265" s="320"/>
      <c r="H265" s="164"/>
      <c r="I265" s="327"/>
      <c r="J265" s="117"/>
      <c r="K265" s="327"/>
      <c r="L265" s="117"/>
      <c r="M265" s="320"/>
      <c r="N265" s="164"/>
      <c r="O265" s="320"/>
      <c r="P265" s="164"/>
      <c r="Q265" s="320"/>
      <c r="R265" s="164"/>
      <c r="S265" s="20"/>
      <c r="T265" s="20"/>
      <c r="U265" s="20"/>
      <c r="V265" s="20"/>
    </row>
    <row r="266">
      <c r="A266" s="320"/>
      <c r="B266" s="164"/>
      <c r="C266" s="320"/>
      <c r="D266" s="164"/>
      <c r="E266" s="320"/>
      <c r="F266" s="164"/>
      <c r="G266" s="320"/>
      <c r="H266" s="164"/>
      <c r="I266" s="327"/>
      <c r="J266" s="117"/>
      <c r="K266" s="327"/>
      <c r="L266" s="117"/>
      <c r="M266" s="320"/>
      <c r="N266" s="164"/>
      <c r="O266" s="320"/>
      <c r="P266" s="164"/>
      <c r="Q266" s="320"/>
      <c r="R266" s="164"/>
      <c r="S266" s="20"/>
      <c r="T266" s="20"/>
      <c r="U266" s="20"/>
      <c r="V266" s="20"/>
    </row>
    <row r="267">
      <c r="A267" s="320"/>
      <c r="B267" s="164"/>
      <c r="C267" s="320"/>
      <c r="D267" s="164"/>
      <c r="E267" s="320"/>
      <c r="F267" s="164"/>
      <c r="G267" s="320"/>
      <c r="H267" s="164"/>
      <c r="I267" s="327"/>
      <c r="J267" s="117"/>
      <c r="K267" s="327"/>
      <c r="L267" s="117"/>
      <c r="M267" s="320"/>
      <c r="N267" s="164"/>
      <c r="O267" s="320"/>
      <c r="P267" s="164"/>
      <c r="Q267" s="320"/>
      <c r="R267" s="164"/>
      <c r="S267" s="20"/>
      <c r="T267" s="20"/>
      <c r="U267" s="20"/>
      <c r="V267" s="20"/>
    </row>
    <row r="268">
      <c r="A268" s="320"/>
      <c r="B268" s="164"/>
      <c r="C268" s="320"/>
      <c r="D268" s="164"/>
      <c r="E268" s="320"/>
      <c r="F268" s="164"/>
      <c r="G268" s="320"/>
      <c r="H268" s="164"/>
      <c r="I268" s="327"/>
      <c r="J268" s="117"/>
      <c r="K268" s="327"/>
      <c r="L268" s="117"/>
      <c r="M268" s="320"/>
      <c r="N268" s="164"/>
      <c r="O268" s="320"/>
      <c r="P268" s="164"/>
      <c r="Q268" s="320"/>
      <c r="R268" s="164"/>
      <c r="S268" s="20"/>
      <c r="T268" s="20"/>
      <c r="U268" s="20"/>
      <c r="V268" s="20"/>
    </row>
    <row r="269">
      <c r="A269" s="320"/>
      <c r="B269" s="164"/>
      <c r="C269" s="320"/>
      <c r="D269" s="164"/>
      <c r="E269" s="320"/>
      <c r="F269" s="164"/>
      <c r="G269" s="320"/>
      <c r="H269" s="164"/>
      <c r="I269" s="327"/>
      <c r="J269" s="117"/>
      <c r="K269" s="327"/>
      <c r="L269" s="117"/>
      <c r="M269" s="320"/>
      <c r="N269" s="164"/>
      <c r="O269" s="320"/>
      <c r="P269" s="164"/>
      <c r="Q269" s="320"/>
      <c r="R269" s="164"/>
      <c r="S269" s="20"/>
      <c r="T269" s="20"/>
      <c r="U269" s="20"/>
      <c r="V269" s="20"/>
    </row>
    <row r="270">
      <c r="A270" s="320"/>
      <c r="B270" s="164"/>
      <c r="C270" s="320"/>
      <c r="D270" s="164"/>
      <c r="E270" s="320"/>
      <c r="F270" s="164"/>
      <c r="G270" s="320"/>
      <c r="H270" s="164"/>
      <c r="I270" s="327"/>
      <c r="J270" s="117"/>
      <c r="K270" s="327"/>
      <c r="L270" s="117"/>
      <c r="M270" s="320"/>
      <c r="N270" s="164"/>
      <c r="O270" s="320"/>
      <c r="P270" s="164"/>
      <c r="Q270" s="320"/>
      <c r="R270" s="164"/>
      <c r="S270" s="20"/>
      <c r="T270" s="20"/>
      <c r="U270" s="20"/>
      <c r="V270" s="20"/>
    </row>
    <row r="271">
      <c r="A271" s="320"/>
      <c r="B271" s="164"/>
      <c r="C271" s="320"/>
      <c r="D271" s="164"/>
      <c r="E271" s="320"/>
      <c r="F271" s="164"/>
      <c r="G271" s="320"/>
      <c r="H271" s="164"/>
      <c r="I271" s="327"/>
      <c r="J271" s="117"/>
      <c r="K271" s="327"/>
      <c r="L271" s="117"/>
      <c r="M271" s="320"/>
      <c r="N271" s="164"/>
      <c r="O271" s="320"/>
      <c r="P271" s="164"/>
      <c r="Q271" s="320"/>
      <c r="R271" s="164"/>
      <c r="S271" s="20"/>
      <c r="T271" s="20"/>
      <c r="U271" s="20"/>
      <c r="V271" s="20"/>
    </row>
    <row r="272">
      <c r="A272" s="320"/>
      <c r="B272" s="164"/>
      <c r="C272" s="320"/>
      <c r="D272" s="164"/>
      <c r="E272" s="320"/>
      <c r="F272" s="164"/>
      <c r="G272" s="320"/>
      <c r="H272" s="164"/>
      <c r="I272" s="327"/>
      <c r="J272" s="117"/>
      <c r="K272" s="327"/>
      <c r="L272" s="117"/>
      <c r="M272" s="320"/>
      <c r="N272" s="164"/>
      <c r="O272" s="320"/>
      <c r="P272" s="164"/>
      <c r="Q272" s="320"/>
      <c r="R272" s="164"/>
      <c r="S272" s="20"/>
      <c r="T272" s="20"/>
      <c r="U272" s="20"/>
      <c r="V272" s="20"/>
    </row>
    <row r="273">
      <c r="A273" s="320"/>
      <c r="B273" s="164"/>
      <c r="C273" s="320"/>
      <c r="D273" s="164"/>
      <c r="E273" s="320"/>
      <c r="F273" s="164"/>
      <c r="G273" s="320"/>
      <c r="H273" s="164"/>
      <c r="I273" s="327"/>
      <c r="J273" s="117"/>
      <c r="K273" s="327"/>
      <c r="L273" s="117"/>
      <c r="M273" s="320"/>
      <c r="N273" s="164"/>
      <c r="O273" s="320"/>
      <c r="P273" s="164"/>
      <c r="Q273" s="320"/>
      <c r="R273" s="164"/>
      <c r="S273" s="20"/>
      <c r="T273" s="20"/>
      <c r="U273" s="20"/>
      <c r="V273" s="20"/>
    </row>
    <row r="274">
      <c r="A274" s="320"/>
      <c r="B274" s="164"/>
      <c r="C274" s="320"/>
      <c r="D274" s="164"/>
      <c r="E274" s="320"/>
      <c r="F274" s="164"/>
      <c r="G274" s="320"/>
      <c r="H274" s="164"/>
      <c r="I274" s="327"/>
      <c r="J274" s="117"/>
      <c r="K274" s="327"/>
      <c r="L274" s="117"/>
      <c r="M274" s="320"/>
      <c r="N274" s="164"/>
      <c r="O274" s="320"/>
      <c r="P274" s="164"/>
      <c r="Q274" s="320"/>
      <c r="R274" s="164"/>
      <c r="S274" s="20"/>
      <c r="T274" s="20"/>
      <c r="U274" s="20"/>
      <c r="V274" s="20"/>
    </row>
    <row r="275">
      <c r="A275" s="320"/>
      <c r="B275" s="164"/>
      <c r="C275" s="320"/>
      <c r="D275" s="164"/>
      <c r="E275" s="320"/>
      <c r="F275" s="164"/>
      <c r="G275" s="320"/>
      <c r="H275" s="164"/>
      <c r="I275" s="327"/>
      <c r="J275" s="117"/>
      <c r="K275" s="327"/>
      <c r="L275" s="117"/>
      <c r="M275" s="320"/>
      <c r="N275" s="164"/>
      <c r="O275" s="320"/>
      <c r="P275" s="164"/>
      <c r="Q275" s="320"/>
      <c r="R275" s="164"/>
      <c r="S275" s="20"/>
      <c r="T275" s="20"/>
      <c r="U275" s="20"/>
      <c r="V275" s="20"/>
    </row>
    <row r="276">
      <c r="A276" s="320"/>
      <c r="B276" s="164"/>
      <c r="C276" s="320"/>
      <c r="D276" s="164"/>
      <c r="E276" s="320"/>
      <c r="F276" s="164"/>
      <c r="G276" s="320"/>
      <c r="H276" s="164"/>
      <c r="I276" s="327"/>
      <c r="J276" s="117"/>
      <c r="K276" s="327"/>
      <c r="L276" s="117"/>
      <c r="M276" s="320"/>
      <c r="N276" s="164"/>
      <c r="O276" s="320"/>
      <c r="P276" s="164"/>
      <c r="Q276" s="320"/>
      <c r="R276" s="164"/>
      <c r="S276" s="20"/>
      <c r="T276" s="20"/>
      <c r="U276" s="20"/>
      <c r="V276" s="20"/>
    </row>
    <row r="277">
      <c r="A277" s="320"/>
      <c r="B277" s="164"/>
      <c r="C277" s="320"/>
      <c r="D277" s="164"/>
      <c r="E277" s="320"/>
      <c r="F277" s="164"/>
      <c r="G277" s="320"/>
      <c r="H277" s="164"/>
      <c r="I277" s="327"/>
      <c r="J277" s="117"/>
      <c r="K277" s="327"/>
      <c r="L277" s="117"/>
      <c r="M277" s="320"/>
      <c r="N277" s="164"/>
      <c r="O277" s="320"/>
      <c r="P277" s="164"/>
      <c r="Q277" s="320"/>
      <c r="R277" s="164"/>
      <c r="S277" s="20"/>
      <c r="T277" s="20"/>
      <c r="U277" s="20"/>
      <c r="V277" s="20"/>
    </row>
    <row r="278">
      <c r="A278" s="320"/>
      <c r="B278" s="164"/>
      <c r="C278" s="320"/>
      <c r="D278" s="164"/>
      <c r="E278" s="320"/>
      <c r="F278" s="164"/>
      <c r="G278" s="320"/>
      <c r="H278" s="164"/>
      <c r="I278" s="327"/>
      <c r="J278" s="117"/>
      <c r="K278" s="327"/>
      <c r="L278" s="117"/>
      <c r="M278" s="320"/>
      <c r="N278" s="164"/>
      <c r="O278" s="320"/>
      <c r="P278" s="164"/>
      <c r="Q278" s="320"/>
      <c r="R278" s="164"/>
      <c r="S278" s="20"/>
      <c r="T278" s="20"/>
      <c r="U278" s="20"/>
      <c r="V278" s="20"/>
    </row>
    <row r="279">
      <c r="A279" s="320"/>
      <c r="B279" s="164"/>
      <c r="C279" s="320"/>
      <c r="D279" s="164"/>
      <c r="E279" s="320"/>
      <c r="F279" s="164"/>
      <c r="G279" s="320"/>
      <c r="H279" s="164"/>
      <c r="I279" s="327"/>
      <c r="J279" s="117"/>
      <c r="K279" s="327"/>
      <c r="L279" s="117"/>
      <c r="M279" s="320"/>
      <c r="N279" s="164"/>
      <c r="O279" s="320"/>
      <c r="P279" s="164"/>
      <c r="Q279" s="320"/>
      <c r="R279" s="164"/>
      <c r="S279" s="20"/>
      <c r="T279" s="20"/>
      <c r="U279" s="20"/>
      <c r="V279" s="20"/>
    </row>
    <row r="280">
      <c r="A280" s="320"/>
      <c r="B280" s="164"/>
      <c r="C280" s="320"/>
      <c r="D280" s="164"/>
      <c r="E280" s="320"/>
      <c r="F280" s="164"/>
      <c r="G280" s="320"/>
      <c r="H280" s="164"/>
      <c r="I280" s="327"/>
      <c r="J280" s="117"/>
      <c r="K280" s="327"/>
      <c r="L280" s="117"/>
      <c r="M280" s="320"/>
      <c r="N280" s="164"/>
      <c r="O280" s="320"/>
      <c r="P280" s="164"/>
      <c r="Q280" s="320"/>
      <c r="R280" s="164"/>
      <c r="S280" s="20"/>
      <c r="T280" s="20"/>
      <c r="U280" s="20"/>
      <c r="V280" s="20"/>
    </row>
    <row r="281">
      <c r="A281" s="320"/>
      <c r="B281" s="164"/>
      <c r="C281" s="320"/>
      <c r="D281" s="164"/>
      <c r="E281" s="320"/>
      <c r="F281" s="164"/>
      <c r="G281" s="320"/>
      <c r="H281" s="164"/>
      <c r="I281" s="327"/>
      <c r="J281" s="117"/>
      <c r="K281" s="327"/>
      <c r="L281" s="117"/>
      <c r="M281" s="320"/>
      <c r="N281" s="164"/>
      <c r="O281" s="320"/>
      <c r="P281" s="164"/>
      <c r="Q281" s="320"/>
      <c r="R281" s="164"/>
      <c r="S281" s="20"/>
      <c r="T281" s="20"/>
      <c r="U281" s="20"/>
      <c r="V281" s="20"/>
    </row>
    <row r="282">
      <c r="A282" s="320"/>
      <c r="B282" s="164"/>
      <c r="C282" s="320"/>
      <c r="D282" s="164"/>
      <c r="E282" s="320"/>
      <c r="F282" s="164"/>
      <c r="G282" s="320"/>
      <c r="H282" s="164"/>
      <c r="I282" s="327"/>
      <c r="J282" s="117"/>
      <c r="K282" s="327"/>
      <c r="L282" s="117"/>
      <c r="M282" s="320"/>
      <c r="N282" s="164"/>
      <c r="O282" s="320"/>
      <c r="P282" s="164"/>
      <c r="Q282" s="320"/>
      <c r="R282" s="164"/>
      <c r="S282" s="20"/>
      <c r="T282" s="20"/>
      <c r="U282" s="20"/>
      <c r="V282" s="20"/>
    </row>
    <row r="283">
      <c r="A283" s="320"/>
      <c r="B283" s="164"/>
      <c r="C283" s="320"/>
      <c r="D283" s="164"/>
      <c r="E283" s="320"/>
      <c r="F283" s="164"/>
      <c r="G283" s="320"/>
      <c r="H283" s="164"/>
      <c r="I283" s="327"/>
      <c r="J283" s="117"/>
      <c r="K283" s="327"/>
      <c r="L283" s="117"/>
      <c r="M283" s="320"/>
      <c r="N283" s="164"/>
      <c r="O283" s="320"/>
      <c r="P283" s="164"/>
      <c r="Q283" s="320"/>
      <c r="R283" s="164"/>
      <c r="S283" s="20"/>
      <c r="T283" s="20"/>
      <c r="U283" s="20"/>
      <c r="V283" s="20"/>
    </row>
    <row r="284">
      <c r="A284" s="320"/>
      <c r="B284" s="164"/>
      <c r="C284" s="320"/>
      <c r="D284" s="164"/>
      <c r="E284" s="320"/>
      <c r="F284" s="164"/>
      <c r="G284" s="320"/>
      <c r="H284" s="164"/>
      <c r="I284" s="327"/>
      <c r="J284" s="117"/>
      <c r="K284" s="327"/>
      <c r="L284" s="117"/>
      <c r="M284" s="320"/>
      <c r="N284" s="164"/>
      <c r="O284" s="320"/>
      <c r="P284" s="164"/>
      <c r="Q284" s="320"/>
      <c r="R284" s="164"/>
      <c r="S284" s="20"/>
      <c r="T284" s="20"/>
      <c r="U284" s="20"/>
      <c r="V284" s="20"/>
    </row>
    <row r="285">
      <c r="A285" s="320"/>
      <c r="B285" s="164"/>
      <c r="C285" s="320"/>
      <c r="D285" s="164"/>
      <c r="E285" s="320"/>
      <c r="F285" s="164"/>
      <c r="G285" s="320"/>
      <c r="H285" s="164"/>
      <c r="I285" s="327"/>
      <c r="J285" s="117"/>
      <c r="K285" s="327"/>
      <c r="L285" s="117"/>
      <c r="M285" s="320"/>
      <c r="N285" s="164"/>
      <c r="O285" s="320"/>
      <c r="P285" s="164"/>
      <c r="Q285" s="327"/>
      <c r="R285" s="117"/>
      <c r="S285" s="20"/>
      <c r="T285" s="20"/>
      <c r="U285" s="20"/>
      <c r="V285" s="20"/>
    </row>
    <row r="286">
      <c r="A286" s="320"/>
      <c r="B286" s="164"/>
      <c r="C286" s="320"/>
      <c r="D286" s="164"/>
      <c r="E286" s="320"/>
      <c r="F286" s="164"/>
      <c r="G286" s="320"/>
      <c r="H286" s="164"/>
      <c r="I286" s="327"/>
      <c r="J286" s="117"/>
      <c r="K286" s="327"/>
      <c r="L286" s="117"/>
      <c r="M286" s="320"/>
      <c r="N286" s="164"/>
      <c r="O286" s="320"/>
      <c r="P286" s="164"/>
      <c r="Q286" s="327"/>
      <c r="R286" s="117"/>
      <c r="S286" s="20"/>
      <c r="T286" s="20"/>
      <c r="U286" s="20"/>
      <c r="V286" s="20"/>
    </row>
    <row r="287">
      <c r="A287" s="320"/>
      <c r="B287" s="164"/>
      <c r="C287" s="320"/>
      <c r="D287" s="164"/>
      <c r="E287" s="320"/>
      <c r="F287" s="164"/>
      <c r="G287" s="320"/>
      <c r="H287" s="164"/>
      <c r="I287" s="327"/>
      <c r="J287" s="117"/>
      <c r="K287" s="327"/>
      <c r="L287" s="117"/>
      <c r="M287" s="320"/>
      <c r="N287" s="164"/>
      <c r="O287" s="320"/>
      <c r="P287" s="164"/>
      <c r="Q287" s="327"/>
      <c r="R287" s="117"/>
      <c r="S287" s="20"/>
      <c r="T287" s="20"/>
      <c r="U287" s="20"/>
      <c r="V287" s="20"/>
    </row>
    <row r="288">
      <c r="A288" s="320"/>
      <c r="B288" s="164"/>
      <c r="C288" s="320"/>
      <c r="D288" s="164"/>
      <c r="E288" s="320"/>
      <c r="F288" s="164"/>
      <c r="G288" s="320"/>
      <c r="H288" s="164"/>
      <c r="I288" s="327"/>
      <c r="J288" s="117"/>
      <c r="K288" s="327"/>
      <c r="L288" s="117"/>
      <c r="M288" s="320"/>
      <c r="N288" s="164"/>
      <c r="O288" s="320"/>
      <c r="P288" s="164"/>
      <c r="Q288" s="327"/>
      <c r="R288" s="117"/>
      <c r="S288" s="20"/>
      <c r="T288" s="20"/>
      <c r="U288" s="20"/>
      <c r="V288" s="20"/>
    </row>
    <row r="289">
      <c r="A289" s="320"/>
      <c r="B289" s="164"/>
      <c r="C289" s="320"/>
      <c r="D289" s="164"/>
      <c r="E289" s="320"/>
      <c r="F289" s="164"/>
      <c r="G289" s="320"/>
      <c r="H289" s="164"/>
      <c r="I289" s="327"/>
      <c r="J289" s="117"/>
      <c r="K289" s="327"/>
      <c r="L289" s="117"/>
      <c r="M289" s="320"/>
      <c r="N289" s="164"/>
      <c r="O289" s="320"/>
      <c r="P289" s="164"/>
      <c r="Q289" s="327"/>
      <c r="R289" s="117"/>
      <c r="S289" s="20"/>
      <c r="T289" s="20"/>
      <c r="U289" s="20"/>
      <c r="V289" s="20"/>
    </row>
    <row r="290">
      <c r="A290" s="320"/>
      <c r="B290" s="164"/>
      <c r="C290" s="320"/>
      <c r="D290" s="164"/>
      <c r="E290" s="320"/>
      <c r="F290" s="164"/>
      <c r="G290" s="320"/>
      <c r="H290" s="164"/>
      <c r="I290" s="327"/>
      <c r="J290" s="117"/>
      <c r="K290" s="327"/>
      <c r="L290" s="117"/>
      <c r="M290" s="320"/>
      <c r="N290" s="164"/>
      <c r="O290" s="320"/>
      <c r="P290" s="164"/>
      <c r="Q290" s="327"/>
      <c r="R290" s="117"/>
      <c r="S290" s="20"/>
      <c r="T290" s="20"/>
      <c r="U290" s="20"/>
      <c r="V290" s="20"/>
    </row>
    <row r="291">
      <c r="A291" s="320"/>
      <c r="B291" s="164"/>
      <c r="C291" s="320"/>
      <c r="D291" s="164"/>
      <c r="E291" s="320"/>
      <c r="F291" s="164"/>
      <c r="G291" s="320"/>
      <c r="H291" s="164"/>
      <c r="I291" s="327"/>
      <c r="J291" s="117"/>
      <c r="K291" s="327"/>
      <c r="L291" s="117"/>
      <c r="M291" s="320"/>
      <c r="N291" s="164"/>
      <c r="O291" s="320"/>
      <c r="P291" s="164"/>
      <c r="Q291" s="327"/>
      <c r="R291" s="117"/>
      <c r="S291" s="20"/>
      <c r="T291" s="20"/>
      <c r="U291" s="20"/>
      <c r="V291" s="20"/>
    </row>
    <row r="292">
      <c r="A292" s="320"/>
      <c r="B292" s="164"/>
      <c r="C292" s="320"/>
      <c r="D292" s="164"/>
      <c r="E292" s="320"/>
      <c r="F292" s="164"/>
      <c r="G292" s="320"/>
      <c r="H292" s="164"/>
      <c r="I292" s="327"/>
      <c r="J292" s="117"/>
      <c r="K292" s="327"/>
      <c r="L292" s="117"/>
      <c r="M292" s="320"/>
      <c r="N292" s="164"/>
      <c r="O292" s="320"/>
      <c r="P292" s="164"/>
      <c r="Q292" s="327"/>
      <c r="R292" s="117"/>
      <c r="S292" s="20"/>
      <c r="T292" s="20"/>
      <c r="U292" s="20"/>
      <c r="V292" s="20"/>
    </row>
    <row r="293">
      <c r="A293" s="320"/>
      <c r="B293" s="164"/>
      <c r="C293" s="320"/>
      <c r="D293" s="164"/>
      <c r="E293" s="320"/>
      <c r="F293" s="164"/>
      <c r="G293" s="320"/>
      <c r="H293" s="164"/>
      <c r="I293" s="327"/>
      <c r="J293" s="117"/>
      <c r="K293" s="327"/>
      <c r="L293" s="117"/>
      <c r="M293" s="320"/>
      <c r="N293" s="164"/>
      <c r="O293" s="320"/>
      <c r="P293" s="164"/>
      <c r="Q293" s="327"/>
      <c r="R293" s="117"/>
      <c r="S293" s="20"/>
      <c r="T293" s="20"/>
      <c r="U293" s="20"/>
      <c r="V293" s="20"/>
    </row>
    <row r="294">
      <c r="A294" s="320"/>
      <c r="B294" s="164"/>
      <c r="C294" s="320"/>
      <c r="D294" s="164"/>
      <c r="E294" s="320"/>
      <c r="F294" s="164"/>
      <c r="G294" s="320"/>
      <c r="H294" s="164"/>
      <c r="I294" s="327"/>
      <c r="J294" s="117"/>
      <c r="K294" s="327"/>
      <c r="L294" s="117"/>
      <c r="M294" s="320"/>
      <c r="N294" s="164"/>
      <c r="O294" s="320"/>
      <c r="P294" s="164"/>
      <c r="Q294" s="327"/>
      <c r="R294" s="117"/>
      <c r="S294" s="20"/>
      <c r="T294" s="20"/>
      <c r="U294" s="20"/>
      <c r="V294" s="20"/>
    </row>
    <row r="295">
      <c r="A295" s="320"/>
      <c r="B295" s="164"/>
      <c r="C295" s="320"/>
      <c r="D295" s="164"/>
      <c r="E295" s="320"/>
      <c r="F295" s="164"/>
      <c r="G295" s="320"/>
      <c r="H295" s="164"/>
      <c r="I295" s="327"/>
      <c r="J295" s="117"/>
      <c r="K295" s="327"/>
      <c r="L295" s="117"/>
      <c r="M295" s="320"/>
      <c r="N295" s="164"/>
      <c r="O295" s="320"/>
      <c r="P295" s="164"/>
      <c r="Q295" s="327"/>
      <c r="R295" s="117"/>
      <c r="S295" s="20"/>
      <c r="T295" s="20"/>
      <c r="U295" s="20"/>
      <c r="V295" s="20"/>
    </row>
    <row r="296">
      <c r="A296" s="320"/>
      <c r="B296" s="164"/>
      <c r="C296" s="320"/>
      <c r="D296" s="164"/>
      <c r="E296" s="320"/>
      <c r="F296" s="164"/>
      <c r="G296" s="320"/>
      <c r="H296" s="164"/>
      <c r="I296" s="327"/>
      <c r="J296" s="117"/>
      <c r="K296" s="327"/>
      <c r="L296" s="117"/>
      <c r="M296" s="320"/>
      <c r="N296" s="164"/>
      <c r="O296" s="320"/>
      <c r="P296" s="164"/>
      <c r="Q296" s="327"/>
      <c r="R296" s="117"/>
      <c r="S296" s="20"/>
      <c r="T296" s="20"/>
      <c r="U296" s="20"/>
      <c r="V296" s="20"/>
    </row>
    <row r="297">
      <c r="A297" s="320"/>
      <c r="B297" s="164"/>
      <c r="C297" s="320"/>
      <c r="D297" s="164"/>
      <c r="E297" s="320"/>
      <c r="F297" s="164"/>
      <c r="G297" s="320"/>
      <c r="H297" s="164"/>
      <c r="I297" s="327"/>
      <c r="J297" s="117"/>
      <c r="K297" s="327"/>
      <c r="L297" s="117"/>
      <c r="M297" s="320"/>
      <c r="N297" s="164"/>
      <c r="O297" s="320"/>
      <c r="P297" s="164"/>
      <c r="Q297" s="327"/>
      <c r="R297" s="117"/>
      <c r="S297" s="20"/>
      <c r="T297" s="20"/>
      <c r="U297" s="20"/>
      <c r="V297" s="20"/>
    </row>
    <row r="298">
      <c r="A298" s="320"/>
      <c r="B298" s="164"/>
      <c r="C298" s="320"/>
      <c r="D298" s="164"/>
      <c r="E298" s="320"/>
      <c r="F298" s="164"/>
      <c r="G298" s="320"/>
      <c r="H298" s="164"/>
      <c r="I298" s="327"/>
      <c r="J298" s="117"/>
      <c r="K298" s="327"/>
      <c r="L298" s="117"/>
      <c r="M298" s="320"/>
      <c r="N298" s="164"/>
      <c r="O298" s="320"/>
      <c r="P298" s="164"/>
      <c r="Q298" s="327"/>
      <c r="R298" s="117"/>
      <c r="S298" s="20"/>
      <c r="T298" s="20"/>
      <c r="U298" s="20"/>
      <c r="V298" s="20"/>
    </row>
    <row r="299">
      <c r="A299" s="320"/>
      <c r="B299" s="164"/>
      <c r="C299" s="320"/>
      <c r="D299" s="164"/>
      <c r="E299" s="320"/>
      <c r="F299" s="164"/>
      <c r="G299" s="320"/>
      <c r="H299" s="164"/>
      <c r="I299" s="327"/>
      <c r="J299" s="117"/>
      <c r="K299" s="327"/>
      <c r="L299" s="117"/>
      <c r="M299" s="320"/>
      <c r="N299" s="164"/>
      <c r="O299" s="320"/>
      <c r="P299" s="164"/>
      <c r="Q299" s="327"/>
      <c r="R299" s="117"/>
      <c r="S299" s="20"/>
      <c r="T299" s="20"/>
      <c r="U299" s="20"/>
      <c r="V299" s="20"/>
    </row>
    <row r="300">
      <c r="A300" s="320"/>
      <c r="B300" s="164"/>
      <c r="C300" s="320"/>
      <c r="D300" s="164"/>
      <c r="E300" s="320"/>
      <c r="F300" s="164"/>
      <c r="G300" s="320"/>
      <c r="H300" s="164"/>
      <c r="I300" s="327"/>
      <c r="J300" s="117"/>
      <c r="K300" s="327"/>
      <c r="L300" s="117"/>
      <c r="M300" s="320"/>
      <c r="N300" s="164"/>
      <c r="O300" s="320"/>
      <c r="P300" s="164"/>
      <c r="Q300" s="327"/>
      <c r="R300" s="117"/>
      <c r="S300" s="20"/>
      <c r="T300" s="20"/>
      <c r="U300" s="20"/>
      <c r="V300" s="20"/>
    </row>
    <row r="301">
      <c r="A301" s="320"/>
      <c r="B301" s="164"/>
      <c r="C301" s="320"/>
      <c r="D301" s="164"/>
      <c r="E301" s="320"/>
      <c r="F301" s="164"/>
      <c r="G301" s="320"/>
      <c r="H301" s="164"/>
      <c r="I301" s="327"/>
      <c r="J301" s="117"/>
      <c r="K301" s="327"/>
      <c r="L301" s="117"/>
      <c r="M301" s="320"/>
      <c r="N301" s="164"/>
      <c r="O301" s="320"/>
      <c r="P301" s="164"/>
      <c r="Q301" s="327"/>
      <c r="R301" s="117"/>
      <c r="S301" s="20"/>
      <c r="T301" s="20"/>
      <c r="U301" s="20"/>
      <c r="V301" s="20"/>
    </row>
    <row r="302">
      <c r="A302" s="320"/>
      <c r="B302" s="164"/>
      <c r="C302" s="320"/>
      <c r="D302" s="164"/>
      <c r="E302" s="320"/>
      <c r="F302" s="164"/>
      <c r="G302" s="320"/>
      <c r="H302" s="164"/>
      <c r="I302" s="327"/>
      <c r="J302" s="117"/>
      <c r="K302" s="327"/>
      <c r="L302" s="117"/>
      <c r="M302" s="320"/>
      <c r="N302" s="164"/>
      <c r="O302" s="320"/>
      <c r="P302" s="164"/>
      <c r="Q302" s="327"/>
      <c r="R302" s="117"/>
      <c r="S302" s="20"/>
      <c r="T302" s="20"/>
      <c r="U302" s="20"/>
      <c r="V302" s="20"/>
    </row>
    <row r="303">
      <c r="A303" s="320"/>
      <c r="B303" s="164"/>
      <c r="C303" s="320"/>
      <c r="D303" s="164"/>
      <c r="E303" s="320"/>
      <c r="F303" s="164"/>
      <c r="G303" s="320"/>
      <c r="H303" s="164"/>
      <c r="I303" s="327"/>
      <c r="J303" s="117"/>
      <c r="K303" s="327"/>
      <c r="L303" s="117"/>
      <c r="M303" s="320"/>
      <c r="N303" s="164"/>
      <c r="O303" s="320"/>
      <c r="P303" s="164"/>
      <c r="Q303" s="327"/>
      <c r="R303" s="117"/>
      <c r="S303" s="20"/>
      <c r="T303" s="20"/>
      <c r="U303" s="20"/>
      <c r="V303" s="20"/>
    </row>
    <row r="304">
      <c r="A304" s="320"/>
      <c r="B304" s="164"/>
      <c r="C304" s="320"/>
      <c r="D304" s="164"/>
      <c r="E304" s="320"/>
      <c r="F304" s="164"/>
      <c r="G304" s="320"/>
      <c r="H304" s="164"/>
      <c r="I304" s="327"/>
      <c r="J304" s="117"/>
      <c r="K304" s="327"/>
      <c r="L304" s="117"/>
      <c r="M304" s="320"/>
      <c r="N304" s="164"/>
      <c r="O304" s="320"/>
      <c r="P304" s="164"/>
      <c r="Q304" s="327"/>
      <c r="R304" s="117"/>
      <c r="S304" s="20"/>
      <c r="T304" s="20"/>
      <c r="U304" s="20"/>
      <c r="V304" s="20"/>
    </row>
    <row r="305">
      <c r="A305" s="320"/>
      <c r="B305" s="164"/>
      <c r="C305" s="320"/>
      <c r="D305" s="164"/>
      <c r="E305" s="320"/>
      <c r="F305" s="164"/>
      <c r="G305" s="320"/>
      <c r="H305" s="164"/>
      <c r="I305" s="327"/>
      <c r="J305" s="117"/>
      <c r="K305" s="327"/>
      <c r="L305" s="117"/>
      <c r="M305" s="320"/>
      <c r="N305" s="164"/>
      <c r="O305" s="320"/>
      <c r="P305" s="164"/>
      <c r="Q305" s="327"/>
      <c r="R305" s="117"/>
      <c r="S305" s="20"/>
      <c r="T305" s="20"/>
      <c r="U305" s="20"/>
      <c r="V305" s="20"/>
    </row>
    <row r="306">
      <c r="A306" s="320"/>
      <c r="B306" s="164"/>
      <c r="C306" s="320"/>
      <c r="D306" s="164"/>
      <c r="E306" s="320"/>
      <c r="F306" s="164"/>
      <c r="G306" s="320"/>
      <c r="H306" s="164"/>
      <c r="I306" s="327"/>
      <c r="J306" s="117"/>
      <c r="K306" s="327"/>
      <c r="L306" s="117"/>
      <c r="M306" s="320"/>
      <c r="N306" s="164"/>
      <c r="O306" s="320"/>
      <c r="P306" s="164"/>
      <c r="Q306" s="327"/>
      <c r="R306" s="117"/>
      <c r="S306" s="20"/>
      <c r="T306" s="20"/>
      <c r="U306" s="20"/>
      <c r="V306" s="20"/>
    </row>
    <row r="307">
      <c r="A307" s="320"/>
      <c r="B307" s="164"/>
      <c r="C307" s="320"/>
      <c r="D307" s="164"/>
      <c r="E307" s="320"/>
      <c r="F307" s="164"/>
      <c r="G307" s="320"/>
      <c r="H307" s="164"/>
      <c r="I307" s="327"/>
      <c r="J307" s="117"/>
      <c r="K307" s="327"/>
      <c r="L307" s="117"/>
      <c r="M307" s="320"/>
      <c r="N307" s="164"/>
      <c r="O307" s="320"/>
      <c r="P307" s="164"/>
      <c r="Q307" s="327"/>
      <c r="R307" s="117"/>
      <c r="S307" s="20"/>
      <c r="T307" s="20"/>
      <c r="U307" s="20"/>
      <c r="V307" s="20"/>
    </row>
    <row r="308">
      <c r="A308" s="320"/>
      <c r="B308" s="164"/>
      <c r="C308" s="320"/>
      <c r="D308" s="164"/>
      <c r="E308" s="320"/>
      <c r="F308" s="164"/>
      <c r="G308" s="320"/>
      <c r="H308" s="164"/>
      <c r="I308" s="327"/>
      <c r="J308" s="117"/>
      <c r="K308" s="327"/>
      <c r="L308" s="117"/>
      <c r="M308" s="320"/>
      <c r="N308" s="164"/>
      <c r="O308" s="320"/>
      <c r="P308" s="164"/>
      <c r="Q308" s="327"/>
      <c r="R308" s="117"/>
      <c r="S308" s="20"/>
      <c r="T308" s="20"/>
      <c r="U308" s="20"/>
      <c r="V308" s="20"/>
    </row>
    <row r="309">
      <c r="A309" s="320"/>
      <c r="B309" s="164"/>
      <c r="C309" s="320"/>
      <c r="D309" s="164"/>
      <c r="E309" s="320"/>
      <c r="F309" s="164"/>
      <c r="G309" s="320"/>
      <c r="H309" s="164"/>
      <c r="I309" s="327"/>
      <c r="J309" s="117"/>
      <c r="K309" s="327"/>
      <c r="L309" s="117"/>
      <c r="M309" s="320"/>
      <c r="N309" s="164"/>
      <c r="O309" s="320"/>
      <c r="P309" s="164"/>
      <c r="Q309" s="327"/>
      <c r="R309" s="117"/>
      <c r="S309" s="20"/>
      <c r="T309" s="20"/>
      <c r="U309" s="20"/>
      <c r="V309" s="20"/>
    </row>
    <row r="310">
      <c r="A310" s="320"/>
      <c r="B310" s="164"/>
      <c r="C310" s="320"/>
      <c r="D310" s="164"/>
      <c r="E310" s="320"/>
      <c r="F310" s="164"/>
      <c r="G310" s="320"/>
      <c r="H310" s="164"/>
      <c r="I310" s="327"/>
      <c r="J310" s="117"/>
      <c r="K310" s="327"/>
      <c r="L310" s="117"/>
      <c r="M310" s="320"/>
      <c r="N310" s="164"/>
      <c r="O310" s="320"/>
      <c r="P310" s="164"/>
      <c r="Q310" s="327"/>
      <c r="R310" s="117"/>
      <c r="S310" s="20"/>
      <c r="T310" s="20"/>
      <c r="U310" s="20"/>
      <c r="V310" s="20"/>
    </row>
    <row r="311">
      <c r="A311" s="320"/>
      <c r="B311" s="164"/>
      <c r="C311" s="320"/>
      <c r="D311" s="164"/>
      <c r="E311" s="320"/>
      <c r="F311" s="164"/>
      <c r="G311" s="320"/>
      <c r="H311" s="164"/>
      <c r="I311" s="327"/>
      <c r="J311" s="117"/>
      <c r="K311" s="327"/>
      <c r="L311" s="117"/>
      <c r="M311" s="320"/>
      <c r="N311" s="164"/>
      <c r="O311" s="320"/>
      <c r="P311" s="164"/>
      <c r="Q311" s="327"/>
      <c r="R311" s="117"/>
      <c r="S311" s="20"/>
      <c r="T311" s="20"/>
      <c r="U311" s="20"/>
      <c r="V311" s="20"/>
    </row>
    <row r="312">
      <c r="A312" s="320"/>
      <c r="B312" s="164"/>
      <c r="C312" s="320"/>
      <c r="D312" s="164"/>
      <c r="E312" s="320"/>
      <c r="F312" s="164"/>
      <c r="G312" s="320"/>
      <c r="H312" s="164"/>
      <c r="I312" s="327"/>
      <c r="J312" s="117"/>
      <c r="K312" s="327"/>
      <c r="L312" s="117"/>
      <c r="M312" s="320"/>
      <c r="N312" s="164"/>
      <c r="O312" s="320"/>
      <c r="P312" s="164"/>
      <c r="Q312" s="327"/>
      <c r="R312" s="117"/>
      <c r="S312" s="20"/>
      <c r="T312" s="20"/>
      <c r="U312" s="20"/>
      <c r="V312" s="20"/>
    </row>
    <row r="313">
      <c r="A313" s="320"/>
      <c r="B313" s="164"/>
      <c r="C313" s="320"/>
      <c r="D313" s="164"/>
      <c r="E313" s="320"/>
      <c r="F313" s="164"/>
      <c r="G313" s="320"/>
      <c r="H313" s="164"/>
      <c r="I313" s="327"/>
      <c r="J313" s="117"/>
      <c r="K313" s="327"/>
      <c r="L313" s="117"/>
      <c r="M313" s="320"/>
      <c r="N313" s="164"/>
      <c r="O313" s="320"/>
      <c r="P313" s="164"/>
      <c r="Q313" s="327"/>
      <c r="R313" s="117"/>
      <c r="S313" s="20"/>
      <c r="T313" s="20"/>
      <c r="U313" s="20"/>
      <c r="V313" s="20"/>
    </row>
    <row r="314">
      <c r="A314" s="320"/>
      <c r="B314" s="164"/>
      <c r="C314" s="320"/>
      <c r="D314" s="164"/>
      <c r="E314" s="320"/>
      <c r="F314" s="164"/>
      <c r="G314" s="320"/>
      <c r="H314" s="164"/>
      <c r="I314" s="327"/>
      <c r="J314" s="117"/>
      <c r="K314" s="327"/>
      <c r="L314" s="117"/>
      <c r="M314" s="320"/>
      <c r="N314" s="164"/>
      <c r="O314" s="320"/>
      <c r="P314" s="164"/>
      <c r="Q314" s="327"/>
      <c r="R314" s="117"/>
      <c r="S314" s="20"/>
      <c r="T314" s="20"/>
      <c r="U314" s="20"/>
      <c r="V314" s="20"/>
    </row>
    <row r="315">
      <c r="A315" s="320"/>
      <c r="B315" s="164"/>
      <c r="C315" s="320"/>
      <c r="D315" s="164"/>
      <c r="E315" s="320"/>
      <c r="F315" s="164"/>
      <c r="G315" s="320"/>
      <c r="H315" s="164"/>
      <c r="I315" s="327"/>
      <c r="J315" s="117"/>
      <c r="K315" s="327"/>
      <c r="L315" s="117"/>
      <c r="M315" s="320"/>
      <c r="N315" s="164"/>
      <c r="O315" s="320"/>
      <c r="P315" s="164"/>
      <c r="Q315" s="327"/>
      <c r="R315" s="117"/>
      <c r="S315" s="20"/>
      <c r="T315" s="20"/>
      <c r="U315" s="20"/>
      <c r="V315" s="20"/>
    </row>
    <row r="316">
      <c r="A316" s="320"/>
      <c r="B316" s="164"/>
      <c r="C316" s="320"/>
      <c r="D316" s="164"/>
      <c r="E316" s="320"/>
      <c r="F316" s="164"/>
      <c r="G316" s="320"/>
      <c r="H316" s="164"/>
      <c r="I316" s="327"/>
      <c r="J316" s="117"/>
      <c r="K316" s="327"/>
      <c r="L316" s="117"/>
      <c r="M316" s="320"/>
      <c r="N316" s="164"/>
      <c r="O316" s="320"/>
      <c r="P316" s="164"/>
      <c r="Q316" s="327"/>
      <c r="R316" s="117"/>
      <c r="S316" s="20"/>
      <c r="T316" s="20"/>
      <c r="U316" s="20"/>
      <c r="V316" s="20"/>
    </row>
    <row r="317">
      <c r="A317" s="320"/>
      <c r="B317" s="164"/>
      <c r="C317" s="320"/>
      <c r="D317" s="164"/>
      <c r="E317" s="320"/>
      <c r="F317" s="164"/>
      <c r="G317" s="320"/>
      <c r="H317" s="164"/>
      <c r="I317" s="327"/>
      <c r="J317" s="117"/>
      <c r="K317" s="327"/>
      <c r="L317" s="117"/>
      <c r="M317" s="320"/>
      <c r="N317" s="164"/>
      <c r="O317" s="320"/>
      <c r="P317" s="164"/>
      <c r="Q317" s="327"/>
      <c r="R317" s="117"/>
      <c r="S317" s="20"/>
      <c r="T317" s="20"/>
      <c r="U317" s="20"/>
      <c r="V317" s="20"/>
    </row>
    <row r="318">
      <c r="A318" s="320"/>
      <c r="B318" s="164"/>
      <c r="C318" s="320"/>
      <c r="D318" s="164"/>
      <c r="E318" s="320"/>
      <c r="F318" s="164"/>
      <c r="G318" s="320"/>
      <c r="H318" s="164"/>
      <c r="I318" s="327"/>
      <c r="J318" s="117"/>
      <c r="K318" s="327"/>
      <c r="L318" s="117"/>
      <c r="M318" s="320"/>
      <c r="N318" s="164"/>
      <c r="O318" s="320"/>
      <c r="P318" s="164"/>
      <c r="Q318" s="327"/>
      <c r="R318" s="117"/>
      <c r="S318" s="20"/>
      <c r="T318" s="20"/>
      <c r="U318" s="20"/>
      <c r="V318" s="20"/>
    </row>
    <row r="319">
      <c r="A319" s="320"/>
      <c r="B319" s="164"/>
      <c r="C319" s="320"/>
      <c r="D319" s="164"/>
      <c r="E319" s="320"/>
      <c r="F319" s="164"/>
      <c r="G319" s="320"/>
      <c r="H319" s="164"/>
      <c r="I319" s="327"/>
      <c r="J319" s="117"/>
      <c r="K319" s="327"/>
      <c r="L319" s="117"/>
      <c r="M319" s="320"/>
      <c r="N319" s="164"/>
      <c r="O319" s="320"/>
      <c r="P319" s="164"/>
      <c r="Q319" s="327"/>
      <c r="R319" s="117"/>
      <c r="S319" s="20"/>
      <c r="T319" s="20"/>
      <c r="U319" s="20"/>
      <c r="V319" s="20"/>
    </row>
    <row r="320">
      <c r="A320" s="320"/>
      <c r="B320" s="164"/>
      <c r="C320" s="320"/>
      <c r="D320" s="164"/>
      <c r="E320" s="320"/>
      <c r="F320" s="164"/>
      <c r="G320" s="320"/>
      <c r="H320" s="164"/>
      <c r="I320" s="327"/>
      <c r="J320" s="117"/>
      <c r="K320" s="327"/>
      <c r="L320" s="117"/>
      <c r="M320" s="320"/>
      <c r="N320" s="164"/>
      <c r="O320" s="320"/>
      <c r="P320" s="164"/>
      <c r="Q320" s="327"/>
      <c r="R320" s="117"/>
      <c r="S320" s="20"/>
      <c r="T320" s="20"/>
      <c r="U320" s="20"/>
      <c r="V320" s="20"/>
    </row>
    <row r="321">
      <c r="A321" s="320"/>
      <c r="B321" s="164"/>
      <c r="C321" s="320"/>
      <c r="D321" s="164"/>
      <c r="E321" s="320"/>
      <c r="F321" s="164"/>
      <c r="G321" s="320"/>
      <c r="H321" s="164"/>
      <c r="I321" s="327"/>
      <c r="J321" s="117"/>
      <c r="K321" s="327"/>
      <c r="L321" s="117"/>
      <c r="M321" s="320"/>
      <c r="N321" s="164"/>
      <c r="O321" s="320"/>
      <c r="P321" s="164"/>
      <c r="Q321" s="327"/>
      <c r="R321" s="117"/>
      <c r="S321" s="20"/>
      <c r="T321" s="20"/>
      <c r="U321" s="20"/>
      <c r="V321" s="20"/>
    </row>
    <row r="322">
      <c r="A322" s="320"/>
      <c r="B322" s="164"/>
      <c r="C322" s="320"/>
      <c r="D322" s="164"/>
      <c r="E322" s="320"/>
      <c r="F322" s="164"/>
      <c r="G322" s="320"/>
      <c r="H322" s="164"/>
      <c r="I322" s="327"/>
      <c r="J322" s="117"/>
      <c r="K322" s="327"/>
      <c r="L322" s="117"/>
      <c r="M322" s="320"/>
      <c r="N322" s="164"/>
      <c r="O322" s="320"/>
      <c r="P322" s="164"/>
      <c r="Q322" s="327"/>
      <c r="R322" s="117"/>
      <c r="S322" s="20"/>
      <c r="T322" s="20"/>
      <c r="U322" s="20"/>
      <c r="V322" s="20"/>
    </row>
    <row r="323">
      <c r="A323" s="320"/>
      <c r="B323" s="164"/>
      <c r="C323" s="320"/>
      <c r="D323" s="164"/>
      <c r="E323" s="320"/>
      <c r="F323" s="164"/>
      <c r="G323" s="320"/>
      <c r="H323" s="164"/>
      <c r="I323" s="327"/>
      <c r="J323" s="117"/>
      <c r="K323" s="327"/>
      <c r="L323" s="117"/>
      <c r="M323" s="320"/>
      <c r="N323" s="164"/>
      <c r="O323" s="320"/>
      <c r="P323" s="164"/>
      <c r="Q323" s="327"/>
      <c r="R323" s="117"/>
      <c r="S323" s="20"/>
      <c r="T323" s="20"/>
      <c r="U323" s="20"/>
      <c r="V323" s="20"/>
    </row>
    <row r="324">
      <c r="A324" s="320"/>
      <c r="B324" s="164"/>
      <c r="C324" s="320"/>
      <c r="D324" s="164"/>
      <c r="E324" s="320"/>
      <c r="F324" s="164"/>
      <c r="G324" s="320"/>
      <c r="H324" s="164"/>
      <c r="I324" s="327"/>
      <c r="J324" s="117"/>
      <c r="K324" s="327"/>
      <c r="L324" s="117"/>
      <c r="M324" s="320"/>
      <c r="N324" s="164"/>
      <c r="O324" s="320"/>
      <c r="P324" s="164"/>
      <c r="Q324" s="327"/>
      <c r="R324" s="117"/>
      <c r="S324" s="20"/>
      <c r="T324" s="20"/>
      <c r="U324" s="20"/>
      <c r="V324" s="20"/>
    </row>
    <row r="325">
      <c r="A325" s="320"/>
      <c r="B325" s="164"/>
      <c r="C325" s="320"/>
      <c r="D325" s="164"/>
      <c r="E325" s="320"/>
      <c r="F325" s="164"/>
      <c r="G325" s="320"/>
      <c r="H325" s="164"/>
      <c r="I325" s="327"/>
      <c r="J325" s="117"/>
      <c r="K325" s="327"/>
      <c r="L325" s="117"/>
      <c r="M325" s="320"/>
      <c r="N325" s="164"/>
      <c r="O325" s="320"/>
      <c r="P325" s="164"/>
      <c r="Q325" s="327"/>
      <c r="R325" s="117"/>
      <c r="S325" s="20"/>
      <c r="T325" s="20"/>
      <c r="U325" s="20"/>
      <c r="V325" s="20"/>
    </row>
    <row r="326">
      <c r="A326" s="320"/>
      <c r="B326" s="164"/>
      <c r="C326" s="320"/>
      <c r="D326" s="164"/>
      <c r="E326" s="320"/>
      <c r="F326" s="164"/>
      <c r="G326" s="320"/>
      <c r="H326" s="164"/>
      <c r="I326" s="327"/>
      <c r="J326" s="117"/>
      <c r="K326" s="327"/>
      <c r="L326" s="117"/>
      <c r="M326" s="320"/>
      <c r="N326" s="164"/>
      <c r="O326" s="320"/>
      <c r="P326" s="164"/>
      <c r="Q326" s="327"/>
      <c r="R326" s="117"/>
      <c r="S326" s="20"/>
      <c r="T326" s="20"/>
      <c r="U326" s="20"/>
      <c r="V326" s="20"/>
    </row>
    <row r="327">
      <c r="A327" s="320"/>
      <c r="B327" s="164"/>
      <c r="C327" s="320"/>
      <c r="D327" s="164"/>
      <c r="E327" s="320"/>
      <c r="F327" s="164"/>
      <c r="G327" s="320"/>
      <c r="H327" s="164"/>
      <c r="I327" s="327"/>
      <c r="J327" s="117"/>
      <c r="K327" s="327"/>
      <c r="L327" s="117"/>
      <c r="M327" s="320"/>
      <c r="N327" s="164"/>
      <c r="O327" s="320"/>
      <c r="P327" s="164"/>
      <c r="Q327" s="327"/>
      <c r="R327" s="117"/>
      <c r="S327" s="20"/>
      <c r="T327" s="20"/>
      <c r="U327" s="20"/>
      <c r="V327" s="20"/>
    </row>
    <row r="328">
      <c r="A328" s="320"/>
      <c r="B328" s="164"/>
      <c r="C328" s="320"/>
      <c r="D328" s="164"/>
      <c r="E328" s="320"/>
      <c r="F328" s="164"/>
      <c r="G328" s="320"/>
      <c r="H328" s="164"/>
      <c r="I328" s="327"/>
      <c r="J328" s="117"/>
      <c r="K328" s="327"/>
      <c r="L328" s="117"/>
      <c r="M328" s="320"/>
      <c r="N328" s="164"/>
      <c r="O328" s="320"/>
      <c r="P328" s="164"/>
      <c r="Q328" s="327"/>
      <c r="R328" s="117"/>
      <c r="S328" s="20"/>
      <c r="T328" s="20"/>
      <c r="U328" s="20"/>
      <c r="V328" s="20"/>
    </row>
    <row r="329">
      <c r="A329" s="320"/>
      <c r="B329" s="164"/>
      <c r="C329" s="320"/>
      <c r="D329" s="164"/>
      <c r="E329" s="320"/>
      <c r="F329" s="164"/>
      <c r="G329" s="320"/>
      <c r="H329" s="164"/>
      <c r="I329" s="327"/>
      <c r="J329" s="117"/>
      <c r="K329" s="327"/>
      <c r="L329" s="117"/>
      <c r="M329" s="320"/>
      <c r="N329" s="164"/>
      <c r="O329" s="320"/>
      <c r="P329" s="164"/>
      <c r="Q329" s="327"/>
      <c r="R329" s="117"/>
      <c r="S329" s="20"/>
      <c r="T329" s="20"/>
      <c r="U329" s="20"/>
      <c r="V329" s="20"/>
    </row>
    <row r="330">
      <c r="A330" s="320"/>
      <c r="B330" s="164"/>
      <c r="C330" s="320"/>
      <c r="D330" s="164"/>
      <c r="E330" s="320"/>
      <c r="F330" s="164"/>
      <c r="G330" s="320"/>
      <c r="H330" s="164"/>
      <c r="I330" s="327"/>
      <c r="J330" s="117"/>
      <c r="K330" s="327"/>
      <c r="L330" s="117"/>
      <c r="M330" s="320"/>
      <c r="N330" s="164"/>
      <c r="O330" s="320"/>
      <c r="P330" s="164"/>
      <c r="Q330" s="327"/>
      <c r="R330" s="117"/>
      <c r="S330" s="20"/>
      <c r="T330" s="20"/>
      <c r="U330" s="20"/>
      <c r="V330" s="20"/>
    </row>
    <row r="331">
      <c r="A331" s="320"/>
      <c r="B331" s="164"/>
      <c r="C331" s="320"/>
      <c r="D331" s="164"/>
      <c r="E331" s="320"/>
      <c r="F331" s="164"/>
      <c r="G331" s="320"/>
      <c r="H331" s="164"/>
      <c r="I331" s="327"/>
      <c r="J331" s="117"/>
      <c r="K331" s="327"/>
      <c r="L331" s="117"/>
      <c r="M331" s="320"/>
      <c r="N331" s="164"/>
      <c r="O331" s="320"/>
      <c r="P331" s="164"/>
      <c r="Q331" s="327"/>
      <c r="R331" s="117"/>
      <c r="S331" s="20"/>
      <c r="T331" s="20"/>
      <c r="U331" s="20"/>
      <c r="V331" s="20"/>
    </row>
    <row r="332">
      <c r="A332" s="320"/>
      <c r="B332" s="164"/>
      <c r="C332" s="320"/>
      <c r="D332" s="164"/>
      <c r="E332" s="320"/>
      <c r="F332" s="164"/>
      <c r="G332" s="320"/>
      <c r="H332" s="164"/>
      <c r="I332" s="327"/>
      <c r="J332" s="117"/>
      <c r="K332" s="327"/>
      <c r="L332" s="117"/>
      <c r="M332" s="320"/>
      <c r="N332" s="164"/>
      <c r="O332" s="320"/>
      <c r="P332" s="164"/>
      <c r="Q332" s="327"/>
      <c r="R332" s="117"/>
      <c r="S332" s="20"/>
      <c r="T332" s="20"/>
      <c r="U332" s="20"/>
      <c r="V332" s="20"/>
    </row>
    <row r="333">
      <c r="A333" s="320"/>
      <c r="B333" s="164"/>
      <c r="C333" s="320"/>
      <c r="D333" s="164"/>
      <c r="E333" s="320"/>
      <c r="F333" s="164"/>
      <c r="G333" s="320"/>
      <c r="H333" s="164"/>
      <c r="I333" s="327"/>
      <c r="J333" s="117"/>
      <c r="K333" s="327"/>
      <c r="L333" s="117"/>
      <c r="M333" s="320"/>
      <c r="N333" s="164"/>
      <c r="O333" s="320"/>
      <c r="P333" s="164"/>
      <c r="Q333" s="327"/>
      <c r="R333" s="117"/>
      <c r="S333" s="20"/>
      <c r="T333" s="20"/>
      <c r="U333" s="20"/>
      <c r="V333" s="20"/>
    </row>
    <row r="334">
      <c r="A334" s="320"/>
      <c r="B334" s="164"/>
      <c r="C334" s="320"/>
      <c r="D334" s="164"/>
      <c r="E334" s="320"/>
      <c r="F334" s="164"/>
      <c r="G334" s="320"/>
      <c r="H334" s="164"/>
      <c r="I334" s="327"/>
      <c r="J334" s="117"/>
      <c r="K334" s="327"/>
      <c r="L334" s="117"/>
      <c r="M334" s="320"/>
      <c r="N334" s="164"/>
      <c r="O334" s="320"/>
      <c r="P334" s="164"/>
      <c r="Q334" s="327"/>
      <c r="R334" s="117"/>
      <c r="S334" s="20"/>
      <c r="T334" s="20"/>
      <c r="U334" s="20"/>
      <c r="V334" s="20"/>
    </row>
    <row r="335">
      <c r="A335" s="320"/>
      <c r="B335" s="164"/>
      <c r="C335" s="320"/>
      <c r="D335" s="164"/>
      <c r="E335" s="320"/>
      <c r="F335" s="164"/>
      <c r="G335" s="320"/>
      <c r="H335" s="164"/>
      <c r="I335" s="327"/>
      <c r="J335" s="117"/>
      <c r="K335" s="327"/>
      <c r="L335" s="117"/>
      <c r="M335" s="320"/>
      <c r="N335" s="164"/>
      <c r="O335" s="320"/>
      <c r="P335" s="164"/>
      <c r="Q335" s="327"/>
      <c r="R335" s="117"/>
      <c r="S335" s="20"/>
      <c r="T335" s="20"/>
      <c r="U335" s="20"/>
      <c r="V335" s="20"/>
    </row>
    <row r="336">
      <c r="A336" s="320"/>
      <c r="B336" s="164"/>
      <c r="C336" s="320"/>
      <c r="D336" s="164"/>
      <c r="E336" s="320"/>
      <c r="F336" s="164"/>
      <c r="G336" s="320"/>
      <c r="H336" s="164"/>
      <c r="I336" s="327"/>
      <c r="J336" s="117"/>
      <c r="K336" s="327"/>
      <c r="L336" s="117"/>
      <c r="M336" s="320"/>
      <c r="N336" s="164"/>
      <c r="O336" s="320"/>
      <c r="P336" s="164"/>
      <c r="Q336" s="327"/>
      <c r="R336" s="117"/>
      <c r="S336" s="20"/>
      <c r="T336" s="20"/>
      <c r="U336" s="20"/>
      <c r="V336" s="20"/>
    </row>
    <row r="337">
      <c r="A337" s="320"/>
      <c r="B337" s="164"/>
      <c r="C337" s="320"/>
      <c r="D337" s="164"/>
      <c r="E337" s="320"/>
      <c r="F337" s="164"/>
      <c r="G337" s="320"/>
      <c r="H337" s="164"/>
      <c r="I337" s="327"/>
      <c r="J337" s="117"/>
      <c r="K337" s="327"/>
      <c r="L337" s="117"/>
      <c r="M337" s="320"/>
      <c r="N337" s="164"/>
      <c r="O337" s="320"/>
      <c r="P337" s="164"/>
      <c r="Q337" s="327"/>
      <c r="R337" s="117"/>
      <c r="S337" s="20"/>
      <c r="T337" s="20"/>
      <c r="U337" s="20"/>
      <c r="V337" s="20"/>
    </row>
    <row r="338">
      <c r="A338" s="320"/>
      <c r="B338" s="164"/>
      <c r="C338" s="320"/>
      <c r="D338" s="164"/>
      <c r="E338" s="320"/>
      <c r="F338" s="164"/>
      <c r="G338" s="320"/>
      <c r="H338" s="164"/>
      <c r="I338" s="327"/>
      <c r="J338" s="117"/>
      <c r="K338" s="327"/>
      <c r="L338" s="117"/>
      <c r="M338" s="320"/>
      <c r="N338" s="164"/>
      <c r="O338" s="320"/>
      <c r="P338" s="164"/>
      <c r="Q338" s="327"/>
      <c r="R338" s="117"/>
      <c r="S338" s="20"/>
      <c r="T338" s="20"/>
      <c r="U338" s="20"/>
      <c r="V338" s="20"/>
    </row>
    <row r="339">
      <c r="A339" s="320"/>
      <c r="B339" s="164"/>
      <c r="C339" s="320"/>
      <c r="D339" s="164"/>
      <c r="E339" s="320"/>
      <c r="F339" s="164"/>
      <c r="G339" s="320"/>
      <c r="H339" s="164"/>
      <c r="I339" s="327"/>
      <c r="J339" s="117"/>
      <c r="K339" s="327"/>
      <c r="L339" s="117"/>
      <c r="M339" s="320"/>
      <c r="N339" s="164"/>
      <c r="O339" s="320"/>
      <c r="P339" s="164"/>
      <c r="Q339" s="327"/>
      <c r="R339" s="117"/>
      <c r="S339" s="20"/>
      <c r="T339" s="20"/>
      <c r="U339" s="20"/>
      <c r="V339" s="20"/>
    </row>
    <row r="340">
      <c r="A340" s="320"/>
      <c r="B340" s="164"/>
      <c r="C340" s="320"/>
      <c r="D340" s="164"/>
      <c r="E340" s="320"/>
      <c r="F340" s="164"/>
      <c r="G340" s="320"/>
      <c r="H340" s="164"/>
      <c r="I340" s="327"/>
      <c r="J340" s="117"/>
      <c r="K340" s="327"/>
      <c r="L340" s="117"/>
      <c r="M340" s="320"/>
      <c r="N340" s="164"/>
      <c r="O340" s="320"/>
      <c r="P340" s="164"/>
      <c r="Q340" s="327"/>
      <c r="R340" s="117"/>
      <c r="S340" s="20"/>
      <c r="T340" s="20"/>
      <c r="U340" s="20"/>
      <c r="V340" s="20"/>
    </row>
    <row r="341">
      <c r="A341" s="320"/>
      <c r="B341" s="164"/>
      <c r="C341" s="320"/>
      <c r="D341" s="164"/>
      <c r="E341" s="320"/>
      <c r="F341" s="164"/>
      <c r="G341" s="320"/>
      <c r="H341" s="164"/>
      <c r="I341" s="327"/>
      <c r="J341" s="117"/>
      <c r="K341" s="327"/>
      <c r="L341" s="117"/>
      <c r="M341" s="320"/>
      <c r="N341" s="164"/>
      <c r="O341" s="320"/>
      <c r="P341" s="164"/>
      <c r="Q341" s="327"/>
      <c r="R341" s="117"/>
      <c r="S341" s="20"/>
      <c r="T341" s="20"/>
      <c r="U341" s="20"/>
      <c r="V341" s="20"/>
    </row>
    <row r="342">
      <c r="A342" s="320"/>
      <c r="B342" s="164"/>
      <c r="C342" s="320"/>
      <c r="D342" s="164"/>
      <c r="E342" s="320"/>
      <c r="F342" s="164"/>
      <c r="G342" s="320"/>
      <c r="H342" s="164"/>
      <c r="I342" s="327"/>
      <c r="J342" s="117"/>
      <c r="K342" s="327"/>
      <c r="L342" s="117"/>
      <c r="M342" s="320"/>
      <c r="N342" s="164"/>
      <c r="O342" s="320"/>
      <c r="P342" s="164"/>
      <c r="Q342" s="327"/>
      <c r="R342" s="117"/>
      <c r="S342" s="20"/>
      <c r="T342" s="20"/>
      <c r="U342" s="20"/>
      <c r="V342" s="20"/>
    </row>
    <row r="343">
      <c r="A343" s="320"/>
      <c r="B343" s="164"/>
      <c r="C343" s="320"/>
      <c r="D343" s="164"/>
      <c r="E343" s="320"/>
      <c r="F343" s="164"/>
      <c r="G343" s="320"/>
      <c r="H343" s="164"/>
      <c r="I343" s="327"/>
      <c r="J343" s="117"/>
      <c r="K343" s="327"/>
      <c r="L343" s="117"/>
      <c r="M343" s="320"/>
      <c r="N343" s="164"/>
      <c r="O343" s="320"/>
      <c r="P343" s="164"/>
      <c r="Q343" s="327"/>
      <c r="R343" s="117"/>
      <c r="S343" s="20"/>
      <c r="T343" s="20"/>
      <c r="U343" s="20"/>
      <c r="V343" s="20"/>
    </row>
    <row r="344">
      <c r="A344" s="320"/>
      <c r="B344" s="164"/>
      <c r="C344" s="320"/>
      <c r="D344" s="164"/>
      <c r="E344" s="320"/>
      <c r="F344" s="164"/>
      <c r="G344" s="320"/>
      <c r="H344" s="164"/>
      <c r="I344" s="327"/>
      <c r="J344" s="117"/>
      <c r="K344" s="327"/>
      <c r="L344" s="117"/>
      <c r="M344" s="320"/>
      <c r="N344" s="164"/>
      <c r="O344" s="320"/>
      <c r="P344" s="164"/>
      <c r="Q344" s="327"/>
      <c r="R344" s="117"/>
      <c r="S344" s="20"/>
      <c r="T344" s="20"/>
      <c r="U344" s="20"/>
      <c r="V344" s="20"/>
    </row>
    <row r="345">
      <c r="A345" s="320"/>
      <c r="B345" s="164"/>
      <c r="C345" s="320"/>
      <c r="D345" s="164"/>
      <c r="E345" s="320"/>
      <c r="F345" s="164"/>
      <c r="G345" s="320"/>
      <c r="H345" s="164"/>
      <c r="I345" s="327"/>
      <c r="J345" s="117"/>
      <c r="K345" s="327"/>
      <c r="L345" s="117"/>
      <c r="M345" s="320"/>
      <c r="N345" s="164"/>
      <c r="O345" s="320"/>
      <c r="P345" s="164"/>
      <c r="Q345" s="327"/>
      <c r="R345" s="117"/>
      <c r="S345" s="20"/>
      <c r="T345" s="20"/>
      <c r="U345" s="20"/>
      <c r="V345" s="20"/>
    </row>
    <row r="346">
      <c r="A346" s="320"/>
      <c r="B346" s="164"/>
      <c r="C346" s="320"/>
      <c r="D346" s="164"/>
      <c r="E346" s="320"/>
      <c r="F346" s="164"/>
      <c r="G346" s="320"/>
      <c r="H346" s="164"/>
      <c r="I346" s="327"/>
      <c r="J346" s="117"/>
      <c r="K346" s="327"/>
      <c r="L346" s="117"/>
      <c r="M346" s="320"/>
      <c r="N346" s="164"/>
      <c r="O346" s="320"/>
      <c r="P346" s="164"/>
      <c r="Q346" s="327"/>
      <c r="R346" s="117"/>
      <c r="S346" s="20"/>
      <c r="T346" s="20"/>
      <c r="U346" s="20"/>
      <c r="V346" s="20"/>
    </row>
    <row r="347">
      <c r="A347" s="320"/>
      <c r="B347" s="164"/>
      <c r="C347" s="320"/>
      <c r="D347" s="164"/>
      <c r="E347" s="320"/>
      <c r="F347" s="164"/>
      <c r="G347" s="320"/>
      <c r="H347" s="164"/>
      <c r="I347" s="327"/>
      <c r="J347" s="117"/>
      <c r="K347" s="327"/>
      <c r="L347" s="117"/>
      <c r="M347" s="320"/>
      <c r="N347" s="164"/>
      <c r="O347" s="320"/>
      <c r="P347" s="164"/>
      <c r="Q347" s="327"/>
      <c r="R347" s="117"/>
      <c r="S347" s="20"/>
      <c r="T347" s="20"/>
      <c r="U347" s="20"/>
      <c r="V347" s="20"/>
    </row>
    <row r="348">
      <c r="A348" s="320"/>
      <c r="B348" s="164"/>
      <c r="C348" s="320"/>
      <c r="D348" s="164"/>
      <c r="E348" s="320"/>
      <c r="F348" s="164"/>
      <c r="G348" s="320"/>
      <c r="H348" s="164"/>
      <c r="I348" s="327"/>
      <c r="J348" s="117"/>
      <c r="K348" s="327"/>
      <c r="L348" s="117"/>
      <c r="M348" s="320"/>
      <c r="N348" s="164"/>
      <c r="O348" s="320"/>
      <c r="P348" s="164"/>
      <c r="Q348" s="327"/>
      <c r="R348" s="117"/>
      <c r="S348" s="20"/>
      <c r="T348" s="20"/>
      <c r="U348" s="20"/>
      <c r="V348" s="20"/>
    </row>
    <row r="349">
      <c r="A349" s="320"/>
      <c r="B349" s="164"/>
      <c r="C349" s="320"/>
      <c r="D349" s="164"/>
      <c r="E349" s="320"/>
      <c r="F349" s="164"/>
      <c r="G349" s="320"/>
      <c r="H349" s="164"/>
      <c r="I349" s="327"/>
      <c r="J349" s="117"/>
      <c r="K349" s="327"/>
      <c r="L349" s="117"/>
      <c r="M349" s="320"/>
      <c r="N349" s="164"/>
      <c r="O349" s="320"/>
      <c r="P349" s="164"/>
      <c r="Q349" s="327"/>
      <c r="R349" s="117"/>
      <c r="S349" s="20"/>
      <c r="T349" s="20"/>
      <c r="U349" s="20"/>
      <c r="V349" s="20"/>
    </row>
    <row r="350">
      <c r="A350" s="320"/>
      <c r="B350" s="164"/>
      <c r="C350" s="320"/>
      <c r="D350" s="164"/>
      <c r="E350" s="320"/>
      <c r="F350" s="164"/>
      <c r="G350" s="320"/>
      <c r="H350" s="164"/>
      <c r="I350" s="327"/>
      <c r="J350" s="117"/>
      <c r="K350" s="327"/>
      <c r="L350" s="117"/>
      <c r="M350" s="320"/>
      <c r="N350" s="164"/>
      <c r="O350" s="320"/>
      <c r="P350" s="164"/>
      <c r="Q350" s="327"/>
      <c r="R350" s="117"/>
      <c r="S350" s="20"/>
      <c r="T350" s="20"/>
      <c r="U350" s="20"/>
      <c r="V350" s="20"/>
    </row>
    <row r="351">
      <c r="A351" s="320"/>
      <c r="B351" s="164"/>
      <c r="C351" s="320"/>
      <c r="D351" s="164"/>
      <c r="E351" s="320"/>
      <c r="F351" s="164"/>
      <c r="G351" s="320"/>
      <c r="H351" s="164"/>
      <c r="I351" s="327"/>
      <c r="J351" s="117"/>
      <c r="K351" s="327"/>
      <c r="L351" s="117"/>
      <c r="M351" s="320"/>
      <c r="N351" s="164"/>
      <c r="O351" s="320"/>
      <c r="P351" s="164"/>
      <c r="Q351" s="327"/>
      <c r="R351" s="117"/>
      <c r="S351" s="20"/>
      <c r="T351" s="20"/>
      <c r="U351" s="20"/>
      <c r="V351" s="20"/>
    </row>
    <row r="352">
      <c r="A352" s="320"/>
      <c r="B352" s="164"/>
      <c r="C352" s="320"/>
      <c r="D352" s="164"/>
      <c r="E352" s="320"/>
      <c r="F352" s="164"/>
      <c r="G352" s="320"/>
      <c r="H352" s="164"/>
      <c r="I352" s="327"/>
      <c r="J352" s="117"/>
      <c r="K352" s="327"/>
      <c r="L352" s="117"/>
      <c r="M352" s="320"/>
      <c r="N352" s="164"/>
      <c r="O352" s="320"/>
      <c r="P352" s="164"/>
      <c r="Q352" s="327"/>
      <c r="R352" s="117"/>
      <c r="S352" s="20"/>
      <c r="T352" s="20"/>
      <c r="U352" s="20"/>
      <c r="V352" s="20"/>
    </row>
    <row r="353">
      <c r="A353" s="320"/>
      <c r="B353" s="164"/>
      <c r="C353" s="320"/>
      <c r="D353" s="164"/>
      <c r="E353" s="320"/>
      <c r="F353" s="164"/>
      <c r="G353" s="320"/>
      <c r="H353" s="164"/>
      <c r="I353" s="327"/>
      <c r="J353" s="117"/>
      <c r="K353" s="327"/>
      <c r="L353" s="117"/>
      <c r="M353" s="320"/>
      <c r="N353" s="164"/>
      <c r="O353" s="320"/>
      <c r="P353" s="164"/>
      <c r="Q353" s="327"/>
      <c r="R353" s="117"/>
      <c r="S353" s="20"/>
      <c r="T353" s="20"/>
      <c r="U353" s="20"/>
      <c r="V353" s="20"/>
    </row>
    <row r="354">
      <c r="A354" s="320"/>
      <c r="B354" s="164"/>
      <c r="C354" s="320"/>
      <c r="D354" s="164"/>
      <c r="E354" s="320"/>
      <c r="F354" s="164"/>
      <c r="G354" s="320"/>
      <c r="H354" s="164"/>
      <c r="I354" s="327"/>
      <c r="J354" s="117"/>
      <c r="K354" s="327"/>
      <c r="L354" s="117"/>
      <c r="M354" s="320"/>
      <c r="N354" s="164"/>
      <c r="O354" s="320"/>
      <c r="P354" s="164"/>
      <c r="Q354" s="327"/>
      <c r="R354" s="117"/>
      <c r="S354" s="20"/>
      <c r="T354" s="20"/>
      <c r="U354" s="20"/>
      <c r="V354" s="20"/>
    </row>
    <row r="355">
      <c r="A355" s="320"/>
      <c r="B355" s="164"/>
      <c r="C355" s="320"/>
      <c r="D355" s="164"/>
      <c r="E355" s="320"/>
      <c r="F355" s="164"/>
      <c r="G355" s="320"/>
      <c r="H355" s="164"/>
      <c r="I355" s="327"/>
      <c r="J355" s="117"/>
      <c r="K355" s="327"/>
      <c r="L355" s="117"/>
      <c r="M355" s="320"/>
      <c r="N355" s="164"/>
      <c r="O355" s="320"/>
      <c r="P355" s="164"/>
      <c r="Q355" s="327"/>
      <c r="R355" s="117"/>
      <c r="S355" s="20"/>
      <c r="T355" s="20"/>
      <c r="U355" s="20"/>
      <c r="V355" s="20"/>
    </row>
    <row r="356">
      <c r="A356" s="320"/>
      <c r="B356" s="164"/>
      <c r="C356" s="320"/>
      <c r="D356" s="164"/>
      <c r="E356" s="320"/>
      <c r="F356" s="164"/>
      <c r="G356" s="320"/>
      <c r="H356" s="164"/>
      <c r="I356" s="327"/>
      <c r="J356" s="117"/>
      <c r="K356" s="327"/>
      <c r="L356" s="117"/>
      <c r="M356" s="320"/>
      <c r="N356" s="164"/>
      <c r="O356" s="320"/>
      <c r="P356" s="164"/>
      <c r="Q356" s="327"/>
      <c r="R356" s="117"/>
      <c r="S356" s="20"/>
      <c r="T356" s="20"/>
      <c r="U356" s="20"/>
      <c r="V356" s="20"/>
    </row>
    <row r="357">
      <c r="A357" s="320"/>
      <c r="B357" s="164"/>
      <c r="C357" s="320"/>
      <c r="D357" s="164"/>
      <c r="E357" s="320"/>
      <c r="F357" s="164"/>
      <c r="G357" s="320"/>
      <c r="H357" s="164"/>
      <c r="I357" s="327"/>
      <c r="J357" s="117"/>
      <c r="K357" s="327"/>
      <c r="L357" s="117"/>
      <c r="M357" s="320"/>
      <c r="N357" s="164"/>
      <c r="O357" s="320"/>
      <c r="P357" s="164"/>
      <c r="Q357" s="327"/>
      <c r="R357" s="117"/>
      <c r="S357" s="20"/>
      <c r="T357" s="20"/>
      <c r="U357" s="20"/>
      <c r="V357" s="20"/>
    </row>
    <row r="358">
      <c r="A358" s="320"/>
      <c r="B358" s="164"/>
      <c r="C358" s="320"/>
      <c r="D358" s="164"/>
      <c r="E358" s="320"/>
      <c r="F358" s="164"/>
      <c r="G358" s="320"/>
      <c r="H358" s="164"/>
      <c r="I358" s="327"/>
      <c r="J358" s="117"/>
      <c r="K358" s="327"/>
      <c r="L358" s="117"/>
      <c r="M358" s="320"/>
      <c r="N358" s="164"/>
      <c r="O358" s="320"/>
      <c r="P358" s="164"/>
      <c r="Q358" s="327"/>
      <c r="R358" s="117"/>
      <c r="S358" s="20"/>
      <c r="T358" s="20"/>
      <c r="U358" s="20"/>
      <c r="V358" s="20"/>
    </row>
    <row r="359">
      <c r="A359" s="320"/>
      <c r="B359" s="164"/>
      <c r="C359" s="320"/>
      <c r="D359" s="164"/>
      <c r="E359" s="320"/>
      <c r="F359" s="164"/>
      <c r="G359" s="320"/>
      <c r="H359" s="164"/>
      <c r="I359" s="327"/>
      <c r="J359" s="117"/>
      <c r="K359" s="327"/>
      <c r="L359" s="117"/>
      <c r="M359" s="320"/>
      <c r="N359" s="164"/>
      <c r="O359" s="320"/>
      <c r="P359" s="164"/>
      <c r="Q359" s="327"/>
      <c r="R359" s="117"/>
      <c r="S359" s="20"/>
      <c r="T359" s="20"/>
      <c r="U359" s="20"/>
      <c r="V359" s="20"/>
    </row>
    <row r="360">
      <c r="A360" s="320"/>
      <c r="B360" s="164"/>
      <c r="C360" s="320"/>
      <c r="D360" s="164"/>
      <c r="E360" s="320"/>
      <c r="F360" s="164"/>
      <c r="G360" s="320"/>
      <c r="H360" s="164"/>
      <c r="I360" s="327"/>
      <c r="J360" s="117"/>
      <c r="K360" s="327"/>
      <c r="L360" s="117"/>
      <c r="M360" s="320"/>
      <c r="N360" s="164"/>
      <c r="O360" s="320"/>
      <c r="P360" s="164"/>
      <c r="Q360" s="327"/>
      <c r="R360" s="117"/>
      <c r="S360" s="20"/>
      <c r="T360" s="20"/>
      <c r="U360" s="20"/>
      <c r="V360" s="20"/>
    </row>
    <row r="361">
      <c r="A361" s="320"/>
      <c r="B361" s="164"/>
      <c r="C361" s="320"/>
      <c r="D361" s="164"/>
      <c r="E361" s="320"/>
      <c r="F361" s="164"/>
      <c r="G361" s="320"/>
      <c r="H361" s="164"/>
      <c r="I361" s="327"/>
      <c r="J361" s="117"/>
      <c r="K361" s="327"/>
      <c r="L361" s="117"/>
      <c r="M361" s="320"/>
      <c r="N361" s="164"/>
      <c r="O361" s="320"/>
      <c r="P361" s="164"/>
      <c r="Q361" s="327"/>
      <c r="R361" s="117"/>
      <c r="S361" s="20"/>
      <c r="T361" s="20"/>
      <c r="U361" s="20"/>
      <c r="V361" s="20"/>
    </row>
    <row r="362">
      <c r="A362" s="320"/>
      <c r="B362" s="164"/>
      <c r="C362" s="320"/>
      <c r="D362" s="164"/>
      <c r="E362" s="320"/>
      <c r="F362" s="164"/>
      <c r="G362" s="320"/>
      <c r="H362" s="164"/>
      <c r="I362" s="327"/>
      <c r="J362" s="117"/>
      <c r="K362" s="327"/>
      <c r="L362" s="117"/>
      <c r="M362" s="320"/>
      <c r="N362" s="164"/>
      <c r="O362" s="320"/>
      <c r="P362" s="164"/>
      <c r="Q362" s="327"/>
      <c r="R362" s="117"/>
      <c r="S362" s="20"/>
      <c r="T362" s="20"/>
      <c r="U362" s="20"/>
      <c r="V362" s="20"/>
    </row>
    <row r="363">
      <c r="A363" s="320"/>
      <c r="B363" s="164"/>
      <c r="C363" s="320"/>
      <c r="D363" s="164"/>
      <c r="E363" s="320"/>
      <c r="F363" s="164"/>
      <c r="G363" s="320"/>
      <c r="H363" s="164"/>
      <c r="I363" s="327"/>
      <c r="J363" s="117"/>
      <c r="K363" s="327"/>
      <c r="L363" s="117"/>
      <c r="M363" s="320"/>
      <c r="N363" s="164"/>
      <c r="O363" s="320"/>
      <c r="P363" s="164"/>
      <c r="Q363" s="327"/>
      <c r="R363" s="117"/>
      <c r="S363" s="20"/>
      <c r="T363" s="20"/>
      <c r="U363" s="20"/>
      <c r="V363" s="20"/>
    </row>
    <row r="364">
      <c r="A364" s="320"/>
      <c r="B364" s="164"/>
      <c r="C364" s="320"/>
      <c r="D364" s="164"/>
      <c r="E364" s="320"/>
      <c r="F364" s="164"/>
      <c r="G364" s="320"/>
      <c r="H364" s="164"/>
      <c r="I364" s="327"/>
      <c r="J364" s="117"/>
      <c r="K364" s="327"/>
      <c r="L364" s="117"/>
      <c r="M364" s="320"/>
      <c r="N364" s="164"/>
      <c r="O364" s="320"/>
      <c r="P364" s="164"/>
      <c r="Q364" s="327"/>
      <c r="R364" s="117"/>
      <c r="S364" s="20"/>
      <c r="T364" s="20"/>
      <c r="U364" s="20"/>
      <c r="V364" s="20"/>
    </row>
    <row r="365">
      <c r="A365" s="320"/>
      <c r="B365" s="164"/>
      <c r="C365" s="320"/>
      <c r="D365" s="164"/>
      <c r="E365" s="320"/>
      <c r="F365" s="164"/>
      <c r="G365" s="320"/>
      <c r="H365" s="164"/>
      <c r="I365" s="327"/>
      <c r="J365" s="117"/>
      <c r="K365" s="327"/>
      <c r="L365" s="117"/>
      <c r="M365" s="320"/>
      <c r="N365" s="164"/>
      <c r="O365" s="320"/>
      <c r="P365" s="164"/>
      <c r="Q365" s="327"/>
      <c r="R365" s="117"/>
      <c r="S365" s="20"/>
      <c r="T365" s="20"/>
      <c r="U365" s="20"/>
      <c r="V365" s="20"/>
    </row>
    <row r="366">
      <c r="A366" s="320"/>
      <c r="B366" s="164"/>
      <c r="C366" s="320"/>
      <c r="D366" s="164"/>
      <c r="E366" s="320"/>
      <c r="F366" s="164"/>
      <c r="G366" s="320"/>
      <c r="H366" s="164"/>
      <c r="I366" s="327"/>
      <c r="J366" s="117"/>
      <c r="K366" s="327"/>
      <c r="L366" s="117"/>
      <c r="M366" s="320"/>
      <c r="N366" s="164"/>
      <c r="O366" s="320"/>
      <c r="P366" s="164"/>
      <c r="Q366" s="327"/>
      <c r="R366" s="117"/>
      <c r="S366" s="20"/>
      <c r="T366" s="20"/>
      <c r="U366" s="20"/>
      <c r="V366" s="20"/>
    </row>
    <row r="367">
      <c r="A367" s="320"/>
      <c r="B367" s="164"/>
      <c r="C367" s="320"/>
      <c r="D367" s="164"/>
      <c r="E367" s="320"/>
      <c r="F367" s="164"/>
      <c r="G367" s="320"/>
      <c r="H367" s="164"/>
      <c r="I367" s="327"/>
      <c r="J367" s="117"/>
      <c r="K367" s="327"/>
      <c r="L367" s="117"/>
      <c r="M367" s="320"/>
      <c r="N367" s="164"/>
      <c r="O367" s="320"/>
      <c r="P367" s="164"/>
      <c r="Q367" s="327"/>
      <c r="R367" s="117"/>
      <c r="S367" s="20"/>
      <c r="T367" s="20"/>
      <c r="U367" s="20"/>
      <c r="V367" s="20"/>
    </row>
    <row r="368">
      <c r="A368" s="320"/>
      <c r="B368" s="164"/>
      <c r="C368" s="320"/>
      <c r="D368" s="164"/>
      <c r="E368" s="320"/>
      <c r="F368" s="164"/>
      <c r="G368" s="320"/>
      <c r="H368" s="164"/>
      <c r="I368" s="327"/>
      <c r="J368" s="117"/>
      <c r="K368" s="327"/>
      <c r="L368" s="117"/>
      <c r="M368" s="320"/>
      <c r="N368" s="164"/>
      <c r="O368" s="320"/>
      <c r="P368" s="164"/>
      <c r="Q368" s="327"/>
      <c r="R368" s="117"/>
      <c r="S368" s="20"/>
      <c r="T368" s="20"/>
      <c r="U368" s="20"/>
      <c r="V368" s="20"/>
    </row>
    <row r="369">
      <c r="A369" s="320"/>
      <c r="B369" s="164"/>
      <c r="C369" s="320"/>
      <c r="D369" s="164"/>
      <c r="E369" s="320"/>
      <c r="F369" s="164"/>
      <c r="G369" s="320"/>
      <c r="H369" s="164"/>
      <c r="I369" s="327"/>
      <c r="J369" s="117"/>
      <c r="K369" s="327"/>
      <c r="L369" s="117"/>
      <c r="M369" s="320"/>
      <c r="N369" s="164"/>
      <c r="O369" s="320"/>
      <c r="P369" s="164"/>
      <c r="Q369" s="327"/>
      <c r="R369" s="117"/>
      <c r="S369" s="20"/>
      <c r="T369" s="20"/>
      <c r="U369" s="20"/>
      <c r="V369" s="20"/>
    </row>
    <row r="370">
      <c r="A370" s="320"/>
      <c r="B370" s="164"/>
      <c r="C370" s="320"/>
      <c r="D370" s="164"/>
      <c r="E370" s="320"/>
      <c r="F370" s="164"/>
      <c r="G370" s="320"/>
      <c r="H370" s="164"/>
      <c r="I370" s="327"/>
      <c r="J370" s="117"/>
      <c r="K370" s="327"/>
      <c r="L370" s="117"/>
      <c r="M370" s="320"/>
      <c r="N370" s="164"/>
      <c r="O370" s="320"/>
      <c r="P370" s="164"/>
      <c r="Q370" s="327"/>
      <c r="R370" s="117"/>
      <c r="S370" s="20"/>
      <c r="T370" s="20"/>
      <c r="U370" s="20"/>
      <c r="V370" s="20"/>
    </row>
    <row r="371">
      <c r="A371" s="320"/>
      <c r="B371" s="164"/>
      <c r="C371" s="320"/>
      <c r="D371" s="164"/>
      <c r="E371" s="320"/>
      <c r="F371" s="164"/>
      <c r="G371" s="320"/>
      <c r="H371" s="164"/>
      <c r="I371" s="327"/>
      <c r="J371" s="117"/>
      <c r="K371" s="327"/>
      <c r="L371" s="117"/>
      <c r="M371" s="320"/>
      <c r="N371" s="164"/>
      <c r="O371" s="320"/>
      <c r="P371" s="164"/>
      <c r="Q371" s="327"/>
      <c r="R371" s="117"/>
      <c r="S371" s="20"/>
      <c r="T371" s="20"/>
      <c r="U371" s="20"/>
      <c r="V371" s="20"/>
    </row>
    <row r="372">
      <c r="A372" s="320"/>
      <c r="B372" s="164"/>
      <c r="C372" s="320"/>
      <c r="D372" s="164"/>
      <c r="E372" s="320"/>
      <c r="F372" s="164"/>
      <c r="G372" s="320"/>
      <c r="H372" s="164"/>
      <c r="I372" s="327"/>
      <c r="J372" s="117"/>
      <c r="K372" s="327"/>
      <c r="L372" s="117"/>
      <c r="M372" s="320"/>
      <c r="N372" s="164"/>
      <c r="O372" s="320"/>
      <c r="P372" s="164"/>
      <c r="Q372" s="327"/>
      <c r="R372" s="117"/>
      <c r="S372" s="20"/>
      <c r="T372" s="20"/>
      <c r="U372" s="20"/>
      <c r="V372" s="20"/>
    </row>
    <row r="373">
      <c r="A373" s="320"/>
      <c r="B373" s="164"/>
      <c r="C373" s="320"/>
      <c r="D373" s="164"/>
      <c r="E373" s="320"/>
      <c r="F373" s="164"/>
      <c r="G373" s="320"/>
      <c r="H373" s="164"/>
      <c r="I373" s="327"/>
      <c r="J373" s="117"/>
      <c r="K373" s="327"/>
      <c r="L373" s="117"/>
      <c r="M373" s="320"/>
      <c r="N373" s="164"/>
      <c r="O373" s="320"/>
      <c r="P373" s="164"/>
      <c r="Q373" s="327"/>
      <c r="R373" s="117"/>
      <c r="S373" s="20"/>
      <c r="T373" s="20"/>
      <c r="U373" s="20"/>
      <c r="V373" s="20"/>
    </row>
    <row r="374">
      <c r="A374" s="320"/>
      <c r="B374" s="164"/>
      <c r="C374" s="320"/>
      <c r="D374" s="164"/>
      <c r="E374" s="320"/>
      <c r="F374" s="164"/>
      <c r="G374" s="320"/>
      <c r="H374" s="164"/>
      <c r="I374" s="327"/>
      <c r="J374" s="117"/>
      <c r="K374" s="327"/>
      <c r="L374" s="117"/>
      <c r="M374" s="320"/>
      <c r="N374" s="164"/>
      <c r="O374" s="320"/>
      <c r="P374" s="164"/>
      <c r="Q374" s="327"/>
      <c r="R374" s="117"/>
      <c r="S374" s="20"/>
      <c r="T374" s="20"/>
      <c r="U374" s="20"/>
      <c r="V374" s="20"/>
    </row>
    <row r="375">
      <c r="A375" s="320"/>
      <c r="B375" s="164"/>
      <c r="C375" s="320"/>
      <c r="D375" s="164"/>
      <c r="E375" s="320"/>
      <c r="F375" s="164"/>
      <c r="G375" s="320"/>
      <c r="H375" s="164"/>
      <c r="I375" s="327"/>
      <c r="J375" s="117"/>
      <c r="K375" s="327"/>
      <c r="L375" s="117"/>
      <c r="M375" s="320"/>
      <c r="N375" s="164"/>
      <c r="O375" s="320"/>
      <c r="P375" s="164"/>
      <c r="Q375" s="327"/>
      <c r="R375" s="117"/>
      <c r="S375" s="20"/>
      <c r="T375" s="20"/>
      <c r="U375" s="20"/>
      <c r="V375" s="20"/>
    </row>
    <row r="376">
      <c r="A376" s="320"/>
      <c r="B376" s="164"/>
      <c r="C376" s="320"/>
      <c r="D376" s="164"/>
      <c r="E376" s="320"/>
      <c r="F376" s="164"/>
      <c r="G376" s="320"/>
      <c r="H376" s="164"/>
      <c r="I376" s="327"/>
      <c r="J376" s="117"/>
      <c r="K376" s="327"/>
      <c r="L376" s="117"/>
      <c r="M376" s="320"/>
      <c r="N376" s="164"/>
      <c r="O376" s="320"/>
      <c r="P376" s="164"/>
      <c r="Q376" s="327"/>
      <c r="R376" s="117"/>
      <c r="S376" s="20"/>
      <c r="T376" s="20"/>
      <c r="U376" s="20"/>
      <c r="V376" s="20"/>
    </row>
    <row r="377">
      <c r="A377" s="320"/>
      <c r="B377" s="164"/>
      <c r="C377" s="320"/>
      <c r="D377" s="164"/>
      <c r="E377" s="320"/>
      <c r="F377" s="164"/>
      <c r="G377" s="320"/>
      <c r="H377" s="164"/>
      <c r="I377" s="327"/>
      <c r="J377" s="117"/>
      <c r="K377" s="327"/>
      <c r="L377" s="117"/>
      <c r="M377" s="320"/>
      <c r="N377" s="164"/>
      <c r="O377" s="320"/>
      <c r="P377" s="164"/>
      <c r="Q377" s="327"/>
      <c r="R377" s="117"/>
      <c r="S377" s="20"/>
      <c r="T377" s="20"/>
      <c r="U377" s="20"/>
      <c r="V377" s="20"/>
    </row>
    <row r="378">
      <c r="A378" s="320"/>
      <c r="B378" s="164"/>
      <c r="C378" s="320"/>
      <c r="D378" s="164"/>
      <c r="E378" s="320"/>
      <c r="F378" s="164"/>
      <c r="G378" s="320"/>
      <c r="H378" s="164"/>
      <c r="I378" s="327"/>
      <c r="J378" s="117"/>
      <c r="K378" s="327"/>
      <c r="L378" s="117"/>
      <c r="M378" s="320"/>
      <c r="N378" s="164"/>
      <c r="O378" s="320"/>
      <c r="P378" s="164"/>
      <c r="Q378" s="327"/>
      <c r="R378" s="117"/>
      <c r="S378" s="20"/>
      <c r="T378" s="20"/>
      <c r="U378" s="20"/>
      <c r="V378" s="20"/>
    </row>
    <row r="379">
      <c r="A379" s="320"/>
      <c r="B379" s="164"/>
      <c r="C379" s="320"/>
      <c r="D379" s="164"/>
      <c r="E379" s="320"/>
      <c r="F379" s="164"/>
      <c r="G379" s="320"/>
      <c r="H379" s="164"/>
      <c r="I379" s="327"/>
      <c r="J379" s="117"/>
      <c r="K379" s="327"/>
      <c r="L379" s="117"/>
      <c r="M379" s="320"/>
      <c r="N379" s="164"/>
      <c r="O379" s="320"/>
      <c r="P379" s="164"/>
      <c r="Q379" s="327"/>
      <c r="R379" s="117"/>
      <c r="S379" s="20"/>
      <c r="T379" s="20"/>
      <c r="U379" s="20"/>
      <c r="V379" s="20"/>
    </row>
    <row r="380">
      <c r="A380" s="320"/>
      <c r="B380" s="164"/>
      <c r="C380" s="320"/>
      <c r="D380" s="164"/>
      <c r="E380" s="320"/>
      <c r="F380" s="164"/>
      <c r="G380" s="320"/>
      <c r="H380" s="164"/>
      <c r="I380" s="327"/>
      <c r="J380" s="117"/>
      <c r="K380" s="327"/>
      <c r="L380" s="117"/>
      <c r="M380" s="320"/>
      <c r="N380" s="164"/>
      <c r="O380" s="320"/>
      <c r="P380" s="164"/>
      <c r="Q380" s="327"/>
      <c r="R380" s="117"/>
      <c r="S380" s="20"/>
      <c r="T380" s="20"/>
      <c r="U380" s="20"/>
      <c r="V380" s="20"/>
    </row>
    <row r="381">
      <c r="A381" s="320"/>
      <c r="B381" s="164"/>
      <c r="C381" s="320"/>
      <c r="D381" s="164"/>
      <c r="E381" s="320"/>
      <c r="F381" s="164"/>
      <c r="G381" s="320"/>
      <c r="H381" s="164"/>
      <c r="I381" s="327"/>
      <c r="J381" s="117"/>
      <c r="K381" s="327"/>
      <c r="L381" s="117"/>
      <c r="M381" s="320"/>
      <c r="N381" s="164"/>
      <c r="O381" s="320"/>
      <c r="P381" s="164"/>
      <c r="Q381" s="327"/>
      <c r="R381" s="117"/>
      <c r="S381" s="20"/>
      <c r="T381" s="20"/>
      <c r="U381" s="20"/>
      <c r="V381" s="20"/>
    </row>
    <row r="382">
      <c r="A382" s="320"/>
      <c r="B382" s="164"/>
      <c r="C382" s="320"/>
      <c r="D382" s="164"/>
      <c r="E382" s="320"/>
      <c r="F382" s="164"/>
      <c r="G382" s="320"/>
      <c r="H382" s="164"/>
      <c r="I382" s="327"/>
      <c r="J382" s="117"/>
      <c r="K382" s="327"/>
      <c r="L382" s="117"/>
      <c r="M382" s="320"/>
      <c r="N382" s="164"/>
      <c r="O382" s="320"/>
      <c r="P382" s="164"/>
      <c r="Q382" s="327"/>
      <c r="R382" s="117"/>
      <c r="S382" s="20"/>
      <c r="T382" s="20"/>
      <c r="U382" s="20"/>
      <c r="V382" s="20"/>
    </row>
    <row r="383">
      <c r="A383" s="320"/>
      <c r="B383" s="164"/>
      <c r="C383" s="320"/>
      <c r="D383" s="164"/>
      <c r="E383" s="320"/>
      <c r="F383" s="164"/>
      <c r="G383" s="320"/>
      <c r="H383" s="164"/>
      <c r="I383" s="327"/>
      <c r="J383" s="117"/>
      <c r="K383" s="327"/>
      <c r="L383" s="117"/>
      <c r="M383" s="320"/>
      <c r="N383" s="164"/>
      <c r="O383" s="320"/>
      <c r="P383" s="164"/>
      <c r="Q383" s="327"/>
      <c r="R383" s="117"/>
      <c r="S383" s="20"/>
      <c r="T383" s="20"/>
      <c r="U383" s="20"/>
      <c r="V383" s="20"/>
    </row>
    <row r="384">
      <c r="A384" s="320"/>
      <c r="B384" s="164"/>
      <c r="C384" s="320"/>
      <c r="D384" s="164"/>
      <c r="E384" s="320"/>
      <c r="F384" s="164"/>
      <c r="G384" s="320"/>
      <c r="H384" s="164"/>
      <c r="I384" s="327"/>
      <c r="J384" s="117"/>
      <c r="K384" s="327"/>
      <c r="L384" s="117"/>
      <c r="M384" s="320"/>
      <c r="N384" s="164"/>
      <c r="O384" s="320"/>
      <c r="P384" s="164"/>
      <c r="Q384" s="327"/>
      <c r="R384" s="117"/>
      <c r="S384" s="20"/>
      <c r="T384" s="20"/>
      <c r="U384" s="20"/>
      <c r="V384" s="20"/>
    </row>
    <row r="385">
      <c r="A385" s="320"/>
      <c r="B385" s="164"/>
      <c r="C385" s="320"/>
      <c r="D385" s="164"/>
      <c r="E385" s="320"/>
      <c r="F385" s="164"/>
      <c r="G385" s="320"/>
      <c r="H385" s="164"/>
      <c r="I385" s="327"/>
      <c r="J385" s="117"/>
      <c r="K385" s="327"/>
      <c r="L385" s="117"/>
      <c r="M385" s="320"/>
      <c r="N385" s="164"/>
      <c r="O385" s="320"/>
      <c r="P385" s="164"/>
      <c r="Q385" s="327"/>
      <c r="R385" s="117"/>
      <c r="S385" s="20"/>
      <c r="T385" s="20"/>
      <c r="U385" s="20"/>
      <c r="V385" s="20"/>
    </row>
    <row r="386">
      <c r="A386" s="320"/>
      <c r="B386" s="164"/>
      <c r="C386" s="320"/>
      <c r="D386" s="164"/>
      <c r="E386" s="320"/>
      <c r="F386" s="164"/>
      <c r="G386" s="320"/>
      <c r="H386" s="164"/>
      <c r="I386" s="327"/>
      <c r="J386" s="117"/>
      <c r="K386" s="327"/>
      <c r="L386" s="117"/>
      <c r="M386" s="320"/>
      <c r="N386" s="164"/>
      <c r="O386" s="320"/>
      <c r="P386" s="164"/>
      <c r="Q386" s="327"/>
      <c r="R386" s="117"/>
      <c r="S386" s="20"/>
      <c r="T386" s="20"/>
      <c r="U386" s="20"/>
      <c r="V386" s="20"/>
    </row>
    <row r="387">
      <c r="A387" s="320"/>
      <c r="B387" s="164"/>
      <c r="C387" s="320"/>
      <c r="D387" s="164"/>
      <c r="E387" s="320"/>
      <c r="F387" s="164"/>
      <c r="G387" s="320"/>
      <c r="H387" s="164"/>
      <c r="I387" s="327"/>
      <c r="J387" s="117"/>
      <c r="K387" s="327"/>
      <c r="L387" s="117"/>
      <c r="M387" s="320"/>
      <c r="N387" s="164"/>
      <c r="O387" s="320"/>
      <c r="P387" s="164"/>
      <c r="Q387" s="327"/>
      <c r="R387" s="117"/>
      <c r="S387" s="20"/>
      <c r="T387" s="20"/>
      <c r="U387" s="20"/>
      <c r="V387" s="20"/>
    </row>
    <row r="388">
      <c r="A388" s="320"/>
      <c r="B388" s="164"/>
      <c r="C388" s="320"/>
      <c r="D388" s="164"/>
      <c r="E388" s="320"/>
      <c r="F388" s="164"/>
      <c r="G388" s="320"/>
      <c r="H388" s="164"/>
      <c r="I388" s="327"/>
      <c r="J388" s="117"/>
      <c r="K388" s="327"/>
      <c r="L388" s="117"/>
      <c r="M388" s="320"/>
      <c r="N388" s="164"/>
      <c r="O388" s="320"/>
      <c r="P388" s="164"/>
      <c r="Q388" s="327"/>
      <c r="R388" s="117"/>
      <c r="S388" s="20"/>
      <c r="T388" s="20"/>
      <c r="U388" s="20"/>
      <c r="V388" s="20"/>
    </row>
    <row r="389">
      <c r="A389" s="320"/>
      <c r="B389" s="164"/>
      <c r="C389" s="320"/>
      <c r="D389" s="164"/>
      <c r="E389" s="320"/>
      <c r="F389" s="164"/>
      <c r="G389" s="320"/>
      <c r="H389" s="164"/>
      <c r="I389" s="327"/>
      <c r="J389" s="117"/>
      <c r="K389" s="327"/>
      <c r="L389" s="117"/>
      <c r="M389" s="320"/>
      <c r="N389" s="164"/>
      <c r="O389" s="320"/>
      <c r="P389" s="164"/>
      <c r="Q389" s="327"/>
      <c r="R389" s="117"/>
      <c r="S389" s="20"/>
      <c r="T389" s="20"/>
      <c r="U389" s="20"/>
      <c r="V389" s="20"/>
    </row>
    <row r="390">
      <c r="A390" s="320"/>
      <c r="B390" s="164"/>
      <c r="C390" s="320"/>
      <c r="D390" s="164"/>
      <c r="E390" s="320"/>
      <c r="F390" s="164"/>
      <c r="G390" s="320"/>
      <c r="H390" s="164"/>
      <c r="I390" s="327"/>
      <c r="J390" s="117"/>
      <c r="K390" s="327"/>
      <c r="L390" s="117"/>
      <c r="M390" s="320"/>
      <c r="N390" s="164"/>
      <c r="O390" s="320"/>
      <c r="P390" s="164"/>
      <c r="Q390" s="327"/>
      <c r="R390" s="338"/>
      <c r="S390" s="20"/>
      <c r="T390" s="20"/>
      <c r="U390" s="20"/>
      <c r="V390" s="20"/>
    </row>
    <row r="391">
      <c r="A391" s="320"/>
      <c r="B391" s="164"/>
      <c r="C391" s="320"/>
      <c r="D391" s="164"/>
      <c r="E391" s="320"/>
      <c r="F391" s="164"/>
      <c r="G391" s="320"/>
      <c r="H391" s="164"/>
      <c r="I391" s="327"/>
      <c r="J391" s="117"/>
      <c r="K391" s="327"/>
      <c r="L391" s="117"/>
      <c r="M391" s="320"/>
      <c r="N391" s="164"/>
      <c r="O391" s="320"/>
      <c r="P391" s="164"/>
      <c r="Q391" s="327"/>
      <c r="R391" s="338"/>
      <c r="S391" s="20"/>
      <c r="T391" s="20"/>
      <c r="U391" s="20"/>
      <c r="V391" s="20"/>
    </row>
    <row r="392">
      <c r="A392" s="320"/>
      <c r="B392" s="164"/>
      <c r="C392" s="320"/>
      <c r="D392" s="164"/>
      <c r="E392" s="320"/>
      <c r="F392" s="164"/>
      <c r="G392" s="320"/>
      <c r="H392" s="164"/>
      <c r="I392" s="327"/>
      <c r="J392" s="117"/>
      <c r="K392" s="327"/>
      <c r="L392" s="117"/>
      <c r="M392" s="320"/>
      <c r="N392" s="164"/>
      <c r="O392" s="320"/>
      <c r="P392" s="164"/>
      <c r="Q392" s="327"/>
      <c r="R392" s="338"/>
      <c r="S392" s="20"/>
      <c r="T392" s="20"/>
      <c r="U392" s="20"/>
      <c r="V392" s="20"/>
    </row>
    <row r="393">
      <c r="A393" s="320"/>
      <c r="B393" s="164"/>
      <c r="C393" s="320"/>
      <c r="D393" s="164"/>
      <c r="E393" s="320"/>
      <c r="F393" s="164"/>
      <c r="G393" s="320"/>
      <c r="H393" s="164"/>
      <c r="I393" s="327"/>
      <c r="J393" s="117"/>
      <c r="K393" s="327"/>
      <c r="L393" s="117"/>
      <c r="M393" s="320"/>
      <c r="N393" s="164"/>
      <c r="O393" s="320"/>
      <c r="P393" s="164"/>
      <c r="Q393" s="327"/>
      <c r="R393" s="338"/>
      <c r="S393" s="20"/>
      <c r="T393" s="20"/>
      <c r="U393" s="20"/>
      <c r="V393" s="20"/>
    </row>
    <row r="394">
      <c r="A394" s="320"/>
      <c r="B394" s="164"/>
      <c r="C394" s="320"/>
      <c r="D394" s="164"/>
      <c r="E394" s="320"/>
      <c r="F394" s="164"/>
      <c r="G394" s="320"/>
      <c r="H394" s="164"/>
      <c r="I394" s="327"/>
      <c r="J394" s="117"/>
      <c r="K394" s="327"/>
      <c r="L394" s="117"/>
      <c r="M394" s="320"/>
      <c r="N394" s="164"/>
      <c r="O394" s="320"/>
      <c r="P394" s="164"/>
      <c r="Q394" s="327"/>
      <c r="R394" s="338"/>
      <c r="S394" s="20"/>
      <c r="T394" s="20"/>
      <c r="U394" s="20"/>
      <c r="V394" s="20"/>
    </row>
    <row r="395">
      <c r="A395" s="320"/>
      <c r="B395" s="164"/>
      <c r="C395" s="320"/>
      <c r="D395" s="164"/>
      <c r="E395" s="320"/>
      <c r="F395" s="164"/>
      <c r="G395" s="320"/>
      <c r="H395" s="164"/>
      <c r="I395" s="327"/>
      <c r="J395" s="117"/>
      <c r="K395" s="327"/>
      <c r="L395" s="117"/>
      <c r="M395" s="320"/>
      <c r="N395" s="164"/>
      <c r="O395" s="320"/>
      <c r="P395" s="164"/>
      <c r="Q395" s="327"/>
      <c r="R395" s="338"/>
      <c r="S395" s="20"/>
      <c r="T395" s="20"/>
      <c r="U395" s="20"/>
      <c r="V395" s="20"/>
    </row>
    <row r="396">
      <c r="A396" s="320"/>
      <c r="B396" s="164"/>
      <c r="C396" s="320"/>
      <c r="D396" s="164"/>
      <c r="E396" s="320"/>
      <c r="F396" s="164"/>
      <c r="G396" s="320"/>
      <c r="H396" s="164"/>
      <c r="I396" s="327"/>
      <c r="J396" s="117"/>
      <c r="K396" s="327"/>
      <c r="L396" s="117"/>
      <c r="M396" s="320"/>
      <c r="N396" s="164"/>
      <c r="O396" s="320"/>
      <c r="P396" s="164"/>
      <c r="Q396" s="327"/>
      <c r="R396" s="338"/>
      <c r="S396" s="20"/>
      <c r="T396" s="20"/>
      <c r="U396" s="20"/>
      <c r="V396" s="20"/>
    </row>
    <row r="397">
      <c r="A397" s="320"/>
      <c r="B397" s="164"/>
      <c r="C397" s="320"/>
      <c r="D397" s="164"/>
      <c r="E397" s="320"/>
      <c r="F397" s="164"/>
      <c r="G397" s="320"/>
      <c r="H397" s="164"/>
      <c r="I397" s="327"/>
      <c r="J397" s="117"/>
      <c r="K397" s="327"/>
      <c r="L397" s="117"/>
      <c r="M397" s="320"/>
      <c r="N397" s="164"/>
      <c r="O397" s="320"/>
      <c r="P397" s="164"/>
      <c r="Q397" s="327"/>
      <c r="R397" s="338"/>
      <c r="S397" s="20"/>
      <c r="T397" s="20"/>
      <c r="U397" s="20"/>
      <c r="V397" s="20"/>
    </row>
    <row r="398">
      <c r="A398" s="320"/>
      <c r="B398" s="164"/>
      <c r="C398" s="320"/>
      <c r="D398" s="164"/>
      <c r="E398" s="320"/>
      <c r="F398" s="164"/>
      <c r="G398" s="320"/>
      <c r="H398" s="164"/>
      <c r="I398" s="327"/>
      <c r="J398" s="117"/>
      <c r="K398" s="327"/>
      <c r="L398" s="117"/>
      <c r="M398" s="320"/>
      <c r="N398" s="164"/>
      <c r="O398" s="320"/>
      <c r="P398" s="164"/>
      <c r="Q398" s="327"/>
      <c r="R398" s="338"/>
      <c r="S398" s="20"/>
      <c r="T398" s="20"/>
      <c r="U398" s="20"/>
      <c r="V398" s="20"/>
    </row>
    <row r="399">
      <c r="A399" s="320"/>
      <c r="B399" s="164"/>
      <c r="C399" s="320"/>
      <c r="D399" s="164"/>
      <c r="E399" s="320"/>
      <c r="F399" s="164"/>
      <c r="G399" s="320"/>
      <c r="H399" s="164"/>
      <c r="I399" s="327"/>
      <c r="J399" s="117"/>
      <c r="K399" s="327"/>
      <c r="L399" s="117"/>
      <c r="M399" s="320"/>
      <c r="N399" s="164"/>
      <c r="O399" s="320"/>
      <c r="P399" s="164"/>
      <c r="Q399" s="327"/>
      <c r="R399" s="338"/>
      <c r="S399" s="20"/>
      <c r="T399" s="20"/>
      <c r="U399" s="20"/>
      <c r="V399" s="20"/>
    </row>
    <row r="400">
      <c r="A400" s="320"/>
      <c r="B400" s="164"/>
      <c r="C400" s="320"/>
      <c r="D400" s="164"/>
      <c r="E400" s="320"/>
      <c r="F400" s="164"/>
      <c r="G400" s="320"/>
      <c r="H400" s="164"/>
      <c r="I400" s="327"/>
      <c r="J400" s="117"/>
      <c r="K400" s="327"/>
      <c r="L400" s="117"/>
      <c r="M400" s="320"/>
      <c r="N400" s="164"/>
      <c r="O400" s="320"/>
      <c r="P400" s="164"/>
      <c r="Q400" s="327"/>
      <c r="R400" s="338"/>
      <c r="S400" s="20"/>
      <c r="T400" s="20"/>
      <c r="U400" s="20"/>
      <c r="V400" s="20"/>
    </row>
    <row r="401">
      <c r="A401" s="320"/>
      <c r="B401" s="164"/>
      <c r="C401" s="320"/>
      <c r="D401" s="164"/>
      <c r="E401" s="320"/>
      <c r="F401" s="164"/>
      <c r="G401" s="320"/>
      <c r="H401" s="164"/>
      <c r="I401" s="327"/>
      <c r="J401" s="117"/>
      <c r="K401" s="327"/>
      <c r="L401" s="117"/>
      <c r="M401" s="320"/>
      <c r="N401" s="164"/>
      <c r="O401" s="320"/>
      <c r="P401" s="164"/>
      <c r="Q401" s="327"/>
      <c r="R401" s="338"/>
      <c r="S401" s="20"/>
      <c r="T401" s="20"/>
      <c r="U401" s="20"/>
      <c r="V401" s="20"/>
    </row>
    <row r="402">
      <c r="A402" s="320"/>
      <c r="B402" s="164"/>
      <c r="C402" s="320"/>
      <c r="D402" s="164"/>
      <c r="E402" s="320"/>
      <c r="F402" s="164"/>
      <c r="G402" s="320"/>
      <c r="H402" s="164"/>
      <c r="I402" s="327"/>
      <c r="J402" s="117"/>
      <c r="K402" s="327"/>
      <c r="L402" s="117"/>
      <c r="M402" s="320"/>
      <c r="N402" s="164"/>
      <c r="O402" s="320"/>
      <c r="P402" s="164"/>
      <c r="Q402" s="327"/>
      <c r="R402" s="338"/>
      <c r="S402" s="20"/>
      <c r="T402" s="20"/>
      <c r="U402" s="20"/>
      <c r="V402" s="20"/>
    </row>
    <row r="403">
      <c r="A403" s="320"/>
      <c r="B403" s="164"/>
      <c r="C403" s="320"/>
      <c r="D403" s="164"/>
      <c r="E403" s="320"/>
      <c r="F403" s="164"/>
      <c r="G403" s="320"/>
      <c r="H403" s="164"/>
      <c r="I403" s="327"/>
      <c r="J403" s="117"/>
      <c r="K403" s="327"/>
      <c r="L403" s="117"/>
      <c r="M403" s="320"/>
      <c r="N403" s="164"/>
      <c r="O403" s="320"/>
      <c r="P403" s="164"/>
      <c r="Q403" s="327"/>
      <c r="R403" s="338"/>
      <c r="S403" s="20"/>
      <c r="T403" s="20"/>
      <c r="U403" s="20"/>
      <c r="V403" s="20"/>
    </row>
    <row r="404">
      <c r="A404" s="320"/>
      <c r="B404" s="164"/>
      <c r="C404" s="320"/>
      <c r="D404" s="164"/>
      <c r="E404" s="320"/>
      <c r="F404" s="164"/>
      <c r="G404" s="320"/>
      <c r="H404" s="164"/>
      <c r="I404" s="327"/>
      <c r="J404" s="117"/>
      <c r="K404" s="327"/>
      <c r="L404" s="117"/>
      <c r="M404" s="320"/>
      <c r="N404" s="164"/>
      <c r="O404" s="320"/>
      <c r="P404" s="164"/>
      <c r="Q404" s="327"/>
      <c r="R404" s="338"/>
      <c r="S404" s="20"/>
      <c r="T404" s="20"/>
      <c r="U404" s="20"/>
      <c r="V404" s="20"/>
    </row>
    <row r="405">
      <c r="A405" s="320"/>
      <c r="B405" s="164"/>
      <c r="C405" s="320"/>
      <c r="D405" s="164"/>
      <c r="E405" s="320"/>
      <c r="F405" s="164"/>
      <c r="G405" s="320"/>
      <c r="H405" s="164"/>
      <c r="I405" s="327"/>
      <c r="J405" s="117"/>
      <c r="K405" s="327"/>
      <c r="L405" s="117"/>
      <c r="M405" s="320"/>
      <c r="N405" s="164"/>
      <c r="O405" s="320"/>
      <c r="P405" s="164"/>
      <c r="Q405" s="327"/>
      <c r="R405" s="338"/>
      <c r="S405" s="20"/>
      <c r="T405" s="20"/>
      <c r="U405" s="20"/>
      <c r="V405" s="20"/>
    </row>
    <row r="406">
      <c r="A406" s="320"/>
      <c r="B406" s="164"/>
      <c r="C406" s="320"/>
      <c r="D406" s="164"/>
      <c r="E406" s="320"/>
      <c r="F406" s="164"/>
      <c r="G406" s="320"/>
      <c r="H406" s="164"/>
      <c r="I406" s="327"/>
      <c r="J406" s="117"/>
      <c r="K406" s="327"/>
      <c r="L406" s="117"/>
      <c r="M406" s="320"/>
      <c r="N406" s="164"/>
      <c r="O406" s="320"/>
      <c r="P406" s="164"/>
      <c r="Q406" s="327"/>
      <c r="R406" s="338"/>
      <c r="S406" s="20"/>
      <c r="T406" s="20"/>
      <c r="U406" s="20"/>
      <c r="V406" s="20"/>
    </row>
    <row r="407">
      <c r="A407" s="320"/>
      <c r="B407" s="164"/>
      <c r="C407" s="320"/>
      <c r="D407" s="164"/>
      <c r="E407" s="320"/>
      <c r="F407" s="164"/>
      <c r="G407" s="320"/>
      <c r="H407" s="164"/>
      <c r="I407" s="327"/>
      <c r="J407" s="117"/>
      <c r="K407" s="327"/>
      <c r="L407" s="117"/>
      <c r="M407" s="320"/>
      <c r="N407" s="164"/>
      <c r="O407" s="320"/>
      <c r="P407" s="164"/>
      <c r="Q407" s="327"/>
      <c r="R407" s="338"/>
      <c r="S407" s="20"/>
      <c r="T407" s="20"/>
      <c r="U407" s="20"/>
      <c r="V407" s="20"/>
    </row>
    <row r="408">
      <c r="A408" s="320"/>
      <c r="B408" s="164"/>
      <c r="C408" s="320"/>
      <c r="D408" s="164"/>
      <c r="E408" s="320"/>
      <c r="F408" s="164"/>
      <c r="G408" s="320"/>
      <c r="H408" s="164"/>
      <c r="I408" s="327"/>
      <c r="J408" s="117"/>
      <c r="K408" s="327"/>
      <c r="L408" s="117"/>
      <c r="M408" s="320"/>
      <c r="N408" s="164"/>
      <c r="O408" s="320"/>
      <c r="P408" s="164"/>
      <c r="Q408" s="327"/>
      <c r="R408" s="338"/>
      <c r="S408" s="20"/>
      <c r="T408" s="20"/>
      <c r="U408" s="20"/>
      <c r="V408" s="20"/>
    </row>
    <row r="409">
      <c r="A409" s="320"/>
      <c r="B409" s="164"/>
      <c r="C409" s="320"/>
      <c r="D409" s="164"/>
      <c r="E409" s="320"/>
      <c r="F409" s="164"/>
      <c r="G409" s="320"/>
      <c r="H409" s="164"/>
      <c r="I409" s="327"/>
      <c r="J409" s="117"/>
      <c r="K409" s="327"/>
      <c r="L409" s="117"/>
      <c r="M409" s="320"/>
      <c r="N409" s="164"/>
      <c r="O409" s="320"/>
      <c r="P409" s="164"/>
      <c r="Q409" s="327"/>
      <c r="R409" s="338"/>
      <c r="S409" s="20"/>
      <c r="T409" s="20"/>
      <c r="U409" s="20"/>
      <c r="V409" s="20"/>
    </row>
    <row r="410">
      <c r="A410" s="320"/>
      <c r="B410" s="164"/>
      <c r="C410" s="320"/>
      <c r="D410" s="164"/>
      <c r="E410" s="320"/>
      <c r="F410" s="164"/>
      <c r="G410" s="320"/>
      <c r="H410" s="164"/>
      <c r="I410" s="327"/>
      <c r="J410" s="117"/>
      <c r="K410" s="327"/>
      <c r="L410" s="117"/>
      <c r="M410" s="320"/>
      <c r="N410" s="164"/>
      <c r="O410" s="320"/>
      <c r="P410" s="164"/>
      <c r="Q410" s="327"/>
      <c r="R410" s="338"/>
      <c r="S410" s="20"/>
      <c r="T410" s="20"/>
      <c r="U410" s="20"/>
      <c r="V410" s="20"/>
    </row>
    <row r="411">
      <c r="A411" s="320"/>
      <c r="B411" s="164"/>
      <c r="C411" s="320"/>
      <c r="D411" s="164"/>
      <c r="E411" s="320"/>
      <c r="F411" s="164"/>
      <c r="G411" s="320"/>
      <c r="H411" s="164"/>
      <c r="I411" s="327"/>
      <c r="J411" s="117"/>
      <c r="K411" s="327"/>
      <c r="L411" s="117"/>
      <c r="M411" s="320"/>
      <c r="N411" s="164"/>
      <c r="O411" s="320"/>
      <c r="P411" s="164"/>
      <c r="Q411" s="327"/>
      <c r="R411" s="338"/>
      <c r="S411" s="20"/>
      <c r="T411" s="20"/>
      <c r="U411" s="20"/>
      <c r="V411" s="20"/>
    </row>
    <row r="412">
      <c r="A412" s="320"/>
      <c r="B412" s="164"/>
      <c r="C412" s="320"/>
      <c r="D412" s="164"/>
      <c r="E412" s="320"/>
      <c r="F412" s="164"/>
      <c r="G412" s="320"/>
      <c r="H412" s="164"/>
      <c r="I412" s="327"/>
      <c r="J412" s="117"/>
      <c r="K412" s="327"/>
      <c r="L412" s="117"/>
      <c r="M412" s="320"/>
      <c r="N412" s="164"/>
      <c r="O412" s="320"/>
      <c r="P412" s="164"/>
      <c r="Q412" s="327"/>
      <c r="R412" s="338"/>
      <c r="S412" s="20"/>
      <c r="T412" s="20"/>
      <c r="U412" s="20"/>
      <c r="V412" s="20"/>
    </row>
    <row r="413">
      <c r="A413" s="320"/>
      <c r="B413" s="164"/>
      <c r="C413" s="320"/>
      <c r="D413" s="164"/>
      <c r="E413" s="320"/>
      <c r="F413" s="164"/>
      <c r="G413" s="320"/>
      <c r="H413" s="164"/>
      <c r="I413" s="327"/>
      <c r="J413" s="117"/>
      <c r="K413" s="327"/>
      <c r="L413" s="117"/>
      <c r="M413" s="320"/>
      <c r="N413" s="164"/>
      <c r="O413" s="320"/>
      <c r="P413" s="164"/>
      <c r="Q413" s="327"/>
      <c r="R413" s="338"/>
      <c r="S413" s="20"/>
      <c r="T413" s="20"/>
      <c r="U413" s="20"/>
      <c r="V413" s="20"/>
    </row>
    <row r="414">
      <c r="A414" s="320"/>
      <c r="B414" s="164"/>
      <c r="C414" s="320"/>
      <c r="D414" s="164"/>
      <c r="E414" s="320"/>
      <c r="F414" s="164"/>
      <c r="G414" s="320"/>
      <c r="H414" s="164"/>
      <c r="I414" s="327"/>
      <c r="J414" s="117"/>
      <c r="K414" s="327"/>
      <c r="L414" s="117"/>
      <c r="M414" s="320"/>
      <c r="N414" s="164"/>
      <c r="O414" s="320"/>
      <c r="P414" s="164"/>
      <c r="Q414" s="327"/>
      <c r="R414" s="338"/>
      <c r="S414" s="20"/>
      <c r="T414" s="20"/>
      <c r="U414" s="20"/>
      <c r="V414" s="20"/>
    </row>
    <row r="415">
      <c r="A415" s="320"/>
      <c r="B415" s="164"/>
      <c r="C415" s="320"/>
      <c r="D415" s="164"/>
      <c r="E415" s="320"/>
      <c r="F415" s="164"/>
      <c r="G415" s="320"/>
      <c r="H415" s="164"/>
      <c r="I415" s="327"/>
      <c r="J415" s="117"/>
      <c r="K415" s="327"/>
      <c r="L415" s="117"/>
      <c r="M415" s="320"/>
      <c r="N415" s="164"/>
      <c r="O415" s="320"/>
      <c r="P415" s="164"/>
      <c r="Q415" s="327"/>
      <c r="R415" s="338"/>
      <c r="S415" s="20"/>
      <c r="T415" s="20"/>
      <c r="U415" s="20"/>
      <c r="V415" s="20"/>
    </row>
    <row r="416">
      <c r="A416" s="320"/>
      <c r="B416" s="164"/>
      <c r="C416" s="320"/>
      <c r="D416" s="164"/>
      <c r="E416" s="320"/>
      <c r="F416" s="164"/>
      <c r="G416" s="320"/>
      <c r="H416" s="164"/>
      <c r="I416" s="327"/>
      <c r="J416" s="117"/>
      <c r="K416" s="327"/>
      <c r="L416" s="117"/>
      <c r="M416" s="320"/>
      <c r="N416" s="164"/>
      <c r="O416" s="320"/>
      <c r="P416" s="164"/>
      <c r="Q416" s="327"/>
      <c r="R416" s="338"/>
      <c r="S416" s="20"/>
      <c r="T416" s="20"/>
      <c r="U416" s="20"/>
      <c r="V416" s="20"/>
    </row>
    <row r="417">
      <c r="A417" s="320"/>
      <c r="B417" s="164"/>
      <c r="C417" s="320"/>
      <c r="D417" s="164"/>
      <c r="E417" s="320"/>
      <c r="F417" s="164"/>
      <c r="G417" s="320"/>
      <c r="H417" s="164"/>
      <c r="I417" s="327"/>
      <c r="J417" s="117"/>
      <c r="K417" s="327"/>
      <c r="L417" s="117"/>
      <c r="M417" s="320"/>
      <c r="N417" s="164"/>
      <c r="O417" s="320"/>
      <c r="P417" s="164"/>
      <c r="Q417" s="327"/>
      <c r="R417" s="338"/>
      <c r="S417" s="20"/>
      <c r="T417" s="20"/>
      <c r="U417" s="20"/>
      <c r="V417" s="20"/>
    </row>
    <row r="418">
      <c r="A418" s="320"/>
      <c r="B418" s="164"/>
      <c r="C418" s="320"/>
      <c r="D418" s="164"/>
      <c r="E418" s="320"/>
      <c r="F418" s="164"/>
      <c r="G418" s="320"/>
      <c r="H418" s="164"/>
      <c r="I418" s="327"/>
      <c r="J418" s="117"/>
      <c r="K418" s="327"/>
      <c r="L418" s="117"/>
      <c r="M418" s="320"/>
      <c r="N418" s="164"/>
      <c r="O418" s="320"/>
      <c r="P418" s="164"/>
      <c r="Q418" s="327"/>
      <c r="R418" s="338"/>
      <c r="S418" s="20"/>
      <c r="T418" s="20"/>
      <c r="U418" s="20"/>
      <c r="V418" s="20"/>
    </row>
    <row r="419">
      <c r="A419" s="320"/>
      <c r="B419" s="164"/>
      <c r="C419" s="320"/>
      <c r="D419" s="164"/>
      <c r="E419" s="320"/>
      <c r="F419" s="164"/>
      <c r="G419" s="320"/>
      <c r="H419" s="164"/>
      <c r="I419" s="327"/>
      <c r="J419" s="117"/>
      <c r="K419" s="327"/>
      <c r="L419" s="117"/>
      <c r="M419" s="320"/>
      <c r="N419" s="164"/>
      <c r="O419" s="320"/>
      <c r="P419" s="164"/>
      <c r="Q419" s="327"/>
      <c r="R419" s="338"/>
      <c r="S419" s="20"/>
      <c r="T419" s="20"/>
      <c r="U419" s="20"/>
      <c r="V419" s="20"/>
    </row>
    <row r="420">
      <c r="A420" s="320"/>
      <c r="B420" s="164"/>
      <c r="C420" s="320"/>
      <c r="D420" s="164"/>
      <c r="E420" s="320"/>
      <c r="F420" s="164"/>
      <c r="G420" s="320"/>
      <c r="H420" s="164"/>
      <c r="I420" s="327"/>
      <c r="J420" s="117"/>
      <c r="K420" s="327"/>
      <c r="L420" s="117"/>
      <c r="M420" s="320"/>
      <c r="N420" s="164"/>
      <c r="O420" s="320"/>
      <c r="P420" s="164"/>
      <c r="Q420" s="327"/>
      <c r="R420" s="338"/>
      <c r="S420" s="20"/>
      <c r="T420" s="20"/>
      <c r="U420" s="20"/>
      <c r="V420" s="20"/>
    </row>
    <row r="421">
      <c r="A421" s="320"/>
      <c r="B421" s="164"/>
      <c r="C421" s="320"/>
      <c r="D421" s="164"/>
      <c r="E421" s="320"/>
      <c r="F421" s="164"/>
      <c r="G421" s="320"/>
      <c r="H421" s="164"/>
      <c r="I421" s="327"/>
      <c r="J421" s="117"/>
      <c r="K421" s="327"/>
      <c r="L421" s="117"/>
      <c r="M421" s="320"/>
      <c r="N421" s="164"/>
      <c r="O421" s="320"/>
      <c r="P421" s="164"/>
      <c r="Q421" s="327"/>
      <c r="R421" s="338"/>
      <c r="S421" s="20"/>
      <c r="T421" s="20"/>
      <c r="U421" s="20"/>
      <c r="V421" s="20"/>
    </row>
    <row r="422">
      <c r="A422" s="320"/>
      <c r="B422" s="164"/>
      <c r="C422" s="320"/>
      <c r="D422" s="164"/>
      <c r="E422" s="320"/>
      <c r="F422" s="164"/>
      <c r="G422" s="320"/>
      <c r="H422" s="164"/>
      <c r="I422" s="327"/>
      <c r="J422" s="117"/>
      <c r="K422" s="327"/>
      <c r="L422" s="117"/>
      <c r="M422" s="320"/>
      <c r="N422" s="164"/>
      <c r="O422" s="320"/>
      <c r="P422" s="164"/>
      <c r="Q422" s="327"/>
      <c r="R422" s="338"/>
      <c r="S422" s="20"/>
      <c r="T422" s="20"/>
      <c r="U422" s="20"/>
      <c r="V422" s="20"/>
    </row>
    <row r="423">
      <c r="A423" s="320"/>
      <c r="B423" s="164"/>
      <c r="C423" s="320"/>
      <c r="D423" s="164"/>
      <c r="E423" s="320"/>
      <c r="F423" s="164"/>
      <c r="G423" s="320"/>
      <c r="H423" s="164"/>
      <c r="I423" s="327"/>
      <c r="J423" s="117"/>
      <c r="K423" s="327"/>
      <c r="L423" s="117"/>
      <c r="M423" s="320"/>
      <c r="N423" s="164"/>
      <c r="O423" s="320"/>
      <c r="P423" s="164"/>
      <c r="Q423" s="327"/>
      <c r="R423" s="338"/>
      <c r="S423" s="20"/>
      <c r="T423" s="20"/>
      <c r="U423" s="20"/>
      <c r="V423" s="20"/>
    </row>
    <row r="424">
      <c r="A424" s="320"/>
      <c r="B424" s="164"/>
      <c r="C424" s="320"/>
      <c r="D424" s="164"/>
      <c r="E424" s="320"/>
      <c r="F424" s="164"/>
      <c r="G424" s="320"/>
      <c r="H424" s="164"/>
      <c r="I424" s="327"/>
      <c r="J424" s="117"/>
      <c r="K424" s="327"/>
      <c r="L424" s="117"/>
      <c r="M424" s="320"/>
      <c r="N424" s="164"/>
      <c r="O424" s="320"/>
      <c r="P424" s="164"/>
      <c r="Q424" s="327"/>
      <c r="R424" s="338"/>
      <c r="S424" s="20"/>
      <c r="T424" s="20"/>
      <c r="U424" s="20"/>
      <c r="V424" s="20"/>
    </row>
    <row r="425">
      <c r="A425" s="320"/>
      <c r="B425" s="164"/>
      <c r="C425" s="320"/>
      <c r="D425" s="164"/>
      <c r="E425" s="320"/>
      <c r="F425" s="164"/>
      <c r="G425" s="320"/>
      <c r="H425" s="164"/>
      <c r="I425" s="327"/>
      <c r="J425" s="117"/>
      <c r="K425" s="327"/>
      <c r="L425" s="117"/>
      <c r="M425" s="320"/>
      <c r="N425" s="164"/>
      <c r="O425" s="320"/>
      <c r="P425" s="164"/>
      <c r="Q425" s="327"/>
      <c r="R425" s="338"/>
      <c r="S425" s="20"/>
      <c r="T425" s="20"/>
      <c r="U425" s="20"/>
      <c r="V425" s="20"/>
    </row>
    <row r="426">
      <c r="A426" s="320"/>
      <c r="B426" s="164"/>
      <c r="C426" s="320"/>
      <c r="D426" s="164"/>
      <c r="E426" s="320"/>
      <c r="F426" s="164"/>
      <c r="G426" s="320"/>
      <c r="H426" s="164"/>
      <c r="I426" s="327"/>
      <c r="J426" s="117"/>
      <c r="K426" s="327"/>
      <c r="L426" s="117"/>
      <c r="M426" s="320"/>
      <c r="N426" s="164"/>
      <c r="O426" s="320"/>
      <c r="P426" s="164"/>
      <c r="Q426" s="327"/>
      <c r="R426" s="338"/>
      <c r="S426" s="20"/>
      <c r="T426" s="20"/>
      <c r="U426" s="20"/>
      <c r="V426" s="20"/>
    </row>
    <row r="427">
      <c r="A427" s="320"/>
      <c r="B427" s="164"/>
      <c r="C427" s="320"/>
      <c r="D427" s="164"/>
      <c r="E427" s="320"/>
      <c r="F427" s="164"/>
      <c r="G427" s="320"/>
      <c r="H427" s="164"/>
      <c r="I427" s="327"/>
      <c r="J427" s="117"/>
      <c r="K427" s="327"/>
      <c r="L427" s="117"/>
      <c r="M427" s="320"/>
      <c r="N427" s="164"/>
      <c r="O427" s="320"/>
      <c r="P427" s="164"/>
      <c r="Q427" s="327"/>
      <c r="R427" s="338"/>
      <c r="S427" s="20"/>
      <c r="T427" s="20"/>
      <c r="U427" s="20"/>
      <c r="V427" s="20"/>
    </row>
    <row r="428">
      <c r="A428" s="320"/>
      <c r="B428" s="164"/>
      <c r="C428" s="320"/>
      <c r="D428" s="164"/>
      <c r="E428" s="320"/>
      <c r="F428" s="164"/>
      <c r="G428" s="320"/>
      <c r="H428" s="164"/>
      <c r="I428" s="327"/>
      <c r="J428" s="117"/>
      <c r="K428" s="327"/>
      <c r="L428" s="117"/>
      <c r="M428" s="320"/>
      <c r="N428" s="164"/>
      <c r="O428" s="320"/>
      <c r="P428" s="164"/>
      <c r="Q428" s="327"/>
      <c r="R428" s="338"/>
      <c r="S428" s="20"/>
      <c r="T428" s="20"/>
      <c r="U428" s="20"/>
      <c r="V428" s="20"/>
    </row>
    <row r="429">
      <c r="A429" s="320"/>
      <c r="B429" s="164"/>
      <c r="C429" s="320"/>
      <c r="D429" s="164"/>
      <c r="E429" s="320"/>
      <c r="F429" s="164"/>
      <c r="G429" s="320"/>
      <c r="H429" s="164"/>
      <c r="I429" s="327"/>
      <c r="J429" s="117"/>
      <c r="K429" s="327"/>
      <c r="L429" s="117"/>
      <c r="M429" s="320"/>
      <c r="N429" s="164"/>
      <c r="O429" s="320"/>
      <c r="P429" s="164"/>
      <c r="Q429" s="327"/>
      <c r="R429" s="338"/>
      <c r="S429" s="20"/>
      <c r="T429" s="20"/>
      <c r="U429" s="20"/>
      <c r="V429" s="20"/>
    </row>
    <row r="430">
      <c r="A430" s="320"/>
      <c r="B430" s="164"/>
      <c r="C430" s="320"/>
      <c r="D430" s="164"/>
      <c r="E430" s="320"/>
      <c r="F430" s="164"/>
      <c r="G430" s="320"/>
      <c r="H430" s="164"/>
      <c r="I430" s="327"/>
      <c r="J430" s="117"/>
      <c r="K430" s="327"/>
      <c r="L430" s="117"/>
      <c r="M430" s="320"/>
      <c r="N430" s="164"/>
      <c r="O430" s="320"/>
      <c r="P430" s="164"/>
      <c r="Q430" s="327"/>
      <c r="R430" s="338"/>
      <c r="S430" s="20"/>
      <c r="T430" s="20"/>
      <c r="U430" s="20"/>
      <c r="V430" s="20"/>
    </row>
    <row r="431">
      <c r="A431" s="320"/>
      <c r="B431" s="164"/>
      <c r="C431" s="320"/>
      <c r="D431" s="164"/>
      <c r="E431" s="320"/>
      <c r="F431" s="164"/>
      <c r="G431" s="320"/>
      <c r="H431" s="164"/>
      <c r="I431" s="327"/>
      <c r="J431" s="117"/>
      <c r="K431" s="327"/>
      <c r="L431" s="117"/>
      <c r="M431" s="320"/>
      <c r="N431" s="164"/>
      <c r="O431" s="320"/>
      <c r="P431" s="164"/>
      <c r="Q431" s="327"/>
      <c r="R431" s="338"/>
      <c r="S431" s="20"/>
      <c r="T431" s="20"/>
      <c r="U431" s="20"/>
      <c r="V431" s="20"/>
    </row>
    <row r="432">
      <c r="A432" s="320"/>
      <c r="B432" s="164"/>
      <c r="C432" s="320"/>
      <c r="D432" s="164"/>
      <c r="E432" s="320"/>
      <c r="F432" s="164"/>
      <c r="G432" s="320"/>
      <c r="H432" s="164"/>
      <c r="I432" s="327"/>
      <c r="J432" s="117"/>
      <c r="K432" s="327"/>
      <c r="L432" s="117"/>
      <c r="M432" s="320"/>
      <c r="N432" s="164"/>
      <c r="O432" s="320"/>
      <c r="P432" s="164"/>
      <c r="Q432" s="327"/>
      <c r="R432" s="338"/>
      <c r="S432" s="20"/>
      <c r="T432" s="20"/>
      <c r="U432" s="20"/>
      <c r="V432" s="20"/>
    </row>
    <row r="433">
      <c r="A433" s="320"/>
      <c r="B433" s="164"/>
      <c r="C433" s="320"/>
      <c r="D433" s="164"/>
      <c r="E433" s="320"/>
      <c r="F433" s="164"/>
      <c r="G433" s="320"/>
      <c r="H433" s="164"/>
      <c r="I433" s="327"/>
      <c r="J433" s="117"/>
      <c r="K433" s="327"/>
      <c r="L433" s="117"/>
      <c r="M433" s="320"/>
      <c r="N433" s="164"/>
      <c r="O433" s="320"/>
      <c r="P433" s="164"/>
      <c r="Q433" s="327"/>
      <c r="R433" s="338"/>
      <c r="S433" s="20"/>
      <c r="T433" s="20"/>
      <c r="U433" s="20"/>
      <c r="V433" s="20"/>
    </row>
    <row r="434">
      <c r="A434" s="320"/>
      <c r="B434" s="164"/>
      <c r="C434" s="320"/>
      <c r="D434" s="164"/>
      <c r="E434" s="320"/>
      <c r="F434" s="164"/>
      <c r="G434" s="320"/>
      <c r="H434" s="164"/>
      <c r="I434" s="327"/>
      <c r="J434" s="117"/>
      <c r="K434" s="327"/>
      <c r="L434" s="117"/>
      <c r="M434" s="320"/>
      <c r="N434" s="164"/>
      <c r="O434" s="320"/>
      <c r="P434" s="164"/>
      <c r="Q434" s="327"/>
      <c r="R434" s="338"/>
      <c r="S434" s="20"/>
      <c r="T434" s="20"/>
      <c r="U434" s="20"/>
      <c r="V434" s="20"/>
    </row>
    <row r="435">
      <c r="A435" s="320"/>
      <c r="B435" s="164"/>
      <c r="C435" s="320"/>
      <c r="D435" s="164"/>
      <c r="E435" s="320"/>
      <c r="F435" s="164"/>
      <c r="G435" s="320"/>
      <c r="H435" s="164"/>
      <c r="I435" s="327"/>
      <c r="J435" s="117"/>
      <c r="K435" s="327"/>
      <c r="L435" s="117"/>
      <c r="M435" s="320"/>
      <c r="N435" s="164"/>
      <c r="O435" s="320"/>
      <c r="P435" s="164"/>
      <c r="Q435" s="327"/>
      <c r="R435" s="338"/>
      <c r="S435" s="20"/>
      <c r="T435" s="20"/>
      <c r="U435" s="20"/>
      <c r="V435" s="20"/>
    </row>
    <row r="436">
      <c r="A436" s="320"/>
      <c r="B436" s="164"/>
      <c r="C436" s="320"/>
      <c r="D436" s="164"/>
      <c r="E436" s="320"/>
      <c r="F436" s="164"/>
      <c r="G436" s="320"/>
      <c r="H436" s="164"/>
      <c r="I436" s="327"/>
      <c r="J436" s="117"/>
      <c r="K436" s="327"/>
      <c r="L436" s="117"/>
      <c r="M436" s="320"/>
      <c r="N436" s="164"/>
      <c r="O436" s="320"/>
      <c r="P436" s="164"/>
      <c r="Q436" s="327"/>
      <c r="R436" s="338"/>
      <c r="S436" s="20"/>
      <c r="T436" s="20"/>
      <c r="U436" s="20"/>
      <c r="V436" s="20"/>
    </row>
    <row r="437">
      <c r="A437" s="320"/>
      <c r="B437" s="164"/>
      <c r="C437" s="320"/>
      <c r="D437" s="164"/>
      <c r="E437" s="320"/>
      <c r="F437" s="164"/>
      <c r="G437" s="320"/>
      <c r="H437" s="164"/>
      <c r="I437" s="327"/>
      <c r="J437" s="117"/>
      <c r="K437" s="327"/>
      <c r="L437" s="117"/>
      <c r="M437" s="320"/>
      <c r="N437" s="164"/>
      <c r="O437" s="320"/>
      <c r="P437" s="164"/>
      <c r="Q437" s="327"/>
      <c r="R437" s="338"/>
      <c r="S437" s="20"/>
      <c r="T437" s="20"/>
      <c r="U437" s="20"/>
      <c r="V437" s="20"/>
    </row>
    <row r="438">
      <c r="A438" s="320"/>
      <c r="B438" s="164"/>
      <c r="C438" s="320"/>
      <c r="D438" s="164"/>
      <c r="E438" s="320"/>
      <c r="F438" s="164"/>
      <c r="G438" s="320"/>
      <c r="H438" s="164"/>
      <c r="I438" s="327"/>
      <c r="J438" s="117"/>
      <c r="K438" s="327"/>
      <c r="L438" s="117"/>
      <c r="M438" s="320"/>
      <c r="N438" s="164"/>
      <c r="O438" s="320"/>
      <c r="P438" s="164"/>
      <c r="Q438" s="327"/>
      <c r="R438" s="338"/>
      <c r="S438" s="20"/>
      <c r="T438" s="20"/>
      <c r="U438" s="20"/>
      <c r="V438" s="20"/>
    </row>
    <row r="439">
      <c r="A439" s="320"/>
      <c r="B439" s="164"/>
      <c r="C439" s="320"/>
      <c r="D439" s="164"/>
      <c r="E439" s="320"/>
      <c r="F439" s="164"/>
      <c r="G439" s="320"/>
      <c r="H439" s="164"/>
      <c r="I439" s="327"/>
      <c r="J439" s="117"/>
      <c r="K439" s="327"/>
      <c r="L439" s="117"/>
      <c r="M439" s="320"/>
      <c r="N439" s="164"/>
      <c r="O439" s="320"/>
      <c r="P439" s="164"/>
      <c r="Q439" s="327"/>
      <c r="R439" s="338"/>
      <c r="S439" s="20"/>
      <c r="T439" s="20"/>
      <c r="U439" s="20"/>
      <c r="V439" s="20"/>
    </row>
    <row r="440">
      <c r="A440" s="320"/>
      <c r="B440" s="164"/>
      <c r="C440" s="320"/>
      <c r="D440" s="164"/>
      <c r="E440" s="320"/>
      <c r="F440" s="164"/>
      <c r="G440" s="320"/>
      <c r="H440" s="164"/>
      <c r="I440" s="327"/>
      <c r="J440" s="117"/>
      <c r="K440" s="327"/>
      <c r="L440" s="117"/>
      <c r="M440" s="320"/>
      <c r="N440" s="164"/>
      <c r="O440" s="320"/>
      <c r="P440" s="164"/>
      <c r="Q440" s="327"/>
      <c r="R440" s="338"/>
      <c r="S440" s="20"/>
      <c r="T440" s="20"/>
      <c r="U440" s="20"/>
      <c r="V440" s="20"/>
    </row>
    <row r="441">
      <c r="A441" s="320"/>
      <c r="B441" s="164"/>
      <c r="C441" s="320"/>
      <c r="D441" s="164"/>
      <c r="E441" s="320"/>
      <c r="F441" s="164"/>
      <c r="G441" s="320"/>
      <c r="H441" s="164"/>
      <c r="I441" s="327"/>
      <c r="J441" s="117"/>
      <c r="K441" s="327"/>
      <c r="L441" s="117"/>
      <c r="M441" s="320"/>
      <c r="N441" s="164"/>
      <c r="O441" s="320"/>
      <c r="P441" s="164"/>
      <c r="Q441" s="327"/>
      <c r="R441" s="338"/>
      <c r="S441" s="20"/>
      <c r="T441" s="20"/>
      <c r="U441" s="20"/>
      <c r="V441" s="20"/>
    </row>
    <row r="442">
      <c r="A442" s="320"/>
      <c r="B442" s="164"/>
      <c r="C442" s="320"/>
      <c r="D442" s="164"/>
      <c r="E442" s="320"/>
      <c r="F442" s="164"/>
      <c r="G442" s="320"/>
      <c r="H442" s="164"/>
      <c r="I442" s="327"/>
      <c r="J442" s="117"/>
      <c r="K442" s="327"/>
      <c r="L442" s="117"/>
      <c r="M442" s="320"/>
      <c r="N442" s="164"/>
      <c r="O442" s="320"/>
      <c r="P442" s="164"/>
      <c r="Q442" s="327"/>
      <c r="R442" s="338"/>
      <c r="S442" s="20"/>
      <c r="T442" s="20"/>
      <c r="U442" s="20"/>
      <c r="V442" s="20"/>
    </row>
    <row r="443">
      <c r="A443" s="320"/>
      <c r="B443" s="164"/>
      <c r="C443" s="320"/>
      <c r="D443" s="164"/>
      <c r="E443" s="320"/>
      <c r="F443" s="164"/>
      <c r="G443" s="320"/>
      <c r="H443" s="164"/>
      <c r="I443" s="327"/>
      <c r="J443" s="117"/>
      <c r="K443" s="327"/>
      <c r="L443" s="117"/>
      <c r="M443" s="320"/>
      <c r="N443" s="164"/>
      <c r="O443" s="320"/>
      <c r="P443" s="164"/>
      <c r="Q443" s="327"/>
      <c r="R443" s="338"/>
      <c r="S443" s="20"/>
      <c r="T443" s="20"/>
      <c r="U443" s="20"/>
      <c r="V443" s="20"/>
    </row>
    <row r="444">
      <c r="A444" s="320"/>
      <c r="B444" s="164"/>
      <c r="C444" s="320"/>
      <c r="D444" s="164"/>
      <c r="E444" s="320"/>
      <c r="F444" s="164"/>
      <c r="G444" s="320"/>
      <c r="H444" s="164"/>
      <c r="I444" s="327"/>
      <c r="J444" s="117"/>
      <c r="K444" s="327"/>
      <c r="L444" s="117"/>
      <c r="M444" s="320"/>
      <c r="N444" s="164"/>
      <c r="O444" s="320"/>
      <c r="P444" s="164"/>
      <c r="Q444" s="327"/>
      <c r="R444" s="338"/>
      <c r="S444" s="20"/>
      <c r="T444" s="20"/>
      <c r="U444" s="20"/>
      <c r="V444" s="20"/>
    </row>
    <row r="445">
      <c r="A445" s="320"/>
      <c r="B445" s="164"/>
      <c r="C445" s="320"/>
      <c r="D445" s="164"/>
      <c r="E445" s="320"/>
      <c r="F445" s="164"/>
      <c r="G445" s="320"/>
      <c r="H445" s="164"/>
      <c r="I445" s="327"/>
      <c r="J445" s="117"/>
      <c r="K445" s="327"/>
      <c r="L445" s="117"/>
      <c r="M445" s="320"/>
      <c r="N445" s="164"/>
      <c r="O445" s="320"/>
      <c r="P445" s="164"/>
      <c r="Q445" s="338"/>
      <c r="R445" s="338"/>
      <c r="S445" s="20"/>
      <c r="T445" s="20"/>
      <c r="U445" s="20"/>
      <c r="V445" s="20"/>
    </row>
    <row r="446">
      <c r="A446" s="320"/>
      <c r="B446" s="164"/>
      <c r="C446" s="320"/>
      <c r="D446" s="164"/>
      <c r="E446" s="320"/>
      <c r="F446" s="164"/>
      <c r="G446" s="320"/>
      <c r="H446" s="164"/>
      <c r="I446" s="327"/>
      <c r="J446" s="117"/>
      <c r="K446" s="327"/>
      <c r="L446" s="117"/>
      <c r="M446" s="320"/>
      <c r="N446" s="164"/>
      <c r="O446" s="320"/>
      <c r="P446" s="164"/>
      <c r="Q446" s="338"/>
      <c r="R446" s="338"/>
      <c r="S446" s="20"/>
      <c r="T446" s="20"/>
      <c r="U446" s="20"/>
      <c r="V446" s="20"/>
    </row>
    <row r="447">
      <c r="A447" s="320"/>
      <c r="B447" s="164"/>
      <c r="C447" s="320"/>
      <c r="D447" s="164"/>
      <c r="E447" s="320"/>
      <c r="F447" s="164"/>
      <c r="G447" s="320"/>
      <c r="H447" s="164"/>
      <c r="I447" s="327"/>
      <c r="J447" s="117"/>
      <c r="K447" s="327"/>
      <c r="L447" s="117"/>
      <c r="M447" s="320"/>
      <c r="N447" s="164"/>
      <c r="O447" s="320"/>
      <c r="P447" s="164"/>
      <c r="Q447" s="338"/>
      <c r="R447" s="338"/>
      <c r="S447" s="20"/>
      <c r="T447" s="20"/>
      <c r="U447" s="20"/>
      <c r="V447" s="20"/>
    </row>
    <row r="448">
      <c r="A448" s="320"/>
      <c r="B448" s="164"/>
      <c r="C448" s="320"/>
      <c r="D448" s="164"/>
      <c r="E448" s="320"/>
      <c r="F448" s="164"/>
      <c r="G448" s="320"/>
      <c r="H448" s="164"/>
      <c r="I448" s="327"/>
      <c r="J448" s="117"/>
      <c r="K448" s="327"/>
      <c r="L448" s="117"/>
      <c r="M448" s="320"/>
      <c r="N448" s="164"/>
      <c r="O448" s="320"/>
      <c r="P448" s="164"/>
      <c r="Q448" s="338"/>
      <c r="R448" s="338"/>
      <c r="S448" s="20"/>
      <c r="T448" s="20"/>
      <c r="U448" s="20"/>
      <c r="V448" s="20"/>
    </row>
    <row r="449">
      <c r="A449" s="320"/>
      <c r="B449" s="164"/>
      <c r="C449" s="320"/>
      <c r="D449" s="164"/>
      <c r="E449" s="320"/>
      <c r="F449" s="164"/>
      <c r="G449" s="320"/>
      <c r="H449" s="164"/>
      <c r="I449" s="327"/>
      <c r="J449" s="117"/>
      <c r="K449" s="327"/>
      <c r="L449" s="117"/>
      <c r="M449" s="320"/>
      <c r="N449" s="164"/>
      <c r="O449" s="320"/>
      <c r="P449" s="164"/>
      <c r="Q449" s="338"/>
      <c r="R449" s="338"/>
      <c r="S449" s="20"/>
      <c r="T449" s="20"/>
      <c r="U449" s="20"/>
      <c r="V449" s="20"/>
    </row>
    <row r="450">
      <c r="A450" s="320"/>
      <c r="B450" s="164"/>
      <c r="C450" s="320"/>
      <c r="D450" s="164"/>
      <c r="E450" s="320"/>
      <c r="F450" s="164"/>
      <c r="G450" s="320"/>
      <c r="H450" s="164"/>
      <c r="I450" s="327"/>
      <c r="J450" s="117"/>
      <c r="K450" s="327"/>
      <c r="L450" s="117"/>
      <c r="M450" s="320"/>
      <c r="N450" s="164"/>
      <c r="O450" s="320"/>
      <c r="P450" s="164"/>
      <c r="Q450" s="338"/>
      <c r="R450" s="338"/>
      <c r="S450" s="20"/>
      <c r="T450" s="20"/>
      <c r="U450" s="20"/>
      <c r="V450" s="20"/>
    </row>
    <row r="451">
      <c r="A451" s="320"/>
      <c r="B451" s="164"/>
      <c r="C451" s="320"/>
      <c r="D451" s="164"/>
      <c r="E451" s="320"/>
      <c r="F451" s="164"/>
      <c r="G451" s="320"/>
      <c r="H451" s="164"/>
      <c r="I451" s="327"/>
      <c r="J451" s="117"/>
      <c r="K451" s="327"/>
      <c r="L451" s="117"/>
      <c r="M451" s="320"/>
      <c r="N451" s="164"/>
      <c r="O451" s="320"/>
      <c r="P451" s="164"/>
      <c r="Q451" s="338"/>
      <c r="R451" s="338"/>
      <c r="S451" s="20"/>
      <c r="T451" s="20"/>
      <c r="U451" s="20"/>
      <c r="V451" s="20"/>
    </row>
    <row r="452">
      <c r="A452" s="320"/>
      <c r="B452" s="164"/>
      <c r="C452" s="320"/>
      <c r="D452" s="164"/>
      <c r="E452" s="320"/>
      <c r="F452" s="164"/>
      <c r="G452" s="320"/>
      <c r="H452" s="164"/>
      <c r="I452" s="327"/>
      <c r="J452" s="117"/>
      <c r="K452" s="327"/>
      <c r="L452" s="117"/>
      <c r="M452" s="320"/>
      <c r="N452" s="164"/>
      <c r="O452" s="320"/>
      <c r="P452" s="164"/>
      <c r="Q452" s="338"/>
      <c r="R452" s="338"/>
      <c r="S452" s="20"/>
      <c r="T452" s="20"/>
      <c r="U452" s="20"/>
      <c r="V452" s="20"/>
    </row>
    <row r="453">
      <c r="A453" s="320"/>
      <c r="B453" s="164"/>
      <c r="C453" s="320"/>
      <c r="D453" s="164"/>
      <c r="E453" s="320"/>
      <c r="F453" s="164"/>
      <c r="G453" s="320"/>
      <c r="H453" s="164"/>
      <c r="I453" s="327"/>
      <c r="J453" s="117"/>
      <c r="K453" s="327"/>
      <c r="L453" s="117"/>
      <c r="M453" s="320"/>
      <c r="N453" s="164"/>
      <c r="O453" s="320"/>
      <c r="P453" s="164"/>
      <c r="Q453" s="338"/>
      <c r="R453" s="338"/>
      <c r="S453" s="20"/>
      <c r="T453" s="20"/>
      <c r="U453" s="20"/>
      <c r="V453" s="20"/>
    </row>
    <row r="454">
      <c r="A454" s="320"/>
      <c r="B454" s="164"/>
      <c r="C454" s="320"/>
      <c r="D454" s="164"/>
      <c r="E454" s="320"/>
      <c r="F454" s="164"/>
      <c r="G454" s="320"/>
      <c r="H454" s="164"/>
      <c r="I454" s="327"/>
      <c r="J454" s="117"/>
      <c r="K454" s="327"/>
      <c r="L454" s="117"/>
      <c r="M454" s="320"/>
      <c r="N454" s="164"/>
      <c r="O454" s="320"/>
      <c r="P454" s="164"/>
      <c r="Q454" s="338"/>
      <c r="R454" s="338"/>
      <c r="S454" s="20"/>
      <c r="T454" s="20"/>
      <c r="U454" s="20"/>
      <c r="V454" s="20"/>
    </row>
    <row r="455">
      <c r="A455" s="320"/>
      <c r="B455" s="164"/>
      <c r="C455" s="320"/>
      <c r="D455" s="164"/>
      <c r="E455" s="320"/>
      <c r="F455" s="164"/>
      <c r="G455" s="320"/>
      <c r="H455" s="164"/>
      <c r="I455" s="327"/>
      <c r="J455" s="117"/>
      <c r="K455" s="327"/>
      <c r="L455" s="117"/>
      <c r="M455" s="320"/>
      <c r="N455" s="164"/>
      <c r="O455" s="320"/>
      <c r="P455" s="164"/>
      <c r="Q455" s="338"/>
      <c r="R455" s="338"/>
      <c r="S455" s="20"/>
      <c r="T455" s="20"/>
      <c r="U455" s="20"/>
      <c r="V455" s="20"/>
    </row>
    <row r="456">
      <c r="A456" s="320"/>
      <c r="B456" s="164"/>
      <c r="C456" s="320"/>
      <c r="D456" s="164"/>
      <c r="E456" s="320"/>
      <c r="F456" s="164"/>
      <c r="G456" s="320"/>
      <c r="H456" s="164"/>
      <c r="I456" s="327"/>
      <c r="J456" s="117"/>
      <c r="K456" s="327"/>
      <c r="L456" s="117"/>
      <c r="M456" s="320"/>
      <c r="N456" s="164"/>
      <c r="O456" s="320"/>
      <c r="P456" s="164"/>
      <c r="Q456" s="338"/>
      <c r="R456" s="338"/>
      <c r="S456" s="20"/>
      <c r="T456" s="20"/>
      <c r="U456" s="20"/>
      <c r="V456" s="20"/>
    </row>
    <row r="457">
      <c r="A457" s="320"/>
      <c r="B457" s="164"/>
      <c r="C457" s="320"/>
      <c r="D457" s="164"/>
      <c r="E457" s="320"/>
      <c r="F457" s="164"/>
      <c r="G457" s="320"/>
      <c r="H457" s="164"/>
      <c r="I457" s="327"/>
      <c r="J457" s="117"/>
      <c r="K457" s="327"/>
      <c r="L457" s="117"/>
      <c r="M457" s="320"/>
      <c r="N457" s="164"/>
      <c r="O457" s="320"/>
      <c r="P457" s="164"/>
      <c r="Q457" s="338"/>
      <c r="R457" s="338"/>
      <c r="S457" s="20"/>
      <c r="T457" s="20"/>
      <c r="U457" s="20"/>
      <c r="V457" s="20"/>
    </row>
    <row r="458">
      <c r="A458" s="320"/>
      <c r="B458" s="164"/>
      <c r="C458" s="320"/>
      <c r="D458" s="164"/>
      <c r="E458" s="320"/>
      <c r="F458" s="164"/>
      <c r="G458" s="320"/>
      <c r="H458" s="164"/>
      <c r="I458" s="327"/>
      <c r="J458" s="117"/>
      <c r="K458" s="327"/>
      <c r="L458" s="117"/>
      <c r="M458" s="320"/>
      <c r="N458" s="164"/>
      <c r="O458" s="320"/>
      <c r="P458" s="164"/>
      <c r="Q458" s="338"/>
      <c r="R458" s="338"/>
      <c r="S458" s="20"/>
      <c r="T458" s="20"/>
      <c r="U458" s="20"/>
      <c r="V458" s="20"/>
    </row>
    <row r="459">
      <c r="A459" s="320"/>
      <c r="B459" s="164"/>
      <c r="C459" s="320"/>
      <c r="D459" s="164"/>
      <c r="E459" s="320"/>
      <c r="F459" s="164"/>
      <c r="G459" s="320"/>
      <c r="H459" s="164"/>
      <c r="I459" s="327"/>
      <c r="J459" s="117"/>
      <c r="K459" s="327"/>
      <c r="L459" s="117"/>
      <c r="M459" s="320"/>
      <c r="N459" s="164"/>
      <c r="O459" s="320"/>
      <c r="P459" s="164"/>
      <c r="Q459" s="338"/>
      <c r="R459" s="338"/>
      <c r="S459" s="20"/>
      <c r="T459" s="20"/>
      <c r="U459" s="20"/>
      <c r="V459" s="20"/>
    </row>
    <row r="460">
      <c r="A460" s="320"/>
      <c r="B460" s="164"/>
      <c r="C460" s="320"/>
      <c r="D460" s="164"/>
      <c r="E460" s="320"/>
      <c r="F460" s="164"/>
      <c r="G460" s="320"/>
      <c r="H460" s="164"/>
      <c r="I460" s="327"/>
      <c r="J460" s="117"/>
      <c r="K460" s="327"/>
      <c r="L460" s="117"/>
      <c r="M460" s="320"/>
      <c r="N460" s="164"/>
      <c r="O460" s="320"/>
      <c r="P460" s="164"/>
      <c r="Q460" s="338"/>
      <c r="R460" s="338"/>
      <c r="S460" s="20"/>
      <c r="T460" s="20"/>
      <c r="U460" s="20"/>
      <c r="V460" s="20"/>
    </row>
    <row r="461">
      <c r="A461" s="320"/>
      <c r="B461" s="164"/>
      <c r="C461" s="320"/>
      <c r="D461" s="164"/>
      <c r="E461" s="320"/>
      <c r="F461" s="164"/>
      <c r="G461" s="320"/>
      <c r="H461" s="164"/>
      <c r="I461" s="327"/>
      <c r="J461" s="117"/>
      <c r="K461" s="327"/>
      <c r="L461" s="117"/>
      <c r="M461" s="320"/>
      <c r="N461" s="164"/>
      <c r="O461" s="320"/>
      <c r="P461" s="164"/>
      <c r="Q461" s="338"/>
      <c r="R461" s="338"/>
      <c r="S461" s="20"/>
      <c r="T461" s="20"/>
      <c r="U461" s="20"/>
      <c r="V461" s="20"/>
    </row>
    <row r="462">
      <c r="A462" s="320"/>
      <c r="B462" s="164"/>
      <c r="C462" s="320"/>
      <c r="D462" s="164"/>
      <c r="E462" s="320"/>
      <c r="F462" s="164"/>
      <c r="G462" s="320"/>
      <c r="H462" s="164"/>
      <c r="I462" s="327"/>
      <c r="J462" s="117"/>
      <c r="K462" s="327"/>
      <c r="L462" s="117"/>
      <c r="M462" s="320"/>
      <c r="N462" s="164"/>
      <c r="O462" s="320"/>
      <c r="P462" s="164"/>
      <c r="Q462" s="338"/>
      <c r="R462" s="338"/>
      <c r="S462" s="20"/>
      <c r="T462" s="20"/>
      <c r="U462" s="20"/>
      <c r="V462" s="20"/>
    </row>
    <row r="463">
      <c r="A463" s="320"/>
      <c r="B463" s="164"/>
      <c r="C463" s="320"/>
      <c r="D463" s="164"/>
      <c r="E463" s="320"/>
      <c r="F463" s="164"/>
      <c r="G463" s="320"/>
      <c r="H463" s="164"/>
      <c r="I463" s="327"/>
      <c r="J463" s="117"/>
      <c r="K463" s="327"/>
      <c r="L463" s="117"/>
      <c r="M463" s="320"/>
      <c r="N463" s="164"/>
      <c r="O463" s="320"/>
      <c r="P463" s="164"/>
      <c r="Q463" s="338"/>
      <c r="R463" s="338"/>
      <c r="S463" s="20"/>
      <c r="T463" s="20"/>
      <c r="U463" s="20"/>
      <c r="V463" s="20"/>
    </row>
    <row r="464">
      <c r="A464" s="320"/>
      <c r="B464" s="164"/>
      <c r="C464" s="320"/>
      <c r="D464" s="164"/>
      <c r="E464" s="320"/>
      <c r="F464" s="164"/>
      <c r="G464" s="320"/>
      <c r="H464" s="164"/>
      <c r="I464" s="327"/>
      <c r="J464" s="117"/>
      <c r="K464" s="327"/>
      <c r="L464" s="117"/>
      <c r="M464" s="320"/>
      <c r="N464" s="164"/>
      <c r="O464" s="320"/>
      <c r="P464" s="164"/>
      <c r="Q464" s="338"/>
      <c r="R464" s="338"/>
      <c r="S464" s="20"/>
      <c r="T464" s="20"/>
      <c r="U464" s="20"/>
      <c r="V464" s="20"/>
    </row>
    <row r="465">
      <c r="A465" s="320"/>
      <c r="B465" s="164"/>
      <c r="C465" s="320"/>
      <c r="D465" s="164"/>
      <c r="E465" s="320"/>
      <c r="F465" s="164"/>
      <c r="G465" s="320"/>
      <c r="H465" s="164"/>
      <c r="I465" s="327"/>
      <c r="J465" s="117"/>
      <c r="K465" s="327"/>
      <c r="L465" s="117"/>
      <c r="M465" s="320"/>
      <c r="N465" s="164"/>
      <c r="O465" s="320"/>
      <c r="P465" s="164"/>
      <c r="Q465" s="338"/>
      <c r="R465" s="338"/>
      <c r="S465" s="20"/>
      <c r="T465" s="20"/>
      <c r="U465" s="20"/>
      <c r="V465" s="20"/>
    </row>
    <row r="466">
      <c r="A466" s="320"/>
      <c r="B466" s="164"/>
      <c r="C466" s="320"/>
      <c r="D466" s="164"/>
      <c r="E466" s="320"/>
      <c r="F466" s="164"/>
      <c r="G466" s="320"/>
      <c r="H466" s="164"/>
      <c r="I466" s="327"/>
      <c r="J466" s="117"/>
      <c r="K466" s="327"/>
      <c r="L466" s="117"/>
      <c r="M466" s="320"/>
      <c r="N466" s="164"/>
      <c r="O466" s="320"/>
      <c r="P466" s="164"/>
      <c r="Q466" s="338"/>
      <c r="R466" s="338"/>
      <c r="S466" s="20"/>
      <c r="T466" s="20"/>
      <c r="U466" s="20"/>
      <c r="V466" s="20"/>
    </row>
    <row r="467">
      <c r="A467" s="320"/>
      <c r="B467" s="164"/>
      <c r="C467" s="320"/>
      <c r="D467" s="164"/>
      <c r="E467" s="320"/>
      <c r="F467" s="164"/>
      <c r="G467" s="320"/>
      <c r="H467" s="164"/>
      <c r="I467" s="327"/>
      <c r="J467" s="117"/>
      <c r="K467" s="327"/>
      <c r="L467" s="117"/>
      <c r="M467" s="320"/>
      <c r="N467" s="164"/>
      <c r="O467" s="320"/>
      <c r="P467" s="164"/>
      <c r="Q467" s="338"/>
      <c r="R467" s="338"/>
      <c r="S467" s="20"/>
      <c r="T467" s="20"/>
      <c r="U467" s="20"/>
      <c r="V467" s="20"/>
    </row>
    <row r="468">
      <c r="A468" s="320"/>
      <c r="B468" s="164"/>
      <c r="C468" s="320"/>
      <c r="D468" s="164"/>
      <c r="E468" s="320"/>
      <c r="F468" s="164"/>
      <c r="G468" s="320"/>
      <c r="H468" s="164"/>
      <c r="I468" s="327"/>
      <c r="J468" s="117"/>
      <c r="K468" s="327"/>
      <c r="L468" s="117"/>
      <c r="M468" s="320"/>
      <c r="N468" s="164"/>
      <c r="O468" s="320"/>
      <c r="P468" s="164"/>
      <c r="Q468" s="338"/>
      <c r="R468" s="338"/>
      <c r="S468" s="20"/>
      <c r="T468" s="20"/>
      <c r="U468" s="20"/>
      <c r="V468" s="20"/>
    </row>
    <row r="469">
      <c r="A469" s="320"/>
      <c r="B469" s="164"/>
      <c r="C469" s="320"/>
      <c r="D469" s="164"/>
      <c r="E469" s="320"/>
      <c r="F469" s="164"/>
      <c r="G469" s="320"/>
      <c r="H469" s="164"/>
      <c r="I469" s="327"/>
      <c r="J469" s="117"/>
      <c r="K469" s="327"/>
      <c r="L469" s="117"/>
      <c r="M469" s="320"/>
      <c r="N469" s="164"/>
      <c r="O469" s="320"/>
      <c r="P469" s="164"/>
      <c r="Q469" s="338"/>
      <c r="R469" s="338"/>
      <c r="S469" s="20"/>
      <c r="T469" s="20"/>
      <c r="U469" s="20"/>
      <c r="V469" s="20"/>
    </row>
    <row r="470">
      <c r="A470" s="320"/>
      <c r="B470" s="164"/>
      <c r="C470" s="320"/>
      <c r="D470" s="164"/>
      <c r="E470" s="320"/>
      <c r="F470" s="164"/>
      <c r="G470" s="320"/>
      <c r="H470" s="164"/>
      <c r="I470" s="327"/>
      <c r="J470" s="117"/>
      <c r="K470" s="327"/>
      <c r="L470" s="117"/>
      <c r="M470" s="320"/>
      <c r="N470" s="164"/>
      <c r="O470" s="320"/>
      <c r="P470" s="164"/>
      <c r="Q470" s="338"/>
      <c r="R470" s="338"/>
      <c r="S470" s="20"/>
      <c r="T470" s="20"/>
      <c r="U470" s="20"/>
      <c r="V470" s="20"/>
    </row>
    <row r="471">
      <c r="A471" s="320"/>
      <c r="B471" s="164"/>
      <c r="C471" s="320"/>
      <c r="D471" s="164"/>
      <c r="E471" s="320"/>
      <c r="F471" s="164"/>
      <c r="G471" s="320"/>
      <c r="H471" s="164"/>
      <c r="I471" s="327"/>
      <c r="J471" s="117"/>
      <c r="K471" s="327"/>
      <c r="L471" s="117"/>
      <c r="M471" s="320"/>
      <c r="N471" s="164"/>
      <c r="O471" s="320"/>
      <c r="P471" s="164"/>
      <c r="Q471" s="338"/>
      <c r="R471" s="338"/>
      <c r="S471" s="20"/>
      <c r="T471" s="20"/>
      <c r="U471" s="20"/>
      <c r="V471" s="20"/>
    </row>
    <row r="472">
      <c r="A472" s="320"/>
      <c r="B472" s="164"/>
      <c r="C472" s="320"/>
      <c r="D472" s="164"/>
      <c r="E472" s="320"/>
      <c r="F472" s="164"/>
      <c r="G472" s="320"/>
      <c r="H472" s="164"/>
      <c r="I472" s="327"/>
      <c r="J472" s="117"/>
      <c r="K472" s="327"/>
      <c r="L472" s="117"/>
      <c r="M472" s="320"/>
      <c r="N472" s="164"/>
      <c r="O472" s="320"/>
      <c r="P472" s="164"/>
      <c r="Q472" s="338"/>
      <c r="R472" s="338"/>
      <c r="S472" s="20"/>
      <c r="T472" s="20"/>
      <c r="U472" s="20"/>
      <c r="V472" s="20"/>
    </row>
    <row r="473">
      <c r="A473" s="320"/>
      <c r="B473" s="164"/>
      <c r="C473" s="320"/>
      <c r="D473" s="164"/>
      <c r="E473" s="320"/>
      <c r="F473" s="164"/>
      <c r="G473" s="320"/>
      <c r="H473" s="164"/>
      <c r="I473" s="327"/>
      <c r="J473" s="117"/>
      <c r="K473" s="327"/>
      <c r="L473" s="117"/>
      <c r="M473" s="320"/>
      <c r="N473" s="164"/>
      <c r="O473" s="320"/>
      <c r="P473" s="164"/>
      <c r="Q473" s="338"/>
      <c r="R473" s="338"/>
      <c r="S473" s="20"/>
      <c r="T473" s="20"/>
      <c r="U473" s="20"/>
      <c r="V473" s="20"/>
    </row>
    <row r="474">
      <c r="A474" s="320"/>
      <c r="B474" s="164"/>
      <c r="C474" s="320"/>
      <c r="D474" s="164"/>
      <c r="E474" s="320"/>
      <c r="F474" s="164"/>
      <c r="G474" s="320"/>
      <c r="H474" s="164"/>
      <c r="I474" s="327"/>
      <c r="J474" s="117"/>
      <c r="K474" s="327"/>
      <c r="L474" s="117"/>
      <c r="M474" s="320"/>
      <c r="N474" s="164"/>
      <c r="O474" s="320"/>
      <c r="P474" s="164"/>
      <c r="Q474" s="338"/>
      <c r="R474" s="338"/>
      <c r="S474" s="20"/>
      <c r="T474" s="20"/>
      <c r="U474" s="20"/>
      <c r="V474" s="20"/>
    </row>
    <row r="475">
      <c r="A475" s="320"/>
      <c r="B475" s="164"/>
      <c r="C475" s="320"/>
      <c r="D475" s="164"/>
      <c r="E475" s="320"/>
      <c r="F475" s="164"/>
      <c r="G475" s="320"/>
      <c r="H475" s="164"/>
      <c r="I475" s="327"/>
      <c r="J475" s="117"/>
      <c r="K475" s="327"/>
      <c r="L475" s="117"/>
      <c r="M475" s="320"/>
      <c r="N475" s="164"/>
      <c r="O475" s="320"/>
      <c r="P475" s="164"/>
      <c r="Q475" s="338"/>
      <c r="R475" s="338"/>
      <c r="S475" s="20"/>
      <c r="T475" s="20"/>
      <c r="U475" s="20"/>
      <c r="V475" s="20"/>
    </row>
    <row r="476">
      <c r="A476" s="320"/>
      <c r="B476" s="164"/>
      <c r="C476" s="320"/>
      <c r="D476" s="164"/>
      <c r="E476" s="320"/>
      <c r="F476" s="164"/>
      <c r="G476" s="320"/>
      <c r="H476" s="164"/>
      <c r="I476" s="327"/>
      <c r="J476" s="117"/>
      <c r="K476" s="327"/>
      <c r="L476" s="117"/>
      <c r="M476" s="320"/>
      <c r="N476" s="164"/>
      <c r="O476" s="320"/>
      <c r="P476" s="164"/>
      <c r="Q476" s="338"/>
      <c r="R476" s="338"/>
      <c r="S476" s="20"/>
      <c r="T476" s="20"/>
      <c r="U476" s="20"/>
      <c r="V476" s="20"/>
    </row>
    <row r="477">
      <c r="A477" s="320"/>
      <c r="B477" s="164"/>
      <c r="C477" s="320"/>
      <c r="D477" s="164"/>
      <c r="E477" s="320"/>
      <c r="F477" s="164"/>
      <c r="G477" s="320"/>
      <c r="H477" s="164"/>
      <c r="I477" s="327"/>
      <c r="J477" s="117"/>
      <c r="K477" s="327"/>
      <c r="L477" s="117"/>
      <c r="M477" s="320"/>
      <c r="N477" s="164"/>
      <c r="O477" s="320"/>
      <c r="P477" s="164"/>
      <c r="Q477" s="338"/>
      <c r="R477" s="338"/>
      <c r="S477" s="20"/>
      <c r="T477" s="20"/>
      <c r="U477" s="20"/>
      <c r="V477" s="20"/>
    </row>
    <row r="478">
      <c r="A478" s="320"/>
      <c r="B478" s="164"/>
      <c r="C478" s="320"/>
      <c r="D478" s="164"/>
      <c r="E478" s="320"/>
      <c r="F478" s="164"/>
      <c r="G478" s="320"/>
      <c r="H478" s="164"/>
      <c r="I478" s="327"/>
      <c r="J478" s="117"/>
      <c r="K478" s="327"/>
      <c r="L478" s="117"/>
      <c r="M478" s="320"/>
      <c r="N478" s="164"/>
      <c r="O478" s="320"/>
      <c r="P478" s="164"/>
      <c r="Q478" s="338"/>
      <c r="R478" s="338"/>
      <c r="S478" s="20"/>
      <c r="T478" s="20"/>
      <c r="U478" s="20"/>
      <c r="V478" s="20"/>
    </row>
    <row r="479">
      <c r="A479" s="320"/>
      <c r="B479" s="164"/>
      <c r="C479" s="320"/>
      <c r="D479" s="164"/>
      <c r="E479" s="320"/>
      <c r="F479" s="164"/>
      <c r="G479" s="320"/>
      <c r="H479" s="164"/>
      <c r="I479" s="327"/>
      <c r="J479" s="117"/>
      <c r="K479" s="327"/>
      <c r="L479" s="117"/>
      <c r="M479" s="320"/>
      <c r="N479" s="164"/>
      <c r="O479" s="320"/>
      <c r="P479" s="164"/>
      <c r="Q479" s="338"/>
      <c r="R479" s="338"/>
      <c r="S479" s="20"/>
      <c r="T479" s="20"/>
      <c r="U479" s="20"/>
      <c r="V479" s="20"/>
    </row>
    <row r="480">
      <c r="A480" s="320"/>
      <c r="B480" s="164"/>
      <c r="C480" s="320"/>
      <c r="D480" s="164"/>
      <c r="E480" s="320"/>
      <c r="F480" s="164"/>
      <c r="G480" s="320"/>
      <c r="H480" s="164"/>
      <c r="I480" s="327"/>
      <c r="J480" s="117"/>
      <c r="K480" s="327"/>
      <c r="L480" s="117"/>
      <c r="M480" s="320"/>
      <c r="N480" s="164"/>
      <c r="O480" s="320"/>
      <c r="P480" s="164"/>
      <c r="Q480" s="338"/>
      <c r="R480" s="338"/>
      <c r="S480" s="20"/>
      <c r="T480" s="20"/>
      <c r="U480" s="20"/>
      <c r="V480" s="20"/>
    </row>
    <row r="481">
      <c r="A481" s="320"/>
      <c r="B481" s="164"/>
      <c r="C481" s="320"/>
      <c r="D481" s="164"/>
      <c r="E481" s="320"/>
      <c r="F481" s="164"/>
      <c r="G481" s="320"/>
      <c r="H481" s="164"/>
      <c r="I481" s="327"/>
      <c r="J481" s="117"/>
      <c r="K481" s="327"/>
      <c r="L481" s="117"/>
      <c r="M481" s="320"/>
      <c r="N481" s="164"/>
      <c r="O481" s="320"/>
      <c r="P481" s="164"/>
      <c r="Q481" s="338"/>
      <c r="R481" s="338"/>
      <c r="S481" s="20"/>
      <c r="T481" s="20"/>
      <c r="U481" s="20"/>
      <c r="V481" s="20"/>
    </row>
    <row r="482">
      <c r="A482" s="320"/>
      <c r="B482" s="164"/>
      <c r="C482" s="320"/>
      <c r="D482" s="164"/>
      <c r="E482" s="320"/>
      <c r="F482" s="164"/>
      <c r="G482" s="320"/>
      <c r="H482" s="164"/>
      <c r="I482" s="327"/>
      <c r="J482" s="117"/>
      <c r="K482" s="327"/>
      <c r="L482" s="117"/>
      <c r="M482" s="320"/>
      <c r="N482" s="164"/>
      <c r="O482" s="320"/>
      <c r="P482" s="164"/>
      <c r="Q482" s="338"/>
      <c r="R482" s="338"/>
      <c r="S482" s="20"/>
      <c r="T482" s="20"/>
      <c r="U482" s="20"/>
      <c r="V482" s="20"/>
    </row>
    <row r="483">
      <c r="A483" s="320"/>
      <c r="B483" s="164"/>
      <c r="C483" s="320"/>
      <c r="D483" s="164"/>
      <c r="E483" s="320"/>
      <c r="F483" s="164"/>
      <c r="G483" s="320"/>
      <c r="H483" s="164"/>
      <c r="I483" s="327"/>
      <c r="J483" s="117"/>
      <c r="K483" s="327"/>
      <c r="L483" s="117"/>
      <c r="M483" s="320"/>
      <c r="N483" s="164"/>
      <c r="O483" s="320"/>
      <c r="P483" s="164"/>
      <c r="Q483" s="338"/>
      <c r="R483" s="338"/>
      <c r="S483" s="20"/>
      <c r="T483" s="20"/>
      <c r="U483" s="20"/>
      <c r="V483" s="20"/>
    </row>
    <row r="484">
      <c r="A484" s="320"/>
      <c r="B484" s="164"/>
      <c r="C484" s="320"/>
      <c r="D484" s="164"/>
      <c r="E484" s="320"/>
      <c r="F484" s="164"/>
      <c r="G484" s="320"/>
      <c r="H484" s="164"/>
      <c r="I484" s="327"/>
      <c r="J484" s="117"/>
      <c r="K484" s="327"/>
      <c r="L484" s="117"/>
      <c r="M484" s="320"/>
      <c r="N484" s="164"/>
      <c r="O484" s="320"/>
      <c r="P484" s="164"/>
      <c r="Q484" s="338"/>
      <c r="R484" s="338"/>
      <c r="S484" s="20"/>
      <c r="T484" s="20"/>
      <c r="U484" s="20"/>
      <c r="V484" s="20"/>
    </row>
    <row r="485">
      <c r="A485" s="320"/>
      <c r="B485" s="164"/>
      <c r="C485" s="320"/>
      <c r="D485" s="164"/>
      <c r="E485" s="320"/>
      <c r="F485" s="164"/>
      <c r="G485" s="320"/>
      <c r="H485" s="164"/>
      <c r="I485" s="327"/>
      <c r="J485" s="117"/>
      <c r="K485" s="327"/>
      <c r="L485" s="117"/>
      <c r="M485" s="320"/>
      <c r="N485" s="164"/>
      <c r="O485" s="320"/>
      <c r="P485" s="164"/>
      <c r="Q485" s="338"/>
      <c r="R485" s="338"/>
      <c r="S485" s="20"/>
      <c r="T485" s="20"/>
      <c r="U485" s="20"/>
      <c r="V485" s="20"/>
    </row>
    <row r="486">
      <c r="A486" s="320"/>
      <c r="B486" s="164"/>
      <c r="C486" s="320"/>
      <c r="D486" s="164"/>
      <c r="E486" s="320"/>
      <c r="F486" s="164"/>
      <c r="G486" s="320"/>
      <c r="H486" s="164"/>
      <c r="I486" s="327"/>
      <c r="J486" s="117"/>
      <c r="K486" s="327"/>
      <c r="L486" s="117"/>
      <c r="M486" s="320"/>
      <c r="N486" s="164"/>
      <c r="O486" s="320"/>
      <c r="P486" s="164"/>
      <c r="Q486" s="338"/>
      <c r="R486" s="338"/>
      <c r="S486" s="20"/>
      <c r="T486" s="20"/>
      <c r="U486" s="20"/>
      <c r="V486" s="20"/>
    </row>
    <row r="487">
      <c r="A487" s="320"/>
      <c r="B487" s="164"/>
      <c r="C487" s="320"/>
      <c r="D487" s="164"/>
      <c r="E487" s="320"/>
      <c r="F487" s="164"/>
      <c r="G487" s="320"/>
      <c r="H487" s="164"/>
      <c r="I487" s="327"/>
      <c r="J487" s="117"/>
      <c r="K487" s="327"/>
      <c r="L487" s="117"/>
      <c r="M487" s="320"/>
      <c r="N487" s="164"/>
      <c r="O487" s="320"/>
      <c r="P487" s="164"/>
      <c r="Q487" s="338"/>
      <c r="R487" s="338"/>
      <c r="S487" s="20"/>
      <c r="T487" s="20"/>
      <c r="U487" s="20"/>
      <c r="V487" s="20"/>
    </row>
    <row r="488">
      <c r="A488" s="320"/>
      <c r="B488" s="164"/>
      <c r="C488" s="320"/>
      <c r="D488" s="164"/>
      <c r="E488" s="320"/>
      <c r="F488" s="164"/>
      <c r="G488" s="320"/>
      <c r="H488" s="164"/>
      <c r="I488" s="327"/>
      <c r="J488" s="117"/>
      <c r="K488" s="327"/>
      <c r="L488" s="117"/>
      <c r="M488" s="320"/>
      <c r="N488" s="164"/>
      <c r="O488" s="320"/>
      <c r="P488" s="164"/>
      <c r="Q488" s="338"/>
      <c r="R488" s="338"/>
      <c r="S488" s="20"/>
      <c r="T488" s="20"/>
      <c r="U488" s="20"/>
      <c r="V488" s="20"/>
    </row>
    <row r="489">
      <c r="A489" s="320"/>
      <c r="B489" s="164"/>
      <c r="C489" s="320"/>
      <c r="D489" s="164"/>
      <c r="E489" s="320"/>
      <c r="F489" s="164"/>
      <c r="G489" s="320"/>
      <c r="H489" s="164"/>
      <c r="I489" s="327"/>
      <c r="J489" s="117"/>
      <c r="K489" s="327"/>
      <c r="L489" s="117"/>
      <c r="M489" s="320"/>
      <c r="N489" s="164"/>
      <c r="O489" s="320"/>
      <c r="P489" s="164"/>
      <c r="Q489" s="338"/>
      <c r="R489" s="338"/>
      <c r="S489" s="20"/>
      <c r="T489" s="20"/>
      <c r="U489" s="20"/>
      <c r="V489" s="20"/>
    </row>
    <row r="490">
      <c r="A490" s="320"/>
      <c r="B490" s="164"/>
      <c r="C490" s="320"/>
      <c r="D490" s="164"/>
      <c r="E490" s="320"/>
      <c r="F490" s="164"/>
      <c r="G490" s="320"/>
      <c r="H490" s="164"/>
      <c r="I490" s="327"/>
      <c r="J490" s="117"/>
      <c r="K490" s="327"/>
      <c r="L490" s="117"/>
      <c r="M490" s="320"/>
      <c r="N490" s="164"/>
      <c r="O490" s="320"/>
      <c r="P490" s="164"/>
      <c r="Q490" s="338"/>
      <c r="R490" s="338"/>
      <c r="S490" s="20"/>
      <c r="T490" s="20"/>
      <c r="U490" s="20"/>
      <c r="V490" s="20"/>
    </row>
    <row r="491">
      <c r="A491" s="320"/>
      <c r="B491" s="164"/>
      <c r="C491" s="320"/>
      <c r="D491" s="164"/>
      <c r="E491" s="320"/>
      <c r="F491" s="164"/>
      <c r="G491" s="320"/>
      <c r="H491" s="164"/>
      <c r="I491" s="327"/>
      <c r="J491" s="117"/>
      <c r="K491" s="327"/>
      <c r="L491" s="117"/>
      <c r="M491" s="320"/>
      <c r="N491" s="164"/>
      <c r="O491" s="320"/>
      <c r="P491" s="164"/>
      <c r="Q491" s="338"/>
      <c r="R491" s="338"/>
      <c r="S491" s="20"/>
      <c r="T491" s="20"/>
      <c r="U491" s="20"/>
      <c r="V491" s="20"/>
    </row>
    <row r="492">
      <c r="A492" s="320"/>
      <c r="B492" s="164"/>
      <c r="C492" s="320"/>
      <c r="D492" s="164"/>
      <c r="E492" s="320"/>
      <c r="F492" s="164"/>
      <c r="G492" s="320"/>
      <c r="H492" s="164"/>
      <c r="I492" s="327"/>
      <c r="J492" s="117"/>
      <c r="K492" s="327"/>
      <c r="L492" s="117"/>
      <c r="M492" s="320"/>
      <c r="N492" s="164"/>
      <c r="O492" s="320"/>
      <c r="P492" s="164"/>
      <c r="Q492" s="338"/>
      <c r="R492" s="338"/>
      <c r="S492" s="20"/>
      <c r="T492" s="20"/>
      <c r="U492" s="20"/>
      <c r="V492" s="20"/>
    </row>
    <row r="493">
      <c r="A493" s="320"/>
      <c r="B493" s="164"/>
      <c r="C493" s="320"/>
      <c r="D493" s="164"/>
      <c r="E493" s="320"/>
      <c r="F493" s="164"/>
      <c r="G493" s="320"/>
      <c r="H493" s="164"/>
      <c r="I493" s="327"/>
      <c r="J493" s="117"/>
      <c r="K493" s="327"/>
      <c r="L493" s="117"/>
      <c r="M493" s="320"/>
      <c r="N493" s="164"/>
      <c r="O493" s="320"/>
      <c r="P493" s="164"/>
      <c r="Q493" s="338"/>
      <c r="R493" s="338"/>
      <c r="S493" s="20"/>
      <c r="T493" s="20"/>
      <c r="U493" s="20"/>
      <c r="V493" s="20"/>
    </row>
    <row r="494">
      <c r="A494" s="320"/>
      <c r="B494" s="164"/>
      <c r="C494" s="320"/>
      <c r="D494" s="164"/>
      <c r="E494" s="320"/>
      <c r="F494" s="164"/>
      <c r="G494" s="320"/>
      <c r="H494" s="164"/>
      <c r="I494" s="327"/>
      <c r="J494" s="117"/>
      <c r="K494" s="327"/>
      <c r="L494" s="117"/>
      <c r="M494" s="320"/>
      <c r="N494" s="164"/>
      <c r="O494" s="320"/>
      <c r="P494" s="164"/>
      <c r="Q494" s="338"/>
      <c r="R494" s="338"/>
      <c r="S494" s="20"/>
      <c r="T494" s="20"/>
      <c r="U494" s="20"/>
      <c r="V494" s="20"/>
    </row>
    <row r="495">
      <c r="A495" s="320"/>
      <c r="B495" s="164"/>
      <c r="C495" s="320"/>
      <c r="D495" s="164"/>
      <c r="E495" s="320"/>
      <c r="F495" s="164"/>
      <c r="G495" s="320"/>
      <c r="H495" s="164"/>
      <c r="I495" s="327"/>
      <c r="J495" s="117"/>
      <c r="K495" s="327"/>
      <c r="L495" s="117"/>
      <c r="M495" s="320"/>
      <c r="N495" s="164"/>
      <c r="O495" s="320"/>
      <c r="P495" s="164"/>
      <c r="Q495" s="338"/>
      <c r="R495" s="338"/>
      <c r="S495" s="20"/>
      <c r="T495" s="20"/>
      <c r="U495" s="20"/>
      <c r="V495" s="20"/>
    </row>
    <row r="496">
      <c r="A496" s="320"/>
      <c r="B496" s="164"/>
      <c r="C496" s="320"/>
      <c r="D496" s="164"/>
      <c r="E496" s="320"/>
      <c r="F496" s="164"/>
      <c r="G496" s="320"/>
      <c r="H496" s="164"/>
      <c r="I496" s="327"/>
      <c r="J496" s="117"/>
      <c r="K496" s="327"/>
      <c r="L496" s="117"/>
      <c r="M496" s="320"/>
      <c r="N496" s="164"/>
      <c r="O496" s="320"/>
      <c r="P496" s="164"/>
      <c r="Q496" s="338"/>
      <c r="R496" s="338"/>
      <c r="S496" s="20"/>
      <c r="T496" s="20"/>
      <c r="U496" s="20"/>
      <c r="V496" s="20"/>
    </row>
    <row r="497">
      <c r="A497" s="320"/>
      <c r="B497" s="164"/>
      <c r="C497" s="320"/>
      <c r="D497" s="164"/>
      <c r="E497" s="320"/>
      <c r="F497" s="164"/>
      <c r="G497" s="320"/>
      <c r="H497" s="164"/>
      <c r="I497" s="327"/>
      <c r="J497" s="117"/>
      <c r="K497" s="327"/>
      <c r="L497" s="117"/>
      <c r="M497" s="320"/>
      <c r="N497" s="164"/>
      <c r="O497" s="320"/>
      <c r="P497" s="164"/>
      <c r="Q497" s="338"/>
      <c r="R497" s="338"/>
      <c r="S497" s="20"/>
      <c r="T497" s="20"/>
      <c r="U497" s="20"/>
      <c r="V497" s="20"/>
    </row>
    <row r="498">
      <c r="A498" s="320"/>
      <c r="B498" s="164"/>
      <c r="C498" s="320"/>
      <c r="D498" s="164"/>
      <c r="E498" s="320"/>
      <c r="F498" s="164"/>
      <c r="G498" s="320"/>
      <c r="H498" s="164"/>
      <c r="I498" s="327"/>
      <c r="J498" s="117"/>
      <c r="K498" s="327"/>
      <c r="L498" s="117"/>
      <c r="M498" s="320"/>
      <c r="N498" s="164"/>
      <c r="O498" s="320"/>
      <c r="P498" s="164"/>
      <c r="Q498" s="338"/>
      <c r="R498" s="338"/>
      <c r="S498" s="20"/>
      <c r="T498" s="20"/>
      <c r="U498" s="20"/>
      <c r="V498" s="20"/>
    </row>
    <row r="499">
      <c r="A499" s="320"/>
      <c r="B499" s="164"/>
      <c r="C499" s="320"/>
      <c r="D499" s="164"/>
      <c r="E499" s="320"/>
      <c r="F499" s="164"/>
      <c r="G499" s="320"/>
      <c r="H499" s="164"/>
      <c r="I499" s="327"/>
      <c r="J499" s="117"/>
      <c r="K499" s="327"/>
      <c r="L499" s="117"/>
      <c r="M499" s="320"/>
      <c r="N499" s="164"/>
      <c r="O499" s="320"/>
      <c r="P499" s="164"/>
      <c r="Q499" s="338"/>
      <c r="R499" s="338"/>
      <c r="S499" s="20"/>
      <c r="T499" s="20"/>
      <c r="U499" s="20"/>
      <c r="V499" s="20"/>
    </row>
    <row r="500">
      <c r="A500" s="320"/>
      <c r="B500" s="164"/>
      <c r="C500" s="320"/>
      <c r="D500" s="164"/>
      <c r="E500" s="320"/>
      <c r="F500" s="164"/>
      <c r="G500" s="320"/>
      <c r="H500" s="164"/>
      <c r="I500" s="327"/>
      <c r="J500" s="117"/>
      <c r="K500" s="327"/>
      <c r="L500" s="117"/>
      <c r="M500" s="320"/>
      <c r="N500" s="164"/>
      <c r="O500" s="320"/>
      <c r="P500" s="164"/>
      <c r="Q500" s="338"/>
      <c r="R500" s="338"/>
      <c r="S500" s="20"/>
      <c r="T500" s="20"/>
      <c r="U500" s="20"/>
      <c r="V500" s="20"/>
    </row>
    <row r="501">
      <c r="A501" s="320"/>
      <c r="B501" s="164"/>
      <c r="C501" s="320"/>
      <c r="D501" s="164"/>
      <c r="E501" s="320"/>
      <c r="F501" s="164"/>
      <c r="G501" s="320"/>
      <c r="H501" s="164"/>
      <c r="I501" s="327"/>
      <c r="J501" s="117"/>
      <c r="K501" s="327"/>
      <c r="L501" s="117"/>
      <c r="M501" s="320"/>
      <c r="N501" s="164"/>
      <c r="O501" s="320"/>
      <c r="P501" s="164"/>
      <c r="Q501" s="338"/>
      <c r="R501" s="338"/>
      <c r="S501" s="20"/>
      <c r="T501" s="20"/>
      <c r="U501" s="20"/>
      <c r="V501" s="20"/>
    </row>
    <row r="502">
      <c r="A502" s="320"/>
      <c r="B502" s="164"/>
      <c r="C502" s="320"/>
      <c r="D502" s="164"/>
      <c r="E502" s="320"/>
      <c r="F502" s="164"/>
      <c r="G502" s="320"/>
      <c r="H502" s="164"/>
      <c r="I502" s="327"/>
      <c r="J502" s="117"/>
      <c r="K502" s="327"/>
      <c r="L502" s="117"/>
      <c r="M502" s="320"/>
      <c r="N502" s="164"/>
      <c r="O502" s="320"/>
      <c r="P502" s="164"/>
      <c r="Q502" s="338"/>
      <c r="R502" s="338"/>
      <c r="S502" s="20"/>
      <c r="T502" s="20"/>
      <c r="U502" s="20"/>
      <c r="V502" s="20"/>
    </row>
    <row r="503">
      <c r="A503" s="320"/>
      <c r="B503" s="164"/>
      <c r="C503" s="320"/>
      <c r="D503" s="164"/>
      <c r="E503" s="320"/>
      <c r="F503" s="164"/>
      <c r="G503" s="320"/>
      <c r="H503" s="164"/>
      <c r="I503" s="327"/>
      <c r="J503" s="117"/>
      <c r="K503" s="327"/>
      <c r="L503" s="117"/>
      <c r="M503" s="320"/>
      <c r="N503" s="164"/>
      <c r="O503" s="320"/>
      <c r="P503" s="164"/>
      <c r="Q503" s="338"/>
      <c r="R503" s="338"/>
      <c r="S503" s="20"/>
      <c r="T503" s="20"/>
      <c r="U503" s="20"/>
      <c r="V503" s="20"/>
    </row>
    <row r="504">
      <c r="A504" s="320"/>
      <c r="B504" s="164"/>
      <c r="C504" s="320"/>
      <c r="D504" s="164"/>
      <c r="E504" s="320"/>
      <c r="F504" s="164"/>
      <c r="G504" s="320"/>
      <c r="H504" s="164"/>
      <c r="I504" s="327"/>
      <c r="J504" s="117"/>
      <c r="K504" s="327"/>
      <c r="L504" s="117"/>
      <c r="M504" s="320"/>
      <c r="N504" s="164"/>
      <c r="O504" s="320"/>
      <c r="P504" s="164"/>
      <c r="Q504" s="338"/>
      <c r="R504" s="338"/>
      <c r="S504" s="20"/>
      <c r="T504" s="20"/>
      <c r="U504" s="20"/>
      <c r="V504" s="20"/>
    </row>
    <row r="505">
      <c r="A505" s="320"/>
      <c r="B505" s="164"/>
      <c r="C505" s="320"/>
      <c r="D505" s="164"/>
      <c r="E505" s="320"/>
      <c r="F505" s="164"/>
      <c r="G505" s="320"/>
      <c r="H505" s="164"/>
      <c r="I505" s="327"/>
      <c r="J505" s="117"/>
      <c r="K505" s="327"/>
      <c r="L505" s="117"/>
      <c r="M505" s="320"/>
      <c r="N505" s="164"/>
      <c r="O505" s="320"/>
      <c r="P505" s="164"/>
      <c r="Q505" s="338"/>
      <c r="R505" s="338"/>
      <c r="S505" s="20"/>
      <c r="T505" s="20"/>
      <c r="U505" s="20"/>
      <c r="V505" s="20"/>
    </row>
    <row r="506">
      <c r="A506" s="320"/>
      <c r="B506" s="164"/>
      <c r="C506" s="320"/>
      <c r="D506" s="164"/>
      <c r="E506" s="320"/>
      <c r="F506" s="164"/>
      <c r="G506" s="320"/>
      <c r="H506" s="164"/>
      <c r="I506" s="327"/>
      <c r="J506" s="117"/>
      <c r="K506" s="327"/>
      <c r="L506" s="117"/>
      <c r="M506" s="320"/>
      <c r="N506" s="164"/>
      <c r="O506" s="320"/>
      <c r="P506" s="164"/>
      <c r="Q506" s="338"/>
      <c r="R506" s="338"/>
      <c r="S506" s="20"/>
      <c r="T506" s="20"/>
      <c r="U506" s="20"/>
      <c r="V506" s="20"/>
    </row>
    <row r="507">
      <c r="A507" s="320"/>
      <c r="B507" s="164"/>
      <c r="C507" s="320"/>
      <c r="D507" s="164"/>
      <c r="E507" s="320"/>
      <c r="F507" s="164"/>
      <c r="G507" s="320"/>
      <c r="H507" s="164"/>
      <c r="I507" s="327"/>
      <c r="J507" s="117"/>
      <c r="K507" s="327"/>
      <c r="L507" s="117"/>
      <c r="M507" s="320"/>
      <c r="N507" s="164"/>
      <c r="O507" s="320"/>
      <c r="P507" s="164"/>
      <c r="Q507" s="338"/>
      <c r="R507" s="338"/>
      <c r="S507" s="20"/>
      <c r="T507" s="20"/>
      <c r="U507" s="20"/>
      <c r="V507" s="20"/>
    </row>
    <row r="508">
      <c r="A508" s="320"/>
      <c r="B508" s="164"/>
      <c r="C508" s="320"/>
      <c r="D508" s="164"/>
      <c r="E508" s="320"/>
      <c r="F508" s="164"/>
      <c r="G508" s="320"/>
      <c r="H508" s="164"/>
      <c r="I508" s="327"/>
      <c r="J508" s="117"/>
      <c r="K508" s="327"/>
      <c r="L508" s="117"/>
      <c r="M508" s="320"/>
      <c r="N508" s="164"/>
      <c r="O508" s="320"/>
      <c r="P508" s="164"/>
      <c r="Q508" s="338"/>
      <c r="R508" s="338"/>
      <c r="S508" s="20"/>
      <c r="T508" s="20"/>
      <c r="U508" s="20"/>
      <c r="V508" s="20"/>
    </row>
    <row r="509">
      <c r="A509" s="320"/>
      <c r="B509" s="164"/>
      <c r="C509" s="320"/>
      <c r="D509" s="164"/>
      <c r="E509" s="320"/>
      <c r="F509" s="164"/>
      <c r="G509" s="320"/>
      <c r="H509" s="164"/>
      <c r="I509" s="327"/>
      <c r="J509" s="117"/>
      <c r="K509" s="327"/>
      <c r="L509" s="117"/>
      <c r="M509" s="320"/>
      <c r="N509" s="164"/>
      <c r="O509" s="320"/>
      <c r="P509" s="164"/>
      <c r="Q509" s="338"/>
      <c r="R509" s="338"/>
      <c r="S509" s="20"/>
      <c r="T509" s="20"/>
      <c r="U509" s="20"/>
      <c r="V509" s="20"/>
    </row>
    <row r="510">
      <c r="A510" s="320"/>
      <c r="B510" s="164"/>
      <c r="C510" s="320"/>
      <c r="D510" s="164"/>
      <c r="E510" s="320"/>
      <c r="F510" s="164"/>
      <c r="G510" s="320"/>
      <c r="H510" s="164"/>
      <c r="I510" s="327"/>
      <c r="J510" s="117"/>
      <c r="K510" s="327"/>
      <c r="L510" s="117"/>
      <c r="M510" s="320"/>
      <c r="N510" s="164"/>
      <c r="O510" s="320"/>
      <c r="P510" s="164"/>
      <c r="Q510" s="338"/>
      <c r="R510" s="338"/>
      <c r="S510" s="20"/>
      <c r="T510" s="20"/>
      <c r="U510" s="20"/>
      <c r="V510" s="20"/>
    </row>
    <row r="511">
      <c r="A511" s="320"/>
      <c r="B511" s="164"/>
      <c r="C511" s="320"/>
      <c r="D511" s="164"/>
      <c r="E511" s="320"/>
      <c r="F511" s="164"/>
      <c r="G511" s="320"/>
      <c r="H511" s="164"/>
      <c r="I511" s="327"/>
      <c r="J511" s="117"/>
      <c r="K511" s="327"/>
      <c r="L511" s="117"/>
      <c r="M511" s="320"/>
      <c r="N511" s="164"/>
      <c r="O511" s="320"/>
      <c r="P511" s="164"/>
      <c r="Q511" s="338"/>
      <c r="R511" s="338"/>
      <c r="S511" s="20"/>
      <c r="T511" s="20"/>
      <c r="U511" s="20"/>
      <c r="V511" s="20"/>
    </row>
    <row r="512">
      <c r="A512" s="320"/>
      <c r="B512" s="164"/>
      <c r="C512" s="320"/>
      <c r="D512" s="164"/>
      <c r="E512" s="320"/>
      <c r="F512" s="164"/>
      <c r="G512" s="320"/>
      <c r="H512" s="164"/>
      <c r="I512" s="327"/>
      <c r="J512" s="117"/>
      <c r="K512" s="327"/>
      <c r="L512" s="117"/>
      <c r="M512" s="320"/>
      <c r="N512" s="164"/>
      <c r="O512" s="320"/>
      <c r="P512" s="164"/>
      <c r="Q512" s="338"/>
      <c r="R512" s="338"/>
      <c r="S512" s="20"/>
      <c r="T512" s="20"/>
      <c r="U512" s="20"/>
      <c r="V512" s="20"/>
    </row>
    <row r="513">
      <c r="A513" s="320"/>
      <c r="B513" s="164"/>
      <c r="C513" s="320"/>
      <c r="D513" s="164"/>
      <c r="E513" s="320"/>
      <c r="F513" s="164"/>
      <c r="G513" s="320"/>
      <c r="H513" s="164"/>
      <c r="I513" s="327"/>
      <c r="J513" s="117"/>
      <c r="K513" s="327"/>
      <c r="L513" s="117"/>
      <c r="M513" s="320"/>
      <c r="N513" s="164"/>
      <c r="O513" s="320"/>
      <c r="P513" s="164"/>
      <c r="Q513" s="338"/>
      <c r="R513" s="338"/>
      <c r="S513" s="20"/>
      <c r="T513" s="20"/>
      <c r="U513" s="20"/>
      <c r="V513" s="20"/>
    </row>
    <row r="514">
      <c r="A514" s="320"/>
      <c r="B514" s="164"/>
      <c r="C514" s="320"/>
      <c r="D514" s="164"/>
      <c r="E514" s="320"/>
      <c r="F514" s="164"/>
      <c r="G514" s="320"/>
      <c r="H514" s="164"/>
      <c r="I514" s="327"/>
      <c r="J514" s="117"/>
      <c r="K514" s="327"/>
      <c r="L514" s="117"/>
      <c r="M514" s="320"/>
      <c r="N514" s="164"/>
      <c r="O514" s="320"/>
      <c r="P514" s="164"/>
      <c r="Q514" s="338"/>
      <c r="R514" s="338"/>
      <c r="S514" s="20"/>
      <c r="T514" s="20"/>
      <c r="U514" s="20"/>
      <c r="V514" s="20"/>
    </row>
    <row r="515">
      <c r="A515" s="320"/>
      <c r="B515" s="164"/>
      <c r="C515" s="320"/>
      <c r="D515" s="164"/>
      <c r="E515" s="320"/>
      <c r="F515" s="164"/>
      <c r="G515" s="320"/>
      <c r="H515" s="164"/>
      <c r="I515" s="327"/>
      <c r="J515" s="117"/>
      <c r="K515" s="327"/>
      <c r="L515" s="117"/>
      <c r="M515" s="320"/>
      <c r="N515" s="164"/>
      <c r="O515" s="320"/>
      <c r="P515" s="164"/>
      <c r="Q515" s="338"/>
      <c r="R515" s="338"/>
      <c r="S515" s="20"/>
      <c r="T515" s="20"/>
      <c r="U515" s="20"/>
      <c r="V515" s="20"/>
    </row>
    <row r="516">
      <c r="A516" s="320"/>
      <c r="B516" s="164"/>
      <c r="C516" s="320"/>
      <c r="D516" s="164"/>
      <c r="E516" s="320"/>
      <c r="F516" s="164"/>
      <c r="G516" s="320"/>
      <c r="H516" s="164"/>
      <c r="I516" s="327"/>
      <c r="J516" s="117"/>
      <c r="K516" s="327"/>
      <c r="L516" s="117"/>
      <c r="M516" s="320"/>
      <c r="N516" s="164"/>
      <c r="O516" s="320"/>
      <c r="P516" s="164"/>
      <c r="Q516" s="338"/>
      <c r="R516" s="338"/>
      <c r="S516" s="20"/>
      <c r="T516" s="20"/>
      <c r="U516" s="20"/>
      <c r="V516" s="20"/>
    </row>
    <row r="517">
      <c r="A517" s="320"/>
      <c r="B517" s="164"/>
      <c r="C517" s="320"/>
      <c r="D517" s="164"/>
      <c r="E517" s="320"/>
      <c r="F517" s="164"/>
      <c r="G517" s="320"/>
      <c r="H517" s="164"/>
      <c r="I517" s="327"/>
      <c r="J517" s="117"/>
      <c r="K517" s="327"/>
      <c r="L517" s="117"/>
      <c r="M517" s="320"/>
      <c r="N517" s="164"/>
      <c r="O517" s="320"/>
      <c r="P517" s="164"/>
      <c r="Q517" s="338"/>
      <c r="R517" s="338"/>
      <c r="S517" s="20"/>
      <c r="T517" s="20"/>
      <c r="U517" s="20"/>
      <c r="V517" s="20"/>
    </row>
    <row r="518">
      <c r="A518" s="320"/>
      <c r="B518" s="164"/>
      <c r="C518" s="320"/>
      <c r="D518" s="164"/>
      <c r="E518" s="320"/>
      <c r="F518" s="164"/>
      <c r="G518" s="320"/>
      <c r="H518" s="164"/>
      <c r="I518" s="327"/>
      <c r="J518" s="117"/>
      <c r="K518" s="327"/>
      <c r="L518" s="117"/>
      <c r="M518" s="320"/>
      <c r="N518" s="164"/>
      <c r="O518" s="320"/>
      <c r="P518" s="164"/>
      <c r="Q518" s="338"/>
      <c r="R518" s="338"/>
      <c r="S518" s="20"/>
      <c r="T518" s="20"/>
      <c r="U518" s="20"/>
      <c r="V518" s="20"/>
    </row>
    <row r="519">
      <c r="A519" s="320"/>
      <c r="B519" s="164"/>
      <c r="C519" s="320"/>
      <c r="D519" s="164"/>
      <c r="E519" s="320"/>
      <c r="F519" s="164"/>
      <c r="G519" s="320"/>
      <c r="H519" s="164"/>
      <c r="I519" s="327"/>
      <c r="J519" s="117"/>
      <c r="K519" s="327"/>
      <c r="L519" s="117"/>
      <c r="M519" s="320"/>
      <c r="N519" s="164"/>
      <c r="O519" s="320"/>
      <c r="P519" s="164"/>
      <c r="Q519" s="338"/>
      <c r="R519" s="338"/>
      <c r="S519" s="20"/>
      <c r="T519" s="20"/>
      <c r="U519" s="20"/>
      <c r="V519" s="20"/>
    </row>
    <row r="520">
      <c r="A520" s="320"/>
      <c r="B520" s="164"/>
      <c r="C520" s="320"/>
      <c r="D520" s="164"/>
      <c r="E520" s="320"/>
      <c r="F520" s="164"/>
      <c r="G520" s="320"/>
      <c r="H520" s="164"/>
      <c r="I520" s="327"/>
      <c r="J520" s="117"/>
      <c r="K520" s="327"/>
      <c r="L520" s="117"/>
      <c r="M520" s="320"/>
      <c r="N520" s="164"/>
      <c r="O520" s="320"/>
      <c r="P520" s="164"/>
      <c r="Q520" s="338"/>
      <c r="R520" s="338"/>
      <c r="S520" s="20"/>
      <c r="T520" s="20"/>
      <c r="U520" s="20"/>
      <c r="V520" s="20"/>
    </row>
    <row r="521">
      <c r="A521" s="320"/>
      <c r="B521" s="164"/>
      <c r="C521" s="320"/>
      <c r="D521" s="164"/>
      <c r="E521" s="320"/>
      <c r="F521" s="164"/>
      <c r="G521" s="320"/>
      <c r="H521" s="164"/>
      <c r="I521" s="327"/>
      <c r="J521" s="117"/>
      <c r="K521" s="327"/>
      <c r="L521" s="117"/>
      <c r="M521" s="320"/>
      <c r="N521" s="164"/>
      <c r="O521" s="320"/>
      <c r="P521" s="164"/>
      <c r="Q521" s="338"/>
      <c r="R521" s="338"/>
      <c r="S521" s="20"/>
      <c r="T521" s="20"/>
      <c r="U521" s="20"/>
      <c r="V521" s="20"/>
    </row>
    <row r="522">
      <c r="A522" s="320"/>
      <c r="B522" s="164"/>
      <c r="C522" s="320"/>
      <c r="D522" s="164"/>
      <c r="E522" s="320"/>
      <c r="F522" s="164"/>
      <c r="G522" s="320"/>
      <c r="H522" s="164"/>
      <c r="I522" s="327"/>
      <c r="J522" s="117"/>
      <c r="K522" s="327"/>
      <c r="L522" s="117"/>
      <c r="M522" s="320"/>
      <c r="N522" s="164"/>
      <c r="O522" s="320"/>
      <c r="P522" s="164"/>
      <c r="Q522" s="338"/>
      <c r="R522" s="338"/>
      <c r="S522" s="20"/>
      <c r="T522" s="20"/>
      <c r="U522" s="20"/>
      <c r="V522" s="20"/>
    </row>
    <row r="523">
      <c r="A523" s="320"/>
      <c r="B523" s="164"/>
      <c r="C523" s="320"/>
      <c r="D523" s="164"/>
      <c r="E523" s="320"/>
      <c r="F523" s="164"/>
      <c r="G523" s="320"/>
      <c r="H523" s="164"/>
      <c r="I523" s="327"/>
      <c r="J523" s="117"/>
      <c r="K523" s="327"/>
      <c r="L523" s="117"/>
      <c r="M523" s="320"/>
      <c r="N523" s="164"/>
      <c r="O523" s="320"/>
      <c r="P523" s="164"/>
      <c r="Q523" s="338"/>
      <c r="R523" s="338"/>
      <c r="S523" s="20"/>
      <c r="T523" s="20"/>
      <c r="U523" s="20"/>
      <c r="V523" s="20"/>
    </row>
    <row r="524">
      <c r="A524" s="320"/>
      <c r="B524" s="164"/>
      <c r="C524" s="320"/>
      <c r="D524" s="164"/>
      <c r="E524" s="320"/>
      <c r="F524" s="164"/>
      <c r="G524" s="320"/>
      <c r="H524" s="164"/>
      <c r="I524" s="327"/>
      <c r="J524" s="117"/>
      <c r="K524" s="327"/>
      <c r="L524" s="117"/>
      <c r="M524" s="320"/>
      <c r="N524" s="164"/>
      <c r="O524" s="320"/>
      <c r="P524" s="164"/>
      <c r="Q524" s="338"/>
      <c r="R524" s="338"/>
      <c r="S524" s="20"/>
      <c r="T524" s="20"/>
      <c r="U524" s="20"/>
      <c r="V524" s="20"/>
    </row>
    <row r="525">
      <c r="A525" s="320"/>
      <c r="B525" s="164"/>
      <c r="C525" s="320"/>
      <c r="D525" s="164"/>
      <c r="E525" s="320"/>
      <c r="F525" s="164"/>
      <c r="G525" s="320"/>
      <c r="H525" s="164"/>
      <c r="I525" s="327"/>
      <c r="J525" s="117"/>
      <c r="K525" s="327"/>
      <c r="L525" s="117"/>
      <c r="M525" s="320"/>
      <c r="N525" s="164"/>
      <c r="O525" s="320"/>
      <c r="P525" s="164"/>
      <c r="Q525" s="338"/>
      <c r="R525" s="338"/>
      <c r="S525" s="20"/>
      <c r="T525" s="20"/>
      <c r="U525" s="20"/>
      <c r="V525" s="20"/>
    </row>
    <row r="526">
      <c r="A526" s="320"/>
      <c r="B526" s="164"/>
      <c r="C526" s="320"/>
      <c r="D526" s="164"/>
      <c r="E526" s="320"/>
      <c r="F526" s="164"/>
      <c r="G526" s="320"/>
      <c r="H526" s="164"/>
      <c r="I526" s="327"/>
      <c r="J526" s="117"/>
      <c r="K526" s="327"/>
      <c r="L526" s="117"/>
      <c r="M526" s="320"/>
      <c r="N526" s="164"/>
      <c r="O526" s="320"/>
      <c r="P526" s="164"/>
      <c r="Q526" s="338"/>
      <c r="R526" s="338"/>
      <c r="S526" s="20"/>
      <c r="T526" s="20"/>
      <c r="U526" s="20"/>
      <c r="V526" s="20"/>
    </row>
    <row r="527">
      <c r="A527" s="320"/>
      <c r="B527" s="164"/>
      <c r="C527" s="320"/>
      <c r="D527" s="164"/>
      <c r="E527" s="320"/>
      <c r="F527" s="164"/>
      <c r="G527" s="320"/>
      <c r="H527" s="164"/>
      <c r="I527" s="327"/>
      <c r="J527" s="117"/>
      <c r="K527" s="327"/>
      <c r="L527" s="117"/>
      <c r="M527" s="320"/>
      <c r="N527" s="164"/>
      <c r="O527" s="320"/>
      <c r="P527" s="164"/>
      <c r="Q527" s="338"/>
      <c r="R527" s="338"/>
      <c r="S527" s="20"/>
      <c r="T527" s="20"/>
      <c r="U527" s="20"/>
      <c r="V527" s="20"/>
    </row>
    <row r="528">
      <c r="A528" s="320"/>
      <c r="B528" s="164"/>
      <c r="C528" s="320"/>
      <c r="D528" s="164"/>
      <c r="E528" s="320"/>
      <c r="F528" s="164"/>
      <c r="G528" s="320"/>
      <c r="H528" s="164"/>
      <c r="I528" s="327"/>
      <c r="J528" s="117"/>
      <c r="K528" s="327"/>
      <c r="L528" s="117"/>
      <c r="M528" s="320"/>
      <c r="N528" s="164"/>
      <c r="O528" s="320"/>
      <c r="P528" s="164"/>
      <c r="Q528" s="338"/>
      <c r="R528" s="338"/>
      <c r="S528" s="20"/>
      <c r="T528" s="20"/>
      <c r="U528" s="20"/>
      <c r="V528" s="20"/>
    </row>
    <row r="529">
      <c r="A529" s="320"/>
      <c r="B529" s="164"/>
      <c r="C529" s="320"/>
      <c r="D529" s="164"/>
      <c r="E529" s="320"/>
      <c r="F529" s="164"/>
      <c r="G529" s="320"/>
      <c r="H529" s="164"/>
      <c r="I529" s="327"/>
      <c r="J529" s="117"/>
      <c r="K529" s="327"/>
      <c r="L529" s="117"/>
      <c r="M529" s="320"/>
      <c r="N529" s="164"/>
      <c r="O529" s="320"/>
      <c r="P529" s="164"/>
      <c r="Q529" s="338"/>
      <c r="R529" s="338"/>
      <c r="S529" s="20"/>
      <c r="T529" s="20"/>
      <c r="U529" s="20"/>
      <c r="V529" s="20"/>
    </row>
    <row r="530">
      <c r="A530" s="320"/>
      <c r="B530" s="164"/>
      <c r="C530" s="320"/>
      <c r="D530" s="164"/>
      <c r="E530" s="320"/>
      <c r="F530" s="164"/>
      <c r="G530" s="320"/>
      <c r="H530" s="164"/>
      <c r="I530" s="327"/>
      <c r="J530" s="117"/>
      <c r="K530" s="327"/>
      <c r="L530" s="117"/>
      <c r="M530" s="320"/>
      <c r="N530" s="164"/>
      <c r="O530" s="320"/>
      <c r="P530" s="164"/>
      <c r="Q530" s="338"/>
      <c r="R530" s="338"/>
      <c r="S530" s="20"/>
      <c r="T530" s="20"/>
      <c r="U530" s="20"/>
      <c r="V530" s="20"/>
    </row>
    <row r="531">
      <c r="A531" s="320"/>
      <c r="B531" s="164"/>
      <c r="C531" s="320"/>
      <c r="D531" s="164"/>
      <c r="E531" s="320"/>
      <c r="F531" s="164"/>
      <c r="G531" s="320"/>
      <c r="H531" s="164"/>
      <c r="I531" s="327"/>
      <c r="J531" s="117"/>
      <c r="K531" s="327"/>
      <c r="L531" s="117"/>
      <c r="M531" s="320"/>
      <c r="N531" s="164"/>
      <c r="O531" s="320"/>
      <c r="P531" s="164"/>
      <c r="Q531" s="338"/>
      <c r="R531" s="338"/>
      <c r="S531" s="20"/>
      <c r="T531" s="20"/>
      <c r="U531" s="20"/>
      <c r="V531" s="20"/>
    </row>
    <row r="532">
      <c r="A532" s="320"/>
      <c r="B532" s="164"/>
      <c r="C532" s="320"/>
      <c r="D532" s="164"/>
      <c r="E532" s="320"/>
      <c r="F532" s="164"/>
      <c r="G532" s="320"/>
      <c r="H532" s="164"/>
      <c r="I532" s="327"/>
      <c r="J532" s="117"/>
      <c r="K532" s="327"/>
      <c r="L532" s="117"/>
      <c r="M532" s="320"/>
      <c r="N532" s="164"/>
      <c r="O532" s="320"/>
      <c r="P532" s="164"/>
      <c r="Q532" s="338"/>
      <c r="R532" s="338"/>
      <c r="S532" s="20"/>
      <c r="T532" s="20"/>
      <c r="U532" s="20"/>
      <c r="V532" s="20"/>
    </row>
    <row r="533">
      <c r="A533" s="320"/>
      <c r="B533" s="164"/>
      <c r="C533" s="320"/>
      <c r="D533" s="164"/>
      <c r="E533" s="320"/>
      <c r="F533" s="164"/>
      <c r="G533" s="320"/>
      <c r="H533" s="164"/>
      <c r="I533" s="327"/>
      <c r="J533" s="117"/>
      <c r="K533" s="327"/>
      <c r="L533" s="117"/>
      <c r="M533" s="320"/>
      <c r="N533" s="164"/>
      <c r="O533" s="320"/>
      <c r="P533" s="164"/>
      <c r="Q533" s="338"/>
      <c r="R533" s="338"/>
      <c r="S533" s="20"/>
      <c r="T533" s="20"/>
      <c r="U533" s="20"/>
      <c r="V533" s="20"/>
    </row>
    <row r="534">
      <c r="A534" s="320"/>
      <c r="B534" s="164"/>
      <c r="C534" s="320"/>
      <c r="D534" s="164"/>
      <c r="E534" s="320"/>
      <c r="F534" s="164"/>
      <c r="G534" s="320"/>
      <c r="H534" s="164"/>
      <c r="I534" s="327"/>
      <c r="J534" s="117"/>
      <c r="K534" s="327"/>
      <c r="L534" s="117"/>
      <c r="M534" s="320"/>
      <c r="N534" s="164"/>
      <c r="O534" s="320"/>
      <c r="P534" s="164"/>
      <c r="Q534" s="338"/>
      <c r="R534" s="338"/>
      <c r="S534" s="20"/>
      <c r="T534" s="20"/>
      <c r="U534" s="20"/>
      <c r="V534" s="20"/>
    </row>
    <row r="535">
      <c r="A535" s="320"/>
      <c r="B535" s="164"/>
      <c r="C535" s="320"/>
      <c r="D535" s="164"/>
      <c r="E535" s="320"/>
      <c r="F535" s="164"/>
      <c r="G535" s="320"/>
      <c r="H535" s="164"/>
      <c r="I535" s="327"/>
      <c r="J535" s="117"/>
      <c r="K535" s="327"/>
      <c r="L535" s="117"/>
      <c r="M535" s="320"/>
      <c r="N535" s="164"/>
      <c r="O535" s="320"/>
      <c r="P535" s="164"/>
      <c r="Q535" s="338"/>
      <c r="R535" s="338"/>
      <c r="S535" s="20"/>
      <c r="T535" s="20"/>
      <c r="U535" s="20"/>
      <c r="V535" s="20"/>
    </row>
    <row r="536">
      <c r="A536" s="320"/>
      <c r="B536" s="164"/>
      <c r="C536" s="320"/>
      <c r="D536" s="164"/>
      <c r="E536" s="320"/>
      <c r="F536" s="164"/>
      <c r="G536" s="320"/>
      <c r="H536" s="164"/>
      <c r="I536" s="327"/>
      <c r="J536" s="117"/>
      <c r="K536" s="327"/>
      <c r="L536" s="117"/>
      <c r="M536" s="320"/>
      <c r="N536" s="164"/>
      <c r="O536" s="320"/>
      <c r="P536" s="164"/>
      <c r="Q536" s="338"/>
      <c r="R536" s="338"/>
      <c r="S536" s="20"/>
      <c r="T536" s="20"/>
      <c r="U536" s="20"/>
      <c r="V536" s="20"/>
    </row>
    <row r="537">
      <c r="A537" s="320"/>
      <c r="B537" s="164"/>
      <c r="C537" s="320"/>
      <c r="D537" s="164"/>
      <c r="E537" s="320"/>
      <c r="F537" s="164"/>
      <c r="G537" s="320"/>
      <c r="H537" s="164"/>
      <c r="I537" s="327"/>
      <c r="J537" s="117"/>
      <c r="K537" s="327"/>
      <c r="L537" s="117"/>
      <c r="M537" s="320"/>
      <c r="N537" s="164"/>
      <c r="O537" s="320"/>
      <c r="P537" s="164"/>
      <c r="Q537" s="338"/>
      <c r="R537" s="338"/>
      <c r="S537" s="20"/>
      <c r="T537" s="20"/>
      <c r="U537" s="20"/>
      <c r="V537" s="20"/>
    </row>
    <row r="538">
      <c r="A538" s="320"/>
      <c r="B538" s="164"/>
      <c r="C538" s="320"/>
      <c r="D538" s="164"/>
      <c r="E538" s="320"/>
      <c r="F538" s="164"/>
      <c r="G538" s="320"/>
      <c r="H538" s="164"/>
      <c r="I538" s="327"/>
      <c r="J538" s="117"/>
      <c r="K538" s="327"/>
      <c r="L538" s="117"/>
      <c r="M538" s="320"/>
      <c r="N538" s="164"/>
      <c r="O538" s="320"/>
      <c r="P538" s="164"/>
      <c r="Q538" s="338"/>
      <c r="R538" s="338"/>
      <c r="S538" s="20"/>
      <c r="T538" s="20"/>
      <c r="U538" s="20"/>
      <c r="V538" s="20"/>
    </row>
    <row r="539">
      <c r="A539" s="320"/>
      <c r="B539" s="164"/>
      <c r="C539" s="320"/>
      <c r="D539" s="164"/>
      <c r="E539" s="320"/>
      <c r="F539" s="164"/>
      <c r="G539" s="320"/>
      <c r="H539" s="164"/>
      <c r="I539" s="327"/>
      <c r="J539" s="117"/>
      <c r="K539" s="327"/>
      <c r="L539" s="117"/>
      <c r="M539" s="320"/>
      <c r="N539" s="164"/>
      <c r="O539" s="320"/>
      <c r="P539" s="164"/>
      <c r="Q539" s="338"/>
      <c r="R539" s="338"/>
      <c r="S539" s="20"/>
      <c r="T539" s="20"/>
      <c r="U539" s="20"/>
      <c r="V539" s="20"/>
    </row>
    <row r="540">
      <c r="A540" s="320"/>
      <c r="B540" s="164"/>
      <c r="C540" s="320"/>
      <c r="D540" s="164"/>
      <c r="E540" s="320"/>
      <c r="F540" s="164"/>
      <c r="G540" s="320"/>
      <c r="H540" s="164"/>
      <c r="I540" s="327"/>
      <c r="J540" s="117"/>
      <c r="K540" s="327"/>
      <c r="L540" s="117"/>
      <c r="M540" s="320"/>
      <c r="N540" s="164"/>
      <c r="O540" s="320"/>
      <c r="P540" s="164"/>
      <c r="Q540" s="338"/>
      <c r="R540" s="338"/>
      <c r="S540" s="20"/>
      <c r="T540" s="20"/>
      <c r="U540" s="20"/>
      <c r="V540" s="20"/>
    </row>
    <row r="541">
      <c r="A541" s="320"/>
      <c r="B541" s="164"/>
      <c r="C541" s="320"/>
      <c r="D541" s="164"/>
      <c r="E541" s="320"/>
      <c r="F541" s="164"/>
      <c r="G541" s="320"/>
      <c r="H541" s="164"/>
      <c r="I541" s="327"/>
      <c r="J541" s="117"/>
      <c r="K541" s="327"/>
      <c r="L541" s="117"/>
      <c r="M541" s="320"/>
      <c r="N541" s="164"/>
      <c r="O541" s="320"/>
      <c r="P541" s="164"/>
      <c r="Q541" s="338"/>
      <c r="R541" s="338"/>
      <c r="S541" s="20"/>
      <c r="T541" s="20"/>
      <c r="U541" s="20"/>
      <c r="V541" s="20"/>
    </row>
    <row r="542">
      <c r="A542" s="320"/>
      <c r="B542" s="164"/>
      <c r="C542" s="320"/>
      <c r="D542" s="164"/>
      <c r="E542" s="320"/>
      <c r="F542" s="164"/>
      <c r="G542" s="320"/>
      <c r="H542" s="164"/>
      <c r="I542" s="327"/>
      <c r="J542" s="117"/>
      <c r="K542" s="327"/>
      <c r="L542" s="117"/>
      <c r="M542" s="320"/>
      <c r="N542" s="164"/>
      <c r="O542" s="320"/>
      <c r="P542" s="164"/>
      <c r="Q542" s="338"/>
      <c r="R542" s="338"/>
      <c r="S542" s="20"/>
      <c r="T542" s="20"/>
      <c r="U542" s="20"/>
      <c r="V542" s="20"/>
    </row>
    <row r="543">
      <c r="A543" s="320"/>
      <c r="B543" s="164"/>
      <c r="C543" s="320"/>
      <c r="D543" s="164"/>
      <c r="E543" s="320"/>
      <c r="F543" s="164"/>
      <c r="G543" s="320"/>
      <c r="H543" s="164"/>
      <c r="I543" s="327"/>
      <c r="J543" s="117"/>
      <c r="K543" s="327"/>
      <c r="L543" s="117"/>
      <c r="M543" s="320"/>
      <c r="N543" s="164"/>
      <c r="O543" s="320"/>
      <c r="P543" s="164"/>
      <c r="Q543" s="338"/>
      <c r="R543" s="338"/>
      <c r="S543" s="20"/>
      <c r="T543" s="20"/>
      <c r="U543" s="20"/>
      <c r="V543" s="20"/>
    </row>
    <row r="544">
      <c r="A544" s="320"/>
      <c r="B544" s="164"/>
      <c r="C544" s="320"/>
      <c r="D544" s="164"/>
      <c r="E544" s="320"/>
      <c r="F544" s="164"/>
      <c r="G544" s="320"/>
      <c r="H544" s="164"/>
      <c r="I544" s="327"/>
      <c r="J544" s="117"/>
      <c r="K544" s="327"/>
      <c r="L544" s="117"/>
      <c r="M544" s="320"/>
      <c r="N544" s="164"/>
      <c r="O544" s="320"/>
      <c r="P544" s="164"/>
      <c r="Q544" s="338"/>
      <c r="R544" s="338"/>
      <c r="S544" s="20"/>
      <c r="T544" s="20"/>
      <c r="U544" s="20"/>
      <c r="V544" s="20"/>
    </row>
    <row r="545">
      <c r="A545" s="320"/>
      <c r="B545" s="164"/>
      <c r="C545" s="320"/>
      <c r="D545" s="164"/>
      <c r="E545" s="320"/>
      <c r="F545" s="164"/>
      <c r="G545" s="320"/>
      <c r="H545" s="164"/>
      <c r="I545" s="327"/>
      <c r="J545" s="117"/>
      <c r="K545" s="327"/>
      <c r="L545" s="117"/>
      <c r="M545" s="320"/>
      <c r="N545" s="164"/>
      <c r="O545" s="320"/>
      <c r="P545" s="164"/>
      <c r="Q545" s="338"/>
      <c r="R545" s="338"/>
      <c r="S545" s="20"/>
      <c r="T545" s="20"/>
      <c r="U545" s="20"/>
      <c r="V545" s="20"/>
    </row>
    <row r="546">
      <c r="A546" s="320"/>
      <c r="B546" s="164"/>
      <c r="C546" s="320"/>
      <c r="D546" s="164"/>
      <c r="E546" s="320"/>
      <c r="F546" s="164"/>
      <c r="G546" s="320"/>
      <c r="H546" s="164"/>
      <c r="I546" s="327"/>
      <c r="J546" s="117"/>
      <c r="K546" s="327"/>
      <c r="L546" s="117"/>
      <c r="M546" s="320"/>
      <c r="N546" s="164"/>
      <c r="O546" s="320"/>
      <c r="P546" s="164"/>
      <c r="Q546" s="338"/>
      <c r="R546" s="338"/>
      <c r="S546" s="20"/>
      <c r="T546" s="20"/>
      <c r="U546" s="20"/>
      <c r="V546" s="20"/>
    </row>
    <row r="547">
      <c r="A547" s="320"/>
      <c r="B547" s="164"/>
      <c r="C547" s="320"/>
      <c r="D547" s="164"/>
      <c r="E547" s="320"/>
      <c r="F547" s="164"/>
      <c r="G547" s="320"/>
      <c r="H547" s="164"/>
      <c r="I547" s="327"/>
      <c r="J547" s="117"/>
      <c r="K547" s="327"/>
      <c r="L547" s="117"/>
      <c r="M547" s="320"/>
      <c r="N547" s="164"/>
      <c r="O547" s="320"/>
      <c r="P547" s="164"/>
      <c r="Q547" s="338"/>
      <c r="R547" s="338"/>
      <c r="S547" s="20"/>
      <c r="T547" s="20"/>
      <c r="U547" s="20"/>
      <c r="V547" s="20"/>
    </row>
    <row r="548">
      <c r="A548" s="320"/>
      <c r="B548" s="164"/>
      <c r="C548" s="320"/>
      <c r="D548" s="164"/>
      <c r="E548" s="320"/>
      <c r="F548" s="164"/>
      <c r="G548" s="320"/>
      <c r="H548" s="164"/>
      <c r="I548" s="327"/>
      <c r="J548" s="117"/>
      <c r="K548" s="327"/>
      <c r="L548" s="117"/>
      <c r="M548" s="320"/>
      <c r="N548" s="164"/>
      <c r="O548" s="320"/>
      <c r="P548" s="164"/>
      <c r="Q548" s="338"/>
      <c r="R548" s="338"/>
      <c r="S548" s="20"/>
      <c r="T548" s="20"/>
      <c r="U548" s="20"/>
      <c r="V548" s="20"/>
    </row>
    <row r="549">
      <c r="A549" s="320"/>
      <c r="B549" s="164"/>
      <c r="C549" s="320"/>
      <c r="D549" s="164"/>
      <c r="E549" s="320"/>
      <c r="F549" s="164"/>
      <c r="G549" s="320"/>
      <c r="H549" s="164"/>
      <c r="I549" s="327"/>
      <c r="J549" s="117"/>
      <c r="K549" s="327"/>
      <c r="L549" s="117"/>
      <c r="M549" s="320"/>
      <c r="N549" s="164"/>
      <c r="O549" s="320"/>
      <c r="P549" s="164"/>
      <c r="Q549" s="338"/>
      <c r="R549" s="338"/>
      <c r="S549" s="20"/>
      <c r="T549" s="20"/>
      <c r="U549" s="20"/>
      <c r="V549" s="20"/>
    </row>
    <row r="550">
      <c r="A550" s="320"/>
      <c r="B550" s="164"/>
      <c r="C550" s="320"/>
      <c r="D550" s="164"/>
      <c r="E550" s="320"/>
      <c r="F550" s="164"/>
      <c r="G550" s="320"/>
      <c r="H550" s="164"/>
      <c r="I550" s="327"/>
      <c r="J550" s="117"/>
      <c r="K550" s="327"/>
      <c r="L550" s="117"/>
      <c r="M550" s="320"/>
      <c r="N550" s="164"/>
      <c r="O550" s="320"/>
      <c r="P550" s="164"/>
      <c r="Q550" s="338"/>
      <c r="R550" s="338"/>
      <c r="S550" s="20"/>
      <c r="T550" s="20"/>
      <c r="U550" s="20"/>
      <c r="V550" s="20"/>
    </row>
    <row r="551">
      <c r="A551" s="320"/>
      <c r="B551" s="164"/>
      <c r="C551" s="320"/>
      <c r="D551" s="164"/>
      <c r="E551" s="320"/>
      <c r="F551" s="164"/>
      <c r="G551" s="320"/>
      <c r="H551" s="164"/>
      <c r="I551" s="327"/>
      <c r="J551" s="117"/>
      <c r="K551" s="327"/>
      <c r="L551" s="117"/>
      <c r="M551" s="320"/>
      <c r="N551" s="164"/>
      <c r="O551" s="320"/>
      <c r="P551" s="164"/>
      <c r="Q551" s="338"/>
      <c r="R551" s="338"/>
      <c r="S551" s="20"/>
      <c r="T551" s="20"/>
      <c r="U551" s="20"/>
      <c r="V551" s="20"/>
    </row>
    <row r="552">
      <c r="A552" s="320"/>
      <c r="B552" s="164"/>
      <c r="C552" s="320"/>
      <c r="D552" s="164"/>
      <c r="E552" s="320"/>
      <c r="F552" s="164"/>
      <c r="G552" s="320"/>
      <c r="H552" s="164"/>
      <c r="I552" s="327"/>
      <c r="J552" s="117"/>
      <c r="K552" s="327"/>
      <c r="L552" s="117"/>
      <c r="M552" s="320"/>
      <c r="N552" s="164"/>
      <c r="O552" s="320"/>
      <c r="P552" s="164"/>
      <c r="Q552" s="338"/>
      <c r="R552" s="338"/>
      <c r="S552" s="20"/>
      <c r="T552" s="20"/>
      <c r="U552" s="20"/>
      <c r="V552" s="20"/>
    </row>
    <row r="553">
      <c r="A553" s="320"/>
      <c r="B553" s="164"/>
      <c r="C553" s="320"/>
      <c r="D553" s="164"/>
      <c r="E553" s="320"/>
      <c r="F553" s="164"/>
      <c r="G553" s="320"/>
      <c r="H553" s="164"/>
      <c r="I553" s="327"/>
      <c r="J553" s="117"/>
      <c r="K553" s="327"/>
      <c r="L553" s="117"/>
      <c r="M553" s="320"/>
      <c r="N553" s="164"/>
      <c r="O553" s="320"/>
      <c r="P553" s="164"/>
      <c r="Q553" s="338"/>
      <c r="R553" s="338"/>
      <c r="S553" s="20"/>
      <c r="T553" s="20"/>
      <c r="U553" s="20"/>
      <c r="V553" s="20"/>
    </row>
    <row r="554">
      <c r="A554" s="320"/>
      <c r="B554" s="164"/>
      <c r="C554" s="320"/>
      <c r="D554" s="164"/>
      <c r="E554" s="320"/>
      <c r="F554" s="164"/>
      <c r="G554" s="320"/>
      <c r="H554" s="164"/>
      <c r="I554" s="327"/>
      <c r="J554" s="117"/>
      <c r="K554" s="327"/>
      <c r="L554" s="117"/>
      <c r="M554" s="320"/>
      <c r="N554" s="164"/>
      <c r="O554" s="320"/>
      <c r="P554" s="164"/>
      <c r="Q554" s="338"/>
      <c r="R554" s="338"/>
      <c r="S554" s="20"/>
      <c r="T554" s="20"/>
      <c r="U554" s="20"/>
      <c r="V554" s="20"/>
    </row>
    <row r="555">
      <c r="A555" s="320"/>
      <c r="B555" s="164"/>
      <c r="C555" s="320"/>
      <c r="D555" s="164"/>
      <c r="E555" s="320"/>
      <c r="F555" s="164"/>
      <c r="G555" s="320"/>
      <c r="H555" s="164"/>
      <c r="I555" s="327"/>
      <c r="J555" s="117"/>
      <c r="K555" s="327"/>
      <c r="L555" s="117"/>
      <c r="M555" s="320"/>
      <c r="N555" s="164"/>
      <c r="O555" s="320"/>
      <c r="P555" s="164"/>
      <c r="Q555" s="338"/>
      <c r="R555" s="338"/>
      <c r="S555" s="20"/>
      <c r="T555" s="20"/>
      <c r="U555" s="20"/>
      <c r="V555" s="20"/>
    </row>
    <row r="556">
      <c r="A556" s="320"/>
      <c r="B556" s="164"/>
      <c r="C556" s="320"/>
      <c r="D556" s="164"/>
      <c r="E556" s="320"/>
      <c r="F556" s="164"/>
      <c r="G556" s="320"/>
      <c r="H556" s="164"/>
      <c r="I556" s="327"/>
      <c r="J556" s="117"/>
      <c r="K556" s="327"/>
      <c r="L556" s="117"/>
      <c r="M556" s="320"/>
      <c r="N556" s="164"/>
      <c r="O556" s="320"/>
      <c r="P556" s="164"/>
      <c r="Q556" s="338"/>
      <c r="R556" s="338"/>
      <c r="S556" s="20"/>
      <c r="T556" s="20"/>
      <c r="U556" s="20"/>
      <c r="V556" s="20"/>
    </row>
    <row r="557">
      <c r="A557" s="320"/>
      <c r="B557" s="164"/>
      <c r="C557" s="320"/>
      <c r="D557" s="164"/>
      <c r="E557" s="320"/>
      <c r="F557" s="164"/>
      <c r="G557" s="320"/>
      <c r="H557" s="164"/>
      <c r="I557" s="327"/>
      <c r="J557" s="117"/>
      <c r="K557" s="327"/>
      <c r="L557" s="117"/>
      <c r="M557" s="320"/>
      <c r="N557" s="164"/>
      <c r="O557" s="320"/>
      <c r="P557" s="164"/>
      <c r="Q557" s="338"/>
      <c r="R557" s="338"/>
      <c r="S557" s="20"/>
      <c r="T557" s="20"/>
      <c r="U557" s="20"/>
      <c r="V557" s="20"/>
    </row>
    <row r="558">
      <c r="A558" s="320"/>
      <c r="B558" s="164"/>
      <c r="C558" s="320"/>
      <c r="D558" s="164"/>
      <c r="E558" s="320"/>
      <c r="F558" s="164"/>
      <c r="G558" s="320"/>
      <c r="H558" s="164"/>
      <c r="I558" s="327"/>
      <c r="J558" s="117"/>
      <c r="K558" s="327"/>
      <c r="L558" s="117"/>
      <c r="M558" s="320"/>
      <c r="N558" s="164"/>
      <c r="O558" s="320"/>
      <c r="P558" s="164"/>
      <c r="Q558" s="338"/>
      <c r="R558" s="338"/>
      <c r="S558" s="20"/>
      <c r="T558" s="20"/>
      <c r="U558" s="20"/>
      <c r="V558" s="20"/>
    </row>
    <row r="559">
      <c r="A559" s="320"/>
      <c r="B559" s="164"/>
      <c r="C559" s="320"/>
      <c r="D559" s="164"/>
      <c r="E559" s="320"/>
      <c r="F559" s="164"/>
      <c r="G559" s="320"/>
      <c r="H559" s="164"/>
      <c r="I559" s="327"/>
      <c r="J559" s="117"/>
      <c r="K559" s="327"/>
      <c r="L559" s="117"/>
      <c r="M559" s="320"/>
      <c r="N559" s="164"/>
      <c r="O559" s="320"/>
      <c r="P559" s="164"/>
      <c r="Q559" s="338"/>
      <c r="R559" s="338"/>
      <c r="S559" s="20"/>
      <c r="T559" s="20"/>
      <c r="U559" s="20"/>
      <c r="V559" s="20"/>
    </row>
    <row r="560">
      <c r="A560" s="320"/>
      <c r="B560" s="164"/>
      <c r="C560" s="320"/>
      <c r="D560" s="164"/>
      <c r="E560" s="320"/>
      <c r="F560" s="164"/>
      <c r="G560" s="320"/>
      <c r="H560" s="164"/>
      <c r="I560" s="327"/>
      <c r="J560" s="117"/>
      <c r="K560" s="327"/>
      <c r="L560" s="117"/>
      <c r="M560" s="320"/>
      <c r="N560" s="164"/>
      <c r="O560" s="320"/>
      <c r="P560" s="164"/>
      <c r="Q560" s="338"/>
      <c r="R560" s="338"/>
      <c r="S560" s="20"/>
      <c r="T560" s="20"/>
      <c r="U560" s="20"/>
      <c r="V560" s="20"/>
    </row>
    <row r="561">
      <c r="A561" s="320"/>
      <c r="B561" s="164"/>
      <c r="C561" s="320"/>
      <c r="D561" s="164"/>
      <c r="E561" s="320"/>
      <c r="F561" s="164"/>
      <c r="G561" s="320"/>
      <c r="H561" s="164"/>
      <c r="I561" s="327"/>
      <c r="J561" s="117"/>
      <c r="K561" s="327"/>
      <c r="L561" s="117"/>
      <c r="M561" s="320"/>
      <c r="N561" s="164"/>
      <c r="O561" s="320"/>
      <c r="P561" s="164"/>
      <c r="Q561" s="338"/>
      <c r="R561" s="338"/>
      <c r="S561" s="20"/>
      <c r="T561" s="20"/>
      <c r="U561" s="20"/>
      <c r="V561" s="20"/>
    </row>
    <row r="562">
      <c r="A562" s="320"/>
      <c r="B562" s="164"/>
      <c r="C562" s="320"/>
      <c r="D562" s="164"/>
      <c r="E562" s="320"/>
      <c r="F562" s="164"/>
      <c r="G562" s="320"/>
      <c r="H562" s="164"/>
      <c r="I562" s="327"/>
      <c r="J562" s="117"/>
      <c r="K562" s="327"/>
      <c r="L562" s="117"/>
      <c r="M562" s="320"/>
      <c r="N562" s="164"/>
      <c r="O562" s="320"/>
      <c r="P562" s="164"/>
      <c r="Q562" s="338"/>
      <c r="R562" s="338"/>
      <c r="S562" s="20"/>
      <c r="T562" s="20"/>
      <c r="U562" s="20"/>
      <c r="V562" s="20"/>
    </row>
    <row r="563">
      <c r="A563" s="320"/>
      <c r="B563" s="164"/>
      <c r="C563" s="320"/>
      <c r="D563" s="164"/>
      <c r="E563" s="320"/>
      <c r="F563" s="164"/>
      <c r="G563" s="320"/>
      <c r="H563" s="164"/>
      <c r="I563" s="327"/>
      <c r="J563" s="117"/>
      <c r="K563" s="327"/>
      <c r="L563" s="117"/>
      <c r="M563" s="320"/>
      <c r="N563" s="164"/>
      <c r="O563" s="320"/>
      <c r="P563" s="164"/>
      <c r="Q563" s="338"/>
      <c r="R563" s="338"/>
      <c r="S563" s="20"/>
      <c r="T563" s="20"/>
      <c r="U563" s="20"/>
      <c r="V563" s="20"/>
    </row>
    <row r="564">
      <c r="A564" s="320"/>
      <c r="B564" s="164"/>
      <c r="C564" s="320"/>
      <c r="D564" s="164"/>
      <c r="E564" s="320"/>
      <c r="F564" s="164"/>
      <c r="G564" s="320"/>
      <c r="H564" s="164"/>
      <c r="I564" s="327"/>
      <c r="J564" s="117"/>
      <c r="K564" s="327"/>
      <c r="L564" s="117"/>
      <c r="M564" s="320"/>
      <c r="N564" s="164"/>
      <c r="O564" s="320"/>
      <c r="P564" s="164"/>
      <c r="Q564" s="338"/>
      <c r="R564" s="338"/>
      <c r="S564" s="20"/>
      <c r="T564" s="20"/>
      <c r="U564" s="20"/>
      <c r="V564" s="20"/>
    </row>
    <row r="565">
      <c r="A565" s="320"/>
      <c r="B565" s="164"/>
      <c r="C565" s="320"/>
      <c r="D565" s="164"/>
      <c r="E565" s="320"/>
      <c r="F565" s="164"/>
      <c r="G565" s="320"/>
      <c r="H565" s="164"/>
      <c r="I565" s="327"/>
      <c r="J565" s="117"/>
      <c r="K565" s="327"/>
      <c r="L565" s="117"/>
      <c r="M565" s="320"/>
      <c r="N565" s="164"/>
      <c r="O565" s="320"/>
      <c r="P565" s="164"/>
      <c r="Q565" s="338"/>
      <c r="R565" s="338"/>
      <c r="S565" s="20"/>
      <c r="T565" s="20"/>
      <c r="U565" s="20"/>
      <c r="V565" s="20"/>
    </row>
    <row r="566">
      <c r="A566" s="320"/>
      <c r="B566" s="164"/>
      <c r="C566" s="320"/>
      <c r="D566" s="164"/>
      <c r="E566" s="320"/>
      <c r="F566" s="164"/>
      <c r="G566" s="320"/>
      <c r="H566" s="164"/>
      <c r="I566" s="327"/>
      <c r="J566" s="117"/>
      <c r="K566" s="327"/>
      <c r="L566" s="117"/>
      <c r="M566" s="320"/>
      <c r="N566" s="164"/>
      <c r="O566" s="320"/>
      <c r="P566" s="164"/>
      <c r="Q566" s="338"/>
      <c r="R566" s="338"/>
      <c r="S566" s="20"/>
      <c r="T566" s="20"/>
      <c r="U566" s="20"/>
      <c r="V566" s="20"/>
    </row>
    <row r="567">
      <c r="A567" s="320"/>
      <c r="B567" s="164"/>
      <c r="C567" s="320"/>
      <c r="D567" s="164"/>
      <c r="E567" s="320"/>
      <c r="F567" s="164"/>
      <c r="G567" s="320"/>
      <c r="H567" s="164"/>
      <c r="I567" s="327"/>
      <c r="J567" s="117"/>
      <c r="K567" s="327"/>
      <c r="L567" s="117"/>
      <c r="M567" s="320"/>
      <c r="N567" s="164"/>
      <c r="O567" s="320"/>
      <c r="P567" s="164"/>
      <c r="Q567" s="338"/>
      <c r="R567" s="338"/>
      <c r="S567" s="20"/>
      <c r="T567" s="20"/>
      <c r="U567" s="20"/>
      <c r="V567" s="20"/>
    </row>
    <row r="568">
      <c r="A568" s="320"/>
      <c r="B568" s="164"/>
      <c r="C568" s="320"/>
      <c r="D568" s="164"/>
      <c r="E568" s="320"/>
      <c r="F568" s="164"/>
      <c r="G568" s="320"/>
      <c r="H568" s="164"/>
      <c r="I568" s="327"/>
      <c r="J568" s="117"/>
      <c r="K568" s="327"/>
      <c r="L568" s="117"/>
      <c r="M568" s="320"/>
      <c r="N568" s="164"/>
      <c r="O568" s="320"/>
      <c r="P568" s="164"/>
      <c r="Q568" s="338"/>
      <c r="R568" s="338"/>
      <c r="S568" s="20"/>
      <c r="T568" s="20"/>
      <c r="U568" s="20"/>
      <c r="V568" s="20"/>
    </row>
    <row r="569">
      <c r="A569" s="320"/>
      <c r="B569" s="164"/>
      <c r="C569" s="320"/>
      <c r="D569" s="164"/>
      <c r="E569" s="320"/>
      <c r="F569" s="164"/>
      <c r="G569" s="320"/>
      <c r="H569" s="164"/>
      <c r="I569" s="327"/>
      <c r="J569" s="117"/>
      <c r="K569" s="327"/>
      <c r="L569" s="117"/>
      <c r="M569" s="320"/>
      <c r="N569" s="164"/>
      <c r="O569" s="320"/>
      <c r="P569" s="164"/>
      <c r="Q569" s="338"/>
      <c r="R569" s="338"/>
      <c r="S569" s="20"/>
      <c r="T569" s="20"/>
      <c r="U569" s="20"/>
      <c r="V569" s="20"/>
    </row>
    <row r="570">
      <c r="A570" s="320"/>
      <c r="B570" s="164"/>
      <c r="C570" s="320"/>
      <c r="D570" s="164"/>
      <c r="E570" s="320"/>
      <c r="F570" s="164"/>
      <c r="G570" s="320"/>
      <c r="H570" s="164"/>
      <c r="I570" s="327"/>
      <c r="J570" s="117"/>
      <c r="K570" s="327"/>
      <c r="L570" s="117"/>
      <c r="M570" s="320"/>
      <c r="N570" s="164"/>
      <c r="O570" s="320"/>
      <c r="P570" s="164"/>
      <c r="Q570" s="338"/>
      <c r="R570" s="338"/>
      <c r="S570" s="20"/>
      <c r="T570" s="20"/>
      <c r="U570" s="20"/>
      <c r="V570" s="20"/>
    </row>
    <row r="571">
      <c r="A571" s="320"/>
      <c r="B571" s="164"/>
      <c r="C571" s="320"/>
      <c r="D571" s="164"/>
      <c r="E571" s="320"/>
      <c r="F571" s="164"/>
      <c r="G571" s="320"/>
      <c r="H571" s="164"/>
      <c r="I571" s="327"/>
      <c r="J571" s="117"/>
      <c r="K571" s="327"/>
      <c r="L571" s="117"/>
      <c r="M571" s="320"/>
      <c r="N571" s="164"/>
      <c r="O571" s="320"/>
      <c r="P571" s="164"/>
      <c r="Q571" s="338"/>
      <c r="R571" s="338"/>
      <c r="S571" s="20"/>
      <c r="T571" s="20"/>
      <c r="U571" s="20"/>
      <c r="V571" s="20"/>
    </row>
    <row r="572">
      <c r="A572" s="320"/>
      <c r="B572" s="164"/>
      <c r="C572" s="320"/>
      <c r="D572" s="164"/>
      <c r="E572" s="320"/>
      <c r="F572" s="164"/>
      <c r="G572" s="320"/>
      <c r="H572" s="164"/>
      <c r="I572" s="327"/>
      <c r="J572" s="117"/>
      <c r="K572" s="327"/>
      <c r="L572" s="117"/>
      <c r="M572" s="320"/>
      <c r="N572" s="164"/>
      <c r="O572" s="320"/>
      <c r="P572" s="164"/>
      <c r="Q572" s="338"/>
      <c r="R572" s="338"/>
      <c r="S572" s="20"/>
      <c r="T572" s="20"/>
      <c r="U572" s="20"/>
      <c r="V572" s="20"/>
    </row>
    <row r="573">
      <c r="A573" s="320"/>
      <c r="B573" s="164"/>
      <c r="C573" s="320"/>
      <c r="D573" s="164"/>
      <c r="E573" s="320"/>
      <c r="F573" s="164"/>
      <c r="G573" s="320"/>
      <c r="H573" s="164"/>
      <c r="I573" s="327"/>
      <c r="J573" s="117"/>
      <c r="K573" s="327"/>
      <c r="L573" s="117"/>
      <c r="M573" s="320"/>
      <c r="N573" s="164"/>
      <c r="O573" s="320"/>
      <c r="P573" s="164"/>
      <c r="Q573" s="338"/>
      <c r="R573" s="338"/>
      <c r="S573" s="20"/>
      <c r="T573" s="20"/>
      <c r="U573" s="20"/>
      <c r="V573" s="20"/>
    </row>
    <row r="574">
      <c r="A574" s="320"/>
      <c r="B574" s="164"/>
      <c r="C574" s="320"/>
      <c r="D574" s="164"/>
      <c r="E574" s="320"/>
      <c r="F574" s="164"/>
      <c r="G574" s="320"/>
      <c r="H574" s="164"/>
      <c r="I574" s="327"/>
      <c r="J574" s="117"/>
      <c r="K574" s="327"/>
      <c r="L574" s="117"/>
      <c r="M574" s="320"/>
      <c r="N574" s="164"/>
      <c r="O574" s="320"/>
      <c r="P574" s="164"/>
      <c r="Q574" s="338"/>
      <c r="R574" s="338"/>
      <c r="S574" s="20"/>
      <c r="T574" s="20"/>
      <c r="U574" s="20"/>
      <c r="V574" s="20"/>
    </row>
    <row r="575">
      <c r="A575" s="320"/>
      <c r="B575" s="164"/>
      <c r="C575" s="320"/>
      <c r="D575" s="164"/>
      <c r="E575" s="320"/>
      <c r="F575" s="164"/>
      <c r="G575" s="320"/>
      <c r="H575" s="164"/>
      <c r="I575" s="327"/>
      <c r="J575" s="117"/>
      <c r="K575" s="327"/>
      <c r="L575" s="117"/>
      <c r="M575" s="320"/>
      <c r="N575" s="164"/>
      <c r="O575" s="320"/>
      <c r="P575" s="164"/>
      <c r="Q575" s="338"/>
      <c r="R575" s="338"/>
      <c r="S575" s="20"/>
      <c r="T575" s="20"/>
      <c r="U575" s="20"/>
      <c r="V575" s="20"/>
    </row>
    <row r="576">
      <c r="A576" s="320"/>
      <c r="B576" s="164"/>
      <c r="C576" s="320"/>
      <c r="D576" s="164"/>
      <c r="E576" s="320"/>
      <c r="F576" s="164"/>
      <c r="G576" s="320"/>
      <c r="H576" s="164"/>
      <c r="I576" s="327"/>
      <c r="J576" s="117"/>
      <c r="K576" s="327"/>
      <c r="L576" s="117"/>
      <c r="M576" s="320"/>
      <c r="N576" s="164"/>
      <c r="O576" s="320"/>
      <c r="P576" s="164"/>
      <c r="Q576" s="338"/>
      <c r="R576" s="338"/>
      <c r="S576" s="20"/>
      <c r="T576" s="20"/>
      <c r="U576" s="20"/>
      <c r="V576" s="20"/>
    </row>
    <row r="577">
      <c r="A577" s="320"/>
      <c r="B577" s="164"/>
      <c r="C577" s="320"/>
      <c r="D577" s="164"/>
      <c r="E577" s="320"/>
      <c r="F577" s="164"/>
      <c r="G577" s="320"/>
      <c r="H577" s="164"/>
      <c r="I577" s="327"/>
      <c r="J577" s="117"/>
      <c r="K577" s="327"/>
      <c r="L577" s="117"/>
      <c r="M577" s="320"/>
      <c r="N577" s="164"/>
      <c r="O577" s="320"/>
      <c r="P577" s="164"/>
      <c r="Q577" s="338"/>
      <c r="R577" s="338"/>
      <c r="S577" s="20"/>
      <c r="T577" s="20"/>
      <c r="U577" s="20"/>
      <c r="V577" s="20"/>
    </row>
    <row r="578">
      <c r="A578" s="320"/>
      <c r="B578" s="164"/>
      <c r="C578" s="320"/>
      <c r="D578" s="164"/>
      <c r="E578" s="320"/>
      <c r="F578" s="164"/>
      <c r="G578" s="320"/>
      <c r="H578" s="164"/>
      <c r="I578" s="327"/>
      <c r="J578" s="117"/>
      <c r="K578" s="327"/>
      <c r="L578" s="117"/>
      <c r="M578" s="320"/>
      <c r="N578" s="164"/>
      <c r="O578" s="320"/>
      <c r="P578" s="164"/>
      <c r="Q578" s="338"/>
      <c r="R578" s="338"/>
      <c r="S578" s="20"/>
      <c r="T578" s="20"/>
      <c r="U578" s="20"/>
      <c r="V578" s="20"/>
    </row>
    <row r="579">
      <c r="A579" s="320"/>
      <c r="B579" s="164"/>
      <c r="C579" s="320"/>
      <c r="D579" s="164"/>
      <c r="E579" s="320"/>
      <c r="F579" s="164"/>
      <c r="G579" s="320"/>
      <c r="H579" s="164"/>
      <c r="I579" s="327"/>
      <c r="J579" s="117"/>
      <c r="K579" s="327"/>
      <c r="L579" s="117"/>
      <c r="M579" s="320"/>
      <c r="N579" s="164"/>
      <c r="O579" s="320"/>
      <c r="P579" s="164"/>
      <c r="Q579" s="338"/>
      <c r="R579" s="338"/>
      <c r="S579" s="20"/>
      <c r="T579" s="20"/>
      <c r="U579" s="20"/>
      <c r="V579" s="20"/>
    </row>
    <row r="580">
      <c r="A580" s="320"/>
      <c r="B580" s="164"/>
      <c r="C580" s="320"/>
      <c r="D580" s="164"/>
      <c r="E580" s="320"/>
      <c r="F580" s="164"/>
      <c r="G580" s="320"/>
      <c r="H580" s="164"/>
      <c r="I580" s="327"/>
      <c r="J580" s="117"/>
      <c r="K580" s="327"/>
      <c r="L580" s="117"/>
      <c r="M580" s="320"/>
      <c r="N580" s="164"/>
      <c r="O580" s="320"/>
      <c r="P580" s="164"/>
      <c r="Q580" s="338"/>
      <c r="R580" s="338"/>
      <c r="S580" s="20"/>
      <c r="T580" s="20"/>
      <c r="U580" s="20"/>
      <c r="V580" s="20"/>
    </row>
    <row r="581">
      <c r="A581" s="320"/>
      <c r="B581" s="164"/>
      <c r="C581" s="320"/>
      <c r="D581" s="164"/>
      <c r="E581" s="320"/>
      <c r="F581" s="164"/>
      <c r="G581" s="320"/>
      <c r="H581" s="164"/>
      <c r="I581" s="327"/>
      <c r="J581" s="117"/>
      <c r="K581" s="327"/>
      <c r="L581" s="117"/>
      <c r="M581" s="320"/>
      <c r="N581" s="164"/>
      <c r="O581" s="320"/>
      <c r="P581" s="164"/>
      <c r="Q581" s="338"/>
      <c r="R581" s="338"/>
      <c r="S581" s="20"/>
      <c r="T581" s="20"/>
      <c r="U581" s="20"/>
      <c r="V581" s="20"/>
    </row>
    <row r="582">
      <c r="A582" s="320"/>
      <c r="B582" s="164"/>
      <c r="C582" s="320"/>
      <c r="D582" s="164"/>
      <c r="E582" s="320"/>
      <c r="F582" s="164"/>
      <c r="G582" s="320"/>
      <c r="H582" s="164"/>
      <c r="I582" s="327"/>
      <c r="J582" s="117"/>
      <c r="K582" s="327"/>
      <c r="L582" s="117"/>
      <c r="M582" s="320"/>
      <c r="N582" s="164"/>
      <c r="O582" s="320"/>
      <c r="P582" s="164"/>
      <c r="Q582" s="338"/>
      <c r="R582" s="338"/>
      <c r="S582" s="20"/>
      <c r="T582" s="20"/>
      <c r="U582" s="20"/>
      <c r="V582" s="20"/>
    </row>
    <row r="583">
      <c r="A583" s="320"/>
      <c r="B583" s="164"/>
      <c r="C583" s="320"/>
      <c r="D583" s="164"/>
      <c r="E583" s="320"/>
      <c r="F583" s="164"/>
      <c r="G583" s="320"/>
      <c r="H583" s="164"/>
      <c r="I583" s="327"/>
      <c r="J583" s="117"/>
      <c r="K583" s="327"/>
      <c r="L583" s="117"/>
      <c r="M583" s="320"/>
      <c r="N583" s="164"/>
      <c r="O583" s="320"/>
      <c r="P583" s="164"/>
      <c r="Q583" s="338"/>
      <c r="R583" s="338"/>
      <c r="S583" s="20"/>
      <c r="T583" s="20"/>
      <c r="U583" s="20"/>
      <c r="V583" s="20"/>
    </row>
    <row r="584">
      <c r="A584" s="320"/>
      <c r="B584" s="164"/>
      <c r="C584" s="320"/>
      <c r="D584" s="164"/>
      <c r="E584" s="320"/>
      <c r="F584" s="164"/>
      <c r="G584" s="320"/>
      <c r="H584" s="164"/>
      <c r="I584" s="327"/>
      <c r="J584" s="117"/>
      <c r="K584" s="327"/>
      <c r="L584" s="117"/>
      <c r="M584" s="320"/>
      <c r="N584" s="164"/>
      <c r="O584" s="320"/>
      <c r="P584" s="164"/>
      <c r="Q584" s="338"/>
      <c r="R584" s="338"/>
      <c r="S584" s="20"/>
      <c r="T584" s="20"/>
      <c r="U584" s="20"/>
      <c r="V584" s="20"/>
    </row>
    <row r="585">
      <c r="A585" s="320"/>
      <c r="B585" s="164"/>
      <c r="C585" s="320"/>
      <c r="D585" s="164"/>
      <c r="E585" s="320"/>
      <c r="F585" s="164"/>
      <c r="G585" s="320"/>
      <c r="H585" s="164"/>
      <c r="I585" s="327"/>
      <c r="J585" s="117"/>
      <c r="K585" s="327"/>
      <c r="L585" s="117"/>
      <c r="M585" s="320"/>
      <c r="N585" s="164"/>
      <c r="O585" s="320"/>
      <c r="P585" s="164"/>
      <c r="Q585" s="338"/>
      <c r="R585" s="338"/>
      <c r="S585" s="20"/>
      <c r="T585" s="20"/>
      <c r="U585" s="20"/>
      <c r="V585" s="20"/>
    </row>
    <row r="586">
      <c r="A586" s="320"/>
      <c r="B586" s="164"/>
      <c r="C586" s="320"/>
      <c r="D586" s="164"/>
      <c r="E586" s="320"/>
      <c r="F586" s="164"/>
      <c r="G586" s="320"/>
      <c r="H586" s="164"/>
      <c r="I586" s="327"/>
      <c r="J586" s="117"/>
      <c r="K586" s="327"/>
      <c r="L586" s="117"/>
      <c r="M586" s="320"/>
      <c r="N586" s="164"/>
      <c r="O586" s="320"/>
      <c r="P586" s="164"/>
      <c r="Q586" s="338"/>
      <c r="R586" s="338"/>
      <c r="S586" s="20"/>
      <c r="T586" s="20"/>
      <c r="U586" s="20"/>
      <c r="V586" s="20"/>
    </row>
    <row r="587">
      <c r="A587" s="320"/>
      <c r="B587" s="164"/>
      <c r="C587" s="320"/>
      <c r="D587" s="164"/>
      <c r="E587" s="320"/>
      <c r="F587" s="164"/>
      <c r="G587" s="320"/>
      <c r="H587" s="164"/>
      <c r="I587" s="327"/>
      <c r="J587" s="117"/>
      <c r="K587" s="327"/>
      <c r="L587" s="117"/>
      <c r="M587" s="320"/>
      <c r="N587" s="164"/>
      <c r="O587" s="320"/>
      <c r="P587" s="164"/>
      <c r="Q587" s="338"/>
      <c r="R587" s="338"/>
      <c r="S587" s="20"/>
      <c r="T587" s="20"/>
      <c r="U587" s="20"/>
      <c r="V587" s="20"/>
    </row>
    <row r="588">
      <c r="A588" s="320"/>
      <c r="B588" s="164"/>
      <c r="C588" s="320"/>
      <c r="D588" s="164"/>
      <c r="E588" s="320"/>
      <c r="F588" s="164"/>
      <c r="G588" s="320"/>
      <c r="H588" s="164"/>
      <c r="I588" s="327"/>
      <c r="J588" s="117"/>
      <c r="K588" s="327"/>
      <c r="L588" s="117"/>
      <c r="M588" s="320"/>
      <c r="N588" s="164"/>
      <c r="O588" s="320"/>
      <c r="P588" s="164"/>
      <c r="Q588" s="338"/>
      <c r="R588" s="338"/>
      <c r="S588" s="20"/>
      <c r="T588" s="20"/>
      <c r="U588" s="20"/>
      <c r="V588" s="20"/>
    </row>
    <row r="589">
      <c r="A589" s="320"/>
      <c r="B589" s="164"/>
      <c r="C589" s="320"/>
      <c r="D589" s="164"/>
      <c r="E589" s="320"/>
      <c r="F589" s="164"/>
      <c r="G589" s="320"/>
      <c r="H589" s="164"/>
      <c r="I589" s="327"/>
      <c r="J589" s="117"/>
      <c r="K589" s="327"/>
      <c r="L589" s="117"/>
      <c r="M589" s="320"/>
      <c r="N589" s="164"/>
      <c r="O589" s="320"/>
      <c r="P589" s="164"/>
      <c r="Q589" s="338"/>
      <c r="R589" s="338"/>
      <c r="S589" s="20"/>
      <c r="T589" s="20"/>
      <c r="U589" s="20"/>
      <c r="V589" s="20"/>
    </row>
    <row r="590">
      <c r="A590" s="320"/>
      <c r="B590" s="164"/>
      <c r="C590" s="320"/>
      <c r="D590" s="164"/>
      <c r="E590" s="320"/>
      <c r="F590" s="164"/>
      <c r="G590" s="320"/>
      <c r="H590" s="164"/>
      <c r="I590" s="327"/>
      <c r="J590" s="117"/>
      <c r="K590" s="327"/>
      <c r="L590" s="117"/>
      <c r="M590" s="320"/>
      <c r="N590" s="164"/>
      <c r="O590" s="320"/>
      <c r="P590" s="164"/>
      <c r="Q590" s="338"/>
      <c r="R590" s="338"/>
      <c r="S590" s="20"/>
      <c r="T590" s="20"/>
      <c r="U590" s="20"/>
      <c r="V590" s="20"/>
    </row>
    <row r="591">
      <c r="A591" s="320"/>
      <c r="B591" s="164"/>
      <c r="C591" s="320"/>
      <c r="D591" s="164"/>
      <c r="E591" s="320"/>
      <c r="F591" s="164"/>
      <c r="G591" s="320"/>
      <c r="H591" s="164"/>
      <c r="I591" s="327"/>
      <c r="J591" s="117"/>
      <c r="K591" s="327"/>
      <c r="L591" s="117"/>
      <c r="M591" s="320"/>
      <c r="N591" s="164"/>
      <c r="O591" s="320"/>
      <c r="P591" s="164"/>
      <c r="Q591" s="338"/>
      <c r="R591" s="338"/>
      <c r="S591" s="20"/>
      <c r="T591" s="20"/>
      <c r="U591" s="20"/>
      <c r="V591" s="20"/>
    </row>
    <row r="592">
      <c r="A592" s="320"/>
      <c r="B592" s="164"/>
      <c r="C592" s="320"/>
      <c r="D592" s="164"/>
      <c r="E592" s="320"/>
      <c r="F592" s="164"/>
      <c r="G592" s="320"/>
      <c r="H592" s="164"/>
      <c r="I592" s="327"/>
      <c r="J592" s="117"/>
      <c r="K592" s="327"/>
      <c r="L592" s="117"/>
      <c r="M592" s="320"/>
      <c r="N592" s="164"/>
      <c r="O592" s="320"/>
      <c r="P592" s="164"/>
      <c r="Q592" s="338"/>
      <c r="R592" s="338"/>
      <c r="S592" s="20"/>
      <c r="T592" s="20"/>
      <c r="U592" s="20"/>
      <c r="V592" s="20"/>
    </row>
    <row r="593">
      <c r="A593" s="320"/>
      <c r="B593" s="164"/>
      <c r="C593" s="320"/>
      <c r="D593" s="164"/>
      <c r="E593" s="320"/>
      <c r="F593" s="164"/>
      <c r="G593" s="320"/>
      <c r="H593" s="164"/>
      <c r="I593" s="327"/>
      <c r="J593" s="117"/>
      <c r="K593" s="327"/>
      <c r="L593" s="117"/>
      <c r="M593" s="320"/>
      <c r="N593" s="164"/>
      <c r="O593" s="320"/>
      <c r="P593" s="164"/>
      <c r="Q593" s="338"/>
      <c r="R593" s="338"/>
      <c r="S593" s="20"/>
      <c r="T593" s="20"/>
      <c r="U593" s="20"/>
      <c r="V593" s="20"/>
    </row>
    <row r="594">
      <c r="A594" s="320"/>
      <c r="B594" s="164"/>
      <c r="C594" s="320"/>
      <c r="D594" s="164"/>
      <c r="E594" s="320"/>
      <c r="F594" s="164"/>
      <c r="G594" s="320"/>
      <c r="H594" s="164"/>
      <c r="I594" s="327"/>
      <c r="J594" s="117"/>
      <c r="K594" s="327"/>
      <c r="L594" s="117"/>
      <c r="M594" s="320"/>
      <c r="N594" s="164"/>
      <c r="O594" s="320"/>
      <c r="P594" s="164"/>
      <c r="Q594" s="338"/>
      <c r="R594" s="338"/>
      <c r="S594" s="20"/>
      <c r="T594" s="20"/>
      <c r="U594" s="20"/>
      <c r="V594" s="20"/>
    </row>
    <row r="595">
      <c r="A595" s="320"/>
      <c r="B595" s="164"/>
      <c r="C595" s="320"/>
      <c r="D595" s="164"/>
      <c r="E595" s="320"/>
      <c r="F595" s="164"/>
      <c r="G595" s="320"/>
      <c r="H595" s="164"/>
      <c r="I595" s="327"/>
      <c r="J595" s="117"/>
      <c r="K595" s="327"/>
      <c r="L595" s="117"/>
      <c r="M595" s="320"/>
      <c r="N595" s="164"/>
      <c r="O595" s="320"/>
      <c r="P595" s="164"/>
      <c r="Q595" s="338"/>
      <c r="R595" s="338"/>
      <c r="S595" s="20"/>
      <c r="T595" s="20"/>
      <c r="U595" s="20"/>
      <c r="V595" s="20"/>
    </row>
    <row r="596">
      <c r="A596" s="320"/>
      <c r="B596" s="164"/>
      <c r="C596" s="320"/>
      <c r="D596" s="164"/>
      <c r="E596" s="320"/>
      <c r="F596" s="164"/>
      <c r="G596" s="320"/>
      <c r="H596" s="164"/>
      <c r="I596" s="327"/>
      <c r="J596" s="117"/>
      <c r="K596" s="327"/>
      <c r="L596" s="117"/>
      <c r="M596" s="320"/>
      <c r="N596" s="164"/>
      <c r="O596" s="320"/>
      <c r="P596" s="164"/>
      <c r="Q596" s="338"/>
      <c r="R596" s="338"/>
      <c r="S596" s="20"/>
      <c r="T596" s="20"/>
      <c r="U596" s="20"/>
      <c r="V596" s="20"/>
    </row>
    <row r="597">
      <c r="A597" s="320"/>
      <c r="B597" s="164"/>
      <c r="C597" s="320"/>
      <c r="D597" s="164"/>
      <c r="E597" s="320"/>
      <c r="F597" s="164"/>
      <c r="G597" s="320"/>
      <c r="H597" s="164"/>
      <c r="I597" s="327"/>
      <c r="J597" s="117"/>
      <c r="K597" s="327"/>
      <c r="L597" s="117"/>
      <c r="M597" s="320"/>
      <c r="N597" s="164"/>
      <c r="O597" s="320"/>
      <c r="P597" s="164"/>
      <c r="Q597" s="338"/>
      <c r="R597" s="338"/>
      <c r="S597" s="20"/>
      <c r="T597" s="20"/>
      <c r="U597" s="20"/>
      <c r="V597" s="20"/>
    </row>
    <row r="598">
      <c r="A598" s="320"/>
      <c r="B598" s="164"/>
      <c r="C598" s="320"/>
      <c r="D598" s="164"/>
      <c r="E598" s="320"/>
      <c r="F598" s="164"/>
      <c r="G598" s="320"/>
      <c r="H598" s="164"/>
      <c r="I598" s="327"/>
      <c r="J598" s="117"/>
      <c r="K598" s="327"/>
      <c r="L598" s="117"/>
      <c r="M598" s="320"/>
      <c r="N598" s="164"/>
      <c r="O598" s="320"/>
      <c r="P598" s="164"/>
      <c r="Q598" s="338"/>
      <c r="R598" s="338"/>
      <c r="S598" s="20"/>
      <c r="T598" s="20"/>
      <c r="U598" s="20"/>
      <c r="V598" s="20"/>
    </row>
    <row r="599">
      <c r="A599" s="320"/>
      <c r="B599" s="164"/>
      <c r="C599" s="320"/>
      <c r="D599" s="164"/>
      <c r="E599" s="320"/>
      <c r="F599" s="164"/>
      <c r="G599" s="320"/>
      <c r="H599" s="164"/>
      <c r="I599" s="327"/>
      <c r="J599" s="117"/>
      <c r="K599" s="327"/>
      <c r="L599" s="117"/>
      <c r="M599" s="320"/>
      <c r="N599" s="164"/>
      <c r="O599" s="320"/>
      <c r="P599" s="164"/>
      <c r="Q599" s="338"/>
      <c r="R599" s="338"/>
      <c r="S599" s="20"/>
      <c r="T599" s="20"/>
      <c r="U599" s="20"/>
      <c r="V599" s="20"/>
    </row>
    <row r="600">
      <c r="A600" s="320"/>
      <c r="B600" s="164"/>
      <c r="C600" s="320"/>
      <c r="D600" s="164"/>
      <c r="E600" s="320"/>
      <c r="F600" s="164"/>
      <c r="G600" s="320"/>
      <c r="H600" s="164"/>
      <c r="I600" s="327"/>
      <c r="J600" s="117"/>
      <c r="K600" s="327"/>
      <c r="L600" s="117"/>
      <c r="M600" s="320"/>
      <c r="N600" s="164"/>
      <c r="O600" s="320"/>
      <c r="P600" s="164"/>
      <c r="Q600" s="338"/>
      <c r="R600" s="338"/>
      <c r="S600" s="20"/>
      <c r="T600" s="20"/>
      <c r="U600" s="20"/>
      <c r="V600" s="20"/>
    </row>
    <row r="601">
      <c r="A601" s="320"/>
      <c r="B601" s="164"/>
      <c r="C601" s="320"/>
      <c r="D601" s="164"/>
      <c r="E601" s="320"/>
      <c r="F601" s="164"/>
      <c r="G601" s="320"/>
      <c r="H601" s="164"/>
      <c r="I601" s="327"/>
      <c r="J601" s="117"/>
      <c r="K601" s="327"/>
      <c r="L601" s="117"/>
      <c r="M601" s="320"/>
      <c r="N601" s="164"/>
      <c r="O601" s="320"/>
      <c r="P601" s="164"/>
      <c r="Q601" s="338"/>
      <c r="R601" s="338"/>
      <c r="S601" s="20"/>
      <c r="T601" s="20"/>
      <c r="U601" s="20"/>
      <c r="V601" s="20"/>
    </row>
    <row r="602">
      <c r="A602" s="320"/>
      <c r="B602" s="164"/>
      <c r="C602" s="320"/>
      <c r="D602" s="164"/>
      <c r="E602" s="320"/>
      <c r="F602" s="164"/>
      <c r="G602" s="320"/>
      <c r="H602" s="164"/>
      <c r="I602" s="327"/>
      <c r="J602" s="117"/>
      <c r="K602" s="327"/>
      <c r="L602" s="117"/>
      <c r="M602" s="320"/>
      <c r="N602" s="164"/>
      <c r="O602" s="320"/>
      <c r="P602" s="164"/>
      <c r="Q602" s="338"/>
      <c r="R602" s="338"/>
      <c r="S602" s="20"/>
      <c r="T602" s="20"/>
      <c r="U602" s="20"/>
      <c r="V602" s="20"/>
    </row>
    <row r="603">
      <c r="A603" s="320"/>
      <c r="B603" s="164"/>
      <c r="C603" s="320"/>
      <c r="D603" s="164"/>
      <c r="E603" s="320"/>
      <c r="F603" s="164"/>
      <c r="G603" s="320"/>
      <c r="H603" s="164"/>
      <c r="I603" s="327"/>
      <c r="J603" s="117"/>
      <c r="K603" s="327"/>
      <c r="L603" s="117"/>
      <c r="M603" s="320"/>
      <c r="N603" s="164"/>
      <c r="O603" s="320"/>
      <c r="P603" s="164"/>
      <c r="Q603" s="338"/>
      <c r="R603" s="338"/>
      <c r="S603" s="20"/>
      <c r="T603" s="20"/>
      <c r="U603" s="20"/>
      <c r="V603" s="20"/>
    </row>
    <row r="604">
      <c r="A604" s="320"/>
      <c r="B604" s="164"/>
      <c r="C604" s="320"/>
      <c r="D604" s="164"/>
      <c r="E604" s="320"/>
      <c r="F604" s="164"/>
      <c r="G604" s="320"/>
      <c r="H604" s="164"/>
      <c r="I604" s="327"/>
      <c r="J604" s="117"/>
      <c r="K604" s="327"/>
      <c r="L604" s="117"/>
      <c r="M604" s="320"/>
      <c r="N604" s="164"/>
      <c r="O604" s="320"/>
      <c r="P604" s="164"/>
      <c r="Q604" s="338"/>
      <c r="R604" s="338"/>
      <c r="S604" s="20"/>
      <c r="T604" s="20"/>
      <c r="U604" s="20"/>
      <c r="V604" s="20"/>
    </row>
    <row r="605">
      <c r="A605" s="320"/>
      <c r="B605" s="164"/>
      <c r="C605" s="320"/>
      <c r="D605" s="164"/>
      <c r="E605" s="320"/>
      <c r="F605" s="164"/>
      <c r="G605" s="320"/>
      <c r="H605" s="164"/>
      <c r="I605" s="327"/>
      <c r="J605" s="117"/>
      <c r="K605" s="327"/>
      <c r="L605" s="117"/>
      <c r="M605" s="320"/>
      <c r="N605" s="164"/>
      <c r="O605" s="320"/>
      <c r="P605" s="164"/>
      <c r="Q605" s="338"/>
      <c r="R605" s="338"/>
      <c r="S605" s="20"/>
      <c r="T605" s="20"/>
      <c r="U605" s="20"/>
      <c r="V605" s="20"/>
    </row>
    <row r="606">
      <c r="A606" s="320"/>
      <c r="B606" s="164"/>
      <c r="C606" s="320"/>
      <c r="D606" s="164"/>
      <c r="E606" s="320"/>
      <c r="F606" s="164"/>
      <c r="G606" s="320"/>
      <c r="H606" s="164"/>
      <c r="I606" s="327"/>
      <c r="J606" s="117"/>
      <c r="K606" s="327"/>
      <c r="L606" s="117"/>
      <c r="M606" s="320"/>
      <c r="N606" s="164"/>
      <c r="O606" s="320"/>
      <c r="P606" s="164"/>
      <c r="Q606" s="338"/>
      <c r="R606" s="338"/>
      <c r="S606" s="20"/>
      <c r="T606" s="20"/>
      <c r="U606" s="20"/>
      <c r="V606" s="20"/>
    </row>
    <row r="607">
      <c r="A607" s="320"/>
      <c r="B607" s="164"/>
      <c r="C607" s="320"/>
      <c r="D607" s="164"/>
      <c r="E607" s="320"/>
      <c r="F607" s="164"/>
      <c r="G607" s="320"/>
      <c r="H607" s="164"/>
      <c r="I607" s="327"/>
      <c r="J607" s="117"/>
      <c r="K607" s="327"/>
      <c r="L607" s="117"/>
      <c r="M607" s="320"/>
      <c r="N607" s="164"/>
      <c r="O607" s="320"/>
      <c r="P607" s="164"/>
      <c r="Q607" s="338"/>
      <c r="R607" s="338"/>
      <c r="S607" s="20"/>
      <c r="T607" s="20"/>
      <c r="U607" s="20"/>
      <c r="V607" s="20"/>
    </row>
    <row r="608">
      <c r="A608" s="320"/>
      <c r="B608" s="164"/>
      <c r="C608" s="320"/>
      <c r="D608" s="164"/>
      <c r="E608" s="320"/>
      <c r="F608" s="164"/>
      <c r="G608" s="320"/>
      <c r="H608" s="164"/>
      <c r="I608" s="327"/>
      <c r="J608" s="117"/>
      <c r="K608" s="327"/>
      <c r="L608" s="117"/>
      <c r="M608" s="320"/>
      <c r="N608" s="164"/>
      <c r="O608" s="320"/>
      <c r="P608" s="164"/>
      <c r="Q608" s="338"/>
      <c r="R608" s="338"/>
      <c r="S608" s="20"/>
      <c r="T608" s="20"/>
      <c r="U608" s="20"/>
      <c r="V608" s="20"/>
    </row>
    <row r="609">
      <c r="A609" s="320"/>
      <c r="B609" s="164"/>
      <c r="C609" s="320"/>
      <c r="D609" s="164"/>
      <c r="E609" s="320"/>
      <c r="F609" s="164"/>
      <c r="G609" s="320"/>
      <c r="H609" s="164"/>
      <c r="I609" s="327"/>
      <c r="J609" s="117"/>
      <c r="K609" s="327"/>
      <c r="L609" s="117"/>
      <c r="M609" s="320"/>
      <c r="N609" s="164"/>
      <c r="O609" s="320"/>
      <c r="P609" s="164"/>
      <c r="Q609" s="338"/>
      <c r="R609" s="338"/>
      <c r="S609" s="20"/>
      <c r="T609" s="20"/>
      <c r="U609" s="20"/>
      <c r="V609" s="20"/>
    </row>
    <row r="610">
      <c r="A610" s="320"/>
      <c r="B610" s="164"/>
      <c r="C610" s="320"/>
      <c r="D610" s="164"/>
      <c r="E610" s="320"/>
      <c r="F610" s="164"/>
      <c r="G610" s="320"/>
      <c r="H610" s="164"/>
      <c r="I610" s="327"/>
      <c r="J610" s="117"/>
      <c r="K610" s="327"/>
      <c r="L610" s="117"/>
      <c r="M610" s="320"/>
      <c r="N610" s="164"/>
      <c r="O610" s="320"/>
      <c r="P610" s="164"/>
      <c r="Q610" s="338"/>
      <c r="R610" s="338"/>
      <c r="S610" s="20"/>
      <c r="T610" s="20"/>
      <c r="U610" s="20"/>
      <c r="V610" s="20"/>
    </row>
    <row r="611">
      <c r="A611" s="320"/>
      <c r="B611" s="164"/>
      <c r="C611" s="320"/>
      <c r="D611" s="164"/>
      <c r="E611" s="320"/>
      <c r="F611" s="164"/>
      <c r="G611" s="320"/>
      <c r="H611" s="164"/>
      <c r="I611" s="327"/>
      <c r="J611" s="117"/>
      <c r="K611" s="327"/>
      <c r="L611" s="117"/>
      <c r="M611" s="320"/>
      <c r="N611" s="164"/>
      <c r="O611" s="320"/>
      <c r="P611" s="164"/>
      <c r="Q611" s="338"/>
      <c r="R611" s="338"/>
      <c r="S611" s="20"/>
      <c r="T611" s="20"/>
      <c r="U611" s="20"/>
      <c r="V611" s="20"/>
    </row>
    <row r="612">
      <c r="A612" s="320"/>
      <c r="B612" s="164"/>
      <c r="C612" s="320"/>
      <c r="D612" s="164"/>
      <c r="E612" s="320"/>
      <c r="F612" s="164"/>
      <c r="G612" s="320"/>
      <c r="H612" s="164"/>
      <c r="I612" s="327"/>
      <c r="J612" s="117"/>
      <c r="K612" s="327"/>
      <c r="L612" s="117"/>
      <c r="M612" s="320"/>
      <c r="N612" s="164"/>
      <c r="O612" s="320"/>
      <c r="P612" s="164"/>
      <c r="Q612" s="338"/>
      <c r="R612" s="338"/>
      <c r="S612" s="20"/>
      <c r="T612" s="20"/>
      <c r="U612" s="20"/>
      <c r="V612" s="20"/>
    </row>
    <row r="613">
      <c r="A613" s="320"/>
      <c r="B613" s="164"/>
      <c r="C613" s="320"/>
      <c r="D613" s="164"/>
      <c r="E613" s="320"/>
      <c r="F613" s="164"/>
      <c r="G613" s="320"/>
      <c r="H613" s="164"/>
      <c r="I613" s="327"/>
      <c r="J613" s="117"/>
      <c r="K613" s="327"/>
      <c r="L613" s="117"/>
      <c r="M613" s="320"/>
      <c r="N613" s="164"/>
      <c r="O613" s="320"/>
      <c r="P613" s="164"/>
      <c r="Q613" s="338"/>
      <c r="R613" s="338"/>
      <c r="S613" s="20"/>
      <c r="T613" s="20"/>
      <c r="U613" s="20"/>
      <c r="V613" s="20"/>
    </row>
    <row r="614">
      <c r="A614" s="320"/>
      <c r="B614" s="164"/>
      <c r="C614" s="320"/>
      <c r="D614" s="164"/>
      <c r="E614" s="320"/>
      <c r="F614" s="164"/>
      <c r="G614" s="320"/>
      <c r="H614" s="164"/>
      <c r="I614" s="327"/>
      <c r="J614" s="117"/>
      <c r="K614" s="327"/>
      <c r="L614" s="117"/>
      <c r="M614" s="320"/>
      <c r="N614" s="164"/>
      <c r="O614" s="320"/>
      <c r="P614" s="164"/>
      <c r="Q614" s="338"/>
      <c r="R614" s="338"/>
      <c r="S614" s="20"/>
      <c r="T614" s="20"/>
      <c r="U614" s="20"/>
      <c r="V614" s="20"/>
    </row>
    <row r="615">
      <c r="A615" s="320"/>
      <c r="B615" s="164"/>
      <c r="C615" s="320"/>
      <c r="D615" s="164"/>
      <c r="E615" s="320"/>
      <c r="F615" s="164"/>
      <c r="G615" s="320"/>
      <c r="H615" s="164"/>
      <c r="I615" s="327"/>
      <c r="J615" s="117"/>
      <c r="K615" s="327"/>
      <c r="L615" s="117"/>
      <c r="M615" s="320"/>
      <c r="N615" s="164"/>
      <c r="O615" s="320"/>
      <c r="P615" s="164"/>
      <c r="Q615" s="338"/>
      <c r="R615" s="338"/>
      <c r="S615" s="20"/>
      <c r="T615" s="20"/>
      <c r="U615" s="20"/>
      <c r="V615" s="20"/>
    </row>
    <row r="616">
      <c r="A616" s="320"/>
      <c r="B616" s="164"/>
      <c r="C616" s="320"/>
      <c r="D616" s="164"/>
      <c r="E616" s="320"/>
      <c r="F616" s="164"/>
      <c r="G616" s="320"/>
      <c r="H616" s="164"/>
      <c r="I616" s="327"/>
      <c r="J616" s="117"/>
      <c r="K616" s="327"/>
      <c r="L616" s="117"/>
      <c r="M616" s="320"/>
      <c r="N616" s="164"/>
      <c r="O616" s="320"/>
      <c r="P616" s="164"/>
      <c r="Q616" s="338"/>
      <c r="R616" s="338"/>
      <c r="S616" s="20"/>
      <c r="T616" s="20"/>
      <c r="U616" s="20"/>
      <c r="V616" s="20"/>
    </row>
    <row r="617">
      <c r="A617" s="320"/>
      <c r="B617" s="164"/>
      <c r="C617" s="320"/>
      <c r="D617" s="164"/>
      <c r="E617" s="320"/>
      <c r="F617" s="164"/>
      <c r="G617" s="320"/>
      <c r="H617" s="164"/>
      <c r="I617" s="327"/>
      <c r="J617" s="117"/>
      <c r="K617" s="327"/>
      <c r="L617" s="117"/>
      <c r="M617" s="320"/>
      <c r="N617" s="164"/>
      <c r="O617" s="320"/>
      <c r="P617" s="164"/>
      <c r="Q617" s="338"/>
      <c r="R617" s="338"/>
      <c r="S617" s="20"/>
      <c r="T617" s="20"/>
      <c r="U617" s="20"/>
      <c r="V617" s="20"/>
    </row>
    <row r="618">
      <c r="A618" s="320"/>
      <c r="B618" s="164"/>
      <c r="C618" s="320"/>
      <c r="D618" s="164"/>
      <c r="E618" s="320"/>
      <c r="F618" s="164"/>
      <c r="G618" s="320"/>
      <c r="H618" s="164"/>
      <c r="I618" s="327"/>
      <c r="J618" s="117"/>
      <c r="K618" s="327"/>
      <c r="L618" s="117"/>
      <c r="M618" s="320"/>
      <c r="N618" s="164"/>
      <c r="O618" s="320"/>
      <c r="P618" s="164"/>
      <c r="Q618" s="338"/>
      <c r="R618" s="338"/>
      <c r="S618" s="20"/>
      <c r="T618" s="20"/>
      <c r="U618" s="20"/>
      <c r="V618" s="20"/>
    </row>
    <row r="619">
      <c r="A619" s="320"/>
      <c r="B619" s="164"/>
      <c r="C619" s="320"/>
      <c r="D619" s="164"/>
      <c r="E619" s="320"/>
      <c r="F619" s="164"/>
      <c r="G619" s="320"/>
      <c r="H619" s="164"/>
      <c r="I619" s="327"/>
      <c r="J619" s="117"/>
      <c r="K619" s="327"/>
      <c r="L619" s="117"/>
      <c r="M619" s="320"/>
      <c r="N619" s="164"/>
      <c r="O619" s="320"/>
      <c r="P619" s="164"/>
      <c r="Q619" s="338"/>
      <c r="R619" s="338"/>
      <c r="S619" s="20"/>
      <c r="T619" s="20"/>
      <c r="U619" s="20"/>
      <c r="V619" s="20"/>
    </row>
    <row r="620">
      <c r="A620" s="320"/>
      <c r="B620" s="164"/>
      <c r="C620" s="320"/>
      <c r="D620" s="164"/>
      <c r="E620" s="320"/>
      <c r="F620" s="164"/>
      <c r="G620" s="320"/>
      <c r="H620" s="164"/>
      <c r="I620" s="327"/>
      <c r="J620" s="117"/>
      <c r="K620" s="327"/>
      <c r="L620" s="117"/>
      <c r="M620" s="320"/>
      <c r="N620" s="164"/>
      <c r="O620" s="320"/>
      <c r="P620" s="164"/>
      <c r="Q620" s="338"/>
      <c r="R620" s="338"/>
      <c r="S620" s="20"/>
      <c r="T620" s="20"/>
      <c r="U620" s="20"/>
      <c r="V620" s="20"/>
    </row>
    <row r="621">
      <c r="A621" s="320"/>
      <c r="B621" s="164"/>
      <c r="C621" s="320"/>
      <c r="D621" s="164"/>
      <c r="E621" s="320"/>
      <c r="F621" s="164"/>
      <c r="G621" s="320"/>
      <c r="H621" s="164"/>
      <c r="I621" s="327"/>
      <c r="J621" s="117"/>
      <c r="K621" s="327"/>
      <c r="L621" s="117"/>
      <c r="M621" s="320"/>
      <c r="N621" s="164"/>
      <c r="O621" s="320"/>
      <c r="P621" s="164"/>
      <c r="Q621" s="338"/>
      <c r="R621" s="338"/>
      <c r="S621" s="20"/>
      <c r="T621" s="20"/>
      <c r="U621" s="20"/>
      <c r="V621" s="20"/>
    </row>
    <row r="622">
      <c r="A622" s="320"/>
      <c r="B622" s="164"/>
      <c r="C622" s="320"/>
      <c r="D622" s="164"/>
      <c r="E622" s="320"/>
      <c r="F622" s="164"/>
      <c r="G622" s="320"/>
      <c r="H622" s="164"/>
      <c r="I622" s="327"/>
      <c r="J622" s="117"/>
      <c r="K622" s="327"/>
      <c r="L622" s="117"/>
      <c r="M622" s="320"/>
      <c r="N622" s="164"/>
      <c r="O622" s="320"/>
      <c r="P622" s="164"/>
      <c r="Q622" s="338"/>
      <c r="R622" s="338"/>
      <c r="S622" s="20"/>
      <c r="T622" s="20"/>
      <c r="U622" s="20"/>
      <c r="V622" s="20"/>
    </row>
    <row r="623">
      <c r="A623" s="320"/>
      <c r="B623" s="164"/>
      <c r="C623" s="320"/>
      <c r="D623" s="164"/>
      <c r="E623" s="320"/>
      <c r="F623" s="164"/>
      <c r="G623" s="320"/>
      <c r="H623" s="164"/>
      <c r="I623" s="327"/>
      <c r="J623" s="117"/>
      <c r="K623" s="327"/>
      <c r="L623" s="117"/>
      <c r="M623" s="320"/>
      <c r="N623" s="164"/>
      <c r="O623" s="320"/>
      <c r="P623" s="164"/>
      <c r="Q623" s="338"/>
      <c r="R623" s="338"/>
      <c r="S623" s="20"/>
      <c r="T623" s="20"/>
      <c r="U623" s="20"/>
      <c r="V623" s="20"/>
    </row>
    <row r="624">
      <c r="A624" s="320"/>
      <c r="B624" s="164"/>
      <c r="C624" s="320"/>
      <c r="D624" s="164"/>
      <c r="E624" s="320"/>
      <c r="F624" s="164"/>
      <c r="G624" s="320"/>
      <c r="H624" s="164"/>
      <c r="I624" s="327"/>
      <c r="J624" s="117"/>
      <c r="K624" s="327"/>
      <c r="L624" s="117"/>
      <c r="M624" s="320"/>
      <c r="N624" s="164"/>
      <c r="O624" s="320"/>
      <c r="P624" s="164"/>
      <c r="Q624" s="338"/>
      <c r="R624" s="338"/>
      <c r="S624" s="20"/>
      <c r="T624" s="20"/>
      <c r="U624" s="20"/>
      <c r="V624" s="20"/>
    </row>
    <row r="625">
      <c r="A625" s="320"/>
      <c r="B625" s="164"/>
      <c r="C625" s="320"/>
      <c r="D625" s="164"/>
      <c r="E625" s="320"/>
      <c r="F625" s="164"/>
      <c r="G625" s="320"/>
      <c r="H625" s="164"/>
      <c r="I625" s="327"/>
      <c r="J625" s="117"/>
      <c r="K625" s="327"/>
      <c r="L625" s="117"/>
      <c r="M625" s="320"/>
      <c r="N625" s="164"/>
      <c r="O625" s="320"/>
      <c r="P625" s="164"/>
      <c r="Q625" s="338"/>
      <c r="R625" s="338"/>
      <c r="S625" s="20"/>
      <c r="T625" s="20"/>
      <c r="U625" s="20"/>
      <c r="V625" s="20"/>
    </row>
    <row r="626">
      <c r="A626" s="320"/>
      <c r="B626" s="164"/>
      <c r="C626" s="320"/>
      <c r="D626" s="164"/>
      <c r="E626" s="320"/>
      <c r="F626" s="164"/>
      <c r="G626" s="320"/>
      <c r="H626" s="164"/>
      <c r="I626" s="327"/>
      <c r="J626" s="117"/>
      <c r="K626" s="327"/>
      <c r="L626" s="117"/>
      <c r="M626" s="320"/>
      <c r="N626" s="164"/>
      <c r="O626" s="320"/>
      <c r="P626" s="164"/>
      <c r="Q626" s="338"/>
      <c r="R626" s="338"/>
      <c r="S626" s="20"/>
      <c r="T626" s="20"/>
      <c r="U626" s="20"/>
      <c r="V626" s="20"/>
    </row>
    <row r="627">
      <c r="A627" s="320"/>
      <c r="B627" s="164"/>
      <c r="C627" s="320"/>
      <c r="D627" s="164"/>
      <c r="E627" s="320"/>
      <c r="F627" s="164"/>
      <c r="G627" s="320"/>
      <c r="H627" s="164"/>
      <c r="I627" s="327"/>
      <c r="J627" s="117"/>
      <c r="K627" s="327"/>
      <c r="L627" s="117"/>
      <c r="M627" s="320"/>
      <c r="N627" s="164"/>
      <c r="O627" s="320"/>
      <c r="P627" s="164"/>
      <c r="Q627" s="338"/>
      <c r="R627" s="338"/>
      <c r="S627" s="20"/>
      <c r="T627" s="20"/>
      <c r="U627" s="20"/>
      <c r="V627" s="20"/>
    </row>
    <row r="628">
      <c r="A628" s="320"/>
      <c r="B628" s="164"/>
      <c r="C628" s="320"/>
      <c r="D628" s="164"/>
      <c r="E628" s="320"/>
      <c r="F628" s="164"/>
      <c r="G628" s="320"/>
      <c r="H628" s="164"/>
      <c r="I628" s="327"/>
      <c r="J628" s="117"/>
      <c r="K628" s="327"/>
      <c r="L628" s="117"/>
      <c r="M628" s="320"/>
      <c r="N628" s="164"/>
      <c r="O628" s="320"/>
      <c r="P628" s="164"/>
      <c r="Q628" s="338"/>
      <c r="R628" s="338"/>
      <c r="S628" s="20"/>
      <c r="T628" s="20"/>
      <c r="U628" s="20"/>
      <c r="V628" s="20"/>
    </row>
    <row r="629">
      <c r="A629" s="320"/>
      <c r="B629" s="164"/>
      <c r="C629" s="320"/>
      <c r="D629" s="164"/>
      <c r="E629" s="320"/>
      <c r="F629" s="164"/>
      <c r="G629" s="320"/>
      <c r="H629" s="164"/>
      <c r="I629" s="327"/>
      <c r="J629" s="117"/>
      <c r="K629" s="327"/>
      <c r="L629" s="117"/>
      <c r="M629" s="320"/>
      <c r="N629" s="164"/>
      <c r="O629" s="320"/>
      <c r="P629" s="164"/>
      <c r="Q629" s="338"/>
      <c r="R629" s="338"/>
      <c r="S629" s="20"/>
      <c r="T629" s="20"/>
      <c r="U629" s="20"/>
      <c r="V629" s="20"/>
    </row>
    <row r="630">
      <c r="A630" s="320"/>
      <c r="B630" s="164"/>
      <c r="C630" s="320"/>
      <c r="D630" s="164"/>
      <c r="E630" s="320"/>
      <c r="F630" s="164"/>
      <c r="G630" s="320"/>
      <c r="H630" s="164"/>
      <c r="I630" s="327"/>
      <c r="J630" s="117"/>
      <c r="K630" s="327"/>
      <c r="L630" s="117"/>
      <c r="M630" s="320"/>
      <c r="N630" s="164"/>
      <c r="O630" s="320"/>
      <c r="P630" s="164"/>
      <c r="Q630" s="338"/>
      <c r="R630" s="338"/>
      <c r="S630" s="20"/>
      <c r="T630" s="20"/>
      <c r="U630" s="20"/>
      <c r="V630" s="20"/>
    </row>
    <row r="631">
      <c r="A631" s="320"/>
      <c r="B631" s="164"/>
      <c r="C631" s="320"/>
      <c r="D631" s="164"/>
      <c r="E631" s="320"/>
      <c r="F631" s="164"/>
      <c r="G631" s="320"/>
      <c r="H631" s="164"/>
      <c r="I631" s="327"/>
      <c r="J631" s="117"/>
      <c r="K631" s="327"/>
      <c r="L631" s="117"/>
      <c r="M631" s="320"/>
      <c r="N631" s="164"/>
      <c r="O631" s="320"/>
      <c r="P631" s="164"/>
      <c r="Q631" s="338"/>
      <c r="R631" s="338"/>
      <c r="S631" s="20"/>
      <c r="T631" s="20"/>
      <c r="U631" s="20"/>
      <c r="V631" s="20"/>
    </row>
    <row r="632">
      <c r="A632" s="320"/>
      <c r="B632" s="164"/>
      <c r="C632" s="320"/>
      <c r="D632" s="164"/>
      <c r="E632" s="320"/>
      <c r="F632" s="164"/>
      <c r="G632" s="320"/>
      <c r="H632" s="164"/>
      <c r="I632" s="327"/>
      <c r="J632" s="117"/>
      <c r="K632" s="327"/>
      <c r="L632" s="117"/>
      <c r="M632" s="320"/>
      <c r="N632" s="164"/>
      <c r="O632" s="320"/>
      <c r="P632" s="164"/>
      <c r="Q632" s="338"/>
      <c r="R632" s="338"/>
      <c r="S632" s="20"/>
      <c r="T632" s="20"/>
      <c r="U632" s="20"/>
      <c r="V632" s="20"/>
    </row>
    <row r="633">
      <c r="A633" s="320"/>
      <c r="B633" s="164"/>
      <c r="C633" s="320"/>
      <c r="D633" s="164"/>
      <c r="E633" s="320"/>
      <c r="F633" s="164"/>
      <c r="G633" s="320"/>
      <c r="H633" s="164"/>
      <c r="I633" s="327"/>
      <c r="J633" s="117"/>
      <c r="K633" s="327"/>
      <c r="L633" s="117"/>
      <c r="M633" s="320"/>
      <c r="N633" s="164"/>
      <c r="O633" s="320"/>
      <c r="P633" s="164"/>
      <c r="Q633" s="338"/>
      <c r="R633" s="338"/>
      <c r="S633" s="20"/>
      <c r="T633" s="20"/>
      <c r="U633" s="20"/>
      <c r="V633" s="20"/>
    </row>
    <row r="634">
      <c r="A634" s="320"/>
      <c r="B634" s="164"/>
      <c r="C634" s="320"/>
      <c r="D634" s="164"/>
      <c r="E634" s="320"/>
      <c r="F634" s="164"/>
      <c r="G634" s="320"/>
      <c r="H634" s="164"/>
      <c r="I634" s="327"/>
      <c r="J634" s="117"/>
      <c r="K634" s="327"/>
      <c r="L634" s="117"/>
      <c r="M634" s="320"/>
      <c r="N634" s="164"/>
      <c r="O634" s="320"/>
      <c r="P634" s="164"/>
      <c r="Q634" s="338"/>
      <c r="R634" s="338"/>
      <c r="S634" s="20"/>
      <c r="T634" s="20"/>
      <c r="U634" s="20"/>
      <c r="V634" s="20"/>
    </row>
    <row r="635">
      <c r="A635" s="320"/>
      <c r="B635" s="164"/>
      <c r="C635" s="320"/>
      <c r="D635" s="164"/>
      <c r="E635" s="320"/>
      <c r="F635" s="164"/>
      <c r="G635" s="320"/>
      <c r="H635" s="164"/>
      <c r="I635" s="327"/>
      <c r="J635" s="117"/>
      <c r="K635" s="327"/>
      <c r="L635" s="117"/>
      <c r="M635" s="320"/>
      <c r="N635" s="164"/>
      <c r="O635" s="320"/>
      <c r="P635" s="164"/>
      <c r="Q635" s="338"/>
      <c r="R635" s="338"/>
      <c r="S635" s="20"/>
      <c r="T635" s="20"/>
      <c r="U635" s="20"/>
      <c r="V635" s="20"/>
    </row>
    <row r="636">
      <c r="A636" s="320"/>
      <c r="B636" s="164"/>
      <c r="C636" s="320"/>
      <c r="D636" s="164"/>
      <c r="E636" s="320"/>
      <c r="F636" s="164"/>
      <c r="G636" s="320"/>
      <c r="H636" s="164"/>
      <c r="I636" s="327"/>
      <c r="J636" s="117"/>
      <c r="K636" s="327"/>
      <c r="L636" s="117"/>
      <c r="M636" s="320"/>
      <c r="N636" s="164"/>
      <c r="O636" s="320"/>
      <c r="P636" s="164"/>
      <c r="Q636" s="338"/>
      <c r="R636" s="338"/>
      <c r="S636" s="20"/>
      <c r="T636" s="20"/>
      <c r="U636" s="20"/>
      <c r="V636" s="20"/>
    </row>
    <row r="637">
      <c r="A637" s="320"/>
      <c r="B637" s="164"/>
      <c r="C637" s="320"/>
      <c r="D637" s="164"/>
      <c r="E637" s="320"/>
      <c r="F637" s="164"/>
      <c r="G637" s="320"/>
      <c r="H637" s="164"/>
      <c r="I637" s="327"/>
      <c r="J637" s="117"/>
      <c r="K637" s="327"/>
      <c r="L637" s="117"/>
      <c r="M637" s="320"/>
      <c r="N637" s="164"/>
      <c r="O637" s="320"/>
      <c r="P637" s="164"/>
      <c r="Q637" s="338"/>
      <c r="R637" s="338"/>
      <c r="S637" s="20"/>
      <c r="T637" s="20"/>
      <c r="U637" s="20"/>
      <c r="V637" s="20"/>
    </row>
    <row r="638">
      <c r="A638" s="320"/>
      <c r="B638" s="164"/>
      <c r="C638" s="320"/>
      <c r="D638" s="164"/>
      <c r="E638" s="320"/>
      <c r="F638" s="164"/>
      <c r="G638" s="320"/>
      <c r="H638" s="164"/>
      <c r="I638" s="327"/>
      <c r="J638" s="117"/>
      <c r="K638" s="327"/>
      <c r="L638" s="117"/>
      <c r="M638" s="320"/>
      <c r="N638" s="164"/>
      <c r="O638" s="320"/>
      <c r="P638" s="164"/>
      <c r="Q638" s="338"/>
      <c r="R638" s="338"/>
      <c r="S638" s="20"/>
      <c r="T638" s="20"/>
      <c r="U638" s="20"/>
      <c r="V638" s="20"/>
    </row>
    <row r="639">
      <c r="A639" s="320"/>
      <c r="B639" s="164"/>
      <c r="C639" s="320"/>
      <c r="D639" s="164"/>
      <c r="E639" s="320"/>
      <c r="F639" s="164"/>
      <c r="G639" s="320"/>
      <c r="H639" s="164"/>
      <c r="I639" s="327"/>
      <c r="J639" s="117"/>
      <c r="K639" s="327"/>
      <c r="L639" s="117"/>
      <c r="M639" s="320"/>
      <c r="N639" s="164"/>
      <c r="O639" s="320"/>
      <c r="P639" s="164"/>
      <c r="Q639" s="338"/>
      <c r="R639" s="338"/>
      <c r="S639" s="20"/>
      <c r="T639" s="20"/>
      <c r="U639" s="20"/>
      <c r="V639" s="20"/>
    </row>
    <row r="640">
      <c r="A640" s="320"/>
      <c r="B640" s="164"/>
      <c r="C640" s="320"/>
      <c r="D640" s="164"/>
      <c r="E640" s="320"/>
      <c r="F640" s="164"/>
      <c r="G640" s="320"/>
      <c r="H640" s="164"/>
      <c r="I640" s="327"/>
      <c r="J640" s="117"/>
      <c r="K640" s="327"/>
      <c r="L640" s="117"/>
      <c r="M640" s="320"/>
      <c r="N640" s="164"/>
      <c r="O640" s="320"/>
      <c r="P640" s="164"/>
      <c r="Q640" s="338"/>
      <c r="R640" s="338"/>
      <c r="S640" s="20"/>
      <c r="T640" s="20"/>
      <c r="U640" s="20"/>
      <c r="V640" s="20"/>
    </row>
    <row r="641">
      <c r="A641" s="320"/>
      <c r="B641" s="164"/>
      <c r="C641" s="320"/>
      <c r="D641" s="164"/>
      <c r="E641" s="320"/>
      <c r="F641" s="164"/>
      <c r="G641" s="320"/>
      <c r="H641" s="164"/>
      <c r="I641" s="327"/>
      <c r="J641" s="117"/>
      <c r="K641" s="327"/>
      <c r="L641" s="117"/>
      <c r="M641" s="320"/>
      <c r="N641" s="164"/>
      <c r="O641" s="320"/>
      <c r="P641" s="164"/>
      <c r="Q641" s="338"/>
      <c r="R641" s="338"/>
      <c r="S641" s="20"/>
      <c r="T641" s="20"/>
      <c r="U641" s="20"/>
      <c r="V641" s="20"/>
    </row>
    <row r="642">
      <c r="A642" s="320"/>
      <c r="B642" s="164"/>
      <c r="C642" s="320"/>
      <c r="D642" s="164"/>
      <c r="E642" s="320"/>
      <c r="F642" s="164"/>
      <c r="G642" s="320"/>
      <c r="H642" s="164"/>
      <c r="I642" s="327"/>
      <c r="J642" s="117"/>
      <c r="K642" s="327"/>
      <c r="L642" s="117"/>
      <c r="M642" s="320"/>
      <c r="N642" s="164"/>
      <c r="O642" s="320"/>
      <c r="P642" s="164"/>
      <c r="Q642" s="338"/>
      <c r="R642" s="338"/>
      <c r="S642" s="20"/>
      <c r="T642" s="20"/>
      <c r="U642" s="20"/>
      <c r="V642" s="20"/>
    </row>
    <row r="643">
      <c r="A643" s="320"/>
      <c r="B643" s="164"/>
      <c r="C643" s="320"/>
      <c r="D643" s="164"/>
      <c r="E643" s="320"/>
      <c r="F643" s="164"/>
      <c r="G643" s="320"/>
      <c r="H643" s="164"/>
      <c r="I643" s="327"/>
      <c r="J643" s="117"/>
      <c r="K643" s="327"/>
      <c r="L643" s="117"/>
      <c r="M643" s="320"/>
      <c r="N643" s="164"/>
      <c r="O643" s="320"/>
      <c r="P643" s="164"/>
      <c r="Q643" s="338"/>
      <c r="R643" s="338"/>
      <c r="S643" s="20"/>
      <c r="T643" s="20"/>
      <c r="U643" s="20"/>
      <c r="V643" s="20"/>
    </row>
    <row r="644">
      <c r="A644" s="320"/>
      <c r="B644" s="164"/>
      <c r="C644" s="320"/>
      <c r="D644" s="164"/>
      <c r="E644" s="320"/>
      <c r="F644" s="164"/>
      <c r="G644" s="320"/>
      <c r="H644" s="164"/>
      <c r="I644" s="327"/>
      <c r="J644" s="117"/>
      <c r="K644" s="327"/>
      <c r="L644" s="117"/>
      <c r="M644" s="320"/>
      <c r="N644" s="164"/>
      <c r="O644" s="320"/>
      <c r="P644" s="164"/>
      <c r="Q644" s="338"/>
      <c r="R644" s="338"/>
      <c r="S644" s="20"/>
      <c r="T644" s="20"/>
      <c r="U644" s="20"/>
      <c r="V644" s="20"/>
    </row>
    <row r="645">
      <c r="A645" s="320"/>
      <c r="B645" s="164"/>
      <c r="C645" s="320"/>
      <c r="D645" s="164"/>
      <c r="E645" s="320"/>
      <c r="F645" s="164"/>
      <c r="G645" s="320"/>
      <c r="H645" s="164"/>
      <c r="I645" s="327"/>
      <c r="J645" s="117"/>
      <c r="K645" s="327"/>
      <c r="L645" s="117"/>
      <c r="M645" s="320"/>
      <c r="N645" s="164"/>
      <c r="O645" s="320"/>
      <c r="P645" s="164"/>
      <c r="Q645" s="338"/>
      <c r="R645" s="338"/>
      <c r="S645" s="20"/>
      <c r="T645" s="20"/>
      <c r="U645" s="20"/>
      <c r="V645" s="20"/>
    </row>
    <row r="646">
      <c r="A646" s="320"/>
      <c r="B646" s="164"/>
      <c r="C646" s="320"/>
      <c r="D646" s="164"/>
      <c r="E646" s="320"/>
      <c r="F646" s="164"/>
      <c r="G646" s="320"/>
      <c r="H646" s="164"/>
      <c r="I646" s="327"/>
      <c r="J646" s="117"/>
      <c r="K646" s="327"/>
      <c r="L646" s="117"/>
      <c r="M646" s="320"/>
      <c r="N646" s="164"/>
      <c r="O646" s="320"/>
      <c r="P646" s="164"/>
      <c r="Q646" s="338"/>
      <c r="R646" s="338"/>
      <c r="S646" s="20"/>
      <c r="T646" s="20"/>
      <c r="U646" s="20"/>
      <c r="V646" s="20"/>
    </row>
    <row r="647">
      <c r="A647" s="320"/>
      <c r="B647" s="164"/>
      <c r="C647" s="320"/>
      <c r="D647" s="164"/>
      <c r="E647" s="320"/>
      <c r="F647" s="164"/>
      <c r="G647" s="320"/>
      <c r="H647" s="164"/>
      <c r="I647" s="327"/>
      <c r="J647" s="117"/>
      <c r="K647" s="327"/>
      <c r="L647" s="117"/>
      <c r="M647" s="320"/>
      <c r="N647" s="164"/>
      <c r="O647" s="320"/>
      <c r="P647" s="164"/>
      <c r="Q647" s="338"/>
      <c r="R647" s="338"/>
      <c r="S647" s="20"/>
      <c r="T647" s="20"/>
      <c r="U647" s="20"/>
      <c r="V647" s="20"/>
    </row>
    <row r="648">
      <c r="A648" s="320"/>
      <c r="B648" s="164"/>
      <c r="C648" s="320"/>
      <c r="D648" s="164"/>
      <c r="E648" s="320"/>
      <c r="F648" s="164"/>
      <c r="G648" s="320"/>
      <c r="H648" s="164"/>
      <c r="I648" s="327"/>
      <c r="J648" s="117"/>
      <c r="K648" s="327"/>
      <c r="L648" s="117"/>
      <c r="M648" s="320"/>
      <c r="N648" s="164"/>
      <c r="O648" s="320"/>
      <c r="P648" s="164"/>
      <c r="Q648" s="338"/>
      <c r="R648" s="338"/>
      <c r="S648" s="20"/>
      <c r="T648" s="20"/>
      <c r="U648" s="20"/>
      <c r="V648" s="20"/>
    </row>
    <row r="649">
      <c r="A649" s="320"/>
      <c r="B649" s="164"/>
      <c r="C649" s="320"/>
      <c r="D649" s="164"/>
      <c r="E649" s="320"/>
      <c r="F649" s="164"/>
      <c r="G649" s="320"/>
      <c r="H649" s="164"/>
      <c r="I649" s="327"/>
      <c r="J649" s="117"/>
      <c r="K649" s="327"/>
      <c r="L649" s="117"/>
      <c r="M649" s="320"/>
      <c r="N649" s="164"/>
      <c r="O649" s="320"/>
      <c r="P649" s="164"/>
      <c r="Q649" s="338"/>
      <c r="R649" s="338"/>
      <c r="S649" s="20"/>
      <c r="T649" s="20"/>
      <c r="U649" s="20"/>
      <c r="V649" s="20"/>
    </row>
    <row r="650">
      <c r="A650" s="320"/>
      <c r="B650" s="164"/>
      <c r="C650" s="320"/>
      <c r="D650" s="164"/>
      <c r="E650" s="320"/>
      <c r="F650" s="164"/>
      <c r="G650" s="320"/>
      <c r="H650" s="164"/>
      <c r="I650" s="327"/>
      <c r="J650" s="117"/>
      <c r="K650" s="327"/>
      <c r="L650" s="117"/>
      <c r="M650" s="320"/>
      <c r="N650" s="164"/>
      <c r="O650" s="320"/>
      <c r="P650" s="164"/>
      <c r="Q650" s="338"/>
      <c r="R650" s="338"/>
      <c r="S650" s="20"/>
      <c r="T650" s="20"/>
      <c r="U650" s="20"/>
      <c r="V650" s="20"/>
    </row>
    <row r="651">
      <c r="A651" s="320"/>
      <c r="B651" s="164"/>
      <c r="C651" s="320"/>
      <c r="D651" s="164"/>
      <c r="E651" s="320"/>
      <c r="F651" s="164"/>
      <c r="G651" s="320"/>
      <c r="H651" s="164"/>
      <c r="I651" s="327"/>
      <c r="J651" s="117"/>
      <c r="K651" s="327"/>
      <c r="L651" s="117"/>
      <c r="M651" s="320"/>
      <c r="N651" s="164"/>
      <c r="O651" s="320"/>
      <c r="P651" s="164"/>
      <c r="Q651" s="338"/>
      <c r="R651" s="338"/>
      <c r="S651" s="20"/>
      <c r="T651" s="20"/>
      <c r="U651" s="20"/>
      <c r="V651" s="20"/>
    </row>
    <row r="652">
      <c r="A652" s="320"/>
      <c r="B652" s="164"/>
      <c r="C652" s="320"/>
      <c r="D652" s="164"/>
      <c r="E652" s="320"/>
      <c r="F652" s="164"/>
      <c r="G652" s="320"/>
      <c r="H652" s="164"/>
      <c r="I652" s="327"/>
      <c r="J652" s="117"/>
      <c r="K652" s="327"/>
      <c r="L652" s="117"/>
      <c r="M652" s="320"/>
      <c r="N652" s="164"/>
      <c r="O652" s="320"/>
      <c r="P652" s="164"/>
      <c r="Q652" s="338"/>
      <c r="R652" s="338"/>
      <c r="S652" s="20"/>
      <c r="T652" s="20"/>
      <c r="U652" s="20"/>
      <c r="V652" s="20"/>
    </row>
    <row r="653">
      <c r="A653" s="320"/>
      <c r="B653" s="164"/>
      <c r="C653" s="320"/>
      <c r="D653" s="164"/>
      <c r="E653" s="320"/>
      <c r="F653" s="164"/>
      <c r="G653" s="320"/>
      <c r="H653" s="164"/>
      <c r="I653" s="327"/>
      <c r="J653" s="117"/>
      <c r="K653" s="327"/>
      <c r="L653" s="117"/>
      <c r="M653" s="320"/>
      <c r="N653" s="164"/>
      <c r="O653" s="320"/>
      <c r="P653" s="164"/>
      <c r="Q653" s="338"/>
      <c r="R653" s="338"/>
      <c r="S653" s="20"/>
      <c r="T653" s="20"/>
      <c r="U653" s="20"/>
      <c r="V653" s="20"/>
    </row>
    <row r="654">
      <c r="A654" s="320"/>
      <c r="B654" s="164"/>
      <c r="C654" s="320"/>
      <c r="D654" s="164"/>
      <c r="E654" s="320"/>
      <c r="F654" s="164"/>
      <c r="G654" s="320"/>
      <c r="H654" s="164"/>
      <c r="I654" s="327"/>
      <c r="J654" s="117"/>
      <c r="K654" s="327"/>
      <c r="L654" s="117"/>
      <c r="M654" s="320"/>
      <c r="N654" s="164"/>
      <c r="O654" s="320"/>
      <c r="P654" s="164"/>
      <c r="Q654" s="338"/>
      <c r="R654" s="338"/>
      <c r="S654" s="20"/>
      <c r="T654" s="20"/>
      <c r="U654" s="20"/>
      <c r="V654" s="20"/>
    </row>
    <row r="655">
      <c r="A655" s="320"/>
      <c r="B655" s="164"/>
      <c r="C655" s="320"/>
      <c r="D655" s="164"/>
      <c r="E655" s="320"/>
      <c r="F655" s="164"/>
      <c r="G655" s="320"/>
      <c r="H655" s="164"/>
      <c r="I655" s="327"/>
      <c r="J655" s="117"/>
      <c r="K655" s="327"/>
      <c r="L655" s="117"/>
      <c r="M655" s="320"/>
      <c r="N655" s="164"/>
      <c r="O655" s="320"/>
      <c r="P655" s="164"/>
      <c r="Q655" s="338"/>
      <c r="R655" s="338"/>
      <c r="S655" s="20"/>
      <c r="T655" s="20"/>
      <c r="U655" s="20"/>
      <c r="V655" s="20"/>
    </row>
    <row r="656">
      <c r="A656" s="320"/>
      <c r="B656" s="164"/>
      <c r="C656" s="320"/>
      <c r="D656" s="164"/>
      <c r="E656" s="320"/>
      <c r="F656" s="164"/>
      <c r="G656" s="320"/>
      <c r="H656" s="164"/>
      <c r="I656" s="327"/>
      <c r="J656" s="117"/>
      <c r="K656" s="327"/>
      <c r="L656" s="117"/>
      <c r="M656" s="320"/>
      <c r="N656" s="164"/>
      <c r="O656" s="320"/>
      <c r="P656" s="164"/>
      <c r="Q656" s="338"/>
      <c r="R656" s="338"/>
      <c r="S656" s="20"/>
      <c r="T656" s="20"/>
      <c r="U656" s="20"/>
      <c r="V656" s="20"/>
    </row>
    <row r="657">
      <c r="A657" s="320"/>
      <c r="B657" s="164"/>
      <c r="C657" s="320"/>
      <c r="D657" s="164"/>
      <c r="E657" s="320"/>
      <c r="F657" s="164"/>
      <c r="G657" s="320"/>
      <c r="H657" s="164"/>
      <c r="I657" s="327"/>
      <c r="J657" s="117"/>
      <c r="K657" s="327"/>
      <c r="L657" s="117"/>
      <c r="M657" s="320"/>
      <c r="N657" s="164"/>
      <c r="O657" s="320"/>
      <c r="P657" s="164"/>
      <c r="Q657" s="338"/>
      <c r="R657" s="338"/>
      <c r="S657" s="20"/>
      <c r="T657" s="20"/>
      <c r="U657" s="20"/>
      <c r="V657" s="20"/>
    </row>
    <row r="658">
      <c r="A658" s="320"/>
      <c r="B658" s="164"/>
      <c r="C658" s="320"/>
      <c r="D658" s="164"/>
      <c r="E658" s="320"/>
      <c r="F658" s="164"/>
      <c r="G658" s="320"/>
      <c r="H658" s="164"/>
      <c r="I658" s="327"/>
      <c r="J658" s="117"/>
      <c r="K658" s="327"/>
      <c r="L658" s="117"/>
      <c r="M658" s="320"/>
      <c r="N658" s="164"/>
      <c r="O658" s="320"/>
      <c r="P658" s="164"/>
      <c r="Q658" s="338"/>
      <c r="R658" s="338"/>
      <c r="S658" s="20"/>
      <c r="T658" s="20"/>
      <c r="U658" s="20"/>
      <c r="V658" s="20"/>
    </row>
    <row r="659">
      <c r="A659" s="320"/>
      <c r="B659" s="164"/>
      <c r="C659" s="320"/>
      <c r="D659" s="164"/>
      <c r="E659" s="320"/>
      <c r="F659" s="164"/>
      <c r="G659" s="320"/>
      <c r="H659" s="164"/>
      <c r="I659" s="327"/>
      <c r="J659" s="117"/>
      <c r="K659" s="327"/>
      <c r="L659" s="117"/>
      <c r="M659" s="320"/>
      <c r="N659" s="164"/>
      <c r="O659" s="320"/>
      <c r="P659" s="164"/>
      <c r="Q659" s="338"/>
      <c r="R659" s="338"/>
      <c r="S659" s="20"/>
      <c r="T659" s="20"/>
      <c r="U659" s="20"/>
      <c r="V659" s="20"/>
    </row>
    <row r="660">
      <c r="A660" s="320"/>
      <c r="B660" s="164"/>
      <c r="C660" s="320"/>
      <c r="D660" s="164"/>
      <c r="E660" s="320"/>
      <c r="F660" s="164"/>
      <c r="G660" s="320"/>
      <c r="H660" s="164"/>
      <c r="I660" s="327"/>
      <c r="J660" s="117"/>
      <c r="K660" s="327"/>
      <c r="L660" s="117"/>
      <c r="M660" s="320"/>
      <c r="N660" s="164"/>
      <c r="O660" s="320"/>
      <c r="P660" s="164"/>
      <c r="Q660" s="338"/>
      <c r="R660" s="338"/>
      <c r="S660" s="20"/>
      <c r="T660" s="20"/>
      <c r="U660" s="20"/>
      <c r="V660" s="20"/>
    </row>
    <row r="661">
      <c r="A661" s="320"/>
      <c r="B661" s="164"/>
      <c r="C661" s="320"/>
      <c r="D661" s="164"/>
      <c r="E661" s="320"/>
      <c r="F661" s="164"/>
      <c r="G661" s="320"/>
      <c r="H661" s="164"/>
      <c r="I661" s="327"/>
      <c r="J661" s="117"/>
      <c r="K661" s="327"/>
      <c r="L661" s="117"/>
      <c r="M661" s="320"/>
      <c r="N661" s="164"/>
      <c r="O661" s="320"/>
      <c r="P661" s="164"/>
      <c r="Q661" s="338"/>
      <c r="R661" s="338"/>
      <c r="S661" s="20"/>
      <c r="T661" s="20"/>
      <c r="U661" s="20"/>
      <c r="V661" s="20"/>
    </row>
    <row r="662">
      <c r="A662" s="320"/>
      <c r="B662" s="164"/>
      <c r="C662" s="320"/>
      <c r="D662" s="164"/>
      <c r="E662" s="320"/>
      <c r="F662" s="164"/>
      <c r="G662" s="320"/>
      <c r="H662" s="164"/>
      <c r="I662" s="327"/>
      <c r="J662" s="117"/>
      <c r="K662" s="327"/>
      <c r="L662" s="117"/>
      <c r="M662" s="320"/>
      <c r="N662" s="164"/>
      <c r="O662" s="320"/>
      <c r="P662" s="164"/>
      <c r="Q662" s="338"/>
      <c r="R662" s="338"/>
      <c r="S662" s="20"/>
      <c r="T662" s="20"/>
      <c r="U662" s="20"/>
      <c r="V662" s="20"/>
    </row>
    <row r="663">
      <c r="A663" s="320"/>
      <c r="B663" s="164"/>
      <c r="C663" s="320"/>
      <c r="D663" s="164"/>
      <c r="E663" s="320"/>
      <c r="F663" s="164"/>
      <c r="G663" s="320"/>
      <c r="H663" s="164"/>
      <c r="I663" s="327"/>
      <c r="J663" s="117"/>
      <c r="K663" s="327"/>
      <c r="L663" s="117"/>
      <c r="M663" s="320"/>
      <c r="N663" s="164"/>
      <c r="O663" s="320"/>
      <c r="P663" s="164"/>
      <c r="Q663" s="338"/>
      <c r="R663" s="338"/>
      <c r="S663" s="20"/>
      <c r="T663" s="20"/>
      <c r="U663" s="20"/>
      <c r="V663" s="20"/>
    </row>
    <row r="664">
      <c r="A664" s="320"/>
      <c r="B664" s="164"/>
      <c r="C664" s="320"/>
      <c r="D664" s="164"/>
      <c r="E664" s="320"/>
      <c r="F664" s="164"/>
      <c r="G664" s="320"/>
      <c r="H664" s="164"/>
      <c r="I664" s="327"/>
      <c r="J664" s="117"/>
      <c r="K664" s="327"/>
      <c r="L664" s="117"/>
      <c r="M664" s="320"/>
      <c r="N664" s="164"/>
      <c r="O664" s="320"/>
      <c r="P664" s="164"/>
      <c r="Q664" s="338"/>
      <c r="R664" s="338"/>
      <c r="S664" s="20"/>
      <c r="T664" s="20"/>
      <c r="U664" s="20"/>
      <c r="V664" s="20"/>
    </row>
    <row r="665">
      <c r="A665" s="320"/>
      <c r="B665" s="164"/>
      <c r="C665" s="320"/>
      <c r="D665" s="164"/>
      <c r="E665" s="320"/>
      <c r="F665" s="164"/>
      <c r="G665" s="320"/>
      <c r="H665" s="164"/>
      <c r="I665" s="327"/>
      <c r="J665" s="117"/>
      <c r="K665" s="327"/>
      <c r="L665" s="117"/>
      <c r="M665" s="320"/>
      <c r="N665" s="164"/>
      <c r="O665" s="320"/>
      <c r="P665" s="164"/>
      <c r="Q665" s="338"/>
      <c r="R665" s="338"/>
      <c r="S665" s="20"/>
      <c r="T665" s="20"/>
      <c r="U665" s="20"/>
      <c r="V665" s="20"/>
    </row>
    <row r="666">
      <c r="A666" s="320"/>
      <c r="B666" s="164"/>
      <c r="C666" s="320"/>
      <c r="D666" s="164"/>
      <c r="E666" s="320"/>
      <c r="F666" s="164"/>
      <c r="G666" s="320"/>
      <c r="H666" s="164"/>
      <c r="I666" s="327"/>
      <c r="J666" s="117"/>
      <c r="K666" s="327"/>
      <c r="L666" s="117"/>
      <c r="M666" s="320"/>
      <c r="N666" s="164"/>
      <c r="O666" s="320"/>
      <c r="P666" s="164"/>
      <c r="Q666" s="338"/>
      <c r="R666" s="338"/>
      <c r="S666" s="20"/>
      <c r="T666" s="20"/>
      <c r="U666" s="20"/>
      <c r="V666" s="20"/>
    </row>
    <row r="667">
      <c r="A667" s="320"/>
      <c r="B667" s="164"/>
      <c r="C667" s="320"/>
      <c r="D667" s="164"/>
      <c r="E667" s="320"/>
      <c r="F667" s="164"/>
      <c r="G667" s="320"/>
      <c r="H667" s="164"/>
      <c r="I667" s="327"/>
      <c r="J667" s="117"/>
      <c r="K667" s="327"/>
      <c r="L667" s="117"/>
      <c r="M667" s="320"/>
      <c r="N667" s="164"/>
      <c r="O667" s="320"/>
      <c r="P667" s="164"/>
      <c r="Q667" s="338"/>
      <c r="R667" s="338"/>
      <c r="S667" s="20"/>
      <c r="T667" s="20"/>
      <c r="U667" s="20"/>
      <c r="V667" s="20"/>
    </row>
    <row r="668">
      <c r="A668" s="320"/>
      <c r="B668" s="164"/>
      <c r="C668" s="320"/>
      <c r="D668" s="164"/>
      <c r="E668" s="320"/>
      <c r="F668" s="164"/>
      <c r="G668" s="320"/>
      <c r="H668" s="164"/>
      <c r="I668" s="327"/>
      <c r="J668" s="117"/>
      <c r="K668" s="327"/>
      <c r="L668" s="117"/>
      <c r="M668" s="320"/>
      <c r="N668" s="164"/>
      <c r="O668" s="320"/>
      <c r="P668" s="164"/>
      <c r="Q668" s="338"/>
      <c r="R668" s="338"/>
      <c r="S668" s="20"/>
      <c r="T668" s="20"/>
      <c r="U668" s="20"/>
      <c r="V668" s="20"/>
    </row>
    <row r="669">
      <c r="A669" s="320"/>
      <c r="B669" s="164"/>
      <c r="C669" s="320"/>
      <c r="D669" s="164"/>
      <c r="E669" s="320"/>
      <c r="F669" s="164"/>
      <c r="G669" s="320"/>
      <c r="H669" s="164"/>
      <c r="I669" s="327"/>
      <c r="J669" s="117"/>
      <c r="K669" s="327"/>
      <c r="L669" s="117"/>
      <c r="M669" s="320"/>
      <c r="N669" s="164"/>
      <c r="O669" s="320"/>
      <c r="P669" s="164"/>
      <c r="Q669" s="338"/>
      <c r="R669" s="338"/>
      <c r="S669" s="20"/>
      <c r="T669" s="20"/>
      <c r="U669" s="20"/>
      <c r="V669" s="20"/>
    </row>
    <row r="670">
      <c r="A670" s="320"/>
      <c r="B670" s="164"/>
      <c r="C670" s="320"/>
      <c r="D670" s="164"/>
      <c r="E670" s="320"/>
      <c r="F670" s="164"/>
      <c r="G670" s="320"/>
      <c r="H670" s="164"/>
      <c r="I670" s="327"/>
      <c r="J670" s="117"/>
      <c r="K670" s="327"/>
      <c r="L670" s="117"/>
      <c r="M670" s="320"/>
      <c r="N670" s="164"/>
      <c r="O670" s="320"/>
      <c r="P670" s="164"/>
      <c r="Q670" s="338"/>
      <c r="R670" s="338"/>
      <c r="S670" s="20"/>
      <c r="T670" s="20"/>
      <c r="U670" s="20"/>
      <c r="V670" s="20"/>
    </row>
    <row r="671">
      <c r="A671" s="320"/>
      <c r="B671" s="164"/>
      <c r="C671" s="320"/>
      <c r="D671" s="164"/>
      <c r="E671" s="320"/>
      <c r="F671" s="164"/>
      <c r="G671" s="320"/>
      <c r="H671" s="164"/>
      <c r="I671" s="327"/>
      <c r="J671" s="117"/>
      <c r="K671" s="327"/>
      <c r="L671" s="117"/>
      <c r="M671" s="320"/>
      <c r="N671" s="164"/>
      <c r="O671" s="320"/>
      <c r="P671" s="164"/>
      <c r="Q671" s="338"/>
      <c r="R671" s="338"/>
      <c r="S671" s="20"/>
      <c r="T671" s="20"/>
      <c r="U671" s="20"/>
      <c r="V671" s="20"/>
    </row>
    <row r="672">
      <c r="A672" s="320"/>
      <c r="B672" s="164"/>
      <c r="C672" s="320"/>
      <c r="D672" s="164"/>
      <c r="E672" s="320"/>
      <c r="F672" s="164"/>
      <c r="G672" s="320"/>
      <c r="H672" s="164"/>
      <c r="I672" s="327"/>
      <c r="J672" s="117"/>
      <c r="K672" s="327"/>
      <c r="L672" s="117"/>
      <c r="M672" s="320"/>
      <c r="N672" s="164"/>
      <c r="O672" s="320"/>
      <c r="P672" s="164"/>
      <c r="Q672" s="338"/>
      <c r="R672" s="338"/>
      <c r="S672" s="20"/>
      <c r="T672" s="20"/>
      <c r="U672" s="20"/>
      <c r="V672" s="20"/>
    </row>
    <row r="673">
      <c r="A673" s="320"/>
      <c r="B673" s="164"/>
      <c r="C673" s="320"/>
      <c r="D673" s="164"/>
      <c r="E673" s="320"/>
      <c r="F673" s="164"/>
      <c r="G673" s="320"/>
      <c r="H673" s="164"/>
      <c r="I673" s="327"/>
      <c r="J673" s="117"/>
      <c r="K673" s="327"/>
      <c r="L673" s="117"/>
      <c r="M673" s="320"/>
      <c r="N673" s="164"/>
      <c r="O673" s="320"/>
      <c r="P673" s="164"/>
      <c r="Q673" s="338"/>
      <c r="R673" s="338"/>
      <c r="S673" s="20"/>
      <c r="T673" s="20"/>
      <c r="U673" s="20"/>
      <c r="V673" s="20"/>
    </row>
    <row r="674">
      <c r="A674" s="320"/>
      <c r="B674" s="164"/>
      <c r="C674" s="320"/>
      <c r="D674" s="164"/>
      <c r="E674" s="320"/>
      <c r="F674" s="164"/>
      <c r="G674" s="320"/>
      <c r="H674" s="164"/>
      <c r="I674" s="327"/>
      <c r="J674" s="117"/>
      <c r="K674" s="327"/>
      <c r="L674" s="117"/>
      <c r="M674" s="320"/>
      <c r="N674" s="164"/>
      <c r="O674" s="320"/>
      <c r="P674" s="164"/>
      <c r="Q674" s="338"/>
      <c r="R674" s="338"/>
      <c r="S674" s="20"/>
      <c r="T674" s="20"/>
      <c r="U674" s="20"/>
      <c r="V674" s="20"/>
    </row>
    <row r="675">
      <c r="A675" s="320"/>
      <c r="B675" s="164"/>
      <c r="C675" s="320"/>
      <c r="D675" s="164"/>
      <c r="E675" s="320"/>
      <c r="F675" s="164"/>
      <c r="G675" s="320"/>
      <c r="H675" s="164"/>
      <c r="I675" s="327"/>
      <c r="J675" s="117"/>
      <c r="K675" s="327"/>
      <c r="L675" s="117"/>
      <c r="M675" s="320"/>
      <c r="N675" s="164"/>
      <c r="O675" s="320"/>
      <c r="P675" s="164"/>
      <c r="Q675" s="338"/>
      <c r="R675" s="338"/>
      <c r="S675" s="20"/>
      <c r="T675" s="20"/>
      <c r="U675" s="20"/>
      <c r="V675" s="20"/>
    </row>
    <row r="676">
      <c r="A676" s="320"/>
      <c r="B676" s="164"/>
      <c r="C676" s="320"/>
      <c r="D676" s="164"/>
      <c r="E676" s="320"/>
      <c r="F676" s="164"/>
      <c r="G676" s="320"/>
      <c r="H676" s="164"/>
      <c r="I676" s="327"/>
      <c r="J676" s="117"/>
      <c r="K676" s="327"/>
      <c r="L676" s="117"/>
      <c r="M676" s="320"/>
      <c r="N676" s="164"/>
      <c r="O676" s="320"/>
      <c r="P676" s="164"/>
      <c r="Q676" s="338"/>
      <c r="R676" s="338"/>
      <c r="S676" s="20"/>
      <c r="T676" s="20"/>
      <c r="U676" s="20"/>
      <c r="V676" s="20"/>
    </row>
    <row r="677">
      <c r="A677" s="320"/>
      <c r="B677" s="164"/>
      <c r="C677" s="320"/>
      <c r="D677" s="164"/>
      <c r="E677" s="320"/>
      <c r="F677" s="164"/>
      <c r="G677" s="320"/>
      <c r="H677" s="164"/>
      <c r="I677" s="327"/>
      <c r="J677" s="117"/>
      <c r="K677" s="327"/>
      <c r="L677" s="117"/>
      <c r="M677" s="320"/>
      <c r="N677" s="164"/>
      <c r="O677" s="320"/>
      <c r="P677" s="164"/>
      <c r="Q677" s="338"/>
      <c r="R677" s="338"/>
      <c r="S677" s="20"/>
      <c r="T677" s="20"/>
      <c r="U677" s="20"/>
      <c r="V677" s="20"/>
    </row>
    <row r="678">
      <c r="A678" s="320"/>
      <c r="B678" s="164"/>
      <c r="C678" s="320"/>
      <c r="D678" s="164"/>
      <c r="E678" s="320"/>
      <c r="F678" s="164"/>
      <c r="G678" s="320"/>
      <c r="H678" s="164"/>
      <c r="I678" s="327"/>
      <c r="J678" s="117"/>
      <c r="K678" s="327"/>
      <c r="L678" s="117"/>
      <c r="M678" s="320"/>
      <c r="N678" s="164"/>
      <c r="O678" s="320"/>
      <c r="P678" s="164"/>
      <c r="Q678" s="338"/>
      <c r="R678" s="338"/>
      <c r="S678" s="20"/>
      <c r="T678" s="20"/>
      <c r="U678" s="20"/>
      <c r="V678" s="20"/>
    </row>
    <row r="679">
      <c r="A679" s="320"/>
      <c r="B679" s="164"/>
      <c r="C679" s="320"/>
      <c r="D679" s="164"/>
      <c r="E679" s="320"/>
      <c r="F679" s="164"/>
      <c r="G679" s="320"/>
      <c r="H679" s="164"/>
      <c r="I679" s="327"/>
      <c r="J679" s="117"/>
      <c r="K679" s="327"/>
      <c r="L679" s="117"/>
      <c r="M679" s="320"/>
      <c r="N679" s="164"/>
      <c r="O679" s="320"/>
      <c r="P679" s="164"/>
      <c r="Q679" s="338"/>
      <c r="R679" s="338"/>
      <c r="S679" s="20"/>
      <c r="T679" s="20"/>
      <c r="U679" s="20"/>
      <c r="V679" s="20"/>
    </row>
    <row r="680">
      <c r="A680" s="320"/>
      <c r="B680" s="164"/>
      <c r="C680" s="320"/>
      <c r="D680" s="164"/>
      <c r="E680" s="320"/>
      <c r="F680" s="164"/>
      <c r="G680" s="320"/>
      <c r="H680" s="164"/>
      <c r="I680" s="327"/>
      <c r="J680" s="117"/>
      <c r="K680" s="327"/>
      <c r="L680" s="117"/>
      <c r="M680" s="320"/>
      <c r="N680" s="164"/>
      <c r="O680" s="320"/>
      <c r="P680" s="164"/>
      <c r="Q680" s="338"/>
      <c r="R680" s="338"/>
      <c r="S680" s="20"/>
      <c r="T680" s="20"/>
      <c r="U680" s="20"/>
      <c r="V680" s="20"/>
    </row>
    <row r="681">
      <c r="A681" s="320"/>
      <c r="B681" s="164"/>
      <c r="C681" s="320"/>
      <c r="D681" s="164"/>
      <c r="E681" s="320"/>
      <c r="F681" s="164"/>
      <c r="G681" s="320"/>
      <c r="H681" s="164"/>
      <c r="I681" s="327"/>
      <c r="J681" s="117"/>
      <c r="K681" s="327"/>
      <c r="L681" s="117"/>
      <c r="M681" s="320"/>
      <c r="N681" s="164"/>
      <c r="O681" s="320"/>
      <c r="P681" s="164"/>
      <c r="Q681" s="338"/>
      <c r="R681" s="338"/>
      <c r="S681" s="20"/>
      <c r="T681" s="20"/>
      <c r="U681" s="20"/>
      <c r="V681" s="20"/>
    </row>
    <row r="682">
      <c r="A682" s="320"/>
      <c r="B682" s="164"/>
      <c r="C682" s="320"/>
      <c r="D682" s="164"/>
      <c r="E682" s="320"/>
      <c r="F682" s="164"/>
      <c r="G682" s="320"/>
      <c r="H682" s="164"/>
      <c r="I682" s="327"/>
      <c r="J682" s="117"/>
      <c r="K682" s="327"/>
      <c r="L682" s="117"/>
      <c r="M682" s="320"/>
      <c r="N682" s="164"/>
      <c r="O682" s="320"/>
      <c r="P682" s="164"/>
      <c r="Q682" s="338"/>
      <c r="R682" s="338"/>
      <c r="S682" s="20"/>
      <c r="T682" s="20"/>
      <c r="U682" s="20"/>
      <c r="V682" s="20"/>
    </row>
    <row r="683">
      <c r="A683" s="320"/>
      <c r="B683" s="164"/>
      <c r="C683" s="320"/>
      <c r="D683" s="164"/>
      <c r="E683" s="320"/>
      <c r="F683" s="164"/>
      <c r="G683" s="320"/>
      <c r="H683" s="164"/>
      <c r="I683" s="327"/>
      <c r="J683" s="117"/>
      <c r="K683" s="327"/>
      <c r="L683" s="117"/>
      <c r="M683" s="320"/>
      <c r="N683" s="164"/>
      <c r="O683" s="320"/>
      <c r="P683" s="164"/>
      <c r="Q683" s="338"/>
      <c r="R683" s="338"/>
      <c r="S683" s="20"/>
      <c r="T683" s="20"/>
      <c r="U683" s="20"/>
      <c r="V683" s="20"/>
    </row>
    <row r="684">
      <c r="A684" s="320"/>
      <c r="B684" s="164"/>
      <c r="C684" s="320"/>
      <c r="D684" s="164"/>
      <c r="E684" s="320"/>
      <c r="F684" s="164"/>
      <c r="G684" s="320"/>
      <c r="H684" s="164"/>
      <c r="I684" s="327"/>
      <c r="J684" s="117"/>
      <c r="K684" s="327"/>
      <c r="L684" s="117"/>
      <c r="M684" s="320"/>
      <c r="N684" s="164"/>
      <c r="O684" s="320"/>
      <c r="P684" s="164"/>
      <c r="Q684" s="338"/>
      <c r="R684" s="338"/>
      <c r="S684" s="20"/>
      <c r="T684" s="20"/>
      <c r="U684" s="20"/>
      <c r="V684" s="20"/>
    </row>
    <row r="685">
      <c r="A685" s="320"/>
      <c r="B685" s="164"/>
      <c r="C685" s="320"/>
      <c r="D685" s="164"/>
      <c r="E685" s="320"/>
      <c r="F685" s="164"/>
      <c r="G685" s="320"/>
      <c r="H685" s="164"/>
      <c r="I685" s="327"/>
      <c r="J685" s="117"/>
      <c r="K685" s="327"/>
      <c r="L685" s="117"/>
      <c r="M685" s="320"/>
      <c r="N685" s="164"/>
      <c r="O685" s="320"/>
      <c r="P685" s="164"/>
      <c r="Q685" s="338"/>
      <c r="R685" s="338"/>
      <c r="S685" s="20"/>
      <c r="T685" s="20"/>
      <c r="U685" s="20"/>
      <c r="V685" s="20"/>
    </row>
    <row r="686">
      <c r="A686" s="320"/>
      <c r="B686" s="164"/>
      <c r="C686" s="320"/>
      <c r="D686" s="164"/>
      <c r="E686" s="320"/>
      <c r="F686" s="164"/>
      <c r="G686" s="320"/>
      <c r="H686" s="164"/>
      <c r="I686" s="327"/>
      <c r="J686" s="117"/>
      <c r="K686" s="327"/>
      <c r="L686" s="117"/>
      <c r="M686" s="320"/>
      <c r="N686" s="164"/>
      <c r="O686" s="320"/>
      <c r="P686" s="164"/>
      <c r="Q686" s="338"/>
      <c r="R686" s="338"/>
      <c r="S686" s="20"/>
      <c r="T686" s="20"/>
      <c r="U686" s="20"/>
      <c r="V686" s="20"/>
    </row>
    <row r="687">
      <c r="A687" s="320"/>
      <c r="B687" s="164"/>
      <c r="C687" s="320"/>
      <c r="D687" s="164"/>
      <c r="E687" s="320"/>
      <c r="F687" s="164"/>
      <c r="G687" s="320"/>
      <c r="H687" s="164"/>
      <c r="I687" s="327"/>
      <c r="J687" s="117"/>
      <c r="K687" s="327"/>
      <c r="L687" s="117"/>
      <c r="M687" s="320"/>
      <c r="N687" s="164"/>
      <c r="O687" s="320"/>
      <c r="P687" s="164"/>
      <c r="Q687" s="338"/>
      <c r="R687" s="338"/>
      <c r="S687" s="20"/>
      <c r="T687" s="20"/>
      <c r="U687" s="20"/>
      <c r="V687" s="20"/>
    </row>
    <row r="688">
      <c r="A688" s="320"/>
      <c r="B688" s="164"/>
      <c r="C688" s="320"/>
      <c r="D688" s="164"/>
      <c r="E688" s="320"/>
      <c r="F688" s="164"/>
      <c r="G688" s="320"/>
      <c r="H688" s="164"/>
      <c r="I688" s="327"/>
      <c r="J688" s="117"/>
      <c r="K688" s="327"/>
      <c r="L688" s="117"/>
      <c r="M688" s="320"/>
      <c r="N688" s="164"/>
      <c r="O688" s="320"/>
      <c r="P688" s="164"/>
      <c r="Q688" s="338"/>
      <c r="R688" s="338"/>
      <c r="S688" s="20"/>
      <c r="T688" s="20"/>
      <c r="U688" s="20"/>
      <c r="V688" s="20"/>
    </row>
    <row r="689">
      <c r="A689" s="320"/>
      <c r="B689" s="164"/>
      <c r="C689" s="320"/>
      <c r="D689" s="164"/>
      <c r="E689" s="320"/>
      <c r="F689" s="164"/>
      <c r="G689" s="320"/>
      <c r="H689" s="164"/>
      <c r="I689" s="327"/>
      <c r="J689" s="117"/>
      <c r="K689" s="327"/>
      <c r="L689" s="117"/>
      <c r="M689" s="320"/>
      <c r="N689" s="164"/>
      <c r="O689" s="320"/>
      <c r="P689" s="164"/>
      <c r="Q689" s="338"/>
      <c r="R689" s="338"/>
      <c r="S689" s="20"/>
      <c r="T689" s="20"/>
      <c r="U689" s="20"/>
      <c r="V689" s="20"/>
    </row>
    <row r="690">
      <c r="A690" s="320"/>
      <c r="B690" s="164"/>
      <c r="C690" s="320"/>
      <c r="D690" s="164"/>
      <c r="E690" s="320"/>
      <c r="F690" s="164"/>
      <c r="G690" s="320"/>
      <c r="H690" s="164"/>
      <c r="I690" s="327"/>
      <c r="J690" s="117"/>
      <c r="K690" s="327"/>
      <c r="L690" s="117"/>
      <c r="M690" s="320"/>
      <c r="N690" s="164"/>
      <c r="O690" s="320"/>
      <c r="P690" s="164"/>
      <c r="Q690" s="338"/>
      <c r="R690" s="338"/>
      <c r="S690" s="20"/>
      <c r="T690" s="20"/>
      <c r="U690" s="20"/>
      <c r="V690" s="20"/>
    </row>
    <row r="691">
      <c r="A691" s="320"/>
      <c r="B691" s="164"/>
      <c r="C691" s="320"/>
      <c r="D691" s="164"/>
      <c r="E691" s="320"/>
      <c r="F691" s="164"/>
      <c r="G691" s="320"/>
      <c r="H691" s="164"/>
      <c r="I691" s="327"/>
      <c r="J691" s="117"/>
      <c r="K691" s="327"/>
      <c r="L691" s="117"/>
      <c r="M691" s="320"/>
      <c r="N691" s="164"/>
      <c r="O691" s="320"/>
      <c r="P691" s="164"/>
      <c r="Q691" s="338"/>
      <c r="R691" s="338"/>
      <c r="S691" s="20"/>
      <c r="T691" s="20"/>
      <c r="U691" s="20"/>
      <c r="V691" s="20"/>
    </row>
    <row r="692">
      <c r="A692" s="320"/>
      <c r="B692" s="164"/>
      <c r="C692" s="320"/>
      <c r="D692" s="164"/>
      <c r="E692" s="320"/>
      <c r="F692" s="164"/>
      <c r="G692" s="320"/>
      <c r="H692" s="164"/>
      <c r="I692" s="327"/>
      <c r="J692" s="117"/>
      <c r="K692" s="327"/>
      <c r="L692" s="117"/>
      <c r="M692" s="320"/>
      <c r="N692" s="164"/>
      <c r="O692" s="320"/>
      <c r="P692" s="164"/>
      <c r="Q692" s="338"/>
      <c r="R692" s="338"/>
      <c r="S692" s="20"/>
      <c r="T692" s="20"/>
      <c r="U692" s="20"/>
      <c r="V692" s="20"/>
    </row>
    <row r="693">
      <c r="A693" s="320"/>
      <c r="B693" s="164"/>
      <c r="C693" s="320"/>
      <c r="D693" s="164"/>
      <c r="E693" s="320"/>
      <c r="F693" s="164"/>
      <c r="G693" s="320"/>
      <c r="H693" s="164"/>
      <c r="I693" s="327"/>
      <c r="J693" s="117"/>
      <c r="K693" s="327"/>
      <c r="L693" s="117"/>
      <c r="M693" s="320"/>
      <c r="N693" s="164"/>
      <c r="O693" s="320"/>
      <c r="P693" s="164"/>
      <c r="Q693" s="338"/>
      <c r="R693" s="338"/>
      <c r="S693" s="20"/>
      <c r="T693" s="20"/>
      <c r="U693" s="20"/>
      <c r="V693" s="20"/>
    </row>
    <row r="694">
      <c r="A694" s="320"/>
      <c r="B694" s="164"/>
      <c r="C694" s="320"/>
      <c r="D694" s="164"/>
      <c r="E694" s="320"/>
      <c r="F694" s="164"/>
      <c r="G694" s="320"/>
      <c r="H694" s="164"/>
      <c r="I694" s="327"/>
      <c r="J694" s="117"/>
      <c r="K694" s="327"/>
      <c r="L694" s="117"/>
      <c r="M694" s="320"/>
      <c r="N694" s="164"/>
      <c r="O694" s="320"/>
      <c r="P694" s="164"/>
      <c r="Q694" s="338"/>
      <c r="R694" s="338"/>
      <c r="S694" s="20"/>
      <c r="T694" s="20"/>
      <c r="U694" s="20"/>
      <c r="V694" s="20"/>
    </row>
    <row r="695">
      <c r="A695" s="320"/>
      <c r="B695" s="164"/>
      <c r="C695" s="320"/>
      <c r="D695" s="164"/>
      <c r="E695" s="320"/>
      <c r="F695" s="164"/>
      <c r="G695" s="320"/>
      <c r="H695" s="164"/>
      <c r="I695" s="327"/>
      <c r="J695" s="117"/>
      <c r="K695" s="327"/>
      <c r="L695" s="117"/>
      <c r="M695" s="320"/>
      <c r="N695" s="164"/>
      <c r="O695" s="320"/>
      <c r="P695" s="164"/>
      <c r="Q695" s="338"/>
      <c r="R695" s="338"/>
      <c r="S695" s="20"/>
      <c r="T695" s="20"/>
      <c r="U695" s="20"/>
      <c r="V695" s="20"/>
    </row>
    <row r="696">
      <c r="A696" s="320"/>
      <c r="B696" s="164"/>
      <c r="C696" s="320"/>
      <c r="D696" s="164"/>
      <c r="E696" s="320"/>
      <c r="F696" s="164"/>
      <c r="G696" s="320"/>
      <c r="H696" s="164"/>
      <c r="I696" s="327"/>
      <c r="J696" s="117"/>
      <c r="K696" s="327"/>
      <c r="L696" s="117"/>
      <c r="M696" s="320"/>
      <c r="N696" s="164"/>
      <c r="O696" s="320"/>
      <c r="P696" s="164"/>
      <c r="Q696" s="338"/>
      <c r="R696" s="338"/>
      <c r="S696" s="20"/>
      <c r="T696" s="20"/>
      <c r="U696" s="20"/>
      <c r="V696" s="20"/>
    </row>
    <row r="697">
      <c r="A697" s="320"/>
      <c r="B697" s="164"/>
      <c r="C697" s="320"/>
      <c r="D697" s="164"/>
      <c r="E697" s="320"/>
      <c r="F697" s="164"/>
      <c r="G697" s="320"/>
      <c r="H697" s="164"/>
      <c r="I697" s="327"/>
      <c r="J697" s="117"/>
      <c r="K697" s="327"/>
      <c r="L697" s="117"/>
      <c r="M697" s="320"/>
      <c r="N697" s="164"/>
      <c r="O697" s="320"/>
      <c r="P697" s="164"/>
      <c r="Q697" s="338"/>
      <c r="R697" s="338"/>
      <c r="S697" s="20"/>
      <c r="T697" s="20"/>
      <c r="U697" s="20"/>
      <c r="V697" s="20"/>
    </row>
    <row r="698">
      <c r="A698" s="320"/>
      <c r="B698" s="164"/>
      <c r="C698" s="320"/>
      <c r="D698" s="164"/>
      <c r="E698" s="320"/>
      <c r="F698" s="164"/>
      <c r="G698" s="320"/>
      <c r="H698" s="164"/>
      <c r="I698" s="327"/>
      <c r="J698" s="117"/>
      <c r="K698" s="327"/>
      <c r="L698" s="117"/>
      <c r="M698" s="320"/>
      <c r="N698" s="164"/>
      <c r="O698" s="320"/>
      <c r="P698" s="164"/>
      <c r="Q698" s="338"/>
      <c r="R698" s="338"/>
      <c r="S698" s="20"/>
      <c r="T698" s="20"/>
      <c r="U698" s="20"/>
      <c r="V698" s="20"/>
    </row>
    <row r="699">
      <c r="A699" s="320"/>
      <c r="B699" s="164"/>
      <c r="C699" s="320"/>
      <c r="D699" s="164"/>
      <c r="E699" s="320"/>
      <c r="F699" s="164"/>
      <c r="G699" s="320"/>
      <c r="H699" s="164"/>
      <c r="I699" s="327"/>
      <c r="J699" s="117"/>
      <c r="K699" s="327"/>
      <c r="L699" s="117"/>
      <c r="M699" s="320"/>
      <c r="N699" s="164"/>
      <c r="O699" s="320"/>
      <c r="P699" s="164"/>
      <c r="Q699" s="338"/>
      <c r="R699" s="338"/>
      <c r="S699" s="20"/>
      <c r="T699" s="20"/>
      <c r="U699" s="20"/>
      <c r="V699" s="20"/>
    </row>
    <row r="700">
      <c r="A700" s="320"/>
      <c r="B700" s="164"/>
      <c r="C700" s="320"/>
      <c r="D700" s="164"/>
      <c r="E700" s="320"/>
      <c r="F700" s="164"/>
      <c r="G700" s="320"/>
      <c r="H700" s="164"/>
      <c r="I700" s="327"/>
      <c r="J700" s="117"/>
      <c r="K700" s="327"/>
      <c r="L700" s="117"/>
      <c r="M700" s="320"/>
      <c r="N700" s="164"/>
      <c r="O700" s="320"/>
      <c r="P700" s="164"/>
      <c r="Q700" s="338"/>
      <c r="R700" s="338"/>
      <c r="S700" s="20"/>
      <c r="T700" s="20"/>
      <c r="U700" s="20"/>
      <c r="V700" s="20"/>
    </row>
    <row r="701">
      <c r="A701" s="320"/>
      <c r="B701" s="164"/>
      <c r="C701" s="320"/>
      <c r="D701" s="164"/>
      <c r="E701" s="320"/>
      <c r="F701" s="164"/>
      <c r="G701" s="320"/>
      <c r="H701" s="164"/>
      <c r="I701" s="327"/>
      <c r="J701" s="117"/>
      <c r="K701" s="327"/>
      <c r="L701" s="117"/>
      <c r="M701" s="320"/>
      <c r="N701" s="164"/>
      <c r="O701" s="320"/>
      <c r="P701" s="164"/>
      <c r="Q701" s="338"/>
      <c r="R701" s="338"/>
      <c r="S701" s="20"/>
      <c r="T701" s="20"/>
      <c r="U701" s="20"/>
      <c r="V701" s="20"/>
    </row>
    <row r="702">
      <c r="A702" s="320"/>
      <c r="B702" s="164"/>
      <c r="C702" s="320"/>
      <c r="D702" s="164"/>
      <c r="E702" s="320"/>
      <c r="F702" s="164"/>
      <c r="G702" s="320"/>
      <c r="H702" s="164"/>
      <c r="I702" s="327"/>
      <c r="J702" s="117"/>
      <c r="K702" s="327"/>
      <c r="L702" s="117"/>
      <c r="M702" s="320"/>
      <c r="N702" s="164"/>
      <c r="O702" s="320"/>
      <c r="P702" s="164"/>
      <c r="Q702" s="338"/>
      <c r="R702" s="338"/>
      <c r="S702" s="20"/>
      <c r="T702" s="20"/>
      <c r="U702" s="20"/>
      <c r="V702" s="20"/>
    </row>
    <row r="703">
      <c r="A703" s="320"/>
      <c r="B703" s="164"/>
      <c r="C703" s="320"/>
      <c r="D703" s="164"/>
      <c r="E703" s="320"/>
      <c r="F703" s="164"/>
      <c r="G703" s="320"/>
      <c r="H703" s="164"/>
      <c r="I703" s="327"/>
      <c r="J703" s="117"/>
      <c r="K703" s="327"/>
      <c r="L703" s="117"/>
      <c r="M703" s="320"/>
      <c r="N703" s="164"/>
      <c r="O703" s="320"/>
      <c r="P703" s="164"/>
      <c r="Q703" s="338"/>
      <c r="R703" s="338"/>
      <c r="S703" s="20"/>
      <c r="T703" s="20"/>
      <c r="U703" s="20"/>
      <c r="V703" s="20"/>
    </row>
    <row r="704">
      <c r="A704" s="320"/>
      <c r="B704" s="164"/>
      <c r="C704" s="320"/>
      <c r="D704" s="164"/>
      <c r="E704" s="320"/>
      <c r="F704" s="164"/>
      <c r="G704" s="320"/>
      <c r="H704" s="164"/>
      <c r="I704" s="327"/>
      <c r="J704" s="117"/>
      <c r="K704" s="327"/>
      <c r="L704" s="117"/>
      <c r="M704" s="320"/>
      <c r="N704" s="164"/>
      <c r="O704" s="320"/>
      <c r="P704" s="164"/>
      <c r="Q704" s="338"/>
      <c r="R704" s="338"/>
      <c r="S704" s="20"/>
      <c r="T704" s="20"/>
      <c r="U704" s="20"/>
      <c r="V704" s="20"/>
    </row>
    <row r="705">
      <c r="A705" s="320"/>
      <c r="B705" s="164"/>
      <c r="C705" s="320"/>
      <c r="D705" s="164"/>
      <c r="E705" s="320"/>
      <c r="F705" s="164"/>
      <c r="G705" s="320"/>
      <c r="H705" s="164"/>
      <c r="I705" s="327"/>
      <c r="J705" s="117"/>
      <c r="K705" s="327"/>
      <c r="L705" s="117"/>
      <c r="M705" s="320"/>
      <c r="N705" s="164"/>
      <c r="O705" s="320"/>
      <c r="P705" s="164"/>
      <c r="Q705" s="338"/>
      <c r="R705" s="338"/>
      <c r="S705" s="20"/>
      <c r="T705" s="20"/>
      <c r="U705" s="20"/>
      <c r="V705" s="20"/>
    </row>
    <row r="706">
      <c r="A706" s="320"/>
      <c r="B706" s="164"/>
      <c r="C706" s="320"/>
      <c r="D706" s="164"/>
      <c r="E706" s="320"/>
      <c r="F706" s="164"/>
      <c r="G706" s="320"/>
      <c r="H706" s="164"/>
      <c r="I706" s="327"/>
      <c r="J706" s="117"/>
      <c r="K706" s="327"/>
      <c r="L706" s="117"/>
      <c r="M706" s="320"/>
      <c r="N706" s="164"/>
      <c r="O706" s="320"/>
      <c r="P706" s="164"/>
      <c r="Q706" s="338"/>
      <c r="R706" s="338"/>
      <c r="S706" s="20"/>
      <c r="T706" s="20"/>
      <c r="U706" s="20"/>
      <c r="V706" s="20"/>
    </row>
    <row r="707">
      <c r="A707" s="320"/>
      <c r="B707" s="164"/>
      <c r="C707" s="320"/>
      <c r="D707" s="164"/>
      <c r="E707" s="320"/>
      <c r="F707" s="164"/>
      <c r="G707" s="320"/>
      <c r="H707" s="164"/>
      <c r="I707" s="327"/>
      <c r="J707" s="117"/>
      <c r="K707" s="327"/>
      <c r="L707" s="117"/>
      <c r="M707" s="320"/>
      <c r="N707" s="164"/>
      <c r="O707" s="320"/>
      <c r="P707" s="164"/>
      <c r="Q707" s="338"/>
      <c r="R707" s="338"/>
      <c r="S707" s="20"/>
      <c r="T707" s="20"/>
      <c r="U707" s="20"/>
      <c r="V707" s="20"/>
    </row>
    <row r="708">
      <c r="A708" s="320"/>
      <c r="B708" s="164"/>
      <c r="C708" s="320"/>
      <c r="D708" s="164"/>
      <c r="E708" s="320"/>
      <c r="F708" s="164"/>
      <c r="G708" s="320"/>
      <c r="H708" s="164"/>
      <c r="I708" s="327"/>
      <c r="J708" s="117"/>
      <c r="K708" s="327"/>
      <c r="L708" s="117"/>
      <c r="M708" s="320"/>
      <c r="N708" s="164"/>
      <c r="O708" s="320"/>
      <c r="P708" s="164"/>
      <c r="Q708" s="338"/>
      <c r="R708" s="338"/>
      <c r="S708" s="20"/>
      <c r="T708" s="20"/>
      <c r="U708" s="20"/>
      <c r="V708" s="20"/>
    </row>
    <row r="709">
      <c r="A709" s="320"/>
      <c r="B709" s="164"/>
      <c r="C709" s="320"/>
      <c r="D709" s="164"/>
      <c r="E709" s="320"/>
      <c r="F709" s="164"/>
      <c r="G709" s="320"/>
      <c r="H709" s="164"/>
      <c r="I709" s="327"/>
      <c r="J709" s="117"/>
      <c r="K709" s="327"/>
      <c r="L709" s="117"/>
      <c r="M709" s="320"/>
      <c r="N709" s="164"/>
      <c r="O709" s="320"/>
      <c r="P709" s="164"/>
      <c r="Q709" s="338"/>
      <c r="R709" s="338"/>
      <c r="S709" s="20"/>
      <c r="T709" s="20"/>
      <c r="U709" s="20"/>
      <c r="V709" s="20"/>
    </row>
    <row r="710">
      <c r="A710" s="320"/>
      <c r="B710" s="164"/>
      <c r="C710" s="320"/>
      <c r="D710" s="164"/>
      <c r="E710" s="320"/>
      <c r="F710" s="164"/>
      <c r="G710" s="320"/>
      <c r="H710" s="164"/>
      <c r="I710" s="327"/>
      <c r="J710" s="117"/>
      <c r="K710" s="327"/>
      <c r="L710" s="117"/>
      <c r="M710" s="320"/>
      <c r="N710" s="164"/>
      <c r="O710" s="320"/>
      <c r="P710" s="164"/>
      <c r="Q710" s="338"/>
      <c r="R710" s="338"/>
      <c r="S710" s="20"/>
      <c r="T710" s="20"/>
      <c r="U710" s="20"/>
      <c r="V710" s="20"/>
    </row>
    <row r="711">
      <c r="A711" s="320"/>
      <c r="B711" s="164"/>
      <c r="C711" s="320"/>
      <c r="D711" s="164"/>
      <c r="E711" s="320"/>
      <c r="F711" s="164"/>
      <c r="G711" s="320"/>
      <c r="H711" s="164"/>
      <c r="I711" s="327"/>
      <c r="J711" s="117"/>
      <c r="K711" s="327"/>
      <c r="L711" s="117"/>
      <c r="M711" s="320"/>
      <c r="N711" s="164"/>
      <c r="O711" s="320"/>
      <c r="P711" s="164"/>
      <c r="Q711" s="338"/>
      <c r="R711" s="338"/>
      <c r="S711" s="20"/>
      <c r="T711" s="20"/>
      <c r="U711" s="20"/>
      <c r="V711" s="20"/>
    </row>
    <row r="712">
      <c r="A712" s="320"/>
      <c r="B712" s="164"/>
      <c r="C712" s="320"/>
      <c r="D712" s="164"/>
      <c r="E712" s="320"/>
      <c r="F712" s="164"/>
      <c r="G712" s="320"/>
      <c r="H712" s="164"/>
      <c r="I712" s="327"/>
      <c r="J712" s="117"/>
      <c r="K712" s="327"/>
      <c r="L712" s="117"/>
      <c r="M712" s="320"/>
      <c r="N712" s="164"/>
      <c r="O712" s="320"/>
      <c r="P712" s="164"/>
      <c r="Q712" s="338"/>
      <c r="R712" s="338"/>
      <c r="S712" s="20"/>
      <c r="T712" s="20"/>
      <c r="U712" s="20"/>
      <c r="V712" s="20"/>
    </row>
    <row r="713">
      <c r="A713" s="320"/>
      <c r="B713" s="164"/>
      <c r="C713" s="320"/>
      <c r="D713" s="164"/>
      <c r="E713" s="320"/>
      <c r="F713" s="164"/>
      <c r="G713" s="320"/>
      <c r="H713" s="164"/>
      <c r="I713" s="327"/>
      <c r="J713" s="117"/>
      <c r="K713" s="327"/>
      <c r="L713" s="117"/>
      <c r="M713" s="320"/>
      <c r="N713" s="164"/>
      <c r="O713" s="320"/>
      <c r="P713" s="164"/>
      <c r="Q713" s="338"/>
      <c r="R713" s="338"/>
      <c r="S713" s="20"/>
      <c r="T713" s="20"/>
      <c r="U713" s="20"/>
      <c r="V713" s="20"/>
    </row>
    <row r="714">
      <c r="A714" s="320"/>
      <c r="B714" s="164"/>
      <c r="C714" s="320"/>
      <c r="D714" s="164"/>
      <c r="E714" s="320"/>
      <c r="F714" s="164"/>
      <c r="G714" s="320"/>
      <c r="H714" s="164"/>
      <c r="I714" s="327"/>
      <c r="J714" s="117"/>
      <c r="K714" s="327"/>
      <c r="L714" s="117"/>
      <c r="M714" s="320"/>
      <c r="N714" s="164"/>
      <c r="O714" s="320"/>
      <c r="P714" s="164"/>
      <c r="Q714" s="338"/>
      <c r="R714" s="338"/>
      <c r="S714" s="20"/>
      <c r="T714" s="20"/>
      <c r="U714" s="20"/>
      <c r="V714" s="20"/>
    </row>
    <row r="715">
      <c r="A715" s="320"/>
      <c r="B715" s="164"/>
      <c r="C715" s="320"/>
      <c r="D715" s="164"/>
      <c r="E715" s="320"/>
      <c r="F715" s="164"/>
      <c r="G715" s="320"/>
      <c r="H715" s="164"/>
      <c r="I715" s="327"/>
      <c r="J715" s="117"/>
      <c r="K715" s="327"/>
      <c r="L715" s="117"/>
      <c r="M715" s="320"/>
      <c r="N715" s="164"/>
      <c r="O715" s="320"/>
      <c r="P715" s="164"/>
      <c r="Q715" s="338"/>
      <c r="R715" s="338"/>
      <c r="S715" s="20"/>
      <c r="T715" s="20"/>
      <c r="U715" s="20"/>
      <c r="V715" s="20"/>
    </row>
    <row r="716">
      <c r="A716" s="320"/>
      <c r="B716" s="164"/>
      <c r="C716" s="320"/>
      <c r="D716" s="164"/>
      <c r="E716" s="320"/>
      <c r="F716" s="164"/>
      <c r="G716" s="320"/>
      <c r="H716" s="164"/>
      <c r="I716" s="327"/>
      <c r="J716" s="117"/>
      <c r="K716" s="327"/>
      <c r="L716" s="117"/>
      <c r="M716" s="320"/>
      <c r="N716" s="164"/>
      <c r="O716" s="320"/>
      <c r="P716" s="164"/>
      <c r="Q716" s="338"/>
      <c r="R716" s="338"/>
      <c r="S716" s="20"/>
      <c r="T716" s="20"/>
      <c r="U716" s="20"/>
      <c r="V716" s="20"/>
    </row>
    <row r="717">
      <c r="A717" s="320"/>
      <c r="B717" s="164"/>
      <c r="C717" s="320"/>
      <c r="D717" s="164"/>
      <c r="E717" s="320"/>
      <c r="F717" s="164"/>
      <c r="G717" s="320"/>
      <c r="H717" s="164"/>
      <c r="I717" s="327"/>
      <c r="J717" s="117"/>
      <c r="K717" s="327"/>
      <c r="L717" s="117"/>
      <c r="M717" s="320"/>
      <c r="N717" s="164"/>
      <c r="O717" s="320"/>
      <c r="P717" s="164"/>
      <c r="Q717" s="338"/>
      <c r="R717" s="338"/>
      <c r="S717" s="20"/>
      <c r="T717" s="20"/>
      <c r="U717" s="20"/>
      <c r="V717" s="20"/>
    </row>
    <row r="718">
      <c r="A718" s="320"/>
      <c r="B718" s="164"/>
      <c r="C718" s="320"/>
      <c r="D718" s="164"/>
      <c r="E718" s="320"/>
      <c r="F718" s="164"/>
      <c r="G718" s="320"/>
      <c r="H718" s="164"/>
      <c r="I718" s="327"/>
      <c r="J718" s="117"/>
      <c r="K718" s="327"/>
      <c r="L718" s="117"/>
      <c r="M718" s="320"/>
      <c r="N718" s="164"/>
      <c r="O718" s="320"/>
      <c r="P718" s="164"/>
      <c r="Q718" s="338"/>
      <c r="R718" s="338"/>
      <c r="S718" s="20"/>
      <c r="T718" s="20"/>
      <c r="U718" s="20"/>
      <c r="V718" s="20"/>
    </row>
    <row r="719">
      <c r="A719" s="320"/>
      <c r="B719" s="164"/>
      <c r="C719" s="320"/>
      <c r="D719" s="164"/>
      <c r="E719" s="320"/>
      <c r="F719" s="164"/>
      <c r="G719" s="320"/>
      <c r="H719" s="164"/>
      <c r="I719" s="327"/>
      <c r="J719" s="117"/>
      <c r="K719" s="327"/>
      <c r="L719" s="117"/>
      <c r="M719" s="320"/>
      <c r="N719" s="164"/>
      <c r="O719" s="320"/>
      <c r="P719" s="164"/>
      <c r="Q719" s="338"/>
      <c r="R719" s="338"/>
      <c r="S719" s="20"/>
      <c r="T719" s="20"/>
      <c r="U719" s="20"/>
      <c r="V719" s="20"/>
    </row>
    <row r="720">
      <c r="A720" s="320"/>
      <c r="B720" s="164"/>
      <c r="C720" s="320"/>
      <c r="D720" s="164"/>
      <c r="E720" s="320"/>
      <c r="F720" s="164"/>
      <c r="G720" s="320"/>
      <c r="H720" s="164"/>
      <c r="I720" s="327"/>
      <c r="J720" s="117"/>
      <c r="K720" s="327"/>
      <c r="L720" s="117"/>
      <c r="M720" s="320"/>
      <c r="N720" s="164"/>
      <c r="O720" s="320"/>
      <c r="P720" s="164"/>
      <c r="Q720" s="338"/>
      <c r="R720" s="338"/>
      <c r="S720" s="20"/>
      <c r="T720" s="20"/>
      <c r="U720" s="20"/>
      <c r="V720" s="20"/>
    </row>
    <row r="721">
      <c r="A721" s="320"/>
      <c r="B721" s="164"/>
      <c r="C721" s="320"/>
      <c r="D721" s="164"/>
      <c r="E721" s="320"/>
      <c r="F721" s="164"/>
      <c r="G721" s="320"/>
      <c r="H721" s="164"/>
      <c r="I721" s="327"/>
      <c r="J721" s="117"/>
      <c r="K721" s="327"/>
      <c r="L721" s="117"/>
      <c r="M721" s="320"/>
      <c r="N721" s="164"/>
      <c r="O721" s="320"/>
      <c r="P721" s="164"/>
      <c r="Q721" s="338"/>
      <c r="R721" s="338"/>
      <c r="S721" s="20"/>
      <c r="T721" s="20"/>
      <c r="U721" s="20"/>
      <c r="V721" s="20"/>
    </row>
    <row r="722">
      <c r="A722" s="320"/>
      <c r="B722" s="164"/>
      <c r="C722" s="320"/>
      <c r="D722" s="164"/>
      <c r="E722" s="320"/>
      <c r="F722" s="164"/>
      <c r="G722" s="320"/>
      <c r="H722" s="164"/>
      <c r="I722" s="327"/>
      <c r="J722" s="117"/>
      <c r="K722" s="327"/>
      <c r="L722" s="117"/>
      <c r="M722" s="320"/>
      <c r="N722" s="164"/>
      <c r="O722" s="320"/>
      <c r="P722" s="164"/>
      <c r="Q722" s="338"/>
      <c r="R722" s="338"/>
      <c r="S722" s="20"/>
      <c r="T722" s="20"/>
      <c r="U722" s="20"/>
      <c r="V722" s="20"/>
    </row>
    <row r="723">
      <c r="A723" s="320"/>
      <c r="B723" s="164"/>
      <c r="C723" s="320"/>
      <c r="D723" s="164"/>
      <c r="E723" s="320"/>
      <c r="F723" s="164"/>
      <c r="G723" s="320"/>
      <c r="H723" s="164"/>
      <c r="I723" s="327"/>
      <c r="J723" s="117"/>
      <c r="K723" s="327"/>
      <c r="L723" s="117"/>
      <c r="M723" s="320"/>
      <c r="N723" s="164"/>
      <c r="O723" s="320"/>
      <c r="P723" s="164"/>
      <c r="Q723" s="338"/>
      <c r="R723" s="338"/>
      <c r="S723" s="20"/>
      <c r="T723" s="20"/>
      <c r="U723" s="20"/>
      <c r="V723" s="20"/>
    </row>
    <row r="724">
      <c r="A724" s="320"/>
      <c r="B724" s="164"/>
      <c r="C724" s="320"/>
      <c r="D724" s="164"/>
      <c r="E724" s="320"/>
      <c r="F724" s="164"/>
      <c r="G724" s="320"/>
      <c r="H724" s="164"/>
      <c r="I724" s="327"/>
      <c r="J724" s="117"/>
      <c r="K724" s="327"/>
      <c r="L724" s="117"/>
      <c r="M724" s="320"/>
      <c r="N724" s="164"/>
      <c r="O724" s="320"/>
      <c r="P724" s="164"/>
      <c r="Q724" s="338"/>
      <c r="R724" s="338"/>
      <c r="S724" s="20"/>
      <c r="T724" s="20"/>
      <c r="U724" s="20"/>
      <c r="V724" s="20"/>
    </row>
    <row r="725">
      <c r="A725" s="320"/>
      <c r="B725" s="164"/>
      <c r="C725" s="320"/>
      <c r="D725" s="164"/>
      <c r="E725" s="320"/>
      <c r="F725" s="164"/>
      <c r="G725" s="320"/>
      <c r="H725" s="164"/>
      <c r="I725" s="327"/>
      <c r="J725" s="117"/>
      <c r="K725" s="327"/>
      <c r="L725" s="117"/>
      <c r="M725" s="320"/>
      <c r="N725" s="164"/>
      <c r="O725" s="320"/>
      <c r="P725" s="164"/>
      <c r="Q725" s="338"/>
      <c r="R725" s="338"/>
      <c r="S725" s="20"/>
      <c r="T725" s="20"/>
      <c r="U725" s="20"/>
      <c r="V725" s="20"/>
    </row>
    <row r="726">
      <c r="A726" s="320"/>
      <c r="B726" s="164"/>
      <c r="C726" s="320"/>
      <c r="D726" s="164"/>
      <c r="E726" s="320"/>
      <c r="F726" s="164"/>
      <c r="G726" s="320"/>
      <c r="H726" s="164"/>
      <c r="I726" s="327"/>
      <c r="J726" s="117"/>
      <c r="K726" s="327"/>
      <c r="L726" s="117"/>
      <c r="M726" s="320"/>
      <c r="N726" s="164"/>
      <c r="O726" s="320"/>
      <c r="P726" s="164"/>
      <c r="Q726" s="338"/>
      <c r="R726" s="338"/>
      <c r="S726" s="20"/>
      <c r="T726" s="20"/>
      <c r="U726" s="20"/>
      <c r="V726" s="20"/>
    </row>
    <row r="727">
      <c r="A727" s="320"/>
      <c r="B727" s="164"/>
      <c r="C727" s="320"/>
      <c r="D727" s="164"/>
      <c r="E727" s="320"/>
      <c r="F727" s="164"/>
      <c r="G727" s="320"/>
      <c r="H727" s="164"/>
      <c r="I727" s="327"/>
      <c r="J727" s="117"/>
      <c r="K727" s="327"/>
      <c r="L727" s="117"/>
      <c r="M727" s="320"/>
      <c r="N727" s="164"/>
      <c r="O727" s="320"/>
      <c r="P727" s="164"/>
      <c r="Q727" s="338"/>
      <c r="R727" s="338"/>
      <c r="S727" s="20"/>
      <c r="T727" s="20"/>
      <c r="U727" s="20"/>
      <c r="V727" s="20"/>
    </row>
    <row r="728">
      <c r="A728" s="320"/>
      <c r="B728" s="164"/>
      <c r="C728" s="320"/>
      <c r="D728" s="164"/>
      <c r="E728" s="320"/>
      <c r="F728" s="164"/>
      <c r="G728" s="320"/>
      <c r="H728" s="164"/>
      <c r="I728" s="327"/>
      <c r="J728" s="117"/>
      <c r="K728" s="327"/>
      <c r="L728" s="117"/>
      <c r="M728" s="320"/>
      <c r="N728" s="164"/>
      <c r="O728" s="320"/>
      <c r="P728" s="164"/>
      <c r="Q728" s="338"/>
      <c r="R728" s="338"/>
      <c r="S728" s="20"/>
      <c r="T728" s="20"/>
      <c r="U728" s="20"/>
      <c r="V728" s="20"/>
    </row>
    <row r="729">
      <c r="A729" s="320"/>
      <c r="B729" s="164"/>
      <c r="C729" s="320"/>
      <c r="D729" s="164"/>
      <c r="E729" s="320"/>
      <c r="F729" s="164"/>
      <c r="G729" s="320"/>
      <c r="H729" s="164"/>
      <c r="I729" s="327"/>
      <c r="J729" s="117"/>
      <c r="K729" s="327"/>
      <c r="L729" s="117"/>
      <c r="M729" s="320"/>
      <c r="N729" s="164"/>
      <c r="O729" s="320"/>
      <c r="P729" s="164"/>
      <c r="Q729" s="338"/>
      <c r="R729" s="338"/>
      <c r="S729" s="20"/>
      <c r="T729" s="20"/>
      <c r="U729" s="20"/>
      <c r="V729" s="20"/>
    </row>
    <row r="730">
      <c r="A730" s="320"/>
      <c r="B730" s="164"/>
      <c r="C730" s="320"/>
      <c r="D730" s="164"/>
      <c r="E730" s="320"/>
      <c r="F730" s="164"/>
      <c r="G730" s="320"/>
      <c r="H730" s="164"/>
      <c r="I730" s="327"/>
      <c r="J730" s="117"/>
      <c r="K730" s="327"/>
      <c r="L730" s="117"/>
      <c r="M730" s="320"/>
      <c r="N730" s="164"/>
      <c r="O730" s="320"/>
      <c r="P730" s="164"/>
      <c r="Q730" s="338"/>
      <c r="R730" s="338"/>
      <c r="S730" s="20"/>
      <c r="T730" s="20"/>
      <c r="U730" s="20"/>
      <c r="V730" s="20"/>
    </row>
    <row r="731">
      <c r="A731" s="320"/>
      <c r="B731" s="164"/>
      <c r="C731" s="320"/>
      <c r="D731" s="164"/>
      <c r="E731" s="320"/>
      <c r="F731" s="164"/>
      <c r="G731" s="320"/>
      <c r="H731" s="164"/>
      <c r="I731" s="327"/>
      <c r="J731" s="117"/>
      <c r="K731" s="327"/>
      <c r="L731" s="117"/>
      <c r="M731" s="320"/>
      <c r="N731" s="164"/>
      <c r="O731" s="320"/>
      <c r="P731" s="164"/>
      <c r="Q731" s="338"/>
      <c r="R731" s="338"/>
      <c r="S731" s="20"/>
      <c r="T731" s="20"/>
      <c r="U731" s="20"/>
      <c r="V731" s="20"/>
    </row>
    <row r="732">
      <c r="A732" s="320"/>
      <c r="B732" s="164"/>
      <c r="C732" s="320"/>
      <c r="D732" s="164"/>
      <c r="E732" s="320"/>
      <c r="F732" s="164"/>
      <c r="G732" s="320"/>
      <c r="H732" s="164"/>
      <c r="I732" s="327"/>
      <c r="J732" s="117"/>
      <c r="K732" s="327"/>
      <c r="L732" s="117"/>
      <c r="M732" s="320"/>
      <c r="N732" s="164"/>
      <c r="O732" s="320"/>
      <c r="P732" s="164"/>
      <c r="Q732" s="338"/>
      <c r="R732" s="338"/>
      <c r="S732" s="20"/>
      <c r="T732" s="20"/>
      <c r="U732" s="20"/>
      <c r="V732" s="20"/>
    </row>
    <row r="733">
      <c r="A733" s="320"/>
      <c r="B733" s="164"/>
      <c r="C733" s="320"/>
      <c r="D733" s="164"/>
      <c r="E733" s="320"/>
      <c r="F733" s="164"/>
      <c r="G733" s="320"/>
      <c r="H733" s="164"/>
      <c r="I733" s="327"/>
      <c r="J733" s="117"/>
      <c r="K733" s="327"/>
      <c r="L733" s="117"/>
      <c r="M733" s="320"/>
      <c r="N733" s="164"/>
      <c r="O733" s="320"/>
      <c r="P733" s="164"/>
      <c r="Q733" s="338"/>
      <c r="R733" s="338"/>
      <c r="S733" s="20"/>
      <c r="T733" s="20"/>
      <c r="U733" s="20"/>
      <c r="V733" s="20"/>
    </row>
    <row r="734">
      <c r="A734" s="320"/>
      <c r="B734" s="164"/>
      <c r="C734" s="320"/>
      <c r="D734" s="164"/>
      <c r="E734" s="320"/>
      <c r="F734" s="164"/>
      <c r="G734" s="320"/>
      <c r="H734" s="164"/>
      <c r="I734" s="327"/>
      <c r="J734" s="117"/>
      <c r="K734" s="327"/>
      <c r="L734" s="117"/>
      <c r="M734" s="320"/>
      <c r="N734" s="164"/>
      <c r="O734" s="320"/>
      <c r="P734" s="164"/>
      <c r="Q734" s="338"/>
      <c r="R734" s="338"/>
      <c r="S734" s="20"/>
      <c r="T734" s="20"/>
      <c r="U734" s="20"/>
      <c r="V734" s="20"/>
    </row>
    <row r="735">
      <c r="A735" s="320"/>
      <c r="B735" s="164"/>
      <c r="C735" s="320"/>
      <c r="D735" s="164"/>
      <c r="E735" s="320"/>
      <c r="F735" s="164"/>
      <c r="G735" s="320"/>
      <c r="H735" s="164"/>
      <c r="I735" s="327"/>
      <c r="J735" s="117"/>
      <c r="K735" s="327"/>
      <c r="L735" s="117"/>
      <c r="M735" s="320"/>
      <c r="N735" s="164"/>
      <c r="O735" s="320"/>
      <c r="P735" s="164"/>
      <c r="Q735" s="338"/>
      <c r="R735" s="338"/>
      <c r="S735" s="20"/>
      <c r="T735" s="20"/>
      <c r="U735" s="20"/>
      <c r="V735" s="20"/>
    </row>
    <row r="736">
      <c r="A736" s="320"/>
      <c r="B736" s="164"/>
      <c r="C736" s="320"/>
      <c r="D736" s="164"/>
      <c r="E736" s="320"/>
      <c r="F736" s="164"/>
      <c r="G736" s="320"/>
      <c r="H736" s="164"/>
      <c r="I736" s="327"/>
      <c r="J736" s="117"/>
      <c r="K736" s="327"/>
      <c r="L736" s="117"/>
      <c r="M736" s="320"/>
      <c r="N736" s="164"/>
      <c r="O736" s="320"/>
      <c r="P736" s="164"/>
      <c r="Q736" s="338"/>
      <c r="R736" s="338"/>
      <c r="S736" s="20"/>
      <c r="T736" s="20"/>
      <c r="U736" s="20"/>
      <c r="V736" s="20"/>
    </row>
    <row r="737">
      <c r="A737" s="320"/>
      <c r="B737" s="164"/>
      <c r="C737" s="320"/>
      <c r="D737" s="164"/>
      <c r="E737" s="320"/>
      <c r="F737" s="164"/>
      <c r="G737" s="320"/>
      <c r="H737" s="164"/>
      <c r="I737" s="327"/>
      <c r="J737" s="117"/>
      <c r="K737" s="327"/>
      <c r="L737" s="117"/>
      <c r="M737" s="320"/>
      <c r="N737" s="164"/>
      <c r="O737" s="320"/>
      <c r="P737" s="164"/>
      <c r="Q737" s="338"/>
      <c r="R737" s="338"/>
      <c r="S737" s="20"/>
      <c r="T737" s="20"/>
      <c r="U737" s="20"/>
      <c r="V737" s="20"/>
    </row>
    <row r="738">
      <c r="A738" s="320"/>
      <c r="B738" s="164"/>
      <c r="C738" s="320"/>
      <c r="D738" s="164"/>
      <c r="E738" s="320"/>
      <c r="F738" s="164"/>
      <c r="G738" s="320"/>
      <c r="H738" s="164"/>
      <c r="I738" s="327"/>
      <c r="J738" s="117"/>
      <c r="K738" s="327"/>
      <c r="L738" s="117"/>
      <c r="M738" s="320"/>
      <c r="N738" s="164"/>
      <c r="O738" s="320"/>
      <c r="P738" s="164"/>
      <c r="Q738" s="338"/>
      <c r="R738" s="338"/>
      <c r="S738" s="20"/>
      <c r="T738" s="20"/>
      <c r="U738" s="20"/>
      <c r="V738" s="20"/>
    </row>
    <row r="739">
      <c r="A739" s="320"/>
      <c r="B739" s="164"/>
      <c r="C739" s="320"/>
      <c r="D739" s="164"/>
      <c r="E739" s="320"/>
      <c r="F739" s="164"/>
      <c r="G739" s="320"/>
      <c r="H739" s="164"/>
      <c r="I739" s="327"/>
      <c r="J739" s="117"/>
      <c r="K739" s="327"/>
      <c r="L739" s="117"/>
      <c r="M739" s="320"/>
      <c r="N739" s="164"/>
      <c r="O739" s="320"/>
      <c r="P739" s="164"/>
      <c r="Q739" s="338"/>
      <c r="R739" s="338"/>
      <c r="S739" s="20"/>
      <c r="T739" s="20"/>
      <c r="U739" s="20"/>
      <c r="V739" s="20"/>
    </row>
    <row r="740">
      <c r="A740" s="320"/>
      <c r="B740" s="164"/>
      <c r="C740" s="320"/>
      <c r="D740" s="164"/>
      <c r="E740" s="320"/>
      <c r="F740" s="164"/>
      <c r="G740" s="320"/>
      <c r="H740" s="164"/>
      <c r="I740" s="327"/>
      <c r="J740" s="117"/>
      <c r="K740" s="327"/>
      <c r="L740" s="117"/>
      <c r="M740" s="320"/>
      <c r="N740" s="164"/>
      <c r="O740" s="320"/>
      <c r="P740" s="164"/>
      <c r="Q740" s="338"/>
      <c r="R740" s="338"/>
      <c r="S740" s="20"/>
      <c r="T740" s="20"/>
      <c r="U740" s="20"/>
      <c r="V740" s="20"/>
    </row>
    <row r="741">
      <c r="A741" s="320"/>
      <c r="B741" s="164"/>
      <c r="C741" s="320"/>
      <c r="D741" s="164"/>
      <c r="E741" s="320"/>
      <c r="F741" s="164"/>
      <c r="G741" s="320"/>
      <c r="H741" s="164"/>
      <c r="I741" s="327"/>
      <c r="J741" s="117"/>
      <c r="K741" s="327"/>
      <c r="L741" s="117"/>
      <c r="M741" s="320"/>
      <c r="N741" s="164"/>
      <c r="O741" s="320"/>
      <c r="P741" s="164"/>
      <c r="Q741" s="338"/>
      <c r="R741" s="338"/>
      <c r="S741" s="20"/>
      <c r="T741" s="20"/>
      <c r="U741" s="20"/>
      <c r="V741" s="20"/>
    </row>
    <row r="742">
      <c r="A742" s="320"/>
      <c r="B742" s="164"/>
      <c r="C742" s="320"/>
      <c r="D742" s="164"/>
      <c r="E742" s="320"/>
      <c r="F742" s="164"/>
      <c r="G742" s="320"/>
      <c r="H742" s="164"/>
      <c r="I742" s="327"/>
      <c r="J742" s="117"/>
      <c r="K742" s="327"/>
      <c r="L742" s="117"/>
      <c r="M742" s="320"/>
      <c r="N742" s="164"/>
      <c r="O742" s="320"/>
      <c r="P742" s="164"/>
      <c r="Q742" s="338"/>
      <c r="R742" s="338"/>
      <c r="S742" s="20"/>
      <c r="T742" s="20"/>
      <c r="U742" s="20"/>
      <c r="V742" s="20"/>
    </row>
    <row r="743">
      <c r="A743" s="320"/>
      <c r="B743" s="164"/>
      <c r="C743" s="320"/>
      <c r="D743" s="164"/>
      <c r="E743" s="320"/>
      <c r="F743" s="164"/>
      <c r="G743" s="320"/>
      <c r="H743" s="164"/>
      <c r="I743" s="327"/>
      <c r="J743" s="117"/>
      <c r="K743" s="327"/>
      <c r="L743" s="117"/>
      <c r="M743" s="320"/>
      <c r="N743" s="164"/>
      <c r="O743" s="320"/>
      <c r="P743" s="164"/>
      <c r="Q743" s="338"/>
      <c r="R743" s="338"/>
      <c r="S743" s="20"/>
      <c r="T743" s="20"/>
      <c r="U743" s="20"/>
      <c r="V743" s="20"/>
    </row>
    <row r="744">
      <c r="A744" s="320"/>
      <c r="B744" s="164"/>
      <c r="C744" s="320"/>
      <c r="D744" s="164"/>
      <c r="E744" s="320"/>
      <c r="F744" s="164"/>
      <c r="G744" s="320"/>
      <c r="H744" s="164"/>
      <c r="I744" s="327"/>
      <c r="J744" s="117"/>
      <c r="K744" s="327"/>
      <c r="L744" s="117"/>
      <c r="M744" s="320"/>
      <c r="N744" s="164"/>
      <c r="O744" s="320"/>
      <c r="P744" s="164"/>
      <c r="Q744" s="338"/>
      <c r="R744" s="338"/>
      <c r="S744" s="20"/>
      <c r="T744" s="20"/>
      <c r="U744" s="20"/>
      <c r="V744" s="20"/>
    </row>
    <row r="745">
      <c r="A745" s="320"/>
      <c r="B745" s="164"/>
      <c r="C745" s="320"/>
      <c r="D745" s="164"/>
      <c r="E745" s="320"/>
      <c r="F745" s="164"/>
      <c r="G745" s="320"/>
      <c r="H745" s="164"/>
      <c r="I745" s="327"/>
      <c r="J745" s="117"/>
      <c r="K745" s="327"/>
      <c r="L745" s="117"/>
      <c r="M745" s="320"/>
      <c r="N745" s="164"/>
      <c r="O745" s="320"/>
      <c r="P745" s="164"/>
      <c r="Q745" s="338"/>
      <c r="R745" s="338"/>
      <c r="S745" s="20"/>
      <c r="T745" s="20"/>
      <c r="U745" s="20"/>
      <c r="V745" s="20"/>
    </row>
    <row r="746">
      <c r="A746" s="320"/>
      <c r="B746" s="164"/>
      <c r="C746" s="320"/>
      <c r="D746" s="164"/>
      <c r="E746" s="320"/>
      <c r="F746" s="164"/>
      <c r="G746" s="320"/>
      <c r="H746" s="164"/>
      <c r="I746" s="327"/>
      <c r="J746" s="117"/>
      <c r="K746" s="327"/>
      <c r="L746" s="117"/>
      <c r="M746" s="320"/>
      <c r="N746" s="164"/>
      <c r="O746" s="320"/>
      <c r="P746" s="164"/>
      <c r="Q746" s="338"/>
      <c r="R746" s="338"/>
      <c r="S746" s="20"/>
      <c r="T746" s="20"/>
      <c r="U746" s="20"/>
      <c r="V746" s="20"/>
    </row>
    <row r="747">
      <c r="A747" s="320"/>
      <c r="B747" s="164"/>
      <c r="C747" s="320"/>
      <c r="D747" s="164"/>
      <c r="E747" s="320"/>
      <c r="F747" s="164"/>
      <c r="G747" s="320"/>
      <c r="H747" s="164"/>
      <c r="I747" s="327"/>
      <c r="J747" s="117"/>
      <c r="K747" s="327"/>
      <c r="L747" s="117"/>
      <c r="M747" s="320"/>
      <c r="N747" s="164"/>
      <c r="O747" s="320"/>
      <c r="P747" s="164"/>
      <c r="Q747" s="338"/>
      <c r="R747" s="338"/>
      <c r="S747" s="20"/>
      <c r="T747" s="20"/>
      <c r="U747" s="20"/>
      <c r="V747" s="20"/>
    </row>
    <row r="748">
      <c r="A748" s="320"/>
      <c r="B748" s="164"/>
      <c r="C748" s="320"/>
      <c r="D748" s="164"/>
      <c r="E748" s="320"/>
      <c r="F748" s="164"/>
      <c r="G748" s="320"/>
      <c r="H748" s="164"/>
      <c r="I748" s="327"/>
      <c r="J748" s="117"/>
      <c r="K748" s="327"/>
      <c r="L748" s="117"/>
      <c r="M748" s="320"/>
      <c r="N748" s="164"/>
      <c r="O748" s="320"/>
      <c r="P748" s="164"/>
      <c r="Q748" s="338"/>
      <c r="R748" s="338"/>
      <c r="S748" s="20"/>
      <c r="T748" s="20"/>
      <c r="U748" s="20"/>
      <c r="V748" s="20"/>
    </row>
    <row r="749">
      <c r="A749" s="320"/>
      <c r="B749" s="164"/>
      <c r="C749" s="320"/>
      <c r="D749" s="164"/>
      <c r="E749" s="320"/>
      <c r="F749" s="164"/>
      <c r="G749" s="320"/>
      <c r="H749" s="164"/>
      <c r="I749" s="327"/>
      <c r="J749" s="117"/>
      <c r="K749" s="327"/>
      <c r="L749" s="117"/>
      <c r="M749" s="320"/>
      <c r="N749" s="164"/>
      <c r="O749" s="320"/>
      <c r="P749" s="164"/>
      <c r="Q749" s="338"/>
      <c r="R749" s="338"/>
      <c r="S749" s="20"/>
      <c r="T749" s="20"/>
      <c r="U749" s="20"/>
      <c r="V749" s="20"/>
    </row>
    <row r="750">
      <c r="A750" s="320"/>
      <c r="B750" s="164"/>
      <c r="C750" s="320"/>
      <c r="D750" s="164"/>
      <c r="E750" s="320"/>
      <c r="F750" s="164"/>
      <c r="G750" s="320"/>
      <c r="H750" s="164"/>
      <c r="I750" s="327"/>
      <c r="J750" s="117"/>
      <c r="K750" s="327"/>
      <c r="L750" s="117"/>
      <c r="M750" s="320"/>
      <c r="N750" s="164"/>
      <c r="O750" s="320"/>
      <c r="P750" s="164"/>
      <c r="Q750" s="338"/>
      <c r="R750" s="338"/>
      <c r="S750" s="20"/>
      <c r="T750" s="20"/>
      <c r="U750" s="20"/>
      <c r="V750" s="20"/>
    </row>
    <row r="751">
      <c r="A751" s="320"/>
      <c r="B751" s="164"/>
      <c r="C751" s="320"/>
      <c r="D751" s="164"/>
      <c r="E751" s="320"/>
      <c r="F751" s="164"/>
      <c r="G751" s="320"/>
      <c r="H751" s="164"/>
      <c r="I751" s="327"/>
      <c r="J751" s="117"/>
      <c r="K751" s="327"/>
      <c r="L751" s="117"/>
      <c r="M751" s="320"/>
      <c r="N751" s="164"/>
      <c r="O751" s="320"/>
      <c r="P751" s="164"/>
      <c r="Q751" s="338"/>
      <c r="R751" s="338"/>
      <c r="S751" s="20"/>
      <c r="T751" s="20"/>
      <c r="U751" s="20"/>
      <c r="V751" s="20"/>
    </row>
    <row r="752">
      <c r="A752" s="320"/>
      <c r="B752" s="164"/>
      <c r="C752" s="320"/>
      <c r="D752" s="164"/>
      <c r="E752" s="320"/>
      <c r="F752" s="164"/>
      <c r="G752" s="320"/>
      <c r="H752" s="164"/>
      <c r="I752" s="327"/>
      <c r="J752" s="117"/>
      <c r="K752" s="327"/>
      <c r="L752" s="117"/>
      <c r="M752" s="320"/>
      <c r="N752" s="164"/>
      <c r="O752" s="320"/>
      <c r="P752" s="164"/>
      <c r="Q752" s="338"/>
      <c r="R752" s="338"/>
      <c r="S752" s="20"/>
      <c r="T752" s="20"/>
      <c r="U752" s="20"/>
      <c r="V752" s="20"/>
    </row>
    <row r="753">
      <c r="A753" s="320"/>
      <c r="B753" s="164"/>
      <c r="C753" s="320"/>
      <c r="D753" s="164"/>
      <c r="E753" s="320"/>
      <c r="F753" s="164"/>
      <c r="G753" s="320"/>
      <c r="H753" s="164"/>
      <c r="I753" s="327"/>
      <c r="J753" s="117"/>
      <c r="K753" s="327"/>
      <c r="L753" s="117"/>
      <c r="M753" s="320"/>
      <c r="N753" s="164"/>
      <c r="O753" s="320"/>
      <c r="P753" s="164"/>
      <c r="Q753" s="338"/>
      <c r="R753" s="338"/>
      <c r="S753" s="20"/>
      <c r="T753" s="20"/>
      <c r="U753" s="20"/>
      <c r="V753" s="20"/>
    </row>
    <row r="754">
      <c r="A754" s="320"/>
      <c r="B754" s="164"/>
      <c r="C754" s="320"/>
      <c r="D754" s="164"/>
      <c r="E754" s="320"/>
      <c r="F754" s="164"/>
      <c r="G754" s="320"/>
      <c r="H754" s="164"/>
      <c r="I754" s="327"/>
      <c r="J754" s="117"/>
      <c r="K754" s="327"/>
      <c r="L754" s="117"/>
      <c r="M754" s="320"/>
      <c r="N754" s="164"/>
      <c r="O754" s="320"/>
      <c r="P754" s="164"/>
      <c r="Q754" s="338"/>
      <c r="R754" s="338"/>
      <c r="S754" s="20"/>
      <c r="T754" s="20"/>
      <c r="U754" s="20"/>
      <c r="V754" s="20"/>
    </row>
    <row r="755">
      <c r="A755" s="320"/>
      <c r="B755" s="164"/>
      <c r="C755" s="320"/>
      <c r="D755" s="164"/>
      <c r="E755" s="320"/>
      <c r="F755" s="164"/>
      <c r="G755" s="320"/>
      <c r="H755" s="164"/>
      <c r="I755" s="327"/>
      <c r="J755" s="117"/>
      <c r="K755" s="327"/>
      <c r="L755" s="117"/>
      <c r="M755" s="320"/>
      <c r="N755" s="164"/>
      <c r="O755" s="320"/>
      <c r="P755" s="164"/>
      <c r="Q755" s="338"/>
      <c r="R755" s="338"/>
      <c r="S755" s="20"/>
      <c r="T755" s="20"/>
      <c r="U755" s="20"/>
      <c r="V755" s="20"/>
    </row>
    <row r="756">
      <c r="A756" s="320"/>
      <c r="B756" s="164"/>
      <c r="C756" s="320"/>
      <c r="D756" s="164"/>
      <c r="E756" s="320"/>
      <c r="F756" s="164"/>
      <c r="G756" s="320"/>
      <c r="H756" s="164"/>
      <c r="I756" s="327"/>
      <c r="J756" s="117"/>
      <c r="K756" s="327"/>
      <c r="L756" s="117"/>
      <c r="M756" s="320"/>
      <c r="N756" s="164"/>
      <c r="O756" s="320"/>
      <c r="P756" s="164"/>
      <c r="Q756" s="338"/>
      <c r="R756" s="338"/>
      <c r="S756" s="20"/>
      <c r="T756" s="20"/>
      <c r="U756" s="20"/>
      <c r="V756" s="20"/>
    </row>
    <row r="757">
      <c r="A757" s="320"/>
      <c r="B757" s="164"/>
      <c r="C757" s="320"/>
      <c r="D757" s="164"/>
      <c r="E757" s="320"/>
      <c r="F757" s="164"/>
      <c r="G757" s="320"/>
      <c r="H757" s="164"/>
      <c r="I757" s="327"/>
      <c r="J757" s="117"/>
      <c r="K757" s="327"/>
      <c r="L757" s="117"/>
      <c r="M757" s="320"/>
      <c r="N757" s="164"/>
      <c r="O757" s="320"/>
      <c r="P757" s="164"/>
      <c r="Q757" s="338"/>
      <c r="R757" s="338"/>
      <c r="S757" s="20"/>
      <c r="T757" s="20"/>
      <c r="U757" s="20"/>
      <c r="V757" s="20"/>
    </row>
    <row r="758">
      <c r="A758" s="320"/>
      <c r="B758" s="164"/>
      <c r="C758" s="320"/>
      <c r="D758" s="164"/>
      <c r="E758" s="320"/>
      <c r="F758" s="164"/>
      <c r="G758" s="320"/>
      <c r="H758" s="164"/>
      <c r="I758" s="327"/>
      <c r="J758" s="117"/>
      <c r="K758" s="327"/>
      <c r="L758" s="117"/>
      <c r="M758" s="320"/>
      <c r="N758" s="164"/>
      <c r="O758" s="320"/>
      <c r="P758" s="164"/>
      <c r="Q758" s="338"/>
      <c r="R758" s="338"/>
      <c r="S758" s="20"/>
      <c r="T758" s="20"/>
      <c r="U758" s="20"/>
      <c r="V758" s="20"/>
    </row>
    <row r="759">
      <c r="A759" s="320"/>
      <c r="B759" s="164"/>
      <c r="C759" s="320"/>
      <c r="D759" s="164"/>
      <c r="E759" s="320"/>
      <c r="F759" s="164"/>
      <c r="G759" s="320"/>
      <c r="H759" s="164"/>
      <c r="I759" s="327"/>
      <c r="J759" s="117"/>
      <c r="K759" s="327"/>
      <c r="L759" s="117"/>
      <c r="M759" s="320"/>
      <c r="N759" s="164"/>
      <c r="O759" s="320"/>
      <c r="P759" s="164"/>
      <c r="Q759" s="338"/>
      <c r="R759" s="338"/>
      <c r="S759" s="20"/>
      <c r="T759" s="20"/>
      <c r="U759" s="20"/>
      <c r="V759" s="20"/>
    </row>
    <row r="760">
      <c r="A760" s="320"/>
      <c r="B760" s="164"/>
      <c r="C760" s="320"/>
      <c r="D760" s="164"/>
      <c r="E760" s="320"/>
      <c r="F760" s="164"/>
      <c r="G760" s="320"/>
      <c r="H760" s="164"/>
      <c r="I760" s="327"/>
      <c r="J760" s="117"/>
      <c r="K760" s="327"/>
      <c r="L760" s="117"/>
      <c r="M760" s="320"/>
      <c r="N760" s="164"/>
      <c r="O760" s="320"/>
      <c r="P760" s="164"/>
      <c r="Q760" s="338"/>
      <c r="R760" s="338"/>
      <c r="S760" s="20"/>
      <c r="T760" s="20"/>
      <c r="U760" s="20"/>
      <c r="V760" s="20"/>
    </row>
    <row r="761">
      <c r="A761" s="320"/>
      <c r="B761" s="164"/>
      <c r="C761" s="320"/>
      <c r="D761" s="164"/>
      <c r="E761" s="320"/>
      <c r="F761" s="164"/>
      <c r="G761" s="320"/>
      <c r="H761" s="164"/>
      <c r="I761" s="327"/>
      <c r="J761" s="117"/>
      <c r="K761" s="327"/>
      <c r="L761" s="117"/>
      <c r="M761" s="320"/>
      <c r="N761" s="164"/>
      <c r="O761" s="320"/>
      <c r="P761" s="164"/>
      <c r="Q761" s="338"/>
      <c r="R761" s="338"/>
      <c r="S761" s="20"/>
      <c r="T761" s="20"/>
      <c r="U761" s="20"/>
      <c r="V761" s="20"/>
    </row>
    <row r="762">
      <c r="A762" s="320"/>
      <c r="B762" s="164"/>
      <c r="C762" s="320"/>
      <c r="D762" s="164"/>
      <c r="E762" s="320"/>
      <c r="F762" s="164"/>
      <c r="G762" s="320"/>
      <c r="H762" s="164"/>
      <c r="I762" s="327"/>
      <c r="J762" s="117"/>
      <c r="K762" s="327"/>
      <c r="L762" s="117"/>
      <c r="M762" s="320"/>
      <c r="N762" s="164"/>
      <c r="O762" s="320"/>
      <c r="P762" s="164"/>
      <c r="Q762" s="338"/>
      <c r="R762" s="338"/>
      <c r="S762" s="20"/>
      <c r="T762" s="20"/>
      <c r="U762" s="20"/>
      <c r="V762" s="20"/>
    </row>
    <row r="763">
      <c r="A763" s="320"/>
      <c r="B763" s="164"/>
      <c r="C763" s="320"/>
      <c r="D763" s="164"/>
      <c r="E763" s="320"/>
      <c r="F763" s="164"/>
      <c r="G763" s="320"/>
      <c r="H763" s="164"/>
      <c r="I763" s="327"/>
      <c r="J763" s="117"/>
      <c r="K763" s="327"/>
      <c r="L763" s="117"/>
      <c r="M763" s="320"/>
      <c r="N763" s="164"/>
      <c r="O763" s="320"/>
      <c r="P763" s="164"/>
      <c r="Q763" s="338"/>
      <c r="R763" s="338"/>
      <c r="S763" s="20"/>
      <c r="T763" s="20"/>
      <c r="U763" s="20"/>
      <c r="V763" s="20"/>
    </row>
    <row r="764">
      <c r="A764" s="320"/>
      <c r="B764" s="164"/>
      <c r="C764" s="320"/>
      <c r="D764" s="164"/>
      <c r="E764" s="320"/>
      <c r="F764" s="164"/>
      <c r="G764" s="320"/>
      <c r="H764" s="164"/>
      <c r="I764" s="327"/>
      <c r="J764" s="117"/>
      <c r="K764" s="327"/>
      <c r="L764" s="117"/>
      <c r="M764" s="320"/>
      <c r="N764" s="164"/>
      <c r="O764" s="320"/>
      <c r="P764" s="164"/>
      <c r="Q764" s="338"/>
      <c r="R764" s="338"/>
      <c r="S764" s="20"/>
      <c r="T764" s="20"/>
      <c r="U764" s="20"/>
      <c r="V764" s="20"/>
    </row>
    <row r="765">
      <c r="A765" s="320"/>
      <c r="B765" s="164"/>
      <c r="C765" s="320"/>
      <c r="D765" s="164"/>
      <c r="E765" s="320"/>
      <c r="F765" s="164"/>
      <c r="G765" s="320"/>
      <c r="H765" s="164"/>
      <c r="I765" s="327"/>
      <c r="J765" s="117"/>
      <c r="K765" s="327"/>
      <c r="L765" s="117"/>
      <c r="M765" s="320"/>
      <c r="N765" s="164"/>
      <c r="O765" s="320"/>
      <c r="P765" s="164"/>
      <c r="Q765" s="338"/>
      <c r="R765" s="338"/>
      <c r="S765" s="20"/>
      <c r="T765" s="20"/>
      <c r="U765" s="20"/>
      <c r="V765" s="20"/>
    </row>
    <row r="766">
      <c r="A766" s="320"/>
      <c r="B766" s="164"/>
      <c r="C766" s="320"/>
      <c r="D766" s="164"/>
      <c r="E766" s="320"/>
      <c r="F766" s="164"/>
      <c r="G766" s="320"/>
      <c r="H766" s="164"/>
      <c r="I766" s="327"/>
      <c r="J766" s="117"/>
      <c r="K766" s="327"/>
      <c r="L766" s="117"/>
      <c r="M766" s="320"/>
      <c r="N766" s="164"/>
      <c r="O766" s="320"/>
      <c r="P766" s="164"/>
      <c r="Q766" s="338"/>
      <c r="R766" s="338"/>
      <c r="S766" s="20"/>
      <c r="T766" s="20"/>
      <c r="U766" s="20"/>
      <c r="V766" s="20"/>
    </row>
    <row r="767">
      <c r="A767" s="320"/>
      <c r="B767" s="164"/>
      <c r="C767" s="320"/>
      <c r="D767" s="164"/>
      <c r="E767" s="320"/>
      <c r="F767" s="164"/>
      <c r="G767" s="320"/>
      <c r="H767" s="164"/>
      <c r="I767" s="327"/>
      <c r="J767" s="117"/>
      <c r="K767" s="327"/>
      <c r="L767" s="117"/>
      <c r="M767" s="320"/>
      <c r="N767" s="164"/>
      <c r="O767" s="320"/>
      <c r="P767" s="164"/>
      <c r="Q767" s="338"/>
      <c r="R767" s="338"/>
      <c r="S767" s="20"/>
      <c r="T767" s="20"/>
      <c r="U767" s="20"/>
      <c r="V767" s="20"/>
    </row>
    <row r="768">
      <c r="A768" s="320"/>
      <c r="B768" s="164"/>
      <c r="C768" s="320"/>
      <c r="D768" s="164"/>
      <c r="E768" s="320"/>
      <c r="F768" s="164"/>
      <c r="G768" s="320"/>
      <c r="H768" s="164"/>
      <c r="I768" s="327"/>
      <c r="J768" s="117"/>
      <c r="K768" s="327"/>
      <c r="L768" s="117"/>
      <c r="M768" s="320"/>
      <c r="N768" s="164"/>
      <c r="O768" s="320"/>
      <c r="P768" s="164"/>
      <c r="Q768" s="338"/>
      <c r="R768" s="338"/>
      <c r="S768" s="20"/>
      <c r="T768" s="20"/>
      <c r="U768" s="20"/>
      <c r="V768" s="20"/>
    </row>
    <row r="769">
      <c r="A769" s="320"/>
      <c r="B769" s="164"/>
      <c r="C769" s="320"/>
      <c r="D769" s="164"/>
      <c r="E769" s="320"/>
      <c r="F769" s="164"/>
      <c r="G769" s="320"/>
      <c r="H769" s="164"/>
      <c r="I769" s="327"/>
      <c r="J769" s="117"/>
      <c r="K769" s="327"/>
      <c r="L769" s="117"/>
      <c r="M769" s="320"/>
      <c r="N769" s="164"/>
      <c r="O769" s="320"/>
      <c r="P769" s="164"/>
      <c r="Q769" s="338"/>
      <c r="R769" s="338"/>
      <c r="S769" s="20"/>
      <c r="T769" s="20"/>
      <c r="U769" s="20"/>
      <c r="V769" s="20"/>
    </row>
    <row r="770">
      <c r="A770" s="320"/>
      <c r="B770" s="164"/>
      <c r="C770" s="320"/>
      <c r="D770" s="164"/>
      <c r="E770" s="320"/>
      <c r="F770" s="164"/>
      <c r="G770" s="320"/>
      <c r="H770" s="164"/>
      <c r="I770" s="327"/>
      <c r="J770" s="117"/>
      <c r="K770" s="327"/>
      <c r="L770" s="117"/>
      <c r="M770" s="320"/>
      <c r="N770" s="164"/>
      <c r="O770" s="320"/>
      <c r="P770" s="164"/>
      <c r="Q770" s="338"/>
      <c r="R770" s="338"/>
      <c r="S770" s="20"/>
      <c r="T770" s="20"/>
      <c r="U770" s="20"/>
      <c r="V770" s="20"/>
    </row>
    <row r="771">
      <c r="A771" s="320"/>
      <c r="B771" s="164"/>
      <c r="C771" s="320"/>
      <c r="D771" s="164"/>
      <c r="E771" s="320"/>
      <c r="F771" s="164"/>
      <c r="G771" s="320"/>
      <c r="H771" s="164"/>
      <c r="I771" s="327"/>
      <c r="J771" s="117"/>
      <c r="K771" s="327"/>
      <c r="L771" s="117"/>
      <c r="M771" s="320"/>
      <c r="N771" s="164"/>
      <c r="O771" s="320"/>
      <c r="P771" s="164"/>
      <c r="Q771" s="338"/>
      <c r="R771" s="338"/>
      <c r="S771" s="20"/>
      <c r="T771" s="20"/>
      <c r="U771" s="20"/>
      <c r="V771" s="20"/>
    </row>
    <row r="772">
      <c r="A772" s="320"/>
      <c r="B772" s="164"/>
      <c r="C772" s="320"/>
      <c r="D772" s="164"/>
      <c r="E772" s="320"/>
      <c r="F772" s="164"/>
      <c r="G772" s="320"/>
      <c r="H772" s="164"/>
      <c r="I772" s="327"/>
      <c r="J772" s="117"/>
      <c r="K772" s="327"/>
      <c r="L772" s="117"/>
      <c r="M772" s="320"/>
      <c r="N772" s="164"/>
      <c r="O772" s="320"/>
      <c r="P772" s="164"/>
      <c r="Q772" s="338"/>
      <c r="R772" s="338"/>
      <c r="S772" s="20"/>
      <c r="T772" s="20"/>
      <c r="U772" s="20"/>
      <c r="V772" s="20"/>
    </row>
    <row r="773">
      <c r="A773" s="320"/>
      <c r="B773" s="164"/>
      <c r="C773" s="320"/>
      <c r="D773" s="164"/>
      <c r="E773" s="320"/>
      <c r="F773" s="164"/>
      <c r="G773" s="320"/>
      <c r="H773" s="164"/>
      <c r="I773" s="327"/>
      <c r="J773" s="117"/>
      <c r="K773" s="327"/>
      <c r="L773" s="117"/>
      <c r="M773" s="320"/>
      <c r="N773" s="164"/>
      <c r="O773" s="320"/>
      <c r="P773" s="164"/>
      <c r="Q773" s="338"/>
      <c r="R773" s="338"/>
      <c r="S773" s="20"/>
      <c r="T773" s="20"/>
      <c r="U773" s="20"/>
      <c r="V773" s="20"/>
    </row>
    <row r="774">
      <c r="A774" s="320"/>
      <c r="B774" s="164"/>
      <c r="C774" s="320"/>
      <c r="D774" s="164"/>
      <c r="E774" s="320"/>
      <c r="F774" s="164"/>
      <c r="G774" s="320"/>
      <c r="H774" s="164"/>
      <c r="I774" s="327"/>
      <c r="J774" s="117"/>
      <c r="K774" s="327"/>
      <c r="L774" s="117"/>
      <c r="M774" s="320"/>
      <c r="N774" s="164"/>
      <c r="O774" s="320"/>
      <c r="P774" s="164"/>
      <c r="Q774" s="338"/>
      <c r="R774" s="338"/>
      <c r="S774" s="20"/>
      <c r="T774" s="20"/>
      <c r="U774" s="20"/>
      <c r="V774" s="20"/>
    </row>
    <row r="775">
      <c r="A775" s="320"/>
      <c r="B775" s="164"/>
      <c r="C775" s="320"/>
      <c r="D775" s="164"/>
      <c r="E775" s="320"/>
      <c r="F775" s="164"/>
      <c r="G775" s="320"/>
      <c r="H775" s="164"/>
      <c r="I775" s="327"/>
      <c r="J775" s="117"/>
      <c r="K775" s="327"/>
      <c r="L775" s="117"/>
      <c r="M775" s="320"/>
      <c r="N775" s="164"/>
      <c r="O775" s="320"/>
      <c r="P775" s="164"/>
      <c r="Q775" s="338"/>
      <c r="R775" s="338"/>
      <c r="S775" s="20"/>
      <c r="T775" s="20"/>
      <c r="U775" s="20"/>
      <c r="V775" s="20"/>
    </row>
    <row r="776">
      <c r="A776" s="320"/>
      <c r="B776" s="164"/>
      <c r="C776" s="320"/>
      <c r="D776" s="164"/>
      <c r="E776" s="320"/>
      <c r="F776" s="164"/>
      <c r="G776" s="320"/>
      <c r="H776" s="164"/>
      <c r="I776" s="327"/>
      <c r="J776" s="117"/>
      <c r="K776" s="327"/>
      <c r="L776" s="117"/>
      <c r="M776" s="320"/>
      <c r="N776" s="164"/>
      <c r="O776" s="320"/>
      <c r="P776" s="164"/>
      <c r="Q776" s="338"/>
      <c r="R776" s="338"/>
      <c r="S776" s="20"/>
      <c r="T776" s="20"/>
      <c r="U776" s="20"/>
      <c r="V776" s="20"/>
    </row>
    <row r="777">
      <c r="A777" s="320"/>
      <c r="B777" s="164"/>
      <c r="C777" s="320"/>
      <c r="D777" s="164"/>
      <c r="E777" s="320"/>
      <c r="F777" s="164"/>
      <c r="G777" s="320"/>
      <c r="H777" s="164"/>
      <c r="I777" s="327"/>
      <c r="J777" s="117"/>
      <c r="K777" s="327"/>
      <c r="L777" s="117"/>
      <c r="M777" s="320"/>
      <c r="N777" s="164"/>
      <c r="O777" s="320"/>
      <c r="P777" s="164"/>
      <c r="Q777" s="338"/>
      <c r="R777" s="338"/>
      <c r="S777" s="20"/>
      <c r="T777" s="20"/>
      <c r="U777" s="20"/>
      <c r="V777" s="20"/>
    </row>
    <row r="778">
      <c r="A778" s="320"/>
      <c r="B778" s="164"/>
      <c r="C778" s="320"/>
      <c r="D778" s="164"/>
      <c r="E778" s="320"/>
      <c r="F778" s="164"/>
      <c r="G778" s="320"/>
      <c r="H778" s="164"/>
      <c r="I778" s="327"/>
      <c r="J778" s="117"/>
      <c r="K778" s="327"/>
      <c r="L778" s="117"/>
      <c r="M778" s="320"/>
      <c r="N778" s="164"/>
      <c r="O778" s="320"/>
      <c r="P778" s="164"/>
      <c r="Q778" s="338"/>
      <c r="R778" s="338"/>
      <c r="S778" s="20"/>
      <c r="T778" s="20"/>
      <c r="U778" s="20"/>
      <c r="V778" s="20"/>
    </row>
    <row r="779">
      <c r="A779" s="320"/>
      <c r="B779" s="164"/>
      <c r="C779" s="320"/>
      <c r="D779" s="164"/>
      <c r="E779" s="320"/>
      <c r="F779" s="164"/>
      <c r="G779" s="320"/>
      <c r="H779" s="164"/>
      <c r="I779" s="327"/>
      <c r="J779" s="117"/>
      <c r="K779" s="327"/>
      <c r="L779" s="117"/>
      <c r="M779" s="320"/>
      <c r="N779" s="164"/>
      <c r="O779" s="320"/>
      <c r="P779" s="164"/>
      <c r="Q779" s="338"/>
      <c r="R779" s="338"/>
      <c r="S779" s="20"/>
      <c r="T779" s="20"/>
      <c r="U779" s="20"/>
      <c r="V779" s="20"/>
    </row>
    <row r="780">
      <c r="A780" s="320"/>
      <c r="B780" s="164"/>
      <c r="C780" s="320"/>
      <c r="D780" s="164"/>
      <c r="E780" s="320"/>
      <c r="F780" s="164"/>
      <c r="G780" s="320"/>
      <c r="H780" s="164"/>
      <c r="I780" s="327"/>
      <c r="J780" s="117"/>
      <c r="K780" s="327"/>
      <c r="L780" s="117"/>
      <c r="M780" s="320"/>
      <c r="N780" s="164"/>
      <c r="O780" s="320"/>
      <c r="P780" s="164"/>
      <c r="Q780" s="338"/>
      <c r="R780" s="338"/>
      <c r="S780" s="20"/>
      <c r="T780" s="20"/>
      <c r="U780" s="20"/>
      <c r="V780" s="20"/>
    </row>
    <row r="781">
      <c r="A781" s="320"/>
      <c r="B781" s="164"/>
      <c r="C781" s="320"/>
      <c r="D781" s="164"/>
      <c r="E781" s="320"/>
      <c r="F781" s="164"/>
      <c r="G781" s="320"/>
      <c r="H781" s="164"/>
      <c r="I781" s="327"/>
      <c r="J781" s="117"/>
      <c r="K781" s="327"/>
      <c r="L781" s="117"/>
      <c r="M781" s="320"/>
      <c r="N781" s="164"/>
      <c r="O781" s="320"/>
      <c r="P781" s="164"/>
      <c r="Q781" s="338"/>
      <c r="R781" s="338"/>
      <c r="S781" s="20"/>
      <c r="T781" s="20"/>
      <c r="U781" s="20"/>
      <c r="V781" s="20"/>
    </row>
    <row r="782">
      <c r="A782" s="320"/>
      <c r="B782" s="164"/>
      <c r="C782" s="320"/>
      <c r="D782" s="164"/>
      <c r="E782" s="320"/>
      <c r="F782" s="164"/>
      <c r="G782" s="320"/>
      <c r="H782" s="164"/>
      <c r="I782" s="327"/>
      <c r="J782" s="117"/>
      <c r="K782" s="327"/>
      <c r="L782" s="117"/>
      <c r="M782" s="320"/>
      <c r="N782" s="164"/>
      <c r="O782" s="320"/>
      <c r="P782" s="164"/>
      <c r="Q782" s="338"/>
      <c r="R782" s="338"/>
      <c r="S782" s="20"/>
      <c r="T782" s="20"/>
      <c r="U782" s="20"/>
      <c r="V782" s="20"/>
    </row>
    <row r="783">
      <c r="A783" s="320"/>
      <c r="B783" s="164"/>
      <c r="C783" s="320"/>
      <c r="D783" s="164"/>
      <c r="E783" s="320"/>
      <c r="F783" s="164"/>
      <c r="G783" s="320"/>
      <c r="H783" s="164"/>
      <c r="I783" s="327"/>
      <c r="J783" s="117"/>
      <c r="K783" s="327"/>
      <c r="L783" s="117"/>
      <c r="M783" s="320"/>
      <c r="N783" s="164"/>
      <c r="O783" s="320"/>
      <c r="P783" s="164"/>
      <c r="Q783" s="338"/>
      <c r="R783" s="338"/>
      <c r="S783" s="20"/>
      <c r="T783" s="20"/>
      <c r="U783" s="20"/>
      <c r="V783" s="20"/>
    </row>
    <row r="784">
      <c r="A784" s="320"/>
      <c r="B784" s="164"/>
      <c r="C784" s="320"/>
      <c r="D784" s="164"/>
      <c r="E784" s="320"/>
      <c r="F784" s="164"/>
      <c r="G784" s="320"/>
      <c r="H784" s="164"/>
      <c r="I784" s="327"/>
      <c r="J784" s="117"/>
      <c r="K784" s="327"/>
      <c r="L784" s="117"/>
      <c r="M784" s="320"/>
      <c r="N784" s="164"/>
      <c r="O784" s="320"/>
      <c r="P784" s="164"/>
      <c r="Q784" s="338"/>
      <c r="R784" s="338"/>
      <c r="S784" s="20"/>
      <c r="T784" s="20"/>
      <c r="U784" s="20"/>
      <c r="V784" s="20"/>
    </row>
    <row r="785">
      <c r="A785" s="320"/>
      <c r="B785" s="164"/>
      <c r="C785" s="320"/>
      <c r="D785" s="164"/>
      <c r="E785" s="320"/>
      <c r="F785" s="164"/>
      <c r="G785" s="320"/>
      <c r="H785" s="164"/>
      <c r="I785" s="327"/>
      <c r="J785" s="117"/>
      <c r="K785" s="327"/>
      <c r="L785" s="117"/>
      <c r="M785" s="320"/>
      <c r="N785" s="164"/>
      <c r="O785" s="320"/>
      <c r="P785" s="164"/>
      <c r="Q785" s="338"/>
      <c r="R785" s="338"/>
      <c r="S785" s="20"/>
      <c r="T785" s="20"/>
      <c r="U785" s="20"/>
      <c r="V785" s="20"/>
    </row>
    <row r="786">
      <c r="A786" s="320"/>
      <c r="B786" s="164"/>
      <c r="C786" s="320"/>
      <c r="D786" s="164"/>
      <c r="E786" s="320"/>
      <c r="F786" s="164"/>
      <c r="G786" s="320"/>
      <c r="H786" s="164"/>
      <c r="I786" s="327"/>
      <c r="J786" s="117"/>
      <c r="K786" s="327"/>
      <c r="L786" s="117"/>
      <c r="M786" s="320"/>
      <c r="N786" s="164"/>
      <c r="O786" s="320"/>
      <c r="P786" s="164"/>
      <c r="Q786" s="338"/>
      <c r="R786" s="338"/>
      <c r="S786" s="20"/>
      <c r="T786" s="20"/>
      <c r="U786" s="20"/>
      <c r="V786" s="20"/>
    </row>
    <row r="787">
      <c r="A787" s="320"/>
      <c r="B787" s="164"/>
      <c r="C787" s="320"/>
      <c r="D787" s="164"/>
      <c r="E787" s="320"/>
      <c r="F787" s="164"/>
      <c r="G787" s="320"/>
      <c r="H787" s="164"/>
      <c r="I787" s="327"/>
      <c r="J787" s="117"/>
      <c r="K787" s="327"/>
      <c r="L787" s="117"/>
      <c r="M787" s="320"/>
      <c r="N787" s="164"/>
      <c r="O787" s="320"/>
      <c r="P787" s="164"/>
      <c r="Q787" s="338"/>
      <c r="R787" s="338"/>
      <c r="S787" s="20"/>
      <c r="T787" s="20"/>
      <c r="U787" s="20"/>
      <c r="V787" s="20"/>
    </row>
    <row r="788">
      <c r="A788" s="320"/>
      <c r="B788" s="164"/>
      <c r="C788" s="320"/>
      <c r="D788" s="164"/>
      <c r="E788" s="320"/>
      <c r="F788" s="164"/>
      <c r="G788" s="320"/>
      <c r="H788" s="164"/>
      <c r="I788" s="327"/>
      <c r="J788" s="117"/>
      <c r="K788" s="327"/>
      <c r="L788" s="117"/>
      <c r="M788" s="320"/>
      <c r="N788" s="164"/>
      <c r="O788" s="320"/>
      <c r="P788" s="164"/>
      <c r="Q788" s="338"/>
      <c r="R788" s="338"/>
      <c r="S788" s="20"/>
      <c r="T788" s="20"/>
      <c r="U788" s="20"/>
      <c r="V788" s="20"/>
    </row>
    <row r="789">
      <c r="A789" s="320"/>
      <c r="B789" s="164"/>
      <c r="C789" s="320"/>
      <c r="D789" s="164"/>
      <c r="E789" s="320"/>
      <c r="F789" s="164"/>
      <c r="G789" s="320"/>
      <c r="H789" s="164"/>
      <c r="I789" s="327"/>
      <c r="J789" s="117"/>
      <c r="K789" s="327"/>
      <c r="L789" s="117"/>
      <c r="M789" s="320"/>
      <c r="N789" s="164"/>
      <c r="O789" s="320"/>
      <c r="P789" s="164"/>
      <c r="Q789" s="338"/>
      <c r="R789" s="338"/>
      <c r="S789" s="20"/>
      <c r="T789" s="20"/>
      <c r="U789" s="20"/>
      <c r="V789" s="20"/>
    </row>
    <row r="790">
      <c r="A790" s="320"/>
      <c r="B790" s="164"/>
      <c r="C790" s="320"/>
      <c r="D790" s="164"/>
      <c r="E790" s="320"/>
      <c r="F790" s="164"/>
      <c r="G790" s="320"/>
      <c r="H790" s="164"/>
      <c r="I790" s="327"/>
      <c r="J790" s="117"/>
      <c r="K790" s="327"/>
      <c r="L790" s="117"/>
      <c r="M790" s="320"/>
      <c r="N790" s="164"/>
      <c r="O790" s="320"/>
      <c r="P790" s="164"/>
      <c r="Q790" s="338"/>
      <c r="R790" s="338"/>
      <c r="S790" s="20"/>
      <c r="T790" s="20"/>
      <c r="U790" s="20"/>
      <c r="V790" s="20"/>
    </row>
    <row r="791">
      <c r="A791" s="320"/>
      <c r="B791" s="164"/>
      <c r="C791" s="320"/>
      <c r="D791" s="164"/>
      <c r="E791" s="320"/>
      <c r="F791" s="164"/>
      <c r="G791" s="320"/>
      <c r="H791" s="164"/>
      <c r="I791" s="327"/>
      <c r="J791" s="117"/>
      <c r="K791" s="327"/>
      <c r="L791" s="117"/>
      <c r="M791" s="320"/>
      <c r="N791" s="164"/>
      <c r="O791" s="320"/>
      <c r="P791" s="164"/>
      <c r="Q791" s="338"/>
      <c r="R791" s="338"/>
      <c r="S791" s="20"/>
      <c r="T791" s="20"/>
      <c r="U791" s="20"/>
      <c r="V791" s="20"/>
    </row>
    <row r="792">
      <c r="A792" s="320"/>
      <c r="B792" s="164"/>
      <c r="C792" s="320"/>
      <c r="D792" s="164"/>
      <c r="E792" s="320"/>
      <c r="F792" s="164"/>
      <c r="G792" s="320"/>
      <c r="H792" s="164"/>
      <c r="I792" s="327"/>
      <c r="J792" s="117"/>
      <c r="K792" s="327"/>
      <c r="L792" s="117"/>
      <c r="M792" s="320"/>
      <c r="N792" s="164"/>
      <c r="O792" s="320"/>
      <c r="P792" s="164"/>
      <c r="Q792" s="338"/>
      <c r="R792" s="338"/>
      <c r="S792" s="20"/>
      <c r="T792" s="20"/>
      <c r="U792" s="20"/>
      <c r="V792" s="20"/>
    </row>
    <row r="793">
      <c r="A793" s="320"/>
      <c r="B793" s="164"/>
      <c r="C793" s="320"/>
      <c r="D793" s="164"/>
      <c r="E793" s="320"/>
      <c r="F793" s="164"/>
      <c r="G793" s="320"/>
      <c r="H793" s="164"/>
      <c r="I793" s="327"/>
      <c r="J793" s="117"/>
      <c r="K793" s="327"/>
      <c r="L793" s="117"/>
      <c r="M793" s="320"/>
      <c r="N793" s="164"/>
      <c r="O793" s="320"/>
      <c r="P793" s="164"/>
      <c r="Q793" s="338"/>
      <c r="R793" s="338"/>
      <c r="S793" s="20"/>
      <c r="T793" s="20"/>
      <c r="U793" s="20"/>
      <c r="V793" s="20"/>
    </row>
    <row r="794">
      <c r="A794" s="320"/>
      <c r="B794" s="164"/>
      <c r="C794" s="320"/>
      <c r="D794" s="164"/>
      <c r="E794" s="320"/>
      <c r="F794" s="164"/>
      <c r="G794" s="320"/>
      <c r="H794" s="164"/>
      <c r="I794" s="327"/>
      <c r="J794" s="117"/>
      <c r="K794" s="327"/>
      <c r="L794" s="117"/>
      <c r="M794" s="320"/>
      <c r="N794" s="164"/>
      <c r="O794" s="320"/>
      <c r="P794" s="164"/>
      <c r="Q794" s="338"/>
      <c r="R794" s="338"/>
      <c r="S794" s="20"/>
      <c r="T794" s="20"/>
      <c r="U794" s="20"/>
      <c r="V794" s="20"/>
    </row>
    <row r="795">
      <c r="A795" s="320"/>
      <c r="B795" s="164"/>
      <c r="C795" s="320"/>
      <c r="D795" s="164"/>
      <c r="E795" s="320"/>
      <c r="F795" s="164"/>
      <c r="G795" s="320"/>
      <c r="H795" s="164"/>
      <c r="I795" s="327"/>
      <c r="J795" s="117"/>
      <c r="K795" s="327"/>
      <c r="L795" s="117"/>
      <c r="M795" s="320"/>
      <c r="N795" s="164"/>
      <c r="O795" s="320"/>
      <c r="P795" s="164"/>
      <c r="Q795" s="338"/>
      <c r="R795" s="338"/>
      <c r="S795" s="20"/>
      <c r="T795" s="20"/>
      <c r="U795" s="20"/>
      <c r="V795" s="20"/>
    </row>
    <row r="796">
      <c r="A796" s="320"/>
      <c r="B796" s="164"/>
      <c r="C796" s="320"/>
      <c r="D796" s="164"/>
      <c r="E796" s="320"/>
      <c r="F796" s="164"/>
      <c r="G796" s="320"/>
      <c r="H796" s="164"/>
      <c r="I796" s="327"/>
      <c r="J796" s="117"/>
      <c r="K796" s="327"/>
      <c r="L796" s="117"/>
      <c r="M796" s="320"/>
      <c r="N796" s="164"/>
      <c r="O796" s="320"/>
      <c r="P796" s="164"/>
      <c r="Q796" s="338"/>
      <c r="R796" s="338"/>
      <c r="S796" s="20"/>
      <c r="T796" s="20"/>
      <c r="U796" s="20"/>
      <c r="V796" s="20"/>
    </row>
    <row r="797">
      <c r="A797" s="320"/>
      <c r="B797" s="164"/>
      <c r="C797" s="320"/>
      <c r="D797" s="164"/>
      <c r="E797" s="320"/>
      <c r="F797" s="164"/>
      <c r="G797" s="320"/>
      <c r="H797" s="164"/>
      <c r="I797" s="327"/>
      <c r="J797" s="117"/>
      <c r="K797" s="327"/>
      <c r="L797" s="117"/>
      <c r="M797" s="320"/>
      <c r="N797" s="164"/>
      <c r="O797" s="320"/>
      <c r="P797" s="164"/>
      <c r="Q797" s="338"/>
      <c r="R797" s="338"/>
      <c r="S797" s="20"/>
      <c r="T797" s="20"/>
      <c r="U797" s="20"/>
      <c r="V797" s="20"/>
    </row>
    <row r="798">
      <c r="A798" s="320"/>
      <c r="B798" s="164"/>
      <c r="C798" s="320"/>
      <c r="D798" s="164"/>
      <c r="E798" s="320"/>
      <c r="F798" s="164"/>
      <c r="G798" s="320"/>
      <c r="H798" s="164"/>
      <c r="I798" s="327"/>
      <c r="J798" s="117"/>
      <c r="K798" s="327"/>
      <c r="L798" s="117"/>
      <c r="M798" s="320"/>
      <c r="N798" s="164"/>
      <c r="O798" s="320"/>
      <c r="P798" s="164"/>
      <c r="Q798" s="338"/>
      <c r="R798" s="338"/>
      <c r="S798" s="20"/>
      <c r="T798" s="20"/>
      <c r="U798" s="20"/>
      <c r="V798" s="20"/>
    </row>
    <row r="799">
      <c r="A799" s="320"/>
      <c r="B799" s="164"/>
      <c r="C799" s="320"/>
      <c r="D799" s="164"/>
      <c r="E799" s="320"/>
      <c r="F799" s="164"/>
      <c r="G799" s="320"/>
      <c r="H799" s="164"/>
      <c r="I799" s="327"/>
      <c r="J799" s="117"/>
      <c r="K799" s="327"/>
      <c r="L799" s="117"/>
      <c r="M799" s="320"/>
      <c r="N799" s="164"/>
      <c r="O799" s="320"/>
      <c r="P799" s="164"/>
      <c r="Q799" s="338"/>
      <c r="R799" s="338"/>
      <c r="S799" s="20"/>
      <c r="T799" s="20"/>
      <c r="U799" s="20"/>
      <c r="V799" s="20"/>
    </row>
    <row r="800">
      <c r="A800" s="320"/>
      <c r="B800" s="164"/>
      <c r="C800" s="320"/>
      <c r="D800" s="164"/>
      <c r="E800" s="320"/>
      <c r="F800" s="164"/>
      <c r="G800" s="320"/>
      <c r="H800" s="164"/>
      <c r="I800" s="327"/>
      <c r="J800" s="117"/>
      <c r="K800" s="327"/>
      <c r="L800" s="117"/>
      <c r="M800" s="320"/>
      <c r="N800" s="164"/>
      <c r="O800" s="320"/>
      <c r="P800" s="164"/>
      <c r="Q800" s="338"/>
      <c r="R800" s="338"/>
      <c r="S800" s="20"/>
      <c r="T800" s="20"/>
      <c r="U800" s="20"/>
      <c r="V800" s="20"/>
    </row>
    <row r="801">
      <c r="A801" s="320"/>
      <c r="B801" s="164"/>
      <c r="C801" s="320"/>
      <c r="D801" s="164"/>
      <c r="E801" s="320"/>
      <c r="F801" s="164"/>
      <c r="G801" s="320"/>
      <c r="H801" s="164"/>
      <c r="I801" s="327"/>
      <c r="J801" s="117"/>
      <c r="K801" s="327"/>
      <c r="L801" s="117"/>
      <c r="M801" s="320"/>
      <c r="N801" s="164"/>
      <c r="O801" s="320"/>
      <c r="P801" s="164"/>
      <c r="Q801" s="338"/>
      <c r="R801" s="338"/>
      <c r="S801" s="20"/>
      <c r="T801" s="20"/>
      <c r="U801" s="20"/>
      <c r="V801" s="20"/>
    </row>
    <row r="802">
      <c r="A802" s="320"/>
      <c r="B802" s="164"/>
      <c r="C802" s="320"/>
      <c r="D802" s="164"/>
      <c r="E802" s="320"/>
      <c r="F802" s="164"/>
      <c r="G802" s="320"/>
      <c r="H802" s="164"/>
      <c r="I802" s="327"/>
      <c r="J802" s="117"/>
      <c r="K802" s="327"/>
      <c r="L802" s="117"/>
      <c r="M802" s="320"/>
      <c r="N802" s="164"/>
      <c r="O802" s="320"/>
      <c r="P802" s="164"/>
      <c r="Q802" s="338"/>
      <c r="R802" s="338"/>
      <c r="S802" s="20"/>
      <c r="T802" s="20"/>
      <c r="U802" s="20"/>
      <c r="V802" s="20"/>
    </row>
    <row r="803">
      <c r="A803" s="320"/>
      <c r="B803" s="164"/>
      <c r="C803" s="320"/>
      <c r="D803" s="164"/>
      <c r="E803" s="320"/>
      <c r="F803" s="164"/>
      <c r="G803" s="320"/>
      <c r="H803" s="164"/>
      <c r="I803" s="327"/>
      <c r="J803" s="117"/>
      <c r="K803" s="327"/>
      <c r="L803" s="117"/>
      <c r="M803" s="320"/>
      <c r="N803" s="164"/>
      <c r="O803" s="320"/>
      <c r="P803" s="164"/>
      <c r="Q803" s="338"/>
      <c r="R803" s="338"/>
      <c r="S803" s="20"/>
      <c r="T803" s="20"/>
      <c r="U803" s="20"/>
      <c r="V803" s="20"/>
    </row>
    <row r="804">
      <c r="A804" s="320"/>
      <c r="B804" s="164"/>
      <c r="C804" s="320"/>
      <c r="D804" s="164"/>
      <c r="E804" s="320"/>
      <c r="F804" s="164"/>
      <c r="G804" s="320"/>
      <c r="H804" s="164"/>
      <c r="I804" s="327"/>
      <c r="J804" s="117"/>
      <c r="K804" s="327"/>
      <c r="L804" s="117"/>
      <c r="M804" s="320"/>
      <c r="N804" s="164"/>
      <c r="O804" s="320"/>
      <c r="P804" s="164"/>
      <c r="Q804" s="338"/>
      <c r="R804" s="338"/>
      <c r="S804" s="20"/>
      <c r="T804" s="20"/>
      <c r="U804" s="20"/>
      <c r="V804" s="20"/>
    </row>
    <row r="805">
      <c r="A805" s="320"/>
      <c r="B805" s="164"/>
      <c r="C805" s="320"/>
      <c r="D805" s="164"/>
      <c r="E805" s="320"/>
      <c r="F805" s="164"/>
      <c r="G805" s="320"/>
      <c r="H805" s="164"/>
      <c r="I805" s="327"/>
      <c r="J805" s="117"/>
      <c r="K805" s="327"/>
      <c r="L805" s="117"/>
      <c r="M805" s="320"/>
      <c r="N805" s="164"/>
      <c r="O805" s="320"/>
      <c r="P805" s="164"/>
      <c r="Q805" s="338"/>
      <c r="R805" s="338"/>
      <c r="S805" s="20"/>
      <c r="T805" s="20"/>
      <c r="U805" s="20"/>
      <c r="V805" s="20"/>
    </row>
    <row r="806">
      <c r="A806" s="320"/>
      <c r="B806" s="164"/>
      <c r="C806" s="320"/>
      <c r="D806" s="164"/>
      <c r="E806" s="320"/>
      <c r="F806" s="164"/>
      <c r="G806" s="320"/>
      <c r="H806" s="164"/>
      <c r="I806" s="327"/>
      <c r="J806" s="117"/>
      <c r="K806" s="327"/>
      <c r="L806" s="117"/>
      <c r="M806" s="320"/>
      <c r="N806" s="164"/>
      <c r="O806" s="320"/>
      <c r="P806" s="164"/>
      <c r="Q806" s="338"/>
      <c r="R806" s="338"/>
      <c r="S806" s="20"/>
      <c r="T806" s="20"/>
      <c r="U806" s="20"/>
      <c r="V806" s="20"/>
    </row>
    <row r="807">
      <c r="A807" s="320"/>
      <c r="B807" s="164"/>
      <c r="C807" s="320"/>
      <c r="D807" s="164"/>
      <c r="E807" s="320"/>
      <c r="F807" s="164"/>
      <c r="G807" s="320"/>
      <c r="H807" s="164"/>
      <c r="I807" s="327"/>
      <c r="J807" s="117"/>
      <c r="K807" s="327"/>
      <c r="L807" s="117"/>
      <c r="M807" s="320"/>
      <c r="N807" s="164"/>
      <c r="O807" s="320"/>
      <c r="P807" s="164"/>
      <c r="Q807" s="338"/>
      <c r="R807" s="338"/>
      <c r="S807" s="20"/>
      <c r="T807" s="20"/>
      <c r="U807" s="20"/>
      <c r="V807" s="20"/>
    </row>
    <row r="808">
      <c r="A808" s="320"/>
      <c r="B808" s="164"/>
      <c r="C808" s="320"/>
      <c r="D808" s="164"/>
      <c r="E808" s="320"/>
      <c r="F808" s="164"/>
      <c r="G808" s="320"/>
      <c r="H808" s="164"/>
      <c r="I808" s="327"/>
      <c r="J808" s="117"/>
      <c r="K808" s="327"/>
      <c r="L808" s="117"/>
      <c r="M808" s="320"/>
      <c r="N808" s="164"/>
      <c r="O808" s="320"/>
      <c r="P808" s="164"/>
      <c r="Q808" s="338"/>
      <c r="R808" s="338"/>
      <c r="S808" s="20"/>
      <c r="T808" s="20"/>
      <c r="U808" s="20"/>
      <c r="V808" s="20"/>
    </row>
    <row r="809">
      <c r="A809" s="320"/>
      <c r="B809" s="164"/>
      <c r="C809" s="320"/>
      <c r="D809" s="164"/>
      <c r="E809" s="320"/>
      <c r="F809" s="164"/>
      <c r="G809" s="320"/>
      <c r="H809" s="164"/>
      <c r="I809" s="327"/>
      <c r="J809" s="117"/>
      <c r="K809" s="327"/>
      <c r="L809" s="117"/>
      <c r="M809" s="320"/>
      <c r="N809" s="164"/>
      <c r="O809" s="320"/>
      <c r="P809" s="164"/>
      <c r="Q809" s="338"/>
      <c r="R809" s="338"/>
      <c r="S809" s="20"/>
      <c r="T809" s="20"/>
      <c r="U809" s="20"/>
      <c r="V809" s="20"/>
    </row>
    <row r="810">
      <c r="A810" s="320"/>
      <c r="B810" s="164"/>
      <c r="C810" s="320"/>
      <c r="D810" s="164"/>
      <c r="E810" s="320"/>
      <c r="F810" s="164"/>
      <c r="G810" s="320"/>
      <c r="H810" s="164"/>
      <c r="I810" s="327"/>
      <c r="J810" s="117"/>
      <c r="K810" s="327"/>
      <c r="L810" s="117"/>
      <c r="M810" s="320"/>
      <c r="N810" s="164"/>
      <c r="O810" s="320"/>
      <c r="P810" s="164"/>
      <c r="Q810" s="338"/>
      <c r="R810" s="338"/>
      <c r="S810" s="20"/>
      <c r="T810" s="20"/>
      <c r="U810" s="20"/>
      <c r="V810" s="20"/>
    </row>
    <row r="811">
      <c r="A811" s="320"/>
      <c r="B811" s="164"/>
      <c r="C811" s="320"/>
      <c r="D811" s="164"/>
      <c r="E811" s="320"/>
      <c r="F811" s="164"/>
      <c r="G811" s="320"/>
      <c r="H811" s="164"/>
      <c r="I811" s="327"/>
      <c r="J811" s="117"/>
      <c r="K811" s="327"/>
      <c r="L811" s="117"/>
      <c r="M811" s="320"/>
      <c r="N811" s="164"/>
      <c r="O811" s="320"/>
      <c r="P811" s="164"/>
      <c r="Q811" s="338"/>
      <c r="R811" s="338"/>
      <c r="S811" s="20"/>
      <c r="T811" s="20"/>
      <c r="U811" s="20"/>
      <c r="V811" s="20"/>
    </row>
    <row r="812">
      <c r="A812" s="320"/>
      <c r="B812" s="164"/>
      <c r="C812" s="320"/>
      <c r="D812" s="164"/>
      <c r="E812" s="320"/>
      <c r="F812" s="164"/>
      <c r="G812" s="320"/>
      <c r="H812" s="164"/>
      <c r="I812" s="327"/>
      <c r="J812" s="117"/>
      <c r="K812" s="327"/>
      <c r="L812" s="117"/>
      <c r="M812" s="320"/>
      <c r="N812" s="164"/>
      <c r="O812" s="320"/>
      <c r="P812" s="164"/>
      <c r="Q812" s="338"/>
      <c r="R812" s="338"/>
      <c r="S812" s="20"/>
      <c r="T812" s="20"/>
      <c r="U812" s="20"/>
      <c r="V812" s="20"/>
    </row>
    <row r="813">
      <c r="A813" s="320"/>
      <c r="B813" s="164"/>
      <c r="C813" s="320"/>
      <c r="D813" s="164"/>
      <c r="E813" s="320"/>
      <c r="F813" s="164"/>
      <c r="G813" s="320"/>
      <c r="H813" s="164"/>
      <c r="I813" s="327"/>
      <c r="J813" s="117"/>
      <c r="K813" s="327"/>
      <c r="L813" s="117"/>
      <c r="M813" s="320"/>
      <c r="N813" s="164"/>
      <c r="O813" s="320"/>
      <c r="P813" s="164"/>
      <c r="Q813" s="338"/>
      <c r="R813" s="338"/>
      <c r="S813" s="20"/>
      <c r="T813" s="20"/>
      <c r="U813" s="20"/>
      <c r="V813" s="20"/>
    </row>
    <row r="814">
      <c r="A814" s="320"/>
      <c r="B814" s="164"/>
      <c r="C814" s="320"/>
      <c r="D814" s="164"/>
      <c r="E814" s="320"/>
      <c r="F814" s="164"/>
      <c r="G814" s="320"/>
      <c r="H814" s="164"/>
      <c r="I814" s="327"/>
      <c r="J814" s="117"/>
      <c r="K814" s="327"/>
      <c r="L814" s="117"/>
      <c r="M814" s="320"/>
      <c r="N814" s="164"/>
      <c r="O814" s="320"/>
      <c r="P814" s="164"/>
      <c r="Q814" s="338"/>
      <c r="R814" s="338"/>
      <c r="S814" s="20"/>
      <c r="T814" s="20"/>
      <c r="U814" s="20"/>
      <c r="V814" s="20"/>
    </row>
    <row r="815">
      <c r="A815" s="320"/>
      <c r="B815" s="164"/>
      <c r="C815" s="320"/>
      <c r="D815" s="164"/>
      <c r="E815" s="320"/>
      <c r="F815" s="164"/>
      <c r="G815" s="320"/>
      <c r="H815" s="164"/>
      <c r="I815" s="327"/>
      <c r="J815" s="117"/>
      <c r="K815" s="327"/>
      <c r="L815" s="117"/>
      <c r="M815" s="320"/>
      <c r="N815" s="164"/>
      <c r="O815" s="320"/>
      <c r="P815" s="164"/>
      <c r="Q815" s="338"/>
      <c r="R815" s="338"/>
      <c r="S815" s="20"/>
      <c r="T815" s="20"/>
      <c r="U815" s="20"/>
      <c r="V815" s="20"/>
    </row>
    <row r="816">
      <c r="A816" s="320"/>
      <c r="B816" s="164"/>
      <c r="C816" s="320"/>
      <c r="D816" s="164"/>
      <c r="E816" s="320"/>
      <c r="F816" s="164"/>
      <c r="G816" s="320"/>
      <c r="H816" s="164"/>
      <c r="I816" s="327"/>
      <c r="J816" s="117"/>
      <c r="K816" s="327"/>
      <c r="L816" s="117"/>
      <c r="M816" s="320"/>
      <c r="N816" s="164"/>
      <c r="O816" s="320"/>
      <c r="P816" s="164"/>
      <c r="Q816" s="338"/>
      <c r="R816" s="338"/>
      <c r="S816" s="20"/>
      <c r="T816" s="20"/>
      <c r="U816" s="20"/>
      <c r="V816" s="20"/>
    </row>
    <row r="817">
      <c r="A817" s="320"/>
      <c r="B817" s="164"/>
      <c r="C817" s="320"/>
      <c r="D817" s="164"/>
      <c r="E817" s="320"/>
      <c r="F817" s="164"/>
      <c r="G817" s="320"/>
      <c r="H817" s="164"/>
      <c r="I817" s="327"/>
      <c r="J817" s="117"/>
      <c r="K817" s="327"/>
      <c r="L817" s="117"/>
      <c r="M817" s="320"/>
      <c r="N817" s="164"/>
      <c r="O817" s="320"/>
      <c r="P817" s="164"/>
      <c r="Q817" s="338"/>
      <c r="R817" s="338"/>
      <c r="S817" s="20"/>
      <c r="T817" s="20"/>
      <c r="U817" s="20"/>
      <c r="V817" s="20"/>
    </row>
    <row r="818">
      <c r="A818" s="320"/>
      <c r="B818" s="164"/>
      <c r="C818" s="320"/>
      <c r="D818" s="164"/>
      <c r="E818" s="320"/>
      <c r="F818" s="164"/>
      <c r="G818" s="320"/>
      <c r="H818" s="164"/>
      <c r="I818" s="327"/>
      <c r="J818" s="117"/>
      <c r="K818" s="327"/>
      <c r="L818" s="117"/>
      <c r="M818" s="320"/>
      <c r="N818" s="164"/>
      <c r="O818" s="320"/>
      <c r="P818" s="164"/>
      <c r="Q818" s="338"/>
      <c r="R818" s="338"/>
      <c r="S818" s="20"/>
      <c r="T818" s="20"/>
      <c r="U818" s="20"/>
      <c r="V818" s="20"/>
    </row>
    <row r="819">
      <c r="A819" s="320"/>
      <c r="B819" s="164"/>
      <c r="C819" s="320"/>
      <c r="D819" s="164"/>
      <c r="E819" s="320"/>
      <c r="F819" s="164"/>
      <c r="G819" s="320"/>
      <c r="H819" s="164"/>
      <c r="I819" s="327"/>
      <c r="J819" s="117"/>
      <c r="K819" s="327"/>
      <c r="L819" s="117"/>
      <c r="M819" s="320"/>
      <c r="N819" s="164"/>
      <c r="O819" s="320"/>
      <c r="P819" s="164"/>
      <c r="Q819" s="338"/>
      <c r="R819" s="338"/>
      <c r="S819" s="20"/>
      <c r="T819" s="20"/>
      <c r="U819" s="20"/>
      <c r="V819" s="20"/>
    </row>
    <row r="820">
      <c r="A820" s="320"/>
      <c r="B820" s="164"/>
      <c r="C820" s="320"/>
      <c r="D820" s="164"/>
      <c r="E820" s="320"/>
      <c r="F820" s="164"/>
      <c r="G820" s="320"/>
      <c r="H820" s="164"/>
      <c r="I820" s="327"/>
      <c r="J820" s="117"/>
      <c r="K820" s="327"/>
      <c r="L820" s="117"/>
      <c r="M820" s="320"/>
      <c r="N820" s="164"/>
      <c r="O820" s="320"/>
      <c r="P820" s="164"/>
      <c r="Q820" s="338"/>
      <c r="R820" s="338"/>
      <c r="S820" s="20"/>
      <c r="T820" s="20"/>
      <c r="U820" s="20"/>
      <c r="V820" s="20"/>
    </row>
    <row r="821">
      <c r="A821" s="320"/>
      <c r="B821" s="164"/>
      <c r="C821" s="320"/>
      <c r="D821" s="164"/>
      <c r="E821" s="320"/>
      <c r="F821" s="164"/>
      <c r="G821" s="320"/>
      <c r="H821" s="164"/>
      <c r="I821" s="327"/>
      <c r="J821" s="117"/>
      <c r="K821" s="327"/>
      <c r="L821" s="117"/>
      <c r="M821" s="320"/>
      <c r="N821" s="164"/>
      <c r="O821" s="320"/>
      <c r="P821" s="164"/>
      <c r="Q821" s="338"/>
      <c r="R821" s="338"/>
      <c r="S821" s="20"/>
      <c r="T821" s="20"/>
      <c r="U821" s="20"/>
      <c r="V821" s="20"/>
    </row>
    <row r="822">
      <c r="A822" s="320"/>
      <c r="B822" s="164"/>
      <c r="C822" s="320"/>
      <c r="D822" s="164"/>
      <c r="E822" s="320"/>
      <c r="F822" s="164"/>
      <c r="G822" s="320"/>
      <c r="H822" s="164"/>
      <c r="I822" s="327"/>
      <c r="J822" s="117"/>
      <c r="K822" s="327"/>
      <c r="L822" s="117"/>
      <c r="M822" s="320"/>
      <c r="N822" s="164"/>
      <c r="O822" s="320"/>
      <c r="P822" s="164"/>
      <c r="Q822" s="338"/>
      <c r="R822" s="338"/>
      <c r="S822" s="20"/>
      <c r="T822" s="20"/>
      <c r="U822" s="20"/>
      <c r="V822" s="20"/>
    </row>
    <row r="823">
      <c r="A823" s="320"/>
      <c r="B823" s="164"/>
      <c r="C823" s="320"/>
      <c r="D823" s="164"/>
      <c r="E823" s="320"/>
      <c r="F823" s="164"/>
      <c r="G823" s="320"/>
      <c r="H823" s="164"/>
      <c r="I823" s="327"/>
      <c r="J823" s="117"/>
      <c r="K823" s="327"/>
      <c r="L823" s="117"/>
      <c r="M823" s="320"/>
      <c r="N823" s="164"/>
      <c r="O823" s="320"/>
      <c r="P823" s="164"/>
      <c r="Q823" s="338"/>
      <c r="R823" s="338"/>
      <c r="S823" s="20"/>
      <c r="T823" s="20"/>
      <c r="U823" s="20"/>
      <c r="V823" s="20"/>
    </row>
    <row r="824">
      <c r="A824" s="320"/>
      <c r="B824" s="164"/>
      <c r="C824" s="320"/>
      <c r="D824" s="164"/>
      <c r="E824" s="320"/>
      <c r="F824" s="164"/>
      <c r="G824" s="320"/>
      <c r="H824" s="164"/>
      <c r="I824" s="327"/>
      <c r="J824" s="117"/>
      <c r="K824" s="327"/>
      <c r="L824" s="117"/>
      <c r="M824" s="320"/>
      <c r="N824" s="164"/>
      <c r="O824" s="320"/>
      <c r="P824" s="164"/>
      <c r="Q824" s="338"/>
      <c r="R824" s="338"/>
      <c r="S824" s="20"/>
      <c r="T824" s="20"/>
      <c r="U824" s="20"/>
      <c r="V824" s="20"/>
    </row>
    <row r="825">
      <c r="A825" s="320"/>
      <c r="B825" s="164"/>
      <c r="C825" s="320"/>
      <c r="D825" s="164"/>
      <c r="E825" s="320"/>
      <c r="F825" s="164"/>
      <c r="G825" s="320"/>
      <c r="H825" s="164"/>
      <c r="I825" s="327"/>
      <c r="J825" s="117"/>
      <c r="K825" s="327"/>
      <c r="L825" s="117"/>
      <c r="M825" s="320"/>
      <c r="N825" s="164"/>
      <c r="O825" s="320"/>
      <c r="P825" s="164"/>
      <c r="Q825" s="338"/>
      <c r="R825" s="338"/>
      <c r="S825" s="20"/>
      <c r="T825" s="20"/>
      <c r="U825" s="20"/>
      <c r="V825" s="20"/>
    </row>
    <row r="826">
      <c r="A826" s="320"/>
      <c r="B826" s="164"/>
      <c r="C826" s="320"/>
      <c r="D826" s="164"/>
      <c r="E826" s="320"/>
      <c r="F826" s="164"/>
      <c r="G826" s="320"/>
      <c r="H826" s="164"/>
      <c r="I826" s="327"/>
      <c r="J826" s="117"/>
      <c r="K826" s="327"/>
      <c r="L826" s="117"/>
      <c r="M826" s="320"/>
      <c r="N826" s="164"/>
      <c r="O826" s="320"/>
      <c r="P826" s="164"/>
      <c r="Q826" s="338"/>
      <c r="R826" s="338"/>
      <c r="S826" s="20"/>
      <c r="T826" s="20"/>
      <c r="U826" s="20"/>
      <c r="V826" s="20"/>
    </row>
    <row r="827">
      <c r="A827" s="320"/>
      <c r="B827" s="164"/>
      <c r="C827" s="320"/>
      <c r="D827" s="164"/>
      <c r="E827" s="320"/>
      <c r="F827" s="164"/>
      <c r="G827" s="320"/>
      <c r="H827" s="164"/>
      <c r="I827" s="327"/>
      <c r="J827" s="117"/>
      <c r="K827" s="327"/>
      <c r="L827" s="117"/>
      <c r="M827" s="320"/>
      <c r="N827" s="164"/>
      <c r="O827" s="320"/>
      <c r="P827" s="164"/>
      <c r="Q827" s="338"/>
      <c r="R827" s="338"/>
      <c r="S827" s="20"/>
      <c r="T827" s="20"/>
      <c r="U827" s="20"/>
      <c r="V827" s="20"/>
    </row>
    <row r="828">
      <c r="A828" s="320"/>
      <c r="B828" s="164"/>
      <c r="C828" s="320"/>
      <c r="D828" s="164"/>
      <c r="E828" s="320"/>
      <c r="F828" s="164"/>
      <c r="G828" s="320"/>
      <c r="H828" s="164"/>
      <c r="I828" s="327"/>
      <c r="J828" s="117"/>
      <c r="K828" s="327"/>
      <c r="L828" s="117"/>
      <c r="M828" s="320"/>
      <c r="N828" s="164"/>
      <c r="O828" s="320"/>
      <c r="P828" s="164"/>
      <c r="Q828" s="338"/>
      <c r="R828" s="338"/>
      <c r="S828" s="20"/>
      <c r="T828" s="20"/>
      <c r="U828" s="20"/>
      <c r="V828" s="20"/>
    </row>
    <row r="829">
      <c r="A829" s="320"/>
      <c r="B829" s="164"/>
      <c r="C829" s="320"/>
      <c r="D829" s="164"/>
      <c r="E829" s="320"/>
      <c r="F829" s="164"/>
      <c r="G829" s="320"/>
      <c r="H829" s="164"/>
      <c r="I829" s="327"/>
      <c r="J829" s="117"/>
      <c r="K829" s="327"/>
      <c r="L829" s="117"/>
      <c r="M829" s="320"/>
      <c r="N829" s="164"/>
      <c r="O829" s="320"/>
      <c r="P829" s="164"/>
      <c r="Q829" s="338"/>
      <c r="R829" s="338"/>
      <c r="S829" s="20"/>
      <c r="T829" s="20"/>
      <c r="U829" s="20"/>
      <c r="V829" s="20"/>
    </row>
    <row r="830">
      <c r="A830" s="320"/>
      <c r="B830" s="164"/>
      <c r="C830" s="320"/>
      <c r="D830" s="164"/>
      <c r="E830" s="320"/>
      <c r="F830" s="164"/>
      <c r="G830" s="320"/>
      <c r="H830" s="164"/>
      <c r="I830" s="327"/>
      <c r="J830" s="117"/>
      <c r="K830" s="327"/>
      <c r="L830" s="117"/>
      <c r="M830" s="320"/>
      <c r="N830" s="164"/>
      <c r="O830" s="320"/>
      <c r="P830" s="164"/>
      <c r="Q830" s="338"/>
      <c r="R830" s="338"/>
      <c r="S830" s="20"/>
      <c r="T830" s="20"/>
      <c r="U830" s="20"/>
      <c r="V830" s="20"/>
    </row>
    <row r="831">
      <c r="A831" s="320"/>
      <c r="B831" s="164"/>
      <c r="C831" s="320"/>
      <c r="D831" s="164"/>
      <c r="E831" s="320"/>
      <c r="F831" s="164"/>
      <c r="G831" s="320"/>
      <c r="H831" s="164"/>
      <c r="I831" s="327"/>
      <c r="J831" s="117"/>
      <c r="K831" s="327"/>
      <c r="L831" s="117"/>
      <c r="M831" s="320"/>
      <c r="N831" s="164"/>
      <c r="O831" s="320"/>
      <c r="P831" s="164"/>
      <c r="Q831" s="338"/>
      <c r="R831" s="338"/>
      <c r="S831" s="20"/>
      <c r="T831" s="20"/>
      <c r="U831" s="20"/>
      <c r="V831" s="20"/>
    </row>
    <row r="832">
      <c r="A832" s="320"/>
      <c r="B832" s="164"/>
      <c r="C832" s="320"/>
      <c r="D832" s="164"/>
      <c r="E832" s="320"/>
      <c r="F832" s="164"/>
      <c r="G832" s="320"/>
      <c r="H832" s="164"/>
      <c r="I832" s="327"/>
      <c r="J832" s="117"/>
      <c r="K832" s="327"/>
      <c r="L832" s="117"/>
      <c r="M832" s="320"/>
      <c r="N832" s="164"/>
      <c r="O832" s="320"/>
      <c r="P832" s="164"/>
      <c r="Q832" s="338"/>
      <c r="R832" s="338"/>
      <c r="S832" s="20"/>
      <c r="T832" s="20"/>
      <c r="U832" s="20"/>
      <c r="V832" s="20"/>
    </row>
    <row r="833">
      <c r="A833" s="320"/>
      <c r="B833" s="164"/>
      <c r="C833" s="320"/>
      <c r="D833" s="164"/>
      <c r="E833" s="320"/>
      <c r="F833" s="164"/>
      <c r="G833" s="320"/>
      <c r="H833" s="164"/>
      <c r="I833" s="327"/>
      <c r="J833" s="117"/>
      <c r="K833" s="327"/>
      <c r="L833" s="117"/>
      <c r="M833" s="320"/>
      <c r="N833" s="164"/>
      <c r="O833" s="320"/>
      <c r="P833" s="164"/>
      <c r="Q833" s="338"/>
      <c r="R833" s="338"/>
      <c r="S833" s="20"/>
      <c r="T833" s="20"/>
      <c r="U833" s="20"/>
      <c r="V833" s="20"/>
    </row>
    <row r="834">
      <c r="A834" s="320"/>
      <c r="B834" s="164"/>
      <c r="C834" s="320"/>
      <c r="D834" s="164"/>
      <c r="E834" s="320"/>
      <c r="F834" s="164"/>
      <c r="G834" s="320"/>
      <c r="H834" s="164"/>
      <c r="I834" s="327"/>
      <c r="J834" s="117"/>
      <c r="K834" s="327"/>
      <c r="L834" s="117"/>
      <c r="M834" s="320"/>
      <c r="N834" s="164"/>
      <c r="O834" s="320"/>
      <c r="P834" s="164"/>
      <c r="Q834" s="338"/>
      <c r="R834" s="338"/>
      <c r="S834" s="20"/>
      <c r="T834" s="20"/>
      <c r="U834" s="20"/>
      <c r="V834" s="20"/>
    </row>
    <row r="835">
      <c r="A835" s="320"/>
      <c r="B835" s="164"/>
      <c r="C835" s="320"/>
      <c r="D835" s="164"/>
      <c r="E835" s="320"/>
      <c r="F835" s="164"/>
      <c r="G835" s="320"/>
      <c r="H835" s="164"/>
      <c r="I835" s="327"/>
      <c r="J835" s="117"/>
      <c r="K835" s="327"/>
      <c r="L835" s="117"/>
      <c r="M835" s="320"/>
      <c r="N835" s="164"/>
      <c r="O835" s="320"/>
      <c r="P835" s="164"/>
      <c r="Q835" s="338"/>
      <c r="R835" s="338"/>
      <c r="S835" s="20"/>
      <c r="T835" s="20"/>
      <c r="U835" s="20"/>
      <c r="V835" s="20"/>
    </row>
    <row r="836">
      <c r="A836" s="320"/>
      <c r="B836" s="164"/>
      <c r="C836" s="320"/>
      <c r="D836" s="164"/>
      <c r="E836" s="320"/>
      <c r="F836" s="164"/>
      <c r="G836" s="320"/>
      <c r="H836" s="164"/>
      <c r="I836" s="327"/>
      <c r="J836" s="117"/>
      <c r="K836" s="327"/>
      <c r="L836" s="117"/>
      <c r="M836" s="320"/>
      <c r="N836" s="164"/>
      <c r="O836" s="320"/>
      <c r="P836" s="164"/>
      <c r="Q836" s="338"/>
      <c r="R836" s="338"/>
      <c r="S836" s="20"/>
      <c r="T836" s="20"/>
      <c r="U836" s="20"/>
      <c r="V836" s="20"/>
    </row>
    <row r="837">
      <c r="A837" s="320"/>
      <c r="B837" s="164"/>
      <c r="C837" s="320"/>
      <c r="D837" s="164"/>
      <c r="E837" s="320"/>
      <c r="F837" s="164"/>
      <c r="G837" s="320"/>
      <c r="H837" s="164"/>
      <c r="I837" s="327"/>
      <c r="J837" s="117"/>
      <c r="K837" s="327"/>
      <c r="L837" s="117"/>
      <c r="M837" s="320"/>
      <c r="N837" s="164"/>
      <c r="O837" s="320"/>
      <c r="P837" s="164"/>
      <c r="Q837" s="338"/>
      <c r="R837" s="338"/>
      <c r="S837" s="20"/>
      <c r="T837" s="20"/>
      <c r="U837" s="20"/>
      <c r="V837" s="20"/>
    </row>
    <row r="838">
      <c r="A838" s="320"/>
      <c r="B838" s="164"/>
      <c r="C838" s="320"/>
      <c r="D838" s="164"/>
      <c r="E838" s="320"/>
      <c r="F838" s="164"/>
      <c r="G838" s="320"/>
      <c r="H838" s="164"/>
      <c r="I838" s="327"/>
      <c r="J838" s="117"/>
      <c r="K838" s="327"/>
      <c r="L838" s="117"/>
      <c r="M838" s="320"/>
      <c r="N838" s="164"/>
      <c r="O838" s="320"/>
      <c r="P838" s="164"/>
      <c r="Q838" s="338"/>
      <c r="R838" s="338"/>
      <c r="S838" s="20"/>
      <c r="T838" s="20"/>
      <c r="U838" s="20"/>
      <c r="V838" s="20"/>
    </row>
    <row r="839">
      <c r="A839" s="320"/>
      <c r="B839" s="164"/>
      <c r="C839" s="320"/>
      <c r="D839" s="164"/>
      <c r="E839" s="320"/>
      <c r="F839" s="164"/>
      <c r="G839" s="320"/>
      <c r="H839" s="164"/>
      <c r="I839" s="327"/>
      <c r="J839" s="117"/>
      <c r="K839" s="327"/>
      <c r="L839" s="117"/>
      <c r="M839" s="320"/>
      <c r="N839" s="164"/>
      <c r="O839" s="320"/>
      <c r="P839" s="164"/>
      <c r="Q839" s="338"/>
      <c r="R839" s="338"/>
      <c r="S839" s="20"/>
      <c r="T839" s="20"/>
      <c r="U839" s="20"/>
      <c r="V839" s="20"/>
    </row>
    <row r="840">
      <c r="A840" s="320"/>
      <c r="B840" s="164"/>
      <c r="C840" s="320"/>
      <c r="D840" s="164"/>
      <c r="E840" s="320"/>
      <c r="F840" s="164"/>
      <c r="G840" s="320"/>
      <c r="H840" s="164"/>
      <c r="I840" s="327"/>
      <c r="J840" s="117"/>
      <c r="K840" s="327"/>
      <c r="L840" s="117"/>
      <c r="M840" s="320"/>
      <c r="N840" s="164"/>
      <c r="O840" s="320"/>
      <c r="P840" s="164"/>
      <c r="Q840" s="338"/>
      <c r="R840" s="338"/>
      <c r="S840" s="20"/>
      <c r="T840" s="20"/>
      <c r="U840" s="20"/>
      <c r="V840" s="20"/>
    </row>
    <row r="841">
      <c r="A841" s="320"/>
      <c r="B841" s="164"/>
      <c r="C841" s="320"/>
      <c r="D841" s="164"/>
      <c r="E841" s="320"/>
      <c r="F841" s="164"/>
      <c r="G841" s="320"/>
      <c r="H841" s="164"/>
      <c r="I841" s="327"/>
      <c r="J841" s="117"/>
      <c r="K841" s="327"/>
      <c r="L841" s="117"/>
      <c r="M841" s="320"/>
      <c r="N841" s="164"/>
      <c r="O841" s="320"/>
      <c r="P841" s="164"/>
      <c r="Q841" s="338"/>
      <c r="R841" s="338"/>
      <c r="S841" s="20"/>
      <c r="T841" s="20"/>
      <c r="U841" s="20"/>
      <c r="V841" s="20"/>
    </row>
    <row r="842">
      <c r="A842" s="320"/>
      <c r="B842" s="164"/>
      <c r="C842" s="320"/>
      <c r="D842" s="164"/>
      <c r="E842" s="320"/>
      <c r="F842" s="164"/>
      <c r="G842" s="320"/>
      <c r="H842" s="164"/>
      <c r="I842" s="327"/>
      <c r="J842" s="117"/>
      <c r="K842" s="327"/>
      <c r="L842" s="117"/>
      <c r="M842" s="320"/>
      <c r="N842" s="164"/>
      <c r="O842" s="320"/>
      <c r="P842" s="164"/>
      <c r="Q842" s="338"/>
      <c r="R842" s="338"/>
      <c r="S842" s="20"/>
      <c r="T842" s="20"/>
      <c r="U842" s="20"/>
      <c r="V842" s="20"/>
    </row>
    <row r="843">
      <c r="A843" s="320"/>
      <c r="B843" s="164"/>
      <c r="C843" s="320"/>
      <c r="D843" s="164"/>
      <c r="E843" s="320"/>
      <c r="F843" s="164"/>
      <c r="G843" s="320"/>
      <c r="H843" s="164"/>
      <c r="I843" s="327"/>
      <c r="J843" s="117"/>
      <c r="K843" s="327"/>
      <c r="L843" s="117"/>
      <c r="M843" s="320"/>
      <c r="N843" s="164"/>
      <c r="O843" s="320"/>
      <c r="P843" s="164"/>
      <c r="Q843" s="338"/>
      <c r="R843" s="338"/>
      <c r="S843" s="20"/>
      <c r="T843" s="20"/>
      <c r="U843" s="20"/>
      <c r="V843" s="20"/>
    </row>
    <row r="844">
      <c r="A844" s="320"/>
      <c r="B844" s="164"/>
      <c r="C844" s="320"/>
      <c r="D844" s="164"/>
      <c r="E844" s="320"/>
      <c r="F844" s="164"/>
      <c r="G844" s="320"/>
      <c r="H844" s="164"/>
      <c r="I844" s="327"/>
      <c r="J844" s="117"/>
      <c r="K844" s="327"/>
      <c r="L844" s="117"/>
      <c r="M844" s="320"/>
      <c r="N844" s="164"/>
      <c r="O844" s="320"/>
      <c r="P844" s="164"/>
      <c r="Q844" s="338"/>
      <c r="R844" s="338"/>
      <c r="S844" s="20"/>
      <c r="T844" s="20"/>
      <c r="U844" s="20"/>
      <c r="V844" s="20"/>
    </row>
    <row r="845">
      <c r="A845" s="320"/>
      <c r="B845" s="164"/>
      <c r="C845" s="320"/>
      <c r="D845" s="164"/>
      <c r="E845" s="320"/>
      <c r="F845" s="164"/>
      <c r="G845" s="320"/>
      <c r="H845" s="164"/>
      <c r="I845" s="327"/>
      <c r="J845" s="117"/>
      <c r="K845" s="327"/>
      <c r="L845" s="117"/>
      <c r="M845" s="320"/>
      <c r="N845" s="164"/>
      <c r="O845" s="320"/>
      <c r="P845" s="164"/>
      <c r="Q845" s="338"/>
      <c r="R845" s="338"/>
      <c r="S845" s="20"/>
      <c r="T845" s="20"/>
      <c r="U845" s="20"/>
      <c r="V845" s="20"/>
    </row>
    <row r="846">
      <c r="A846" s="320"/>
      <c r="B846" s="164"/>
      <c r="C846" s="320"/>
      <c r="D846" s="164"/>
      <c r="E846" s="320"/>
      <c r="F846" s="164"/>
      <c r="G846" s="320"/>
      <c r="H846" s="164"/>
      <c r="I846" s="327"/>
      <c r="J846" s="117"/>
      <c r="K846" s="327"/>
      <c r="L846" s="117"/>
      <c r="M846" s="320"/>
      <c r="N846" s="164"/>
      <c r="O846" s="320"/>
      <c r="P846" s="164"/>
      <c r="Q846" s="338"/>
      <c r="R846" s="338"/>
      <c r="S846" s="20"/>
      <c r="T846" s="20"/>
      <c r="U846" s="20"/>
      <c r="V846" s="20"/>
    </row>
    <row r="847">
      <c r="A847" s="320"/>
      <c r="B847" s="164"/>
      <c r="C847" s="320"/>
      <c r="D847" s="164"/>
      <c r="E847" s="320"/>
      <c r="F847" s="164"/>
      <c r="G847" s="320"/>
      <c r="H847" s="164"/>
      <c r="I847" s="327"/>
      <c r="J847" s="117"/>
      <c r="K847" s="327"/>
      <c r="L847" s="117"/>
      <c r="M847" s="320"/>
      <c r="N847" s="164"/>
      <c r="O847" s="320"/>
      <c r="P847" s="164"/>
      <c r="Q847" s="338"/>
      <c r="R847" s="338"/>
      <c r="S847" s="20"/>
      <c r="T847" s="20"/>
      <c r="U847" s="20"/>
      <c r="V847" s="20"/>
    </row>
    <row r="848">
      <c r="A848" s="320"/>
      <c r="B848" s="164"/>
      <c r="C848" s="320"/>
      <c r="D848" s="164"/>
      <c r="E848" s="320"/>
      <c r="F848" s="164"/>
      <c r="G848" s="320"/>
      <c r="H848" s="164"/>
      <c r="I848" s="327"/>
      <c r="J848" s="117"/>
      <c r="K848" s="327"/>
      <c r="L848" s="117"/>
      <c r="M848" s="320"/>
      <c r="N848" s="164"/>
      <c r="O848" s="320"/>
      <c r="P848" s="164"/>
      <c r="Q848" s="338"/>
      <c r="R848" s="338"/>
      <c r="S848" s="20"/>
      <c r="T848" s="20"/>
      <c r="U848" s="20"/>
      <c r="V848" s="20"/>
    </row>
    <row r="849">
      <c r="A849" s="320"/>
      <c r="B849" s="164"/>
      <c r="C849" s="320"/>
      <c r="D849" s="164"/>
      <c r="E849" s="320"/>
      <c r="F849" s="164"/>
      <c r="G849" s="320"/>
      <c r="H849" s="164"/>
      <c r="I849" s="327"/>
      <c r="J849" s="117"/>
      <c r="K849" s="327"/>
      <c r="L849" s="117"/>
      <c r="M849" s="320"/>
      <c r="N849" s="164"/>
      <c r="O849" s="320"/>
      <c r="P849" s="164"/>
      <c r="Q849" s="338"/>
      <c r="R849" s="338"/>
      <c r="S849" s="20"/>
      <c r="T849" s="20"/>
      <c r="U849" s="20"/>
      <c r="V849" s="20"/>
    </row>
    <row r="850">
      <c r="A850" s="320"/>
      <c r="B850" s="164"/>
      <c r="C850" s="320"/>
      <c r="D850" s="164"/>
      <c r="E850" s="320"/>
      <c r="F850" s="164"/>
      <c r="G850" s="320"/>
      <c r="H850" s="164"/>
      <c r="I850" s="327"/>
      <c r="J850" s="117"/>
      <c r="K850" s="327"/>
      <c r="L850" s="117"/>
      <c r="M850" s="320"/>
      <c r="N850" s="164"/>
      <c r="O850" s="320"/>
      <c r="P850" s="164"/>
      <c r="Q850" s="338"/>
      <c r="R850" s="338"/>
      <c r="S850" s="20"/>
      <c r="T850" s="20"/>
      <c r="U850" s="20"/>
      <c r="V850" s="20"/>
    </row>
    <row r="851">
      <c r="A851" s="320"/>
      <c r="B851" s="164"/>
      <c r="C851" s="320"/>
      <c r="D851" s="164"/>
      <c r="E851" s="320"/>
      <c r="F851" s="164"/>
      <c r="G851" s="320"/>
      <c r="H851" s="164"/>
      <c r="I851" s="327"/>
      <c r="J851" s="117"/>
      <c r="K851" s="327"/>
      <c r="L851" s="117"/>
      <c r="M851" s="320"/>
      <c r="N851" s="164"/>
      <c r="O851" s="320"/>
      <c r="P851" s="164"/>
      <c r="Q851" s="338"/>
      <c r="R851" s="338"/>
      <c r="S851" s="20"/>
      <c r="T851" s="20"/>
      <c r="U851" s="20"/>
      <c r="V851" s="20"/>
    </row>
    <row r="852">
      <c r="A852" s="320"/>
      <c r="B852" s="164"/>
      <c r="C852" s="320"/>
      <c r="D852" s="164"/>
      <c r="E852" s="320"/>
      <c r="F852" s="164"/>
      <c r="G852" s="320"/>
      <c r="H852" s="164"/>
      <c r="I852" s="327"/>
      <c r="J852" s="117"/>
      <c r="K852" s="327"/>
      <c r="L852" s="117"/>
      <c r="M852" s="320"/>
      <c r="N852" s="164"/>
      <c r="O852" s="320"/>
      <c r="P852" s="164"/>
      <c r="Q852" s="338"/>
      <c r="R852" s="338"/>
      <c r="S852" s="20"/>
      <c r="T852" s="20"/>
      <c r="U852" s="20"/>
      <c r="V852" s="20"/>
    </row>
    <row r="853">
      <c r="A853" s="320"/>
      <c r="B853" s="164"/>
      <c r="C853" s="320"/>
      <c r="D853" s="164"/>
      <c r="E853" s="320"/>
      <c r="F853" s="164"/>
      <c r="G853" s="320"/>
      <c r="H853" s="164"/>
      <c r="I853" s="327"/>
      <c r="J853" s="117"/>
      <c r="K853" s="327"/>
      <c r="L853" s="117"/>
      <c r="M853" s="320"/>
      <c r="N853" s="164"/>
      <c r="O853" s="320"/>
      <c r="P853" s="164"/>
      <c r="Q853" s="338"/>
      <c r="R853" s="338"/>
      <c r="S853" s="20"/>
      <c r="T853" s="20"/>
      <c r="U853" s="20"/>
      <c r="V853" s="20"/>
    </row>
    <row r="854">
      <c r="A854" s="320"/>
      <c r="B854" s="164"/>
      <c r="C854" s="320"/>
      <c r="D854" s="164"/>
      <c r="E854" s="320"/>
      <c r="F854" s="164"/>
      <c r="G854" s="320"/>
      <c r="H854" s="164"/>
      <c r="I854" s="327"/>
      <c r="J854" s="117"/>
      <c r="K854" s="327"/>
      <c r="L854" s="117"/>
      <c r="M854" s="320"/>
      <c r="N854" s="164"/>
      <c r="O854" s="320"/>
      <c r="P854" s="164"/>
      <c r="Q854" s="338"/>
      <c r="R854" s="338"/>
      <c r="S854" s="20"/>
      <c r="T854" s="20"/>
      <c r="U854" s="20"/>
      <c r="V854" s="20"/>
    </row>
    <row r="855">
      <c r="A855" s="320"/>
      <c r="B855" s="164"/>
      <c r="C855" s="320"/>
      <c r="D855" s="164"/>
      <c r="E855" s="320"/>
      <c r="F855" s="164"/>
      <c r="G855" s="320"/>
      <c r="H855" s="164"/>
      <c r="I855" s="327"/>
      <c r="J855" s="117"/>
      <c r="K855" s="327"/>
      <c r="L855" s="117"/>
      <c r="M855" s="320"/>
      <c r="N855" s="164"/>
      <c r="O855" s="320"/>
      <c r="P855" s="164"/>
      <c r="Q855" s="338"/>
      <c r="R855" s="338"/>
      <c r="S855" s="20"/>
      <c r="T855" s="20"/>
      <c r="U855" s="20"/>
      <c r="V855" s="20"/>
    </row>
    <row r="856">
      <c r="A856" s="320"/>
      <c r="B856" s="164"/>
      <c r="C856" s="320"/>
      <c r="D856" s="164"/>
      <c r="E856" s="320"/>
      <c r="F856" s="164"/>
      <c r="G856" s="320"/>
      <c r="H856" s="164"/>
      <c r="I856" s="327"/>
      <c r="J856" s="117"/>
      <c r="K856" s="327"/>
      <c r="L856" s="117"/>
      <c r="M856" s="320"/>
      <c r="N856" s="164"/>
      <c r="O856" s="320"/>
      <c r="P856" s="164"/>
      <c r="Q856" s="338"/>
      <c r="R856" s="338"/>
      <c r="S856" s="20"/>
      <c r="T856" s="20"/>
      <c r="U856" s="20"/>
      <c r="V856" s="20"/>
    </row>
    <row r="857">
      <c r="A857" s="320"/>
      <c r="B857" s="164"/>
      <c r="C857" s="320"/>
      <c r="D857" s="164"/>
      <c r="E857" s="320"/>
      <c r="F857" s="164"/>
      <c r="G857" s="320"/>
      <c r="H857" s="164"/>
      <c r="I857" s="327"/>
      <c r="J857" s="117"/>
      <c r="K857" s="327"/>
      <c r="L857" s="117"/>
      <c r="M857" s="320"/>
      <c r="N857" s="164"/>
      <c r="O857" s="320"/>
      <c r="P857" s="164"/>
      <c r="Q857" s="338"/>
      <c r="R857" s="338"/>
      <c r="S857" s="20"/>
      <c r="T857" s="20"/>
      <c r="U857" s="20"/>
      <c r="V857" s="20"/>
    </row>
    <row r="858">
      <c r="A858" s="320"/>
      <c r="B858" s="164"/>
      <c r="C858" s="320"/>
      <c r="D858" s="164"/>
      <c r="E858" s="320"/>
      <c r="F858" s="164"/>
      <c r="G858" s="320"/>
      <c r="H858" s="164"/>
      <c r="I858" s="327"/>
      <c r="J858" s="117"/>
      <c r="K858" s="327"/>
      <c r="L858" s="117"/>
      <c r="M858" s="320"/>
      <c r="N858" s="164"/>
      <c r="O858" s="320"/>
      <c r="P858" s="164"/>
      <c r="Q858" s="338"/>
      <c r="R858" s="338"/>
      <c r="S858" s="20"/>
      <c r="T858" s="20"/>
      <c r="U858" s="20"/>
      <c r="V858" s="20"/>
    </row>
    <row r="859">
      <c r="A859" s="320"/>
      <c r="B859" s="164"/>
      <c r="C859" s="320"/>
      <c r="D859" s="164"/>
      <c r="E859" s="320"/>
      <c r="F859" s="164"/>
      <c r="G859" s="320"/>
      <c r="H859" s="164"/>
      <c r="I859" s="327"/>
      <c r="J859" s="117"/>
      <c r="K859" s="327"/>
      <c r="L859" s="117"/>
      <c r="M859" s="320"/>
      <c r="N859" s="164"/>
      <c r="O859" s="320"/>
      <c r="P859" s="164"/>
      <c r="Q859" s="338"/>
      <c r="R859" s="338"/>
      <c r="S859" s="20"/>
      <c r="T859" s="20"/>
      <c r="U859" s="20"/>
      <c r="V859" s="20"/>
    </row>
    <row r="860">
      <c r="A860" s="320"/>
      <c r="B860" s="164"/>
      <c r="C860" s="320"/>
      <c r="D860" s="164"/>
      <c r="E860" s="320"/>
      <c r="F860" s="164"/>
      <c r="G860" s="320"/>
      <c r="H860" s="164"/>
      <c r="I860" s="327"/>
      <c r="J860" s="117"/>
      <c r="K860" s="327"/>
      <c r="L860" s="117"/>
      <c r="M860" s="320"/>
      <c r="N860" s="164"/>
      <c r="O860" s="320"/>
      <c r="P860" s="164"/>
      <c r="Q860" s="338"/>
      <c r="R860" s="338"/>
      <c r="S860" s="20"/>
      <c r="T860" s="20"/>
      <c r="U860" s="20"/>
      <c r="V860" s="20"/>
    </row>
    <row r="861">
      <c r="A861" s="320"/>
      <c r="B861" s="164"/>
      <c r="C861" s="320"/>
      <c r="D861" s="164"/>
      <c r="E861" s="320"/>
      <c r="F861" s="164"/>
      <c r="G861" s="320"/>
      <c r="H861" s="164"/>
      <c r="I861" s="327"/>
      <c r="J861" s="117"/>
      <c r="K861" s="327"/>
      <c r="L861" s="117"/>
      <c r="M861" s="320"/>
      <c r="N861" s="164"/>
      <c r="O861" s="320"/>
      <c r="P861" s="164"/>
      <c r="Q861" s="338"/>
      <c r="R861" s="338"/>
      <c r="S861" s="20"/>
      <c r="T861" s="20"/>
      <c r="U861" s="20"/>
      <c r="V861" s="20"/>
    </row>
    <row r="862">
      <c r="A862" s="320"/>
      <c r="B862" s="164"/>
      <c r="C862" s="320"/>
      <c r="D862" s="164"/>
      <c r="E862" s="320"/>
      <c r="F862" s="164"/>
      <c r="G862" s="320"/>
      <c r="H862" s="164"/>
      <c r="I862" s="327"/>
      <c r="J862" s="117"/>
      <c r="K862" s="327"/>
      <c r="L862" s="117"/>
      <c r="M862" s="320"/>
      <c r="N862" s="164"/>
      <c r="O862" s="320"/>
      <c r="P862" s="164"/>
      <c r="Q862" s="338"/>
      <c r="R862" s="338"/>
      <c r="S862" s="20"/>
      <c r="T862" s="20"/>
      <c r="U862" s="20"/>
      <c r="V862" s="20"/>
    </row>
    <row r="863">
      <c r="A863" s="320"/>
      <c r="B863" s="164"/>
      <c r="C863" s="320"/>
      <c r="D863" s="164"/>
      <c r="E863" s="320"/>
      <c r="F863" s="164"/>
      <c r="G863" s="320"/>
      <c r="H863" s="164"/>
      <c r="I863" s="327"/>
      <c r="J863" s="117"/>
      <c r="K863" s="327"/>
      <c r="L863" s="117"/>
      <c r="M863" s="320"/>
      <c r="N863" s="164"/>
      <c r="O863" s="320"/>
      <c r="P863" s="164"/>
      <c r="Q863" s="338"/>
      <c r="R863" s="338"/>
      <c r="S863" s="20"/>
      <c r="T863" s="20"/>
      <c r="U863" s="20"/>
      <c r="V863" s="20"/>
    </row>
    <row r="864">
      <c r="A864" s="320"/>
      <c r="B864" s="164"/>
      <c r="C864" s="320"/>
      <c r="D864" s="164"/>
      <c r="E864" s="320"/>
      <c r="F864" s="164"/>
      <c r="G864" s="320"/>
      <c r="H864" s="164"/>
      <c r="I864" s="327"/>
      <c r="J864" s="117"/>
      <c r="K864" s="327"/>
      <c r="L864" s="117"/>
      <c r="M864" s="320"/>
      <c r="N864" s="164"/>
      <c r="O864" s="320"/>
      <c r="P864" s="164"/>
      <c r="Q864" s="338"/>
      <c r="R864" s="338"/>
      <c r="S864" s="20"/>
      <c r="T864" s="20"/>
      <c r="U864" s="20"/>
      <c r="V864" s="20"/>
    </row>
    <row r="865">
      <c r="A865" s="320"/>
      <c r="B865" s="164"/>
      <c r="C865" s="320"/>
      <c r="D865" s="164"/>
      <c r="E865" s="320"/>
      <c r="F865" s="164"/>
      <c r="G865" s="320"/>
      <c r="H865" s="164"/>
      <c r="I865" s="327"/>
      <c r="J865" s="117"/>
      <c r="K865" s="327"/>
      <c r="L865" s="117"/>
      <c r="M865" s="320"/>
      <c r="N865" s="164"/>
      <c r="O865" s="320"/>
      <c r="P865" s="164"/>
      <c r="Q865" s="338"/>
      <c r="R865" s="338"/>
      <c r="S865" s="20"/>
      <c r="T865" s="20"/>
      <c r="U865" s="20"/>
      <c r="V865" s="20"/>
    </row>
    <row r="866">
      <c r="A866" s="320"/>
      <c r="B866" s="164"/>
      <c r="C866" s="320"/>
      <c r="D866" s="164"/>
      <c r="E866" s="320"/>
      <c r="F866" s="164"/>
      <c r="G866" s="320"/>
      <c r="H866" s="164"/>
      <c r="I866" s="327"/>
      <c r="J866" s="117"/>
      <c r="K866" s="327"/>
      <c r="L866" s="117"/>
      <c r="M866" s="320"/>
      <c r="N866" s="164"/>
      <c r="O866" s="320"/>
      <c r="P866" s="164"/>
      <c r="Q866" s="338"/>
      <c r="R866" s="338"/>
      <c r="S866" s="20"/>
      <c r="T866" s="20"/>
      <c r="U866" s="20"/>
      <c r="V866" s="20"/>
    </row>
    <row r="867">
      <c r="A867" s="320"/>
      <c r="B867" s="164"/>
      <c r="C867" s="320"/>
      <c r="D867" s="164"/>
      <c r="E867" s="320"/>
      <c r="F867" s="164"/>
      <c r="G867" s="320"/>
      <c r="H867" s="164"/>
      <c r="I867" s="327"/>
      <c r="J867" s="117"/>
      <c r="K867" s="327"/>
      <c r="L867" s="117"/>
      <c r="M867" s="320"/>
      <c r="N867" s="164"/>
      <c r="O867" s="320"/>
      <c r="P867" s="164"/>
      <c r="Q867" s="338"/>
      <c r="R867" s="338"/>
      <c r="S867" s="20"/>
      <c r="T867" s="20"/>
      <c r="U867" s="20"/>
      <c r="V867" s="20"/>
    </row>
    <row r="868">
      <c r="A868" s="320"/>
      <c r="B868" s="164"/>
      <c r="C868" s="320"/>
      <c r="D868" s="164"/>
      <c r="E868" s="320"/>
      <c r="F868" s="164"/>
      <c r="G868" s="320"/>
      <c r="H868" s="164"/>
      <c r="I868" s="327"/>
      <c r="J868" s="117"/>
      <c r="K868" s="327"/>
      <c r="L868" s="117"/>
      <c r="M868" s="320"/>
      <c r="N868" s="164"/>
      <c r="O868" s="320"/>
      <c r="P868" s="164"/>
      <c r="Q868" s="338"/>
      <c r="R868" s="338"/>
      <c r="S868" s="20"/>
      <c r="T868" s="20"/>
      <c r="U868" s="20"/>
      <c r="V868" s="20"/>
    </row>
    <row r="869">
      <c r="A869" s="320"/>
      <c r="B869" s="164"/>
      <c r="C869" s="320"/>
      <c r="D869" s="164"/>
      <c r="E869" s="320"/>
      <c r="F869" s="164"/>
      <c r="G869" s="320"/>
      <c r="H869" s="164"/>
      <c r="I869" s="327"/>
      <c r="J869" s="117"/>
      <c r="K869" s="327"/>
      <c r="L869" s="117"/>
      <c r="M869" s="320"/>
      <c r="N869" s="164"/>
      <c r="O869" s="320"/>
      <c r="P869" s="164"/>
      <c r="Q869" s="338"/>
      <c r="R869" s="338"/>
      <c r="S869" s="20"/>
      <c r="T869" s="20"/>
      <c r="U869" s="20"/>
      <c r="V869" s="20"/>
    </row>
    <row r="870">
      <c r="A870" s="320"/>
      <c r="B870" s="164"/>
      <c r="C870" s="320"/>
      <c r="D870" s="164"/>
      <c r="E870" s="320"/>
      <c r="F870" s="164"/>
      <c r="G870" s="320"/>
      <c r="H870" s="164"/>
      <c r="I870" s="327"/>
      <c r="J870" s="117"/>
      <c r="K870" s="327"/>
      <c r="L870" s="117"/>
      <c r="M870" s="320"/>
      <c r="N870" s="164"/>
      <c r="O870" s="320"/>
      <c r="P870" s="164"/>
      <c r="Q870" s="338"/>
      <c r="R870" s="338"/>
      <c r="S870" s="20"/>
      <c r="T870" s="20"/>
      <c r="U870" s="20"/>
      <c r="V870" s="20"/>
    </row>
    <row r="871">
      <c r="A871" s="320"/>
      <c r="B871" s="164"/>
      <c r="C871" s="320"/>
      <c r="D871" s="164"/>
      <c r="E871" s="320"/>
      <c r="F871" s="164"/>
      <c r="G871" s="320"/>
      <c r="H871" s="164"/>
      <c r="I871" s="327"/>
      <c r="J871" s="117"/>
      <c r="K871" s="327"/>
      <c r="L871" s="117"/>
      <c r="M871" s="320"/>
      <c r="N871" s="164"/>
      <c r="O871" s="320"/>
      <c r="P871" s="164"/>
      <c r="Q871" s="338"/>
      <c r="R871" s="338"/>
      <c r="S871" s="20"/>
      <c r="T871" s="20"/>
      <c r="U871" s="20"/>
      <c r="V871" s="20"/>
    </row>
    <row r="872">
      <c r="A872" s="320"/>
      <c r="B872" s="164"/>
      <c r="C872" s="320"/>
      <c r="D872" s="164"/>
      <c r="E872" s="320"/>
      <c r="F872" s="164"/>
      <c r="G872" s="320"/>
      <c r="H872" s="164"/>
      <c r="I872" s="327"/>
      <c r="J872" s="117"/>
      <c r="K872" s="327"/>
      <c r="L872" s="117"/>
      <c r="M872" s="320"/>
      <c r="N872" s="164"/>
      <c r="O872" s="320"/>
      <c r="P872" s="164"/>
      <c r="Q872" s="338"/>
      <c r="R872" s="338"/>
      <c r="S872" s="20"/>
      <c r="T872" s="20"/>
      <c r="U872" s="20"/>
      <c r="V872" s="20"/>
    </row>
    <row r="873">
      <c r="A873" s="320"/>
      <c r="B873" s="164"/>
      <c r="C873" s="320"/>
      <c r="D873" s="164"/>
      <c r="E873" s="320"/>
      <c r="F873" s="164"/>
      <c r="G873" s="320"/>
      <c r="H873" s="164"/>
      <c r="I873" s="327"/>
      <c r="J873" s="117"/>
      <c r="K873" s="327"/>
      <c r="L873" s="117"/>
      <c r="M873" s="320"/>
      <c r="N873" s="164"/>
      <c r="O873" s="320"/>
      <c r="P873" s="164"/>
      <c r="Q873" s="338"/>
      <c r="R873" s="338"/>
      <c r="S873" s="20"/>
      <c r="T873" s="20"/>
      <c r="U873" s="20"/>
      <c r="V873" s="20"/>
    </row>
    <row r="874">
      <c r="A874" s="320"/>
      <c r="B874" s="164"/>
      <c r="C874" s="320"/>
      <c r="D874" s="164"/>
      <c r="E874" s="320"/>
      <c r="F874" s="164"/>
      <c r="G874" s="320"/>
      <c r="H874" s="164"/>
      <c r="I874" s="327"/>
      <c r="J874" s="117"/>
      <c r="K874" s="327"/>
      <c r="L874" s="117"/>
      <c r="M874" s="320"/>
      <c r="N874" s="164"/>
      <c r="O874" s="320"/>
      <c r="P874" s="164"/>
      <c r="Q874" s="338"/>
      <c r="R874" s="338"/>
      <c r="S874" s="20"/>
      <c r="T874" s="20"/>
      <c r="U874" s="20"/>
      <c r="V874" s="20"/>
    </row>
    <row r="875">
      <c r="A875" s="320"/>
      <c r="B875" s="164"/>
      <c r="C875" s="320"/>
      <c r="D875" s="164"/>
      <c r="E875" s="320"/>
      <c r="F875" s="164"/>
      <c r="G875" s="320"/>
      <c r="H875" s="164"/>
      <c r="I875" s="327"/>
      <c r="J875" s="117"/>
      <c r="K875" s="327"/>
      <c r="L875" s="117"/>
      <c r="M875" s="320"/>
      <c r="N875" s="164"/>
      <c r="O875" s="320"/>
      <c r="P875" s="164"/>
      <c r="Q875" s="338"/>
      <c r="R875" s="338"/>
      <c r="S875" s="20"/>
      <c r="T875" s="20"/>
      <c r="U875" s="20"/>
      <c r="V875" s="20"/>
    </row>
    <row r="876">
      <c r="A876" s="320"/>
      <c r="B876" s="164"/>
      <c r="C876" s="320"/>
      <c r="D876" s="164"/>
      <c r="E876" s="320"/>
      <c r="F876" s="164"/>
      <c r="G876" s="320"/>
      <c r="H876" s="164"/>
      <c r="I876" s="327"/>
      <c r="J876" s="117"/>
      <c r="K876" s="327"/>
      <c r="L876" s="117"/>
      <c r="M876" s="320"/>
      <c r="N876" s="164"/>
      <c r="O876" s="320"/>
      <c r="P876" s="164"/>
      <c r="Q876" s="338"/>
      <c r="R876" s="338"/>
      <c r="S876" s="20"/>
      <c r="T876" s="20"/>
      <c r="U876" s="20"/>
      <c r="V876" s="20"/>
    </row>
    <row r="877">
      <c r="A877" s="320"/>
      <c r="B877" s="164"/>
      <c r="C877" s="320"/>
      <c r="D877" s="164"/>
      <c r="E877" s="320"/>
      <c r="F877" s="164"/>
      <c r="G877" s="320"/>
      <c r="H877" s="164"/>
      <c r="I877" s="327"/>
      <c r="J877" s="117"/>
      <c r="K877" s="327"/>
      <c r="L877" s="117"/>
      <c r="M877" s="320"/>
      <c r="N877" s="164"/>
      <c r="O877" s="320"/>
      <c r="P877" s="164"/>
      <c r="Q877" s="338"/>
      <c r="R877" s="338"/>
      <c r="S877" s="20"/>
      <c r="T877" s="20"/>
      <c r="U877" s="20"/>
      <c r="V877" s="20"/>
    </row>
    <row r="878">
      <c r="A878" s="320"/>
      <c r="B878" s="164"/>
      <c r="C878" s="320"/>
      <c r="D878" s="164"/>
      <c r="E878" s="320"/>
      <c r="F878" s="164"/>
      <c r="G878" s="320"/>
      <c r="H878" s="164"/>
      <c r="I878" s="327"/>
      <c r="J878" s="117"/>
      <c r="K878" s="327"/>
      <c r="L878" s="117"/>
      <c r="M878" s="320"/>
      <c r="N878" s="164"/>
      <c r="O878" s="320"/>
      <c r="P878" s="164"/>
      <c r="Q878" s="338"/>
      <c r="R878" s="338"/>
      <c r="S878" s="20"/>
      <c r="T878" s="20"/>
      <c r="U878" s="20"/>
      <c r="V878" s="20"/>
    </row>
    <row r="879">
      <c r="A879" s="320"/>
      <c r="B879" s="164"/>
      <c r="C879" s="320"/>
      <c r="D879" s="164"/>
      <c r="E879" s="320"/>
      <c r="F879" s="164"/>
      <c r="G879" s="320"/>
      <c r="H879" s="164"/>
      <c r="I879" s="327"/>
      <c r="J879" s="117"/>
      <c r="K879" s="327"/>
      <c r="L879" s="117"/>
      <c r="M879" s="320"/>
      <c r="N879" s="164"/>
      <c r="O879" s="320"/>
      <c r="P879" s="164"/>
      <c r="Q879" s="338"/>
      <c r="R879" s="338"/>
      <c r="S879" s="20"/>
      <c r="T879" s="20"/>
      <c r="U879" s="20"/>
      <c r="V879" s="20"/>
    </row>
    <row r="880">
      <c r="A880" s="320"/>
      <c r="B880" s="164"/>
      <c r="C880" s="320"/>
      <c r="D880" s="164"/>
      <c r="E880" s="320"/>
      <c r="F880" s="164"/>
      <c r="G880" s="320"/>
      <c r="H880" s="164"/>
      <c r="I880" s="327"/>
      <c r="J880" s="117"/>
      <c r="K880" s="327"/>
      <c r="L880" s="117"/>
      <c r="M880" s="320"/>
      <c r="N880" s="164"/>
      <c r="O880" s="320"/>
      <c r="P880" s="164"/>
      <c r="Q880" s="338"/>
      <c r="R880" s="338"/>
      <c r="S880" s="20"/>
      <c r="T880" s="20"/>
      <c r="U880" s="20"/>
      <c r="V880" s="20"/>
    </row>
    <row r="881">
      <c r="A881" s="320"/>
      <c r="B881" s="164"/>
      <c r="C881" s="320"/>
      <c r="D881" s="164"/>
      <c r="E881" s="320"/>
      <c r="F881" s="164"/>
      <c r="G881" s="320"/>
      <c r="H881" s="164"/>
      <c r="I881" s="327"/>
      <c r="J881" s="117"/>
      <c r="K881" s="327"/>
      <c r="L881" s="117"/>
      <c r="M881" s="320"/>
      <c r="N881" s="164"/>
      <c r="O881" s="320"/>
      <c r="P881" s="164"/>
      <c r="Q881" s="338"/>
      <c r="R881" s="338"/>
      <c r="S881" s="20"/>
      <c r="T881" s="20"/>
      <c r="U881" s="20"/>
      <c r="V881" s="20"/>
    </row>
    <row r="882">
      <c r="A882" s="320"/>
      <c r="B882" s="164"/>
      <c r="C882" s="320"/>
      <c r="D882" s="164"/>
      <c r="E882" s="320"/>
      <c r="F882" s="164"/>
      <c r="G882" s="320"/>
      <c r="H882" s="164"/>
      <c r="I882" s="327"/>
      <c r="J882" s="117"/>
      <c r="K882" s="327"/>
      <c r="L882" s="117"/>
      <c r="M882" s="320"/>
      <c r="N882" s="164"/>
      <c r="O882" s="320"/>
      <c r="P882" s="164"/>
      <c r="Q882" s="338"/>
      <c r="R882" s="338"/>
      <c r="S882" s="20"/>
      <c r="T882" s="20"/>
      <c r="U882" s="20"/>
      <c r="V882" s="20"/>
    </row>
    <row r="883">
      <c r="A883" s="320"/>
      <c r="B883" s="164"/>
      <c r="C883" s="320"/>
      <c r="D883" s="164"/>
      <c r="E883" s="320"/>
      <c r="F883" s="164"/>
      <c r="G883" s="320"/>
      <c r="H883" s="164"/>
      <c r="I883" s="327"/>
      <c r="J883" s="117"/>
      <c r="K883" s="327"/>
      <c r="L883" s="117"/>
      <c r="M883" s="320"/>
      <c r="N883" s="164"/>
      <c r="O883" s="320"/>
      <c r="P883" s="164"/>
      <c r="Q883" s="338"/>
      <c r="R883" s="338"/>
      <c r="S883" s="20"/>
      <c r="T883" s="20"/>
      <c r="U883" s="20"/>
      <c r="V883" s="20"/>
    </row>
    <row r="884">
      <c r="A884" s="320"/>
      <c r="B884" s="164"/>
      <c r="C884" s="320"/>
      <c r="D884" s="164"/>
      <c r="E884" s="320"/>
      <c r="F884" s="164"/>
      <c r="G884" s="320"/>
      <c r="H884" s="164"/>
      <c r="I884" s="327"/>
      <c r="J884" s="117"/>
      <c r="K884" s="327"/>
      <c r="L884" s="117"/>
      <c r="M884" s="320"/>
      <c r="N884" s="164"/>
      <c r="O884" s="320"/>
      <c r="P884" s="164"/>
      <c r="Q884" s="338"/>
      <c r="R884" s="338"/>
      <c r="S884" s="20"/>
      <c r="T884" s="20"/>
      <c r="U884" s="20"/>
      <c r="V884" s="20"/>
    </row>
    <row r="885">
      <c r="A885" s="320"/>
      <c r="B885" s="164"/>
      <c r="C885" s="320"/>
      <c r="D885" s="164"/>
      <c r="E885" s="320"/>
      <c r="F885" s="164"/>
      <c r="G885" s="320"/>
      <c r="H885" s="164"/>
      <c r="I885" s="327"/>
      <c r="J885" s="117"/>
      <c r="K885" s="327"/>
      <c r="L885" s="117"/>
      <c r="M885" s="320"/>
      <c r="N885" s="164"/>
      <c r="O885" s="320"/>
      <c r="P885" s="164"/>
      <c r="Q885" s="338"/>
      <c r="R885" s="338"/>
      <c r="S885" s="20"/>
      <c r="T885" s="20"/>
      <c r="U885" s="20"/>
      <c r="V885" s="20"/>
    </row>
    <row r="886">
      <c r="A886" s="320"/>
      <c r="B886" s="164"/>
      <c r="C886" s="320"/>
      <c r="D886" s="164"/>
      <c r="E886" s="320"/>
      <c r="F886" s="164"/>
      <c r="G886" s="320"/>
      <c r="H886" s="164"/>
      <c r="I886" s="327"/>
      <c r="J886" s="117"/>
      <c r="K886" s="327"/>
      <c r="L886" s="117"/>
      <c r="M886" s="320"/>
      <c r="N886" s="164"/>
      <c r="O886" s="320"/>
      <c r="P886" s="164"/>
      <c r="Q886" s="338"/>
      <c r="R886" s="338"/>
      <c r="S886" s="20"/>
      <c r="T886" s="20"/>
      <c r="U886" s="20"/>
      <c r="V886" s="20"/>
    </row>
    <row r="887">
      <c r="A887" s="320"/>
      <c r="B887" s="164"/>
      <c r="C887" s="320"/>
      <c r="D887" s="164"/>
      <c r="E887" s="320"/>
      <c r="F887" s="164"/>
      <c r="G887" s="320"/>
      <c r="H887" s="164"/>
      <c r="I887" s="327"/>
      <c r="J887" s="117"/>
      <c r="K887" s="327"/>
      <c r="L887" s="117"/>
      <c r="M887" s="320"/>
      <c r="N887" s="164"/>
      <c r="O887" s="320"/>
      <c r="P887" s="164"/>
      <c r="Q887" s="338"/>
      <c r="R887" s="338"/>
      <c r="S887" s="20"/>
      <c r="T887" s="20"/>
      <c r="U887" s="20"/>
      <c r="V887" s="20"/>
    </row>
    <row r="888">
      <c r="A888" s="320"/>
      <c r="B888" s="164"/>
      <c r="C888" s="320"/>
      <c r="D888" s="164"/>
      <c r="E888" s="320"/>
      <c r="F888" s="164"/>
      <c r="G888" s="320"/>
      <c r="H888" s="164"/>
      <c r="I888" s="327"/>
      <c r="J888" s="117"/>
      <c r="K888" s="327"/>
      <c r="L888" s="117"/>
      <c r="M888" s="320"/>
      <c r="N888" s="164"/>
      <c r="O888" s="320"/>
      <c r="P888" s="164"/>
      <c r="Q888" s="338"/>
      <c r="R888" s="338"/>
      <c r="S888" s="20"/>
      <c r="T888" s="20"/>
      <c r="U888" s="20"/>
      <c r="V888" s="20"/>
    </row>
    <row r="889">
      <c r="A889" s="320"/>
      <c r="B889" s="164"/>
      <c r="C889" s="320"/>
      <c r="D889" s="164"/>
      <c r="E889" s="320"/>
      <c r="F889" s="164"/>
      <c r="G889" s="320"/>
      <c r="H889" s="164"/>
      <c r="I889" s="327"/>
      <c r="J889" s="117"/>
      <c r="K889" s="327"/>
      <c r="L889" s="117"/>
      <c r="M889" s="320"/>
      <c r="N889" s="164"/>
      <c r="O889" s="320"/>
      <c r="P889" s="164"/>
      <c r="Q889" s="338"/>
      <c r="R889" s="338"/>
      <c r="S889" s="20"/>
      <c r="T889" s="20"/>
      <c r="U889" s="20"/>
      <c r="V889" s="20"/>
    </row>
    <row r="890">
      <c r="A890" s="320"/>
      <c r="B890" s="164"/>
      <c r="C890" s="320"/>
      <c r="D890" s="164"/>
      <c r="E890" s="320"/>
      <c r="F890" s="164"/>
      <c r="G890" s="320"/>
      <c r="H890" s="164"/>
      <c r="I890" s="327"/>
      <c r="J890" s="117"/>
      <c r="K890" s="327"/>
      <c r="L890" s="117"/>
      <c r="M890" s="320"/>
      <c r="N890" s="164"/>
      <c r="O890" s="320"/>
      <c r="P890" s="164"/>
      <c r="Q890" s="338"/>
      <c r="R890" s="338"/>
      <c r="S890" s="20"/>
      <c r="T890" s="20"/>
      <c r="U890" s="20"/>
      <c r="V890" s="20"/>
    </row>
    <row r="891">
      <c r="A891" s="320"/>
      <c r="B891" s="164"/>
      <c r="C891" s="320"/>
      <c r="D891" s="164"/>
      <c r="E891" s="320"/>
      <c r="F891" s="164"/>
      <c r="G891" s="320"/>
      <c r="H891" s="164"/>
      <c r="I891" s="327"/>
      <c r="J891" s="117"/>
      <c r="K891" s="327"/>
      <c r="L891" s="117"/>
      <c r="M891" s="320"/>
      <c r="N891" s="164"/>
      <c r="O891" s="320"/>
      <c r="P891" s="164"/>
      <c r="Q891" s="338"/>
      <c r="R891" s="338"/>
      <c r="S891" s="20"/>
      <c r="T891" s="20"/>
      <c r="U891" s="20"/>
      <c r="V891" s="20"/>
    </row>
    <row r="892">
      <c r="A892" s="320"/>
      <c r="B892" s="164"/>
      <c r="C892" s="320"/>
      <c r="D892" s="164"/>
      <c r="E892" s="320"/>
      <c r="F892" s="164"/>
      <c r="G892" s="320"/>
      <c r="H892" s="164"/>
      <c r="I892" s="327"/>
      <c r="J892" s="117"/>
      <c r="K892" s="327"/>
      <c r="L892" s="117"/>
      <c r="M892" s="320"/>
      <c r="N892" s="164"/>
      <c r="O892" s="320"/>
      <c r="P892" s="164"/>
      <c r="Q892" s="338"/>
      <c r="R892" s="338"/>
      <c r="S892" s="20"/>
      <c r="T892" s="20"/>
      <c r="U892" s="20"/>
      <c r="V892" s="20"/>
    </row>
    <row r="893">
      <c r="A893" s="320"/>
      <c r="B893" s="164"/>
      <c r="C893" s="320"/>
      <c r="D893" s="164"/>
      <c r="E893" s="320"/>
      <c r="F893" s="164"/>
      <c r="G893" s="320"/>
      <c r="H893" s="164"/>
      <c r="I893" s="327"/>
      <c r="J893" s="117"/>
      <c r="K893" s="327"/>
      <c r="L893" s="117"/>
      <c r="M893" s="320"/>
      <c r="N893" s="164"/>
      <c r="O893" s="320"/>
      <c r="P893" s="164"/>
      <c r="Q893" s="338"/>
      <c r="R893" s="338"/>
      <c r="S893" s="20"/>
      <c r="T893" s="20"/>
      <c r="U893" s="20"/>
      <c r="V893" s="20"/>
    </row>
    <row r="894">
      <c r="A894" s="320"/>
      <c r="B894" s="164"/>
      <c r="C894" s="320"/>
      <c r="D894" s="164"/>
      <c r="E894" s="320"/>
      <c r="F894" s="164"/>
      <c r="G894" s="320"/>
      <c r="H894" s="164"/>
      <c r="I894" s="327"/>
      <c r="J894" s="117"/>
      <c r="K894" s="327"/>
      <c r="L894" s="117"/>
      <c r="M894" s="320"/>
      <c r="N894" s="164"/>
      <c r="O894" s="320"/>
      <c r="P894" s="164"/>
      <c r="Q894" s="338"/>
      <c r="R894" s="338"/>
      <c r="S894" s="20"/>
      <c r="T894" s="20"/>
      <c r="U894" s="20"/>
      <c r="V894" s="20"/>
    </row>
    <row r="895">
      <c r="A895" s="320"/>
      <c r="B895" s="164"/>
      <c r="C895" s="320"/>
      <c r="D895" s="164"/>
      <c r="E895" s="320"/>
      <c r="F895" s="164"/>
      <c r="G895" s="320"/>
      <c r="H895" s="164"/>
      <c r="I895" s="327"/>
      <c r="J895" s="117"/>
      <c r="K895" s="327"/>
      <c r="L895" s="117"/>
      <c r="M895" s="320"/>
      <c r="N895" s="164"/>
      <c r="O895" s="320"/>
      <c r="P895" s="164"/>
      <c r="Q895" s="338"/>
      <c r="R895" s="338"/>
      <c r="S895" s="20"/>
      <c r="T895" s="20"/>
      <c r="U895" s="20"/>
      <c r="V895" s="20"/>
    </row>
    <row r="896">
      <c r="A896" s="320"/>
      <c r="B896" s="164"/>
      <c r="C896" s="320"/>
      <c r="D896" s="164"/>
      <c r="E896" s="320"/>
      <c r="F896" s="164"/>
      <c r="G896" s="320"/>
      <c r="H896" s="164"/>
      <c r="I896" s="327"/>
      <c r="J896" s="117"/>
      <c r="K896" s="327"/>
      <c r="L896" s="117"/>
      <c r="M896" s="320"/>
      <c r="N896" s="164"/>
      <c r="O896" s="320"/>
      <c r="P896" s="164"/>
      <c r="Q896" s="338"/>
      <c r="R896" s="338"/>
      <c r="S896" s="20"/>
      <c r="T896" s="20"/>
      <c r="U896" s="20"/>
      <c r="V896" s="20"/>
    </row>
    <row r="897">
      <c r="A897" s="320"/>
      <c r="B897" s="164"/>
      <c r="C897" s="320"/>
      <c r="D897" s="164"/>
      <c r="E897" s="320"/>
      <c r="F897" s="164"/>
      <c r="G897" s="320"/>
      <c r="H897" s="164"/>
      <c r="I897" s="327"/>
      <c r="J897" s="117"/>
      <c r="K897" s="327"/>
      <c r="L897" s="117"/>
      <c r="M897" s="320"/>
      <c r="N897" s="164"/>
      <c r="O897" s="320"/>
      <c r="P897" s="164"/>
      <c r="Q897" s="338"/>
      <c r="R897" s="338"/>
      <c r="S897" s="20"/>
      <c r="T897" s="20"/>
      <c r="U897" s="20"/>
      <c r="V897" s="20"/>
    </row>
    <row r="898">
      <c r="A898" s="320"/>
      <c r="B898" s="164"/>
      <c r="C898" s="320"/>
      <c r="D898" s="164"/>
      <c r="E898" s="320"/>
      <c r="F898" s="164"/>
      <c r="G898" s="320"/>
      <c r="H898" s="164"/>
      <c r="I898" s="327"/>
      <c r="J898" s="117"/>
      <c r="K898" s="327"/>
      <c r="L898" s="117"/>
      <c r="M898" s="320"/>
      <c r="N898" s="164"/>
      <c r="O898" s="320"/>
      <c r="P898" s="164"/>
      <c r="Q898" s="338"/>
      <c r="R898" s="338"/>
      <c r="S898" s="20"/>
      <c r="T898" s="20"/>
      <c r="U898" s="20"/>
      <c r="V898" s="20"/>
    </row>
    <row r="899">
      <c r="A899" s="320"/>
      <c r="B899" s="164"/>
      <c r="C899" s="320"/>
      <c r="D899" s="164"/>
      <c r="E899" s="320"/>
      <c r="F899" s="164"/>
      <c r="G899" s="320"/>
      <c r="H899" s="164"/>
      <c r="I899" s="327"/>
      <c r="J899" s="117"/>
      <c r="K899" s="327"/>
      <c r="L899" s="117"/>
      <c r="M899" s="320"/>
      <c r="N899" s="164"/>
      <c r="O899" s="320"/>
      <c r="P899" s="164"/>
      <c r="Q899" s="338"/>
      <c r="R899" s="338"/>
      <c r="S899" s="20"/>
      <c r="T899" s="20"/>
      <c r="U899" s="20"/>
      <c r="V899" s="20"/>
    </row>
    <row r="900">
      <c r="A900" s="320"/>
      <c r="B900" s="164"/>
      <c r="C900" s="320"/>
      <c r="D900" s="164"/>
      <c r="E900" s="320"/>
      <c r="F900" s="164"/>
      <c r="G900" s="320"/>
      <c r="H900" s="164"/>
      <c r="I900" s="327"/>
      <c r="J900" s="117"/>
      <c r="K900" s="327"/>
      <c r="L900" s="117"/>
      <c r="M900" s="320"/>
      <c r="N900" s="164"/>
      <c r="O900" s="320"/>
      <c r="P900" s="164"/>
      <c r="Q900" s="338"/>
      <c r="R900" s="338"/>
      <c r="S900" s="20"/>
      <c r="T900" s="20"/>
      <c r="U900" s="20"/>
      <c r="V900" s="20"/>
    </row>
    <row r="901">
      <c r="A901" s="320"/>
      <c r="B901" s="164"/>
      <c r="C901" s="320"/>
      <c r="D901" s="164"/>
      <c r="E901" s="320"/>
      <c r="F901" s="164"/>
      <c r="G901" s="320"/>
      <c r="H901" s="164"/>
      <c r="I901" s="327"/>
      <c r="J901" s="117"/>
      <c r="K901" s="327"/>
      <c r="L901" s="117"/>
      <c r="M901" s="320"/>
      <c r="N901" s="164"/>
      <c r="O901" s="320"/>
      <c r="P901" s="164"/>
      <c r="Q901" s="338"/>
      <c r="R901" s="338"/>
      <c r="S901" s="20"/>
      <c r="T901" s="20"/>
      <c r="U901" s="20"/>
      <c r="V901" s="20"/>
    </row>
    <row r="902">
      <c r="A902" s="320"/>
      <c r="B902" s="164"/>
      <c r="C902" s="320"/>
      <c r="D902" s="164"/>
      <c r="E902" s="320"/>
      <c r="F902" s="164"/>
      <c r="G902" s="320"/>
      <c r="H902" s="164"/>
      <c r="I902" s="327"/>
      <c r="J902" s="117"/>
      <c r="K902" s="327"/>
      <c r="L902" s="117"/>
      <c r="M902" s="320"/>
      <c r="N902" s="164"/>
      <c r="O902" s="320"/>
      <c r="P902" s="164"/>
      <c r="Q902" s="338"/>
      <c r="R902" s="338"/>
      <c r="S902" s="20"/>
      <c r="T902" s="20"/>
      <c r="U902" s="20"/>
      <c r="V902" s="20"/>
    </row>
    <row r="903">
      <c r="A903" s="320"/>
      <c r="B903" s="164"/>
      <c r="C903" s="320"/>
      <c r="D903" s="164"/>
      <c r="E903" s="320"/>
      <c r="F903" s="164"/>
      <c r="G903" s="320"/>
      <c r="H903" s="164"/>
      <c r="I903" s="327"/>
      <c r="J903" s="117"/>
      <c r="K903" s="327"/>
      <c r="L903" s="117"/>
      <c r="M903" s="320"/>
      <c r="N903" s="164"/>
      <c r="O903" s="320"/>
      <c r="P903" s="164"/>
      <c r="Q903" s="338"/>
      <c r="R903" s="338"/>
      <c r="S903" s="20"/>
      <c r="T903" s="20"/>
      <c r="U903" s="20"/>
      <c r="V903" s="20"/>
    </row>
    <row r="904">
      <c r="A904" s="320"/>
      <c r="B904" s="164"/>
      <c r="C904" s="320"/>
      <c r="D904" s="164"/>
      <c r="E904" s="320"/>
      <c r="F904" s="164"/>
      <c r="G904" s="320"/>
      <c r="H904" s="164"/>
      <c r="I904" s="327"/>
      <c r="J904" s="117"/>
      <c r="K904" s="327"/>
      <c r="L904" s="117"/>
      <c r="M904" s="320"/>
      <c r="N904" s="164"/>
      <c r="O904" s="320"/>
      <c r="P904" s="164"/>
      <c r="Q904" s="338"/>
      <c r="R904" s="338"/>
      <c r="S904" s="20"/>
      <c r="T904" s="20"/>
      <c r="U904" s="20"/>
      <c r="V904" s="20"/>
    </row>
    <row r="905">
      <c r="A905" s="320"/>
      <c r="B905" s="164"/>
      <c r="C905" s="320"/>
      <c r="D905" s="164"/>
      <c r="E905" s="320"/>
      <c r="F905" s="164"/>
      <c r="G905" s="320"/>
      <c r="H905" s="164"/>
      <c r="I905" s="327"/>
      <c r="J905" s="117"/>
      <c r="K905" s="327"/>
      <c r="L905" s="117"/>
      <c r="M905" s="320"/>
      <c r="N905" s="164"/>
      <c r="O905" s="320"/>
      <c r="P905" s="164"/>
      <c r="Q905" s="338"/>
      <c r="R905" s="338"/>
      <c r="S905" s="20"/>
      <c r="T905" s="20"/>
      <c r="U905" s="20"/>
      <c r="V905" s="20"/>
    </row>
    <row r="906">
      <c r="A906" s="320"/>
      <c r="B906" s="164"/>
      <c r="C906" s="320"/>
      <c r="D906" s="164"/>
      <c r="E906" s="320"/>
      <c r="F906" s="164"/>
      <c r="G906" s="320"/>
      <c r="H906" s="164"/>
      <c r="I906" s="327"/>
      <c r="J906" s="117"/>
      <c r="K906" s="327"/>
      <c r="L906" s="117"/>
      <c r="M906" s="320"/>
      <c r="N906" s="164"/>
      <c r="O906" s="320"/>
      <c r="P906" s="164"/>
      <c r="Q906" s="338"/>
      <c r="R906" s="338"/>
      <c r="S906" s="20"/>
      <c r="T906" s="20"/>
      <c r="U906" s="20"/>
      <c r="V906" s="20"/>
    </row>
    <row r="907">
      <c r="A907" s="320"/>
      <c r="B907" s="164"/>
      <c r="C907" s="320"/>
      <c r="D907" s="164"/>
      <c r="E907" s="320"/>
      <c r="F907" s="164"/>
      <c r="G907" s="320"/>
      <c r="H907" s="164"/>
      <c r="I907" s="327"/>
      <c r="J907" s="117"/>
      <c r="K907" s="327"/>
      <c r="L907" s="117"/>
      <c r="M907" s="320"/>
      <c r="N907" s="164"/>
      <c r="O907" s="320"/>
      <c r="P907" s="164"/>
      <c r="Q907" s="338"/>
      <c r="R907" s="338"/>
      <c r="S907" s="20"/>
      <c r="T907" s="20"/>
      <c r="U907" s="20"/>
      <c r="V907" s="20"/>
    </row>
    <row r="908">
      <c r="A908" s="320"/>
      <c r="B908" s="164"/>
      <c r="C908" s="320"/>
      <c r="D908" s="164"/>
      <c r="E908" s="320"/>
      <c r="F908" s="164"/>
      <c r="G908" s="320"/>
      <c r="H908" s="164"/>
      <c r="I908" s="327"/>
      <c r="J908" s="117"/>
      <c r="K908" s="327"/>
      <c r="L908" s="117"/>
      <c r="M908" s="320"/>
      <c r="N908" s="164"/>
      <c r="O908" s="320"/>
      <c r="P908" s="164"/>
      <c r="Q908" s="338"/>
      <c r="R908" s="338"/>
      <c r="S908" s="20"/>
      <c r="T908" s="20"/>
      <c r="U908" s="20"/>
      <c r="V908" s="20"/>
    </row>
    <row r="909">
      <c r="A909" s="320"/>
      <c r="B909" s="164"/>
      <c r="C909" s="320"/>
      <c r="D909" s="164"/>
      <c r="E909" s="320"/>
      <c r="F909" s="164"/>
      <c r="G909" s="320"/>
      <c r="H909" s="164"/>
      <c r="I909" s="327"/>
      <c r="J909" s="117"/>
      <c r="K909" s="327"/>
      <c r="L909" s="117"/>
      <c r="M909" s="320"/>
      <c r="N909" s="164"/>
      <c r="O909" s="320"/>
      <c r="P909" s="164"/>
      <c r="Q909" s="338"/>
      <c r="R909" s="338"/>
      <c r="S909" s="20"/>
      <c r="T909" s="20"/>
      <c r="U909" s="20"/>
      <c r="V909" s="20"/>
    </row>
    <row r="910">
      <c r="A910" s="320"/>
      <c r="B910" s="164"/>
      <c r="C910" s="320"/>
      <c r="D910" s="164"/>
      <c r="E910" s="320"/>
      <c r="F910" s="164"/>
      <c r="G910" s="320"/>
      <c r="H910" s="164"/>
      <c r="I910" s="327"/>
      <c r="J910" s="117"/>
      <c r="K910" s="327"/>
      <c r="L910" s="117"/>
      <c r="M910" s="320"/>
      <c r="N910" s="164"/>
      <c r="O910" s="320"/>
      <c r="P910" s="164"/>
      <c r="Q910" s="338"/>
      <c r="R910" s="338"/>
      <c r="S910" s="20"/>
      <c r="T910" s="20"/>
      <c r="U910" s="20"/>
      <c r="V910" s="20"/>
    </row>
    <row r="911">
      <c r="A911" s="320"/>
      <c r="B911" s="164"/>
      <c r="C911" s="320"/>
      <c r="D911" s="164"/>
      <c r="E911" s="320"/>
      <c r="F911" s="164"/>
      <c r="G911" s="320"/>
      <c r="H911" s="164"/>
      <c r="I911" s="327"/>
      <c r="J911" s="117"/>
      <c r="K911" s="327"/>
      <c r="L911" s="117"/>
      <c r="M911" s="320"/>
      <c r="N911" s="164"/>
      <c r="O911" s="320"/>
      <c r="P911" s="164"/>
      <c r="Q911" s="338"/>
      <c r="R911" s="338"/>
      <c r="S911" s="20"/>
      <c r="T911" s="20"/>
      <c r="U911" s="20"/>
      <c r="V911" s="20"/>
    </row>
    <row r="912">
      <c r="A912" s="320"/>
      <c r="B912" s="164"/>
      <c r="C912" s="320"/>
      <c r="D912" s="164"/>
      <c r="E912" s="320"/>
      <c r="F912" s="164"/>
      <c r="G912" s="320"/>
      <c r="H912" s="164"/>
      <c r="I912" s="327"/>
      <c r="J912" s="117"/>
      <c r="K912" s="327"/>
      <c r="L912" s="117"/>
      <c r="M912" s="320"/>
      <c r="N912" s="164"/>
      <c r="O912" s="320"/>
      <c r="P912" s="164"/>
      <c r="Q912" s="338"/>
      <c r="R912" s="338"/>
      <c r="S912" s="20"/>
      <c r="T912" s="20"/>
      <c r="U912" s="20"/>
      <c r="V912" s="20"/>
    </row>
    <row r="913">
      <c r="A913" s="320"/>
      <c r="B913" s="164"/>
      <c r="C913" s="320"/>
      <c r="D913" s="164"/>
      <c r="E913" s="320"/>
      <c r="F913" s="164"/>
      <c r="G913" s="320"/>
      <c r="H913" s="164"/>
      <c r="I913" s="327"/>
      <c r="J913" s="117"/>
      <c r="K913" s="327"/>
      <c r="L913" s="117"/>
      <c r="M913" s="320"/>
      <c r="N913" s="164"/>
      <c r="O913" s="320"/>
      <c r="P913" s="164"/>
      <c r="Q913" s="338"/>
      <c r="R913" s="338"/>
      <c r="S913" s="20"/>
      <c r="T913" s="20"/>
      <c r="U913" s="20"/>
      <c r="V913" s="20"/>
    </row>
    <row r="914">
      <c r="A914" s="320"/>
      <c r="B914" s="164"/>
      <c r="C914" s="320"/>
      <c r="D914" s="164"/>
      <c r="E914" s="320"/>
      <c r="F914" s="164"/>
      <c r="G914" s="320"/>
      <c r="H914" s="164"/>
      <c r="I914" s="327"/>
      <c r="J914" s="117"/>
      <c r="K914" s="327"/>
      <c r="L914" s="117"/>
      <c r="M914" s="320"/>
      <c r="N914" s="164"/>
      <c r="O914" s="320"/>
      <c r="P914" s="164"/>
      <c r="Q914" s="338"/>
      <c r="R914" s="338"/>
      <c r="S914" s="20"/>
      <c r="T914" s="20"/>
      <c r="U914" s="20"/>
      <c r="V914" s="20"/>
    </row>
    <row r="915">
      <c r="A915" s="320"/>
      <c r="B915" s="164"/>
      <c r="C915" s="320"/>
      <c r="D915" s="164"/>
      <c r="E915" s="320"/>
      <c r="F915" s="164"/>
      <c r="G915" s="320"/>
      <c r="H915" s="164"/>
      <c r="I915" s="327"/>
      <c r="J915" s="117"/>
      <c r="K915" s="327"/>
      <c r="L915" s="117"/>
      <c r="M915" s="320"/>
      <c r="N915" s="164"/>
      <c r="O915" s="320"/>
      <c r="P915" s="164"/>
      <c r="Q915" s="338"/>
      <c r="R915" s="338"/>
      <c r="S915" s="20"/>
      <c r="T915" s="20"/>
      <c r="U915" s="20"/>
      <c r="V915" s="20"/>
    </row>
    <row r="916">
      <c r="A916" s="320"/>
      <c r="B916" s="164"/>
      <c r="C916" s="320"/>
      <c r="D916" s="164"/>
      <c r="E916" s="320"/>
      <c r="F916" s="164"/>
      <c r="G916" s="320"/>
      <c r="H916" s="164"/>
      <c r="I916" s="327"/>
      <c r="J916" s="117"/>
      <c r="K916" s="327"/>
      <c r="L916" s="117"/>
      <c r="M916" s="320"/>
      <c r="N916" s="164"/>
      <c r="O916" s="320"/>
      <c r="P916" s="164"/>
      <c r="Q916" s="338"/>
      <c r="R916" s="338"/>
      <c r="S916" s="20"/>
      <c r="T916" s="20"/>
      <c r="U916" s="20"/>
      <c r="V916" s="20"/>
    </row>
    <row r="917">
      <c r="A917" s="320"/>
      <c r="B917" s="164"/>
      <c r="C917" s="320"/>
      <c r="D917" s="164"/>
      <c r="E917" s="320"/>
      <c r="F917" s="164"/>
      <c r="G917" s="320"/>
      <c r="H917" s="164"/>
      <c r="I917" s="327"/>
      <c r="J917" s="117"/>
      <c r="K917" s="327"/>
      <c r="L917" s="117"/>
      <c r="M917" s="320"/>
      <c r="N917" s="164"/>
      <c r="O917" s="320"/>
      <c r="P917" s="164"/>
      <c r="Q917" s="338"/>
      <c r="R917" s="338"/>
      <c r="S917" s="20"/>
      <c r="T917" s="20"/>
      <c r="U917" s="20"/>
      <c r="V917" s="20"/>
    </row>
    <row r="918">
      <c r="A918" s="320"/>
      <c r="B918" s="164"/>
      <c r="C918" s="320"/>
      <c r="D918" s="164"/>
      <c r="E918" s="320"/>
      <c r="F918" s="164"/>
      <c r="G918" s="320"/>
      <c r="H918" s="164"/>
      <c r="I918" s="327"/>
      <c r="J918" s="117"/>
      <c r="K918" s="327"/>
      <c r="L918" s="117"/>
      <c r="M918" s="320"/>
      <c r="N918" s="164"/>
      <c r="O918" s="320"/>
      <c r="P918" s="164"/>
      <c r="Q918" s="338"/>
      <c r="R918" s="338"/>
      <c r="S918" s="20"/>
      <c r="T918" s="20"/>
      <c r="U918" s="20"/>
      <c r="V918" s="20"/>
    </row>
    <row r="919">
      <c r="A919" s="320"/>
      <c r="B919" s="164"/>
      <c r="C919" s="320"/>
      <c r="D919" s="164"/>
      <c r="E919" s="320"/>
      <c r="F919" s="164"/>
      <c r="G919" s="320"/>
      <c r="H919" s="164"/>
      <c r="I919" s="327"/>
      <c r="J919" s="117"/>
      <c r="K919" s="327"/>
      <c r="L919" s="117"/>
      <c r="M919" s="320"/>
      <c r="N919" s="164"/>
      <c r="O919" s="320"/>
      <c r="P919" s="164"/>
      <c r="Q919" s="338"/>
      <c r="R919" s="338"/>
      <c r="S919" s="20"/>
      <c r="T919" s="20"/>
      <c r="U919" s="20"/>
      <c r="V919" s="20"/>
    </row>
    <row r="920">
      <c r="A920" s="320"/>
      <c r="B920" s="164"/>
      <c r="C920" s="320"/>
      <c r="D920" s="164"/>
      <c r="E920" s="320"/>
      <c r="F920" s="164"/>
      <c r="G920" s="320"/>
      <c r="H920" s="164"/>
      <c r="I920" s="327"/>
      <c r="J920" s="117"/>
      <c r="K920" s="327"/>
      <c r="L920" s="117"/>
      <c r="M920" s="320"/>
      <c r="N920" s="164"/>
      <c r="O920" s="320"/>
      <c r="P920" s="164"/>
      <c r="Q920" s="338"/>
      <c r="R920" s="338"/>
      <c r="S920" s="20"/>
      <c r="T920" s="20"/>
      <c r="U920" s="20"/>
      <c r="V920" s="20"/>
    </row>
    <row r="921">
      <c r="A921" s="320"/>
      <c r="B921" s="164"/>
      <c r="C921" s="320"/>
      <c r="D921" s="164"/>
      <c r="E921" s="320"/>
      <c r="F921" s="164"/>
      <c r="G921" s="320"/>
      <c r="H921" s="164"/>
      <c r="I921" s="327"/>
      <c r="J921" s="117"/>
      <c r="K921" s="327"/>
      <c r="L921" s="117"/>
      <c r="M921" s="320"/>
      <c r="N921" s="164"/>
      <c r="O921" s="320"/>
      <c r="P921" s="164"/>
      <c r="Q921" s="338"/>
      <c r="R921" s="338"/>
      <c r="S921" s="20"/>
      <c r="T921" s="20"/>
      <c r="U921" s="20"/>
      <c r="V921" s="20"/>
    </row>
    <row r="922">
      <c r="A922" s="320"/>
      <c r="B922" s="164"/>
      <c r="C922" s="320"/>
      <c r="D922" s="164"/>
      <c r="E922" s="320"/>
      <c r="F922" s="164"/>
      <c r="G922" s="320"/>
      <c r="H922" s="164"/>
      <c r="I922" s="327"/>
      <c r="J922" s="117"/>
      <c r="K922" s="327"/>
      <c r="L922" s="117"/>
      <c r="M922" s="320"/>
      <c r="N922" s="164"/>
      <c r="O922" s="320"/>
      <c r="P922" s="164"/>
      <c r="Q922" s="338"/>
      <c r="R922" s="338"/>
      <c r="S922" s="20"/>
      <c r="T922" s="20"/>
      <c r="U922" s="20"/>
      <c r="V922" s="20"/>
    </row>
    <row r="923">
      <c r="A923" s="320"/>
      <c r="B923" s="164"/>
      <c r="C923" s="320"/>
      <c r="D923" s="164"/>
      <c r="E923" s="320"/>
      <c r="F923" s="164"/>
      <c r="G923" s="320"/>
      <c r="H923" s="164"/>
      <c r="I923" s="327"/>
      <c r="J923" s="117"/>
      <c r="K923" s="327"/>
      <c r="L923" s="117"/>
      <c r="M923" s="320"/>
      <c r="N923" s="164"/>
      <c r="O923" s="320"/>
      <c r="P923" s="164"/>
      <c r="Q923" s="338"/>
      <c r="R923" s="338"/>
      <c r="S923" s="20"/>
      <c r="T923" s="20"/>
      <c r="U923" s="20"/>
      <c r="V923" s="20"/>
    </row>
    <row r="924">
      <c r="A924" s="320"/>
      <c r="B924" s="164"/>
      <c r="C924" s="320"/>
      <c r="D924" s="164"/>
      <c r="E924" s="320"/>
      <c r="F924" s="164"/>
      <c r="G924" s="320"/>
      <c r="H924" s="164"/>
      <c r="I924" s="327"/>
      <c r="J924" s="117"/>
      <c r="K924" s="327"/>
      <c r="L924" s="117"/>
      <c r="M924" s="320"/>
      <c r="N924" s="164"/>
      <c r="O924" s="320"/>
      <c r="P924" s="164"/>
      <c r="Q924" s="338"/>
      <c r="R924" s="338"/>
      <c r="S924" s="20"/>
      <c r="T924" s="20"/>
      <c r="U924" s="20"/>
      <c r="V924" s="20"/>
    </row>
    <row r="925">
      <c r="A925" s="320"/>
      <c r="B925" s="164"/>
      <c r="C925" s="320"/>
      <c r="D925" s="164"/>
      <c r="E925" s="320"/>
      <c r="F925" s="164"/>
      <c r="G925" s="320"/>
      <c r="H925" s="164"/>
      <c r="I925" s="327"/>
      <c r="J925" s="117"/>
      <c r="K925" s="327"/>
      <c r="L925" s="117"/>
      <c r="M925" s="320"/>
      <c r="N925" s="164"/>
      <c r="O925" s="320"/>
      <c r="P925" s="164"/>
      <c r="Q925" s="338"/>
      <c r="R925" s="338"/>
      <c r="S925" s="20"/>
      <c r="T925" s="20"/>
      <c r="U925" s="20"/>
      <c r="V925" s="20"/>
    </row>
    <row r="926">
      <c r="A926" s="320"/>
      <c r="B926" s="164"/>
      <c r="C926" s="320"/>
      <c r="D926" s="164"/>
      <c r="E926" s="320"/>
      <c r="F926" s="164"/>
      <c r="G926" s="320"/>
      <c r="H926" s="164"/>
      <c r="I926" s="327"/>
      <c r="J926" s="117"/>
      <c r="K926" s="327"/>
      <c r="L926" s="117"/>
      <c r="M926" s="320"/>
      <c r="N926" s="164"/>
      <c r="O926" s="320"/>
      <c r="P926" s="164"/>
      <c r="Q926" s="338"/>
      <c r="R926" s="338"/>
      <c r="S926" s="20"/>
      <c r="T926" s="20"/>
      <c r="U926" s="20"/>
      <c r="V926" s="20"/>
    </row>
    <row r="927">
      <c r="A927" s="320"/>
      <c r="B927" s="164"/>
      <c r="C927" s="320"/>
      <c r="D927" s="164"/>
      <c r="E927" s="320"/>
      <c r="F927" s="164"/>
      <c r="G927" s="320"/>
      <c r="H927" s="164"/>
      <c r="I927" s="327"/>
      <c r="J927" s="117"/>
      <c r="K927" s="327"/>
      <c r="L927" s="117"/>
      <c r="M927" s="320"/>
      <c r="N927" s="164"/>
      <c r="O927" s="320"/>
      <c r="P927" s="164"/>
      <c r="Q927" s="338"/>
      <c r="R927" s="338"/>
      <c r="S927" s="20"/>
      <c r="T927" s="20"/>
      <c r="U927" s="20"/>
      <c r="V927" s="20"/>
    </row>
    <row r="928">
      <c r="A928" s="320"/>
      <c r="B928" s="164"/>
      <c r="C928" s="320"/>
      <c r="D928" s="164"/>
      <c r="E928" s="320"/>
      <c r="F928" s="164"/>
      <c r="G928" s="320"/>
      <c r="H928" s="164"/>
      <c r="I928" s="327"/>
      <c r="J928" s="117"/>
      <c r="K928" s="327"/>
      <c r="L928" s="117"/>
      <c r="M928" s="320"/>
      <c r="N928" s="164"/>
      <c r="O928" s="320"/>
      <c r="P928" s="164"/>
      <c r="Q928" s="338"/>
      <c r="R928" s="338"/>
      <c r="S928" s="20"/>
      <c r="T928" s="20"/>
      <c r="U928" s="20"/>
      <c r="V928" s="20"/>
    </row>
    <row r="929">
      <c r="A929" s="320"/>
      <c r="B929" s="164"/>
      <c r="C929" s="320"/>
      <c r="D929" s="164"/>
      <c r="E929" s="320"/>
      <c r="F929" s="164"/>
      <c r="G929" s="320"/>
      <c r="H929" s="164"/>
      <c r="I929" s="327"/>
      <c r="J929" s="117"/>
      <c r="K929" s="327"/>
      <c r="L929" s="117"/>
      <c r="M929" s="320"/>
      <c r="N929" s="164"/>
      <c r="O929" s="320"/>
      <c r="P929" s="164"/>
      <c r="Q929" s="338"/>
      <c r="R929" s="338"/>
      <c r="S929" s="20"/>
      <c r="T929" s="20"/>
      <c r="U929" s="20"/>
      <c r="V929" s="20"/>
    </row>
    <row r="930">
      <c r="A930" s="320"/>
      <c r="B930" s="164"/>
      <c r="C930" s="320"/>
      <c r="D930" s="164"/>
      <c r="E930" s="320"/>
      <c r="F930" s="164"/>
      <c r="G930" s="320"/>
      <c r="H930" s="164"/>
      <c r="I930" s="327"/>
      <c r="J930" s="117"/>
      <c r="K930" s="327"/>
      <c r="L930" s="117"/>
      <c r="M930" s="320"/>
      <c r="N930" s="164"/>
      <c r="O930" s="320"/>
      <c r="P930" s="164"/>
      <c r="Q930" s="338"/>
      <c r="R930" s="338"/>
      <c r="S930" s="20"/>
      <c r="T930" s="20"/>
      <c r="U930" s="20"/>
      <c r="V930" s="20"/>
    </row>
    <row r="931">
      <c r="A931" s="320"/>
      <c r="B931" s="164"/>
      <c r="C931" s="320"/>
      <c r="D931" s="164"/>
      <c r="E931" s="320"/>
      <c r="F931" s="164"/>
      <c r="G931" s="320"/>
      <c r="H931" s="164"/>
      <c r="I931" s="327"/>
      <c r="J931" s="117"/>
      <c r="K931" s="327"/>
      <c r="L931" s="117"/>
      <c r="M931" s="320"/>
      <c r="N931" s="164"/>
      <c r="O931" s="320"/>
      <c r="P931" s="164"/>
      <c r="Q931" s="338"/>
      <c r="R931" s="338"/>
      <c r="S931" s="20"/>
      <c r="T931" s="20"/>
      <c r="U931" s="20"/>
      <c r="V931" s="20"/>
    </row>
    <row r="932">
      <c r="A932" s="320"/>
      <c r="B932" s="164"/>
      <c r="C932" s="320"/>
      <c r="D932" s="164"/>
      <c r="E932" s="320"/>
      <c r="F932" s="164"/>
      <c r="G932" s="320"/>
      <c r="H932" s="164"/>
      <c r="I932" s="327"/>
      <c r="J932" s="117"/>
      <c r="K932" s="327"/>
      <c r="L932" s="117"/>
      <c r="M932" s="320"/>
      <c r="N932" s="164"/>
      <c r="O932" s="320"/>
      <c r="P932" s="164"/>
      <c r="Q932" s="338"/>
      <c r="R932" s="338"/>
      <c r="S932" s="20"/>
      <c r="T932" s="20"/>
      <c r="U932" s="20"/>
      <c r="V932" s="20"/>
    </row>
    <row r="933">
      <c r="A933" s="320"/>
      <c r="B933" s="164"/>
      <c r="C933" s="320"/>
      <c r="D933" s="164"/>
      <c r="E933" s="320"/>
      <c r="F933" s="164"/>
      <c r="G933" s="320"/>
      <c r="H933" s="164"/>
      <c r="I933" s="327"/>
      <c r="J933" s="117"/>
      <c r="K933" s="327"/>
      <c r="L933" s="117"/>
      <c r="M933" s="320"/>
      <c r="N933" s="164"/>
      <c r="O933" s="320"/>
      <c r="P933" s="164"/>
      <c r="Q933" s="338"/>
      <c r="R933" s="338"/>
      <c r="S933" s="20"/>
      <c r="T933" s="20"/>
      <c r="U933" s="20"/>
      <c r="V933" s="20"/>
    </row>
    <row r="934">
      <c r="A934" s="320"/>
      <c r="B934" s="164"/>
      <c r="C934" s="320"/>
      <c r="D934" s="164"/>
      <c r="E934" s="320"/>
      <c r="F934" s="164"/>
      <c r="G934" s="320"/>
      <c r="H934" s="164"/>
      <c r="I934" s="327"/>
      <c r="J934" s="117"/>
      <c r="K934" s="327"/>
      <c r="L934" s="117"/>
      <c r="M934" s="320"/>
      <c r="N934" s="164"/>
      <c r="O934" s="320"/>
      <c r="P934" s="164"/>
      <c r="Q934" s="338"/>
      <c r="R934" s="338"/>
      <c r="S934" s="20"/>
      <c r="T934" s="20"/>
      <c r="U934" s="20"/>
      <c r="V934" s="20"/>
    </row>
    <row r="935">
      <c r="A935" s="320"/>
      <c r="B935" s="164"/>
      <c r="C935" s="320"/>
      <c r="D935" s="164"/>
      <c r="E935" s="320"/>
      <c r="F935" s="164"/>
      <c r="G935" s="320"/>
      <c r="H935" s="164"/>
      <c r="I935" s="327"/>
      <c r="J935" s="117"/>
      <c r="K935" s="327"/>
      <c r="L935" s="117"/>
      <c r="M935" s="320"/>
      <c r="N935" s="164"/>
      <c r="O935" s="320"/>
      <c r="P935" s="164"/>
      <c r="Q935" s="338"/>
      <c r="R935" s="338"/>
      <c r="S935" s="20"/>
      <c r="T935" s="20"/>
      <c r="U935" s="20"/>
      <c r="V935" s="20"/>
    </row>
    <row r="936">
      <c r="A936" s="320"/>
      <c r="B936" s="164"/>
      <c r="C936" s="320"/>
      <c r="D936" s="164"/>
      <c r="E936" s="320"/>
      <c r="F936" s="164"/>
      <c r="G936" s="320"/>
      <c r="H936" s="164"/>
      <c r="I936" s="327"/>
      <c r="J936" s="117"/>
      <c r="K936" s="327"/>
      <c r="L936" s="117"/>
      <c r="M936" s="320"/>
      <c r="N936" s="164"/>
      <c r="O936" s="320"/>
      <c r="P936" s="164"/>
      <c r="Q936" s="338"/>
      <c r="R936" s="338"/>
      <c r="S936" s="20"/>
      <c r="T936" s="20"/>
      <c r="U936" s="20"/>
      <c r="V936" s="20"/>
    </row>
    <row r="937">
      <c r="A937" s="320"/>
      <c r="B937" s="164"/>
      <c r="C937" s="320"/>
      <c r="D937" s="164"/>
      <c r="E937" s="320"/>
      <c r="F937" s="164"/>
      <c r="G937" s="320"/>
      <c r="H937" s="164"/>
      <c r="I937" s="327"/>
      <c r="J937" s="117"/>
      <c r="K937" s="327"/>
      <c r="L937" s="117"/>
      <c r="M937" s="320"/>
      <c r="N937" s="164"/>
      <c r="O937" s="320"/>
      <c r="P937" s="164"/>
      <c r="Q937" s="338"/>
      <c r="R937" s="338"/>
      <c r="S937" s="20"/>
      <c r="T937" s="20"/>
      <c r="U937" s="20"/>
      <c r="V937" s="20"/>
    </row>
    <row r="938">
      <c r="A938" s="320"/>
      <c r="B938" s="164"/>
      <c r="C938" s="320"/>
      <c r="D938" s="164"/>
      <c r="E938" s="320"/>
      <c r="F938" s="164"/>
      <c r="G938" s="320"/>
      <c r="H938" s="164"/>
      <c r="I938" s="327"/>
      <c r="J938" s="117"/>
      <c r="K938" s="327"/>
      <c r="L938" s="117"/>
      <c r="M938" s="320"/>
      <c r="N938" s="164"/>
      <c r="O938" s="320"/>
      <c r="P938" s="164"/>
      <c r="Q938" s="338"/>
      <c r="R938" s="338"/>
      <c r="S938" s="20"/>
      <c r="T938" s="20"/>
      <c r="U938" s="20"/>
      <c r="V938" s="20"/>
    </row>
    <row r="939">
      <c r="A939" s="320"/>
      <c r="B939" s="164"/>
      <c r="C939" s="320"/>
      <c r="D939" s="164"/>
      <c r="E939" s="320"/>
      <c r="F939" s="164"/>
      <c r="G939" s="320"/>
      <c r="H939" s="164"/>
      <c r="I939" s="327"/>
      <c r="J939" s="117"/>
      <c r="K939" s="327"/>
      <c r="L939" s="117"/>
      <c r="M939" s="320"/>
      <c r="N939" s="164"/>
      <c r="O939" s="320"/>
      <c r="P939" s="164"/>
      <c r="Q939" s="338"/>
      <c r="R939" s="338"/>
      <c r="S939" s="20"/>
      <c r="T939" s="20"/>
      <c r="U939" s="20"/>
      <c r="V939" s="20"/>
    </row>
    <row r="940">
      <c r="A940" s="320"/>
      <c r="B940" s="164"/>
      <c r="C940" s="320"/>
      <c r="D940" s="164"/>
      <c r="E940" s="320"/>
      <c r="F940" s="164"/>
      <c r="G940" s="320"/>
      <c r="H940" s="164"/>
      <c r="I940" s="327"/>
      <c r="J940" s="117"/>
      <c r="K940" s="327"/>
      <c r="L940" s="117"/>
      <c r="M940" s="320"/>
      <c r="N940" s="164"/>
      <c r="O940" s="320"/>
      <c r="P940" s="164"/>
      <c r="Q940" s="338"/>
      <c r="R940" s="338"/>
      <c r="S940" s="20"/>
      <c r="T940" s="20"/>
      <c r="U940" s="20"/>
      <c r="V940" s="20"/>
    </row>
    <row r="941">
      <c r="A941" s="320"/>
      <c r="B941" s="164"/>
      <c r="C941" s="320"/>
      <c r="D941" s="164"/>
      <c r="E941" s="320"/>
      <c r="F941" s="164"/>
      <c r="G941" s="320"/>
      <c r="H941" s="164"/>
      <c r="I941" s="327"/>
      <c r="J941" s="117"/>
      <c r="K941" s="327"/>
      <c r="L941" s="117"/>
      <c r="M941" s="320"/>
      <c r="N941" s="164"/>
      <c r="O941" s="320"/>
      <c r="P941" s="164"/>
      <c r="Q941" s="338"/>
      <c r="R941" s="338"/>
      <c r="S941" s="20"/>
      <c r="T941" s="20"/>
      <c r="U941" s="20"/>
      <c r="V941" s="20"/>
    </row>
    <row r="942">
      <c r="A942" s="320"/>
      <c r="B942" s="164"/>
      <c r="C942" s="320"/>
      <c r="D942" s="164"/>
      <c r="E942" s="320"/>
      <c r="F942" s="164"/>
      <c r="G942" s="320"/>
      <c r="H942" s="164"/>
      <c r="I942" s="327"/>
      <c r="J942" s="117"/>
      <c r="K942" s="327"/>
      <c r="L942" s="117"/>
      <c r="M942" s="320"/>
      <c r="N942" s="164"/>
      <c r="O942" s="320"/>
      <c r="P942" s="164"/>
      <c r="Q942" s="338"/>
      <c r="R942" s="338"/>
      <c r="S942" s="20"/>
      <c r="T942" s="20"/>
      <c r="U942" s="20"/>
      <c r="V942" s="20"/>
    </row>
    <row r="943">
      <c r="A943" s="320"/>
      <c r="B943" s="164"/>
      <c r="C943" s="320"/>
      <c r="D943" s="164"/>
      <c r="E943" s="320"/>
      <c r="F943" s="164"/>
      <c r="G943" s="320"/>
      <c r="H943" s="164"/>
      <c r="I943" s="327"/>
      <c r="J943" s="117"/>
      <c r="K943" s="327"/>
      <c r="L943" s="117"/>
      <c r="M943" s="320"/>
      <c r="N943" s="164"/>
      <c r="O943" s="320"/>
      <c r="P943" s="164"/>
      <c r="Q943" s="338"/>
      <c r="R943" s="338"/>
      <c r="S943" s="20"/>
      <c r="T943" s="20"/>
      <c r="U943" s="20"/>
      <c r="V943" s="20"/>
    </row>
    <row r="944">
      <c r="A944" s="320"/>
      <c r="B944" s="164"/>
      <c r="C944" s="320"/>
      <c r="D944" s="164"/>
      <c r="E944" s="320"/>
      <c r="F944" s="164"/>
      <c r="G944" s="320"/>
      <c r="H944" s="164"/>
      <c r="I944" s="327"/>
      <c r="J944" s="117"/>
      <c r="K944" s="327"/>
      <c r="L944" s="117"/>
      <c r="M944" s="320"/>
      <c r="N944" s="164"/>
      <c r="O944" s="320"/>
      <c r="P944" s="164"/>
      <c r="Q944" s="338"/>
      <c r="R944" s="338"/>
      <c r="S944" s="20"/>
      <c r="T944" s="20"/>
      <c r="U944" s="20"/>
      <c r="V944" s="20"/>
    </row>
    <row r="945">
      <c r="A945" s="320"/>
      <c r="B945" s="164"/>
      <c r="C945" s="320"/>
      <c r="D945" s="164"/>
      <c r="E945" s="320"/>
      <c r="F945" s="164"/>
      <c r="G945" s="320"/>
      <c r="H945" s="164"/>
      <c r="I945" s="327"/>
      <c r="J945" s="117"/>
      <c r="K945" s="327"/>
      <c r="L945" s="117"/>
      <c r="M945" s="320"/>
      <c r="N945" s="164"/>
      <c r="O945" s="320"/>
      <c r="P945" s="164"/>
      <c r="Q945" s="338"/>
      <c r="R945" s="338"/>
      <c r="S945" s="20"/>
      <c r="T945" s="20"/>
      <c r="U945" s="20"/>
      <c r="V945" s="20"/>
    </row>
    <row r="946">
      <c r="A946" s="320"/>
      <c r="B946" s="164"/>
      <c r="C946" s="320"/>
      <c r="D946" s="164"/>
      <c r="E946" s="320"/>
      <c r="F946" s="164"/>
      <c r="G946" s="320"/>
      <c r="H946" s="164"/>
      <c r="I946" s="327"/>
      <c r="J946" s="117"/>
      <c r="K946" s="327"/>
      <c r="L946" s="117"/>
      <c r="M946" s="320"/>
      <c r="N946" s="164"/>
      <c r="O946" s="320"/>
      <c r="P946" s="164"/>
      <c r="Q946" s="338"/>
      <c r="R946" s="338"/>
      <c r="S946" s="20"/>
      <c r="T946" s="20"/>
      <c r="U946" s="20"/>
      <c r="V946" s="20"/>
    </row>
    <row r="947">
      <c r="A947" s="320"/>
      <c r="B947" s="164"/>
      <c r="C947" s="320"/>
      <c r="D947" s="164"/>
      <c r="E947" s="320"/>
      <c r="F947" s="164"/>
      <c r="G947" s="320"/>
      <c r="H947" s="164"/>
      <c r="I947" s="327"/>
      <c r="J947" s="117"/>
      <c r="K947" s="327"/>
      <c r="L947" s="117"/>
      <c r="M947" s="320"/>
      <c r="N947" s="164"/>
      <c r="O947" s="320"/>
      <c r="P947" s="164"/>
      <c r="Q947" s="338"/>
      <c r="R947" s="338"/>
      <c r="S947" s="20"/>
      <c r="T947" s="20"/>
      <c r="U947" s="20"/>
      <c r="V947" s="20"/>
    </row>
    <row r="948">
      <c r="A948" s="320"/>
      <c r="B948" s="164"/>
      <c r="C948" s="320"/>
      <c r="D948" s="164"/>
      <c r="E948" s="320"/>
      <c r="F948" s="164"/>
      <c r="G948" s="320"/>
      <c r="H948" s="164"/>
      <c r="I948" s="327"/>
      <c r="J948" s="117"/>
      <c r="K948" s="327"/>
      <c r="L948" s="117"/>
      <c r="M948" s="320"/>
      <c r="N948" s="164"/>
      <c r="O948" s="320"/>
      <c r="P948" s="164"/>
      <c r="Q948" s="338"/>
      <c r="R948" s="338"/>
      <c r="S948" s="20"/>
      <c r="T948" s="20"/>
      <c r="U948" s="20"/>
      <c r="V948" s="20"/>
    </row>
    <row r="949">
      <c r="A949" s="320"/>
      <c r="B949" s="164"/>
      <c r="C949" s="320"/>
      <c r="D949" s="164"/>
      <c r="E949" s="320"/>
      <c r="F949" s="164"/>
      <c r="G949" s="320"/>
      <c r="H949" s="164"/>
      <c r="I949" s="327"/>
      <c r="J949" s="117"/>
      <c r="K949" s="327"/>
      <c r="L949" s="117"/>
      <c r="M949" s="320"/>
      <c r="N949" s="164"/>
      <c r="O949" s="320"/>
      <c r="P949" s="164"/>
      <c r="Q949" s="338"/>
      <c r="R949" s="338"/>
      <c r="S949" s="20"/>
      <c r="T949" s="20"/>
      <c r="U949" s="20"/>
      <c r="V949" s="20"/>
    </row>
    <row r="950">
      <c r="A950" s="320"/>
      <c r="B950" s="164"/>
      <c r="C950" s="320"/>
      <c r="D950" s="164"/>
      <c r="E950" s="320"/>
      <c r="F950" s="164"/>
      <c r="G950" s="320"/>
      <c r="H950" s="164"/>
      <c r="I950" s="327"/>
      <c r="J950" s="117"/>
      <c r="K950" s="327"/>
      <c r="L950" s="117"/>
      <c r="M950" s="320"/>
      <c r="N950" s="164"/>
      <c r="O950" s="320"/>
      <c r="P950" s="164"/>
      <c r="Q950" s="338"/>
      <c r="R950" s="338"/>
      <c r="S950" s="20"/>
      <c r="T950" s="20"/>
      <c r="U950" s="20"/>
      <c r="V950" s="20"/>
    </row>
    <row r="951">
      <c r="A951" s="320"/>
      <c r="B951" s="164"/>
      <c r="C951" s="320"/>
      <c r="D951" s="164"/>
      <c r="E951" s="320"/>
      <c r="F951" s="164"/>
      <c r="G951" s="320"/>
      <c r="H951" s="164"/>
      <c r="I951" s="327"/>
      <c r="J951" s="117"/>
      <c r="K951" s="327"/>
      <c r="L951" s="117"/>
      <c r="M951" s="320"/>
      <c r="N951" s="164"/>
      <c r="O951" s="320"/>
      <c r="P951" s="164"/>
      <c r="Q951" s="338"/>
      <c r="R951" s="338"/>
      <c r="S951" s="20"/>
      <c r="T951" s="20"/>
      <c r="U951" s="20"/>
      <c r="V951" s="20"/>
    </row>
    <row r="952">
      <c r="A952" s="320"/>
      <c r="B952" s="164"/>
      <c r="C952" s="320"/>
      <c r="D952" s="164"/>
      <c r="E952" s="320"/>
      <c r="F952" s="164"/>
      <c r="G952" s="320"/>
      <c r="H952" s="164"/>
      <c r="I952" s="327"/>
      <c r="J952" s="117"/>
      <c r="K952" s="327"/>
      <c r="L952" s="117"/>
      <c r="M952" s="320"/>
      <c r="N952" s="164"/>
      <c r="O952" s="320"/>
      <c r="P952" s="164"/>
      <c r="Q952" s="338"/>
      <c r="R952" s="338"/>
      <c r="S952" s="20"/>
      <c r="T952" s="20"/>
      <c r="U952" s="20"/>
      <c r="V952" s="20"/>
    </row>
    <row r="953">
      <c r="A953" s="320"/>
      <c r="B953" s="164"/>
      <c r="C953" s="320"/>
      <c r="D953" s="164"/>
      <c r="E953" s="320"/>
      <c r="F953" s="164"/>
      <c r="G953" s="320"/>
      <c r="H953" s="164"/>
      <c r="I953" s="327"/>
      <c r="J953" s="117"/>
      <c r="K953" s="327"/>
      <c r="L953" s="117"/>
      <c r="M953" s="320"/>
      <c r="N953" s="164"/>
      <c r="O953" s="320"/>
      <c r="P953" s="164"/>
      <c r="Q953" s="338"/>
      <c r="R953" s="338"/>
      <c r="S953" s="20"/>
      <c r="T953" s="20"/>
      <c r="U953" s="20"/>
      <c r="V953" s="20"/>
    </row>
    <row r="954">
      <c r="A954" s="320"/>
      <c r="B954" s="164"/>
      <c r="C954" s="320"/>
      <c r="D954" s="164"/>
      <c r="E954" s="320"/>
      <c r="F954" s="164"/>
      <c r="G954" s="320"/>
      <c r="H954" s="164"/>
      <c r="I954" s="327"/>
      <c r="J954" s="117"/>
      <c r="K954" s="327"/>
      <c r="L954" s="117"/>
      <c r="M954" s="320"/>
      <c r="N954" s="164"/>
      <c r="O954" s="320"/>
      <c r="P954" s="164"/>
      <c r="Q954" s="338"/>
      <c r="R954" s="338"/>
      <c r="S954" s="20"/>
      <c r="T954" s="20"/>
      <c r="U954" s="20"/>
      <c r="V954" s="20"/>
    </row>
    <row r="955">
      <c r="A955" s="320"/>
      <c r="B955" s="164"/>
      <c r="C955" s="320"/>
      <c r="D955" s="164"/>
      <c r="E955" s="320"/>
      <c r="F955" s="164"/>
      <c r="G955" s="320"/>
      <c r="H955" s="164"/>
      <c r="I955" s="327"/>
      <c r="J955" s="117"/>
      <c r="K955" s="327"/>
      <c r="L955" s="117"/>
      <c r="M955" s="320"/>
      <c r="N955" s="164"/>
      <c r="O955" s="320"/>
      <c r="P955" s="164"/>
      <c r="Q955" s="338"/>
      <c r="R955" s="338"/>
      <c r="S955" s="20"/>
      <c r="T955" s="20"/>
      <c r="U955" s="20"/>
      <c r="V955" s="20"/>
    </row>
    <row r="956">
      <c r="A956" s="320"/>
      <c r="B956" s="164"/>
      <c r="C956" s="320"/>
      <c r="D956" s="164"/>
      <c r="E956" s="320"/>
      <c r="F956" s="164"/>
      <c r="G956" s="320"/>
      <c r="H956" s="164"/>
      <c r="I956" s="327"/>
      <c r="J956" s="117"/>
      <c r="K956" s="327"/>
      <c r="L956" s="117"/>
      <c r="M956" s="320"/>
      <c r="N956" s="164"/>
      <c r="O956" s="320"/>
      <c r="P956" s="164"/>
      <c r="Q956" s="338"/>
      <c r="R956" s="338"/>
      <c r="S956" s="20"/>
      <c r="T956" s="20"/>
      <c r="U956" s="20"/>
      <c r="V956" s="20"/>
    </row>
    <row r="957">
      <c r="A957" s="320"/>
      <c r="B957" s="164"/>
      <c r="C957" s="320"/>
      <c r="D957" s="164"/>
      <c r="E957" s="320"/>
      <c r="F957" s="164"/>
      <c r="G957" s="320"/>
      <c r="H957" s="164"/>
      <c r="I957" s="327"/>
      <c r="J957" s="117"/>
      <c r="K957" s="327"/>
      <c r="L957" s="117"/>
      <c r="M957" s="320"/>
      <c r="N957" s="164"/>
      <c r="O957" s="320"/>
      <c r="P957" s="164"/>
      <c r="Q957" s="338"/>
      <c r="R957" s="338"/>
      <c r="S957" s="20"/>
      <c r="T957" s="20"/>
      <c r="U957" s="20"/>
      <c r="V957" s="20"/>
    </row>
    <row r="958">
      <c r="A958" s="320"/>
      <c r="B958" s="164"/>
      <c r="C958" s="320"/>
      <c r="D958" s="164"/>
      <c r="E958" s="320"/>
      <c r="F958" s="164"/>
      <c r="G958" s="320"/>
      <c r="H958" s="164"/>
      <c r="I958" s="327"/>
      <c r="J958" s="117"/>
      <c r="K958" s="327"/>
      <c r="L958" s="117"/>
      <c r="M958" s="320"/>
      <c r="N958" s="164"/>
      <c r="O958" s="320"/>
      <c r="P958" s="164"/>
      <c r="Q958" s="338"/>
      <c r="R958" s="338"/>
      <c r="S958" s="20"/>
      <c r="T958" s="20"/>
      <c r="U958" s="20"/>
      <c r="V958" s="20"/>
    </row>
    <row r="959">
      <c r="A959" s="320"/>
      <c r="B959" s="164"/>
      <c r="C959" s="320"/>
      <c r="D959" s="164"/>
      <c r="E959" s="320"/>
      <c r="F959" s="164"/>
      <c r="G959" s="320"/>
      <c r="H959" s="164"/>
      <c r="I959" s="327"/>
      <c r="J959" s="117"/>
      <c r="K959" s="327"/>
      <c r="L959" s="117"/>
      <c r="M959" s="320"/>
      <c r="N959" s="164"/>
      <c r="O959" s="320"/>
      <c r="P959" s="164"/>
      <c r="Q959" s="338"/>
      <c r="R959" s="338"/>
      <c r="S959" s="20"/>
      <c r="T959" s="20"/>
      <c r="U959" s="20"/>
      <c r="V959" s="20"/>
    </row>
    <row r="960">
      <c r="A960" s="320"/>
      <c r="B960" s="164"/>
      <c r="C960" s="320"/>
      <c r="D960" s="164"/>
      <c r="E960" s="320"/>
      <c r="F960" s="164"/>
      <c r="G960" s="320"/>
      <c r="H960" s="164"/>
      <c r="I960" s="327"/>
      <c r="J960" s="117"/>
      <c r="K960" s="327"/>
      <c r="L960" s="117"/>
      <c r="M960" s="320"/>
      <c r="N960" s="164"/>
      <c r="O960" s="320"/>
      <c r="P960" s="164"/>
      <c r="Q960" s="338"/>
      <c r="R960" s="338"/>
      <c r="S960" s="20"/>
      <c r="T960" s="20"/>
      <c r="U960" s="20"/>
      <c r="V960" s="20"/>
    </row>
    <row r="961">
      <c r="A961" s="320"/>
      <c r="B961" s="164"/>
      <c r="C961" s="320"/>
      <c r="D961" s="164"/>
      <c r="E961" s="320"/>
      <c r="F961" s="164"/>
      <c r="G961" s="320"/>
      <c r="H961" s="164"/>
      <c r="I961" s="327"/>
      <c r="J961" s="117"/>
      <c r="K961" s="327"/>
      <c r="L961" s="117"/>
      <c r="M961" s="320"/>
      <c r="N961" s="164"/>
      <c r="O961" s="320"/>
      <c r="P961" s="164"/>
      <c r="Q961" s="338"/>
      <c r="R961" s="338"/>
      <c r="S961" s="20"/>
      <c r="T961" s="20"/>
      <c r="U961" s="20"/>
      <c r="V961" s="20"/>
    </row>
    <row r="962">
      <c r="A962" s="320"/>
      <c r="B962" s="164"/>
      <c r="C962" s="320"/>
      <c r="D962" s="164"/>
      <c r="E962" s="320"/>
      <c r="F962" s="164"/>
      <c r="G962" s="320"/>
      <c r="H962" s="164"/>
      <c r="I962" s="327"/>
      <c r="J962" s="117"/>
      <c r="K962" s="327"/>
      <c r="L962" s="117"/>
      <c r="M962" s="320"/>
      <c r="N962" s="164"/>
      <c r="O962" s="320"/>
      <c r="P962" s="164"/>
      <c r="Q962" s="338"/>
      <c r="R962" s="338"/>
      <c r="S962" s="20"/>
      <c r="T962" s="20"/>
      <c r="U962" s="20"/>
      <c r="V962" s="20"/>
    </row>
    <row r="963">
      <c r="A963" s="320"/>
      <c r="B963" s="164"/>
      <c r="C963" s="320"/>
      <c r="D963" s="164"/>
      <c r="E963" s="320"/>
      <c r="F963" s="164"/>
      <c r="G963" s="320"/>
      <c r="H963" s="164"/>
      <c r="I963" s="327"/>
      <c r="J963" s="117"/>
      <c r="K963" s="327"/>
      <c r="L963" s="117"/>
      <c r="M963" s="320"/>
      <c r="N963" s="164"/>
      <c r="O963" s="320"/>
      <c r="P963" s="164"/>
      <c r="Q963" s="338"/>
      <c r="R963" s="338"/>
      <c r="S963" s="20"/>
      <c r="T963" s="20"/>
      <c r="U963" s="20"/>
      <c r="V963" s="20"/>
    </row>
    <row r="964">
      <c r="A964" s="320"/>
      <c r="B964" s="164"/>
      <c r="C964" s="320"/>
      <c r="D964" s="164"/>
      <c r="E964" s="320"/>
      <c r="F964" s="164"/>
      <c r="G964" s="320"/>
      <c r="H964" s="164"/>
      <c r="I964" s="327"/>
      <c r="J964" s="117"/>
      <c r="K964" s="327"/>
      <c r="L964" s="117"/>
      <c r="M964" s="320"/>
      <c r="N964" s="164"/>
      <c r="O964" s="320"/>
      <c r="P964" s="164"/>
      <c r="Q964" s="338"/>
      <c r="R964" s="338"/>
      <c r="S964" s="20"/>
      <c r="T964" s="20"/>
      <c r="U964" s="20"/>
      <c r="V964" s="20"/>
    </row>
    <row r="965">
      <c r="A965" s="320"/>
      <c r="B965" s="164"/>
      <c r="C965" s="320"/>
      <c r="D965" s="164"/>
      <c r="E965" s="320"/>
      <c r="F965" s="164"/>
      <c r="G965" s="320"/>
      <c r="H965" s="164"/>
      <c r="I965" s="327"/>
      <c r="J965" s="117"/>
      <c r="K965" s="327"/>
      <c r="L965" s="117"/>
      <c r="M965" s="320"/>
      <c r="N965" s="164"/>
      <c r="O965" s="320"/>
      <c r="P965" s="164"/>
      <c r="Q965" s="338"/>
      <c r="R965" s="338"/>
      <c r="S965" s="20"/>
      <c r="T965" s="20"/>
      <c r="U965" s="20"/>
      <c r="V965" s="20"/>
    </row>
    <row r="966">
      <c r="A966" s="320"/>
      <c r="B966" s="164"/>
      <c r="C966" s="320"/>
      <c r="D966" s="164"/>
      <c r="E966" s="320"/>
      <c r="F966" s="164"/>
      <c r="G966" s="320"/>
      <c r="H966" s="164"/>
      <c r="I966" s="327"/>
      <c r="J966" s="117"/>
      <c r="K966" s="327"/>
      <c r="L966" s="117"/>
      <c r="M966" s="320"/>
      <c r="N966" s="164"/>
      <c r="O966" s="320"/>
      <c r="P966" s="164"/>
      <c r="Q966" s="338"/>
      <c r="R966" s="338"/>
      <c r="S966" s="20"/>
      <c r="T966" s="20"/>
      <c r="U966" s="20"/>
      <c r="V966" s="20"/>
    </row>
    <row r="967">
      <c r="A967" s="320"/>
      <c r="B967" s="164"/>
      <c r="C967" s="320"/>
      <c r="D967" s="164"/>
      <c r="E967" s="320"/>
      <c r="F967" s="164"/>
      <c r="G967" s="320"/>
      <c r="H967" s="164"/>
      <c r="I967" s="327"/>
      <c r="J967" s="117"/>
      <c r="K967" s="327"/>
      <c r="L967" s="117"/>
      <c r="M967" s="320"/>
      <c r="N967" s="164"/>
      <c r="O967" s="320"/>
      <c r="P967" s="164"/>
      <c r="Q967" s="338"/>
      <c r="R967" s="338"/>
      <c r="S967" s="20"/>
      <c r="T967" s="20"/>
      <c r="U967" s="20"/>
      <c r="V967" s="20"/>
    </row>
    <row r="968">
      <c r="A968" s="320"/>
      <c r="B968" s="164"/>
      <c r="C968" s="320"/>
      <c r="D968" s="164"/>
      <c r="E968" s="320"/>
      <c r="F968" s="164"/>
      <c r="G968" s="320"/>
      <c r="H968" s="164"/>
      <c r="I968" s="327"/>
      <c r="J968" s="117"/>
      <c r="K968" s="327"/>
      <c r="L968" s="117"/>
      <c r="M968" s="320"/>
      <c r="N968" s="164"/>
      <c r="O968" s="320"/>
      <c r="P968" s="164"/>
      <c r="Q968" s="338"/>
      <c r="R968" s="338"/>
      <c r="S968" s="20"/>
      <c r="T968" s="20"/>
      <c r="U968" s="20"/>
      <c r="V968" s="20"/>
    </row>
    <row r="969">
      <c r="A969" s="320"/>
      <c r="B969" s="164"/>
      <c r="C969" s="320"/>
      <c r="D969" s="164"/>
      <c r="E969" s="320"/>
      <c r="F969" s="164"/>
      <c r="G969" s="320"/>
      <c r="H969" s="164"/>
      <c r="I969" s="327"/>
      <c r="J969" s="117"/>
      <c r="K969" s="327"/>
      <c r="L969" s="117"/>
      <c r="M969" s="320"/>
      <c r="N969" s="164"/>
      <c r="O969" s="320"/>
      <c r="P969" s="164"/>
      <c r="Q969" s="338"/>
      <c r="R969" s="338"/>
      <c r="S969" s="20"/>
      <c r="T969" s="20"/>
      <c r="U969" s="20"/>
      <c r="V969" s="20"/>
    </row>
    <row r="970">
      <c r="A970" s="320"/>
      <c r="B970" s="164"/>
      <c r="C970" s="320"/>
      <c r="D970" s="164"/>
      <c r="E970" s="320"/>
      <c r="F970" s="164"/>
      <c r="G970" s="320"/>
      <c r="H970" s="164"/>
      <c r="I970" s="327"/>
      <c r="J970" s="117"/>
      <c r="K970" s="327"/>
      <c r="L970" s="117"/>
      <c r="M970" s="320"/>
      <c r="N970" s="164"/>
      <c r="O970" s="320"/>
      <c r="P970" s="164"/>
      <c r="Q970" s="338"/>
      <c r="R970" s="338"/>
      <c r="S970" s="20"/>
      <c r="T970" s="20"/>
      <c r="U970" s="20"/>
      <c r="V970" s="20"/>
    </row>
    <row r="971">
      <c r="A971" s="320"/>
      <c r="B971" s="164"/>
      <c r="C971" s="320"/>
      <c r="D971" s="164"/>
      <c r="E971" s="320"/>
      <c r="F971" s="164"/>
      <c r="G971" s="320"/>
      <c r="H971" s="164"/>
      <c r="I971" s="327"/>
      <c r="J971" s="117"/>
      <c r="K971" s="327"/>
      <c r="L971" s="117"/>
      <c r="M971" s="320"/>
      <c r="N971" s="164"/>
      <c r="O971" s="320"/>
      <c r="P971" s="164"/>
      <c r="Q971" s="338"/>
      <c r="R971" s="338"/>
      <c r="S971" s="20"/>
      <c r="T971" s="20"/>
      <c r="U971" s="20"/>
      <c r="V971" s="20"/>
    </row>
    <row r="972">
      <c r="A972" s="320"/>
      <c r="B972" s="164"/>
      <c r="C972" s="320"/>
      <c r="D972" s="164"/>
      <c r="E972" s="320"/>
      <c r="F972" s="164"/>
      <c r="G972" s="320"/>
      <c r="H972" s="164"/>
      <c r="I972" s="327"/>
      <c r="J972" s="117"/>
      <c r="K972" s="327"/>
      <c r="L972" s="117"/>
      <c r="M972" s="320"/>
      <c r="N972" s="164"/>
      <c r="O972" s="320"/>
      <c r="P972" s="164"/>
      <c r="Q972" s="338"/>
      <c r="R972" s="338"/>
      <c r="S972" s="20"/>
      <c r="T972" s="20"/>
      <c r="U972" s="20"/>
      <c r="V972" s="20"/>
    </row>
    <row r="973">
      <c r="A973" s="320"/>
      <c r="B973" s="164"/>
      <c r="C973" s="320"/>
      <c r="D973" s="164"/>
      <c r="E973" s="320"/>
      <c r="F973" s="164"/>
      <c r="G973" s="320"/>
      <c r="H973" s="164"/>
      <c r="I973" s="327"/>
      <c r="J973" s="117"/>
      <c r="K973" s="327"/>
      <c r="L973" s="117"/>
      <c r="M973" s="320"/>
      <c r="N973" s="164"/>
      <c r="O973" s="320"/>
      <c r="P973" s="164"/>
      <c r="Q973" s="338"/>
      <c r="R973" s="338"/>
      <c r="S973" s="20"/>
      <c r="T973" s="20"/>
      <c r="U973" s="20"/>
      <c r="V973" s="20"/>
    </row>
    <row r="974">
      <c r="A974" s="320"/>
      <c r="B974" s="164"/>
      <c r="C974" s="320"/>
      <c r="D974" s="164"/>
      <c r="E974" s="320"/>
      <c r="F974" s="164"/>
      <c r="G974" s="320"/>
      <c r="H974" s="164"/>
      <c r="I974" s="327"/>
      <c r="J974" s="117"/>
      <c r="K974" s="327"/>
      <c r="L974" s="117"/>
      <c r="M974" s="320"/>
      <c r="N974" s="164"/>
      <c r="O974" s="320"/>
      <c r="P974" s="164"/>
      <c r="Q974" s="338"/>
      <c r="R974" s="338"/>
      <c r="S974" s="20"/>
      <c r="T974" s="20"/>
      <c r="U974" s="20"/>
      <c r="V974" s="20"/>
    </row>
    <row r="975">
      <c r="A975" s="320"/>
      <c r="B975" s="164"/>
      <c r="C975" s="320"/>
      <c r="D975" s="164"/>
      <c r="E975" s="320"/>
      <c r="F975" s="164"/>
      <c r="G975" s="320"/>
      <c r="H975" s="164"/>
      <c r="I975" s="327"/>
      <c r="J975" s="117"/>
      <c r="K975" s="327"/>
      <c r="L975" s="117"/>
      <c r="M975" s="320"/>
      <c r="N975" s="164"/>
      <c r="O975" s="320"/>
      <c r="P975" s="164"/>
      <c r="Q975" s="338"/>
      <c r="R975" s="338"/>
      <c r="S975" s="20"/>
      <c r="T975" s="20"/>
      <c r="U975" s="20"/>
      <c r="V975" s="20"/>
    </row>
    <row r="976">
      <c r="A976" s="320"/>
      <c r="B976" s="164"/>
      <c r="C976" s="320"/>
      <c r="D976" s="164"/>
      <c r="E976" s="320"/>
      <c r="F976" s="164"/>
      <c r="G976" s="320"/>
      <c r="H976" s="164"/>
      <c r="I976" s="327"/>
      <c r="J976" s="117"/>
      <c r="K976" s="327"/>
      <c r="L976" s="117"/>
      <c r="M976" s="320"/>
      <c r="N976" s="164"/>
      <c r="O976" s="320"/>
      <c r="P976" s="164"/>
      <c r="Q976" s="338"/>
      <c r="R976" s="338"/>
      <c r="S976" s="20"/>
      <c r="T976" s="20"/>
      <c r="U976" s="20"/>
      <c r="V976" s="20"/>
    </row>
    <row r="977">
      <c r="A977" s="320"/>
      <c r="B977" s="164"/>
      <c r="C977" s="320"/>
      <c r="D977" s="164"/>
      <c r="E977" s="320"/>
      <c r="F977" s="164"/>
      <c r="G977" s="320"/>
      <c r="H977" s="164"/>
      <c r="I977" s="327"/>
      <c r="J977" s="117"/>
      <c r="K977" s="327"/>
      <c r="L977" s="117"/>
      <c r="M977" s="320"/>
      <c r="N977" s="164"/>
      <c r="O977" s="320"/>
      <c r="P977" s="164"/>
      <c r="Q977" s="338"/>
      <c r="R977" s="338"/>
      <c r="S977" s="20"/>
      <c r="T977" s="20"/>
      <c r="U977" s="20"/>
      <c r="V977" s="20"/>
    </row>
    <row r="978">
      <c r="A978" s="320"/>
      <c r="B978" s="164"/>
      <c r="C978" s="320"/>
      <c r="D978" s="164"/>
      <c r="E978" s="320"/>
      <c r="F978" s="164"/>
      <c r="G978" s="320"/>
      <c r="H978" s="164"/>
      <c r="I978" s="327"/>
      <c r="J978" s="117"/>
      <c r="K978" s="327"/>
      <c r="L978" s="117"/>
      <c r="M978" s="320"/>
      <c r="N978" s="164"/>
      <c r="O978" s="320"/>
      <c r="P978" s="164"/>
      <c r="Q978" s="338"/>
      <c r="R978" s="338"/>
      <c r="S978" s="20"/>
      <c r="T978" s="20"/>
      <c r="U978" s="20"/>
      <c r="V978" s="20"/>
    </row>
    <row r="979">
      <c r="A979" s="320"/>
      <c r="B979" s="164"/>
      <c r="C979" s="320"/>
      <c r="D979" s="164"/>
      <c r="E979" s="320"/>
      <c r="F979" s="164"/>
      <c r="G979" s="320"/>
      <c r="H979" s="164"/>
      <c r="I979" s="327"/>
      <c r="J979" s="117"/>
      <c r="K979" s="327"/>
      <c r="L979" s="117"/>
      <c r="M979" s="320"/>
      <c r="N979" s="164"/>
      <c r="O979" s="320"/>
      <c r="P979" s="164"/>
      <c r="Q979" s="338"/>
      <c r="R979" s="338"/>
      <c r="S979" s="20"/>
      <c r="T979" s="20"/>
      <c r="U979" s="20"/>
      <c r="V979" s="20"/>
    </row>
    <row r="980">
      <c r="A980" s="320"/>
      <c r="B980" s="164"/>
      <c r="C980" s="320"/>
      <c r="D980" s="164"/>
      <c r="E980" s="320"/>
      <c r="F980" s="164"/>
      <c r="G980" s="320"/>
      <c r="H980" s="164"/>
      <c r="I980" s="327"/>
      <c r="J980" s="117"/>
      <c r="K980" s="327"/>
      <c r="L980" s="117"/>
      <c r="M980" s="320"/>
      <c r="N980" s="164"/>
      <c r="O980" s="320"/>
      <c r="P980" s="164"/>
      <c r="Q980" s="338"/>
      <c r="R980" s="338"/>
      <c r="S980" s="20"/>
      <c r="T980" s="20"/>
      <c r="U980" s="20"/>
      <c r="V980" s="20"/>
    </row>
    <row r="981">
      <c r="A981" s="320"/>
      <c r="B981" s="164"/>
      <c r="C981" s="320"/>
      <c r="D981" s="164"/>
      <c r="E981" s="320"/>
      <c r="F981" s="164"/>
      <c r="G981" s="320"/>
      <c r="H981" s="164"/>
      <c r="I981" s="327"/>
      <c r="J981" s="117"/>
      <c r="K981" s="327"/>
      <c r="L981" s="117"/>
      <c r="M981" s="320"/>
      <c r="N981" s="164"/>
      <c r="O981" s="320"/>
      <c r="P981" s="164"/>
      <c r="Q981" s="338"/>
      <c r="R981" s="338"/>
      <c r="S981" s="20"/>
      <c r="T981" s="20"/>
      <c r="U981" s="20"/>
      <c r="V981" s="20"/>
    </row>
    <row r="982">
      <c r="A982" s="320"/>
      <c r="B982" s="164"/>
      <c r="C982" s="320"/>
      <c r="D982" s="164"/>
      <c r="E982" s="320"/>
      <c r="F982" s="164"/>
      <c r="G982" s="320"/>
      <c r="H982" s="164"/>
      <c r="I982" s="327"/>
      <c r="J982" s="117"/>
      <c r="K982" s="327"/>
      <c r="L982" s="117"/>
      <c r="M982" s="320"/>
      <c r="N982" s="164"/>
      <c r="O982" s="320"/>
      <c r="P982" s="164"/>
      <c r="Q982" s="338"/>
      <c r="R982" s="338"/>
      <c r="S982" s="20"/>
      <c r="T982" s="20"/>
      <c r="U982" s="20"/>
      <c r="V982" s="20"/>
    </row>
    <row r="983">
      <c r="A983" s="320"/>
      <c r="B983" s="164"/>
      <c r="C983" s="320"/>
      <c r="D983" s="164"/>
      <c r="E983" s="320"/>
      <c r="F983" s="164"/>
      <c r="G983" s="320"/>
      <c r="H983" s="164"/>
      <c r="I983" s="327"/>
      <c r="J983" s="117"/>
      <c r="K983" s="327"/>
      <c r="L983" s="117"/>
      <c r="M983" s="320"/>
      <c r="N983" s="164"/>
      <c r="O983" s="320"/>
      <c r="P983" s="164"/>
      <c r="Q983" s="338"/>
      <c r="R983" s="338"/>
      <c r="S983" s="20"/>
      <c r="T983" s="20"/>
      <c r="U983" s="20"/>
      <c r="V983" s="20"/>
    </row>
    <row r="984">
      <c r="A984" s="320"/>
      <c r="B984" s="164"/>
      <c r="C984" s="320"/>
      <c r="D984" s="164"/>
      <c r="E984" s="320"/>
      <c r="F984" s="164"/>
      <c r="G984" s="320"/>
      <c r="H984" s="164"/>
      <c r="I984" s="327"/>
      <c r="J984" s="117"/>
      <c r="K984" s="327"/>
      <c r="L984" s="117"/>
      <c r="M984" s="320"/>
      <c r="N984" s="164"/>
      <c r="O984" s="320"/>
      <c r="P984" s="164"/>
      <c r="Q984" s="338"/>
      <c r="R984" s="338"/>
      <c r="S984" s="20"/>
      <c r="T984" s="20"/>
      <c r="U984" s="20"/>
      <c r="V984" s="20"/>
    </row>
    <row r="985">
      <c r="A985" s="320"/>
      <c r="B985" s="164"/>
      <c r="C985" s="320"/>
      <c r="D985" s="164"/>
      <c r="E985" s="320"/>
      <c r="F985" s="164"/>
      <c r="G985" s="320"/>
      <c r="H985" s="164"/>
      <c r="I985" s="327"/>
      <c r="J985" s="117"/>
      <c r="K985" s="327"/>
      <c r="L985" s="117"/>
      <c r="M985" s="320"/>
      <c r="N985" s="164"/>
      <c r="O985" s="320"/>
      <c r="P985" s="164"/>
      <c r="Q985" s="338"/>
      <c r="R985" s="338"/>
      <c r="S985" s="20"/>
      <c r="T985" s="20"/>
      <c r="U985" s="20"/>
      <c r="V985" s="20"/>
    </row>
    <row r="986">
      <c r="A986" s="320"/>
      <c r="B986" s="164"/>
      <c r="C986" s="320"/>
      <c r="D986" s="164"/>
      <c r="E986" s="320"/>
      <c r="F986" s="164"/>
      <c r="G986" s="320"/>
      <c r="H986" s="164"/>
      <c r="I986" s="327"/>
      <c r="J986" s="117"/>
      <c r="K986" s="327"/>
      <c r="L986" s="117"/>
      <c r="M986" s="320"/>
      <c r="N986" s="164"/>
      <c r="O986" s="320"/>
      <c r="P986" s="164"/>
      <c r="Q986" s="338"/>
      <c r="R986" s="338"/>
      <c r="S986" s="20"/>
      <c r="T986" s="20"/>
      <c r="U986" s="20"/>
      <c r="V986" s="20"/>
    </row>
    <row r="987">
      <c r="A987" s="320"/>
      <c r="B987" s="164"/>
      <c r="C987" s="320"/>
      <c r="D987" s="164"/>
      <c r="E987" s="320"/>
      <c r="F987" s="164"/>
      <c r="G987" s="320"/>
      <c r="H987" s="164"/>
      <c r="I987" s="327"/>
      <c r="J987" s="117"/>
      <c r="K987" s="327"/>
      <c r="L987" s="117"/>
      <c r="M987" s="320"/>
      <c r="N987" s="164"/>
      <c r="O987" s="320"/>
      <c r="P987" s="164"/>
      <c r="Q987" s="338"/>
      <c r="R987" s="338"/>
      <c r="S987" s="20"/>
      <c r="T987" s="20"/>
      <c r="U987" s="20"/>
      <c r="V987" s="20"/>
    </row>
    <row r="988">
      <c r="A988" s="320"/>
      <c r="B988" s="164"/>
      <c r="C988" s="320"/>
      <c r="D988" s="164"/>
      <c r="E988" s="320"/>
      <c r="F988" s="164"/>
      <c r="G988" s="320"/>
      <c r="H988" s="164"/>
      <c r="I988" s="327"/>
      <c r="J988" s="117"/>
      <c r="K988" s="327"/>
      <c r="L988" s="117"/>
      <c r="M988" s="320"/>
      <c r="N988" s="164"/>
      <c r="O988" s="320"/>
      <c r="P988" s="164"/>
      <c r="Q988" s="338"/>
      <c r="R988" s="338"/>
      <c r="S988" s="20"/>
      <c r="T988" s="20"/>
      <c r="U988" s="20"/>
      <c r="V988" s="20"/>
    </row>
    <row r="989">
      <c r="A989" s="320"/>
      <c r="B989" s="164"/>
      <c r="C989" s="320"/>
      <c r="D989" s="164"/>
      <c r="E989" s="320"/>
      <c r="F989" s="164"/>
      <c r="G989" s="320"/>
      <c r="H989" s="164"/>
      <c r="I989" s="327"/>
      <c r="J989" s="117"/>
      <c r="K989" s="327"/>
      <c r="L989" s="117"/>
      <c r="M989" s="320"/>
      <c r="N989" s="164"/>
      <c r="O989" s="320"/>
      <c r="P989" s="164"/>
      <c r="Q989" s="338"/>
      <c r="R989" s="338"/>
      <c r="S989" s="20"/>
      <c r="T989" s="20"/>
      <c r="U989" s="20"/>
      <c r="V989" s="20"/>
    </row>
    <row r="990">
      <c r="A990" s="320"/>
      <c r="B990" s="164"/>
      <c r="C990" s="320"/>
      <c r="D990" s="164"/>
      <c r="E990" s="320"/>
      <c r="F990" s="164"/>
      <c r="G990" s="320"/>
      <c r="H990" s="164"/>
      <c r="I990" s="327"/>
      <c r="J990" s="117"/>
      <c r="K990" s="327"/>
      <c r="L990" s="117"/>
      <c r="M990" s="320"/>
      <c r="N990" s="164"/>
      <c r="O990" s="320"/>
      <c r="P990" s="164"/>
      <c r="Q990" s="338"/>
      <c r="R990" s="338"/>
      <c r="S990" s="20"/>
      <c r="T990" s="20"/>
      <c r="U990" s="20"/>
      <c r="V990" s="20"/>
    </row>
    <row r="991">
      <c r="A991" s="320"/>
      <c r="B991" s="164"/>
      <c r="C991" s="320"/>
      <c r="D991" s="164"/>
      <c r="E991" s="320"/>
      <c r="F991" s="164"/>
      <c r="G991" s="320"/>
      <c r="H991" s="164"/>
      <c r="I991" s="327"/>
      <c r="J991" s="117"/>
      <c r="K991" s="327"/>
      <c r="L991" s="117"/>
      <c r="M991" s="320"/>
      <c r="N991" s="164"/>
      <c r="O991" s="320"/>
      <c r="P991" s="164"/>
      <c r="Q991" s="338"/>
      <c r="R991" s="338"/>
      <c r="S991" s="20"/>
      <c r="T991" s="20"/>
      <c r="U991" s="20"/>
      <c r="V991" s="20"/>
    </row>
    <row r="992">
      <c r="A992" s="320"/>
      <c r="B992" s="164"/>
      <c r="C992" s="320"/>
      <c r="D992" s="164"/>
      <c r="E992" s="320"/>
      <c r="F992" s="164"/>
      <c r="G992" s="320"/>
      <c r="H992" s="164"/>
      <c r="I992" s="327"/>
      <c r="J992" s="117"/>
      <c r="K992" s="327"/>
      <c r="L992" s="117"/>
      <c r="M992" s="320"/>
      <c r="N992" s="164"/>
      <c r="O992" s="320"/>
      <c r="P992" s="164"/>
      <c r="Q992" s="338"/>
      <c r="R992" s="338"/>
      <c r="S992" s="20"/>
      <c r="T992" s="20"/>
      <c r="U992" s="20"/>
      <c r="V992" s="20"/>
    </row>
    <row r="993">
      <c r="A993" s="320"/>
      <c r="B993" s="164"/>
      <c r="C993" s="320"/>
      <c r="D993" s="164"/>
      <c r="E993" s="320"/>
      <c r="F993" s="164"/>
      <c r="G993" s="320"/>
      <c r="H993" s="164"/>
      <c r="I993" s="327"/>
      <c r="J993" s="117"/>
      <c r="K993" s="327"/>
      <c r="L993" s="117"/>
      <c r="M993" s="320"/>
      <c r="N993" s="164"/>
      <c r="O993" s="320"/>
      <c r="P993" s="164"/>
      <c r="Q993" s="338"/>
      <c r="R993" s="338"/>
      <c r="S993" s="20"/>
      <c r="T993" s="20"/>
      <c r="U993" s="20"/>
      <c r="V993" s="20"/>
    </row>
    <row r="994">
      <c r="A994" s="320"/>
      <c r="B994" s="164"/>
      <c r="C994" s="320"/>
      <c r="D994" s="164"/>
      <c r="E994" s="320"/>
      <c r="F994" s="164"/>
      <c r="G994" s="320"/>
      <c r="H994" s="164"/>
      <c r="I994" s="327"/>
      <c r="J994" s="117"/>
      <c r="K994" s="327"/>
      <c r="L994" s="117"/>
      <c r="M994" s="320"/>
      <c r="N994" s="164"/>
      <c r="O994" s="320"/>
      <c r="P994" s="164"/>
      <c r="Q994" s="338"/>
      <c r="R994" s="338"/>
      <c r="S994" s="20"/>
      <c r="T994" s="20"/>
      <c r="U994" s="20"/>
      <c r="V994" s="20"/>
    </row>
    <row r="995">
      <c r="A995" s="320"/>
      <c r="B995" s="164"/>
      <c r="C995" s="320"/>
      <c r="D995" s="164"/>
      <c r="E995" s="320"/>
      <c r="F995" s="164"/>
      <c r="G995" s="320"/>
      <c r="H995" s="164"/>
      <c r="I995" s="327"/>
      <c r="J995" s="117"/>
      <c r="K995" s="327"/>
      <c r="L995" s="117"/>
      <c r="M995" s="320"/>
      <c r="N995" s="164"/>
      <c r="O995" s="320"/>
      <c r="P995" s="164"/>
      <c r="Q995" s="338"/>
      <c r="R995" s="338"/>
      <c r="S995" s="20"/>
      <c r="T995" s="20"/>
      <c r="U995" s="20"/>
      <c r="V995" s="20"/>
    </row>
    <row r="996">
      <c r="A996" s="320"/>
      <c r="B996" s="164"/>
      <c r="C996" s="320"/>
      <c r="D996" s="164"/>
      <c r="E996" s="320"/>
      <c r="F996" s="164"/>
      <c r="G996" s="320"/>
      <c r="H996" s="164"/>
      <c r="I996" s="327"/>
      <c r="J996" s="117"/>
      <c r="K996" s="327"/>
      <c r="L996" s="117"/>
      <c r="M996" s="320"/>
      <c r="N996" s="164"/>
      <c r="O996" s="320"/>
      <c r="P996" s="164"/>
      <c r="Q996" s="338"/>
      <c r="R996" s="338"/>
      <c r="S996" s="20"/>
      <c r="T996" s="20"/>
      <c r="U996" s="20"/>
      <c r="V996" s="20"/>
    </row>
    <row r="997">
      <c r="A997" s="320"/>
      <c r="B997" s="164"/>
      <c r="C997" s="320"/>
      <c r="D997" s="164"/>
      <c r="E997" s="320"/>
      <c r="F997" s="164"/>
      <c r="G997" s="320"/>
      <c r="H997" s="164"/>
      <c r="I997" s="327"/>
      <c r="J997" s="117"/>
      <c r="K997" s="327"/>
      <c r="L997" s="117"/>
      <c r="M997" s="320"/>
      <c r="N997" s="164"/>
      <c r="O997" s="320"/>
      <c r="P997" s="164"/>
      <c r="Q997" s="338"/>
      <c r="R997" s="338"/>
      <c r="S997" s="20"/>
      <c r="T997" s="20"/>
      <c r="U997" s="20"/>
      <c r="V997" s="20"/>
    </row>
    <row r="998">
      <c r="A998" s="320"/>
      <c r="B998" s="164"/>
      <c r="C998" s="320"/>
      <c r="D998" s="164"/>
      <c r="E998" s="320"/>
      <c r="F998" s="164"/>
      <c r="G998" s="320"/>
      <c r="H998" s="164"/>
      <c r="I998" s="327"/>
      <c r="J998" s="117"/>
      <c r="K998" s="327"/>
      <c r="L998" s="117"/>
      <c r="M998" s="320"/>
      <c r="N998" s="164"/>
      <c r="O998" s="320"/>
      <c r="P998" s="164"/>
      <c r="Q998" s="338"/>
      <c r="R998" s="338"/>
      <c r="S998" s="20"/>
      <c r="T998" s="20"/>
      <c r="U998" s="20"/>
      <c r="V998" s="20"/>
    </row>
    <row r="999">
      <c r="A999" s="320"/>
      <c r="B999" s="164"/>
      <c r="C999" s="320"/>
      <c r="D999" s="164"/>
      <c r="E999" s="320"/>
      <c r="F999" s="164"/>
      <c r="G999" s="320"/>
      <c r="H999" s="164"/>
      <c r="I999" s="327"/>
      <c r="J999" s="117"/>
      <c r="K999" s="327"/>
      <c r="L999" s="117"/>
      <c r="M999" s="320"/>
      <c r="N999" s="164"/>
      <c r="O999" s="320"/>
      <c r="P999" s="164"/>
      <c r="Q999" s="338"/>
      <c r="R999" s="338"/>
      <c r="S999" s="20"/>
      <c r="T999" s="20"/>
      <c r="U999" s="20"/>
      <c r="V999" s="20"/>
    </row>
    <row r="1000">
      <c r="A1000" s="320"/>
      <c r="B1000" s="164"/>
      <c r="C1000" s="320"/>
      <c r="D1000" s="164"/>
      <c r="E1000" s="320"/>
      <c r="F1000" s="164"/>
      <c r="G1000" s="320"/>
      <c r="H1000" s="164"/>
      <c r="I1000" s="327"/>
      <c r="J1000" s="117"/>
      <c r="K1000" s="327"/>
      <c r="L1000" s="117"/>
      <c r="M1000" s="320"/>
      <c r="N1000" s="164"/>
      <c r="O1000" s="320"/>
      <c r="P1000" s="164"/>
      <c r="Q1000" s="338"/>
      <c r="R1000" s="338"/>
      <c r="S1000" s="20"/>
      <c r="T1000" s="20"/>
      <c r="U1000" s="20"/>
      <c r="V1000" s="20"/>
    </row>
    <row r="1001">
      <c r="A1001" s="320"/>
      <c r="B1001" s="164"/>
      <c r="C1001" s="320"/>
      <c r="D1001" s="164"/>
      <c r="E1001" s="320"/>
      <c r="F1001" s="164"/>
      <c r="G1001" s="320"/>
      <c r="H1001" s="164"/>
      <c r="I1001" s="327"/>
      <c r="J1001" s="117"/>
      <c r="K1001" s="327"/>
      <c r="L1001" s="117"/>
      <c r="M1001" s="320"/>
      <c r="N1001" s="164"/>
      <c r="O1001" s="320"/>
      <c r="P1001" s="164"/>
      <c r="Q1001" s="320"/>
      <c r="R1001" s="164"/>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39" t="s">
        <v>7063</v>
      </c>
      <c r="B1" s="340" t="s">
        <v>239</v>
      </c>
      <c r="C1" s="341" t="s">
        <v>7064</v>
      </c>
      <c r="F1" s="339" t="s">
        <v>7065</v>
      </c>
      <c r="G1" s="340" t="s">
        <v>239</v>
      </c>
      <c r="H1" s="342" t="s">
        <v>7066</v>
      </c>
      <c r="K1" s="339" t="s">
        <v>7067</v>
      </c>
      <c r="L1" s="340" t="s">
        <v>239</v>
      </c>
      <c r="M1" s="342" t="s">
        <v>7068</v>
      </c>
      <c r="P1" s="339" t="str">
        <f>IFERROR(__xludf.DUMMYFUNCTION("GOOGLETRANSLATE(A1,""zh-tw"",""zh"")"),"吃饱效果(夜袭时间延长)")</f>
        <v>吃饱效果(夜袭时间延长)</v>
      </c>
      <c r="Q1" s="340" t="str">
        <f>IFERROR(__xludf.DUMMYFUNCTION("GOOGLETRANSLATE(B1,""zh-tw"",""zh"")"),"A")</f>
        <v>A</v>
      </c>
      <c r="R1" s="11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39" t="str">
        <f>IFERROR(__xludf.DUMMYFUNCTION("GOOGLETRANSLATE(A1,""zh-tw"",""es-MX"")"),"El efecto de estar bien alimentado (extiende la duración de la incursión nocturna)")</f>
        <v>El efecto de estar bien alimentado (extiende la duración de la incursión nocturna)</v>
      </c>
      <c r="V1" s="340" t="s">
        <v>239</v>
      </c>
      <c r="W1" s="34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39" t="str">
        <f>IFERROR(__xludf.DUMMYFUNCTION("GOOGLETRANSLATE(A1,""zh-tw"",""KO"")"),"배불리 먹는 효과 (야간 습격 지속 시간 연장)")</f>
        <v>배불리 먹는 효과 (야간 습격 지속 시간 연장)</v>
      </c>
      <c r="AA1" s="340" t="s">
        <v>239</v>
      </c>
      <c r="AB1" s="343"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3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0" t="s">
        <v>239</v>
      </c>
      <c r="AG1" s="343"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44" t="s">
        <v>7069</v>
      </c>
      <c r="AK1" s="340" t="s">
        <v>239</v>
      </c>
      <c r="AL1" s="341" t="s">
        <v>7070</v>
      </c>
      <c r="AO1" s="345" t="s">
        <v>7071</v>
      </c>
      <c r="AP1" s="346" t="s">
        <v>239</v>
      </c>
      <c r="AQ1" s="117" t="s">
        <v>7072</v>
      </c>
      <c r="AT1" s="339" t="s">
        <v>7073</v>
      </c>
      <c r="AU1" s="340" t="s">
        <v>239</v>
      </c>
      <c r="AV1" s="343" t="s">
        <v>7074</v>
      </c>
      <c r="AY1" s="117"/>
      <c r="AZ1" s="117"/>
      <c r="BA1" s="117"/>
      <c r="BB1" s="117"/>
      <c r="BC1" s="117"/>
    </row>
    <row r="2" ht="75.0" customHeight="1">
      <c r="A2" s="339" t="s">
        <v>7075</v>
      </c>
      <c r="B2" s="340" t="s">
        <v>848</v>
      </c>
      <c r="F2" s="339" t="s">
        <v>7076</v>
      </c>
      <c r="G2" s="340" t="s">
        <v>848</v>
      </c>
      <c r="K2" s="339" t="s">
        <v>7077</v>
      </c>
      <c r="L2" s="340" t="s">
        <v>848</v>
      </c>
      <c r="P2" s="339" t="str">
        <f>IFERROR(__xludf.DUMMYFUNCTION("GOOGLETRANSLATE(A2,""zh-tw"",""zh"")"),"妹妹辣到哭了(机率触发)")</f>
        <v>妹妹辣到哭了(机率触发)</v>
      </c>
      <c r="Q2" s="340" t="str">
        <f>IFERROR(__xludf.DUMMYFUNCTION("GOOGLETRANSLATE(B2,""zh-tw"",""zh"")"),"B")</f>
        <v>B</v>
      </c>
      <c r="U2" s="339" t="str">
        <f>IFERROR(__xludf.DUMMYFUNCTION("GOOGLETRANSLATE(A2,""zh-tw"",""es-MX"")"),"Mi hermana lloró porque la comida estaba muy picante (desencadenante casual).")</f>
        <v>Mi hermana lloró porque la comida estaba muy picante (desencadenante casual).</v>
      </c>
      <c r="V2" s="340" t="s">
        <v>848</v>
      </c>
      <c r="Z2" s="339" t="str">
        <f>IFERROR(__xludf.DUMMYFUNCTION("GOOGLETRANSLATE(A2,""zh-tw"",""KO"")"),"언니는 음식이 너무 매워서 울었어요(우연에 의한 트리거).")</f>
        <v>언니는 음식이 너무 매워서 울었어요(우연에 의한 트리거).</v>
      </c>
      <c r="AA2" s="340" t="s">
        <v>848</v>
      </c>
      <c r="AE2" s="33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0" t="s">
        <v>848</v>
      </c>
      <c r="AJ2" s="344" t="s">
        <v>7078</v>
      </c>
      <c r="AK2" s="340" t="s">
        <v>848</v>
      </c>
      <c r="AO2" s="176" t="s">
        <v>7079</v>
      </c>
      <c r="AP2" s="150" t="s">
        <v>848</v>
      </c>
      <c r="AT2" s="339" t="s">
        <v>7080</v>
      </c>
      <c r="AU2" s="340" t="s">
        <v>848</v>
      </c>
      <c r="AY2" s="117"/>
      <c r="AZ2" s="117"/>
      <c r="BA2" s="117"/>
      <c r="BB2" s="117"/>
      <c r="BC2" s="117"/>
    </row>
    <row r="3">
      <c r="A3" s="347" t="s">
        <v>7081</v>
      </c>
      <c r="B3" s="348" t="s">
        <v>6521</v>
      </c>
      <c r="F3" s="347" t="str">
        <f>IFERROR(__xludf.DUMMYFUNCTION("GOOGLETRANSLATE(A3,""zh-tw"",""ja"")"),"料理名")</f>
        <v>料理名</v>
      </c>
      <c r="G3" s="348" t="str">
        <f>IFERROR(__xludf.DUMMYFUNCTION("GOOGLETRANSLATE(B3,""zh-tw"",""ja"")"),"効果")</f>
        <v>効果</v>
      </c>
      <c r="K3" s="347" t="s">
        <v>7082</v>
      </c>
      <c r="L3" s="348" t="s">
        <v>7083</v>
      </c>
      <c r="P3" s="71" t="str">
        <f>IFERROR(__xludf.DUMMYFUNCTION("GOOGLETRANSLATE(A3,""zh-tw"",""zh"")"),"料理名")</f>
        <v>料理名</v>
      </c>
      <c r="Q3" s="70" t="str">
        <f>IFERROR(__xludf.DUMMYFUNCTION("GOOGLETRANSLATE(B3,""zh-tw"",""zh"")"),"效果")</f>
        <v>效果</v>
      </c>
      <c r="U3" s="347" t="str">
        <f>IFERROR(__xludf.DUMMYFUNCTION("GOOGLETRANSLATE(A3,""zh-tw"",""es-MX"")"),"Nombre de los platos")</f>
        <v>Nombre de los platos</v>
      </c>
      <c r="V3" s="348" t="str">
        <f>IFERROR(__xludf.DUMMYFUNCTION("GOOGLETRANSLATE(B3,""zh-tw"",""es-MX"")"),"Efecto")</f>
        <v>Efecto</v>
      </c>
      <c r="Z3" s="347" t="str">
        <f>IFERROR(__xludf.DUMMYFUNCTION("GOOGLETRANSLATE(A3,""zh-tw"",""KO"")"),"요리 이름")</f>
        <v>요리 이름</v>
      </c>
      <c r="AA3" s="349" t="str">
        <f>IFERROR(__xludf.DUMMYFUNCTION("GOOGLETRANSLATE(B3,""zh-tw"",""KO"")"),"효과")</f>
        <v>효과</v>
      </c>
      <c r="AE3" s="347" t="str">
        <f>IFERROR(__xludf.DUMMYFUNCTION("GOOGLETRANSLATE(A3,""zh-tw"",""ru"")"),"Название блюда")</f>
        <v>Название блюда</v>
      </c>
      <c r="AF3" s="348" t="str">
        <f>IFERROR(__xludf.DUMMYFUNCTION("GOOGLETRANSLATE(B3,""zh-tw"",""ru"")"),"Эффект")</f>
        <v>Эффект</v>
      </c>
      <c r="AJ3" s="350" t="s">
        <v>7084</v>
      </c>
      <c r="AK3" s="349" t="s">
        <v>7085</v>
      </c>
      <c r="AO3" s="71" t="s">
        <v>7086</v>
      </c>
      <c r="AP3" s="70" t="s">
        <v>5123</v>
      </c>
      <c r="AT3" s="347" t="s">
        <v>7087</v>
      </c>
      <c r="AU3" s="348" t="s">
        <v>6527</v>
      </c>
      <c r="AY3" s="117"/>
      <c r="AZ3" s="117"/>
      <c r="BA3" s="117"/>
      <c r="BB3" s="117"/>
      <c r="BC3" s="117"/>
    </row>
    <row r="4">
      <c r="A4" s="351" t="s">
        <v>7088</v>
      </c>
      <c r="B4" s="180"/>
      <c r="C4" s="165" t="s">
        <v>7089</v>
      </c>
      <c r="D4" s="117"/>
      <c r="E4" s="117"/>
      <c r="F4" s="351" t="s">
        <v>7090</v>
      </c>
      <c r="G4" s="180"/>
      <c r="H4" s="165" t="s">
        <v>7091</v>
      </c>
      <c r="I4" s="117"/>
      <c r="J4" s="117"/>
      <c r="K4" s="104" t="s">
        <v>7092</v>
      </c>
      <c r="L4" s="180"/>
      <c r="M4" s="163" t="s">
        <v>7093</v>
      </c>
      <c r="N4" s="164"/>
      <c r="O4" s="164"/>
      <c r="P4" s="352" t="str">
        <f>IFERROR(__xludf.DUMMYFUNCTION("GOOGLETRANSLATE(A4,""zh-tw"",""zh"")"),"史莱姆果冻")</f>
        <v>史莱姆果冻</v>
      </c>
      <c r="Q4" s="70"/>
      <c r="R4" s="73" t="str">
        <f>IFERROR(__xludf.DUMMYFUNCTION("GOOGLETRANSLATE(C4,""zh-tw"",""zh"")"),"史莱姆黏液")</f>
        <v>史莱姆黏液</v>
      </c>
      <c r="S4" s="73"/>
      <c r="T4" s="73"/>
      <c r="U4" s="351" t="str">
        <f>IFERROR(__xludf.DUMMYFUNCTION("GOOGLETRANSLATE(A4,""zh-tw"",""es-MX"")"),"Gelatina de slime")</f>
        <v>Gelatina de slime</v>
      </c>
      <c r="V4" s="348"/>
      <c r="W4" s="165" t="str">
        <f>IFERROR(__xludf.DUMMYFUNCTION("GOOGLETRANSLATE(C4,""zh-tw"",""es-MX"")"),"limo")</f>
        <v>limo</v>
      </c>
      <c r="X4" s="165"/>
      <c r="Y4" s="165"/>
      <c r="Z4" s="7" t="str">
        <f>IFERROR(__xludf.DUMMYFUNCTION("GOOGLETRANSLATE(A4,""zh-tw"",""KO"")"),"슬라임 젤리")</f>
        <v>슬라임 젤리</v>
      </c>
      <c r="AA4" s="349"/>
      <c r="AB4" s="163" t="s">
        <v>7094</v>
      </c>
      <c r="AC4" s="117"/>
      <c r="AD4" s="117"/>
      <c r="AE4" s="351" t="str">
        <f>IFERROR(__xludf.DUMMYFUNCTION("GOOGLETRANSLATE(A4,""zh-tw"",""ru"")"),"Слизистое желе")</f>
        <v>Слизистое желе</v>
      </c>
      <c r="AF4" s="348"/>
      <c r="AG4" s="165" t="str">
        <f>IFERROR(__xludf.DUMMYFUNCTION("GOOGLETRANSLATE(C4,""zh-tw"",""ru"")"),"слизь")</f>
        <v>слизь</v>
      </c>
      <c r="AH4" s="165"/>
      <c r="AI4" s="165"/>
      <c r="AJ4" s="353" t="s">
        <v>7095</v>
      </c>
      <c r="AK4" s="349"/>
      <c r="AL4" s="163" t="s">
        <v>7096</v>
      </c>
      <c r="AM4" s="164"/>
      <c r="AN4" s="164"/>
      <c r="AO4" s="149" t="s">
        <v>7097</v>
      </c>
      <c r="AP4" s="180"/>
      <c r="AQ4" s="164" t="s">
        <v>7098</v>
      </c>
      <c r="AR4" s="117"/>
      <c r="AS4" s="117"/>
      <c r="AT4" s="351" t="s">
        <v>7092</v>
      </c>
      <c r="AU4" s="185"/>
      <c r="AV4" s="164" t="s">
        <v>7099</v>
      </c>
      <c r="AW4" s="18"/>
      <c r="AX4" s="18"/>
      <c r="AY4" s="117"/>
      <c r="AZ4" s="117"/>
      <c r="BA4" s="117"/>
      <c r="BB4" s="117"/>
      <c r="BC4" s="117"/>
    </row>
    <row r="5">
      <c r="A5" s="351" t="s">
        <v>7100</v>
      </c>
      <c r="B5" s="180"/>
      <c r="C5" s="165" t="s">
        <v>7101</v>
      </c>
      <c r="D5" s="165" t="s">
        <v>7102</v>
      </c>
      <c r="E5" s="117"/>
      <c r="F5" s="351" t="s">
        <v>7103</v>
      </c>
      <c r="G5" s="180"/>
      <c r="H5" s="165" t="s">
        <v>7104</v>
      </c>
      <c r="I5" s="165" t="s">
        <v>7105</v>
      </c>
      <c r="J5" s="117"/>
      <c r="K5" s="102" t="s">
        <v>7106</v>
      </c>
      <c r="L5" s="180"/>
      <c r="M5" s="163" t="s">
        <v>7107</v>
      </c>
      <c r="N5" s="163" t="s">
        <v>7108</v>
      </c>
      <c r="O5" s="164"/>
      <c r="P5" s="352" t="str">
        <f>IFERROR(__xludf.DUMMYFUNCTION("GOOGLETRANSLATE(A5,""zh-tw"",""zh"")"),"咖喱饭")</f>
        <v>咖喱饭</v>
      </c>
      <c r="Q5" s="70"/>
      <c r="R5" s="73" t="str">
        <f>IFERROR(__xludf.DUMMYFUNCTION("GOOGLETRANSLATE(C5,""zh-tw"",""zh"")"),"白米饭")</f>
        <v>白米饭</v>
      </c>
      <c r="S5" s="73" t="str">
        <f>IFERROR(__xludf.DUMMYFUNCTION("GOOGLETRANSLATE(D5,""zh-tw"",""zh"")"),"咖喱块")</f>
        <v>咖喱块</v>
      </c>
      <c r="T5" s="73"/>
      <c r="U5" s="351" t="str">
        <f>IFERROR(__xludf.DUMMYFUNCTION("GOOGLETRANSLATE(A5,""zh-tw"",""es-MX"")"),"Arroz al curry")</f>
        <v>Arroz al curry</v>
      </c>
      <c r="V5" s="348"/>
      <c r="W5" s="165" t="str">
        <f>IFERROR(__xludf.DUMMYFUNCTION("GOOGLETRANSLATE(C5,""zh-tw"",""es-MX"")"),"arroz blanco")</f>
        <v>arroz blanco</v>
      </c>
      <c r="X5" s="165" t="str">
        <f>IFERROR(__xludf.DUMMYFUNCTION("GOOGLETRANSLATE(D5,""zh-tw"",""es-MX"")"),"cubos de curry")</f>
        <v>cubos de curry</v>
      </c>
      <c r="Y5" s="165"/>
      <c r="Z5" s="7" t="str">
        <f>IFERROR(__xludf.DUMMYFUNCTION("GOOGLETRANSLATE(A5,""zh-tw"",""KO"")"),"카레라이스")</f>
        <v>카레라이스</v>
      </c>
      <c r="AA5" s="349"/>
      <c r="AB5" s="164" t="str">
        <f>IFERROR(__xludf.DUMMYFUNCTION("GOOGLETRANSLATE(C5,""zh-tw"",""KO"")"),"흰쌀")</f>
        <v>흰쌀</v>
      </c>
      <c r="AC5" s="163" t="s">
        <v>7109</v>
      </c>
      <c r="AD5" s="164"/>
      <c r="AE5" s="351" t="str">
        <f>IFERROR(__xludf.DUMMYFUNCTION("GOOGLETRANSLATE(A5,""zh-tw"",""ru"")"),"Карри с рисом")</f>
        <v>Карри с рисом</v>
      </c>
      <c r="AF5" s="348"/>
      <c r="AG5" s="165" t="str">
        <f>IFERROR(__xludf.DUMMYFUNCTION("GOOGLETRANSLATE(C5,""zh-tw"",""ru"")"),"Белый рис")</f>
        <v>Белый рис</v>
      </c>
      <c r="AH5" s="165" t="str">
        <f>IFERROR(__xludf.DUMMYFUNCTION("GOOGLETRANSLATE(D5,""zh-tw"",""ru"")"),"кубики карри")</f>
        <v>кубики карри</v>
      </c>
      <c r="AI5" s="165"/>
      <c r="AJ5" s="353" t="s">
        <v>7110</v>
      </c>
      <c r="AK5" s="349"/>
      <c r="AL5" s="163" t="s">
        <v>7111</v>
      </c>
      <c r="AM5" s="163" t="s">
        <v>7112</v>
      </c>
      <c r="AN5" s="164"/>
      <c r="AO5" s="149" t="s">
        <v>7113</v>
      </c>
      <c r="AP5" s="180"/>
      <c r="AQ5" s="164" t="s">
        <v>7114</v>
      </c>
      <c r="AR5" s="164" t="s">
        <v>7115</v>
      </c>
      <c r="AS5" s="117"/>
      <c r="AT5" s="351" t="s">
        <v>7116</v>
      </c>
      <c r="AU5" s="185"/>
      <c r="AV5" s="164" t="s">
        <v>7117</v>
      </c>
      <c r="AW5" s="164" t="s">
        <v>7118</v>
      </c>
      <c r="AX5" s="18"/>
      <c r="AY5" s="117"/>
      <c r="AZ5" s="117"/>
      <c r="BA5" s="117"/>
      <c r="BB5" s="117"/>
      <c r="BC5" s="117"/>
    </row>
    <row r="6">
      <c r="A6" s="351" t="s">
        <v>7119</v>
      </c>
      <c r="B6" s="180"/>
      <c r="C6" s="165" t="s">
        <v>7120</v>
      </c>
      <c r="D6" s="165" t="s">
        <v>7121</v>
      </c>
      <c r="E6" s="117"/>
      <c r="F6" s="351" t="s">
        <v>7122</v>
      </c>
      <c r="G6" s="180"/>
      <c r="H6" s="165" t="s">
        <v>7123</v>
      </c>
      <c r="I6" s="165" t="s">
        <v>7124</v>
      </c>
      <c r="J6" s="117"/>
      <c r="K6" s="104" t="s">
        <v>7125</v>
      </c>
      <c r="L6" s="180"/>
      <c r="M6" s="163" t="s">
        <v>7126</v>
      </c>
      <c r="N6" s="163" t="s">
        <v>7127</v>
      </c>
      <c r="O6" s="164"/>
      <c r="P6" s="352" t="str">
        <f>IFERROR(__xludf.DUMMYFUNCTION("GOOGLETRANSLATE(A6,""zh-tw"",""zh"")"),"苹果派")</f>
        <v>苹果派</v>
      </c>
      <c r="Q6" s="70"/>
      <c r="R6" s="73" t="str">
        <f>IFERROR(__xludf.DUMMYFUNCTION("GOOGLETRANSLATE(C6,""zh-tw"",""zh"")"),"苹果")</f>
        <v>苹果</v>
      </c>
      <c r="S6" s="73" t="str">
        <f>IFERROR(__xludf.DUMMYFUNCTION("GOOGLETRANSLATE(D6,""zh-tw"",""zh"")"),"小麦粉")</f>
        <v>小麦粉</v>
      </c>
      <c r="T6" s="73"/>
      <c r="U6" s="351" t="str">
        <f>IFERROR(__xludf.DUMMYFUNCTION("GOOGLETRANSLATE(A6,""zh-tw"",""es-MX"")"),"Tarta de manzana")</f>
        <v>Tarta de manzana</v>
      </c>
      <c r="V6" s="348"/>
      <c r="W6" s="165" t="str">
        <f>IFERROR(__xludf.DUMMYFUNCTION("GOOGLETRANSLATE(C6,""zh-tw"",""es-MX"")"),"manzana")</f>
        <v>manzana</v>
      </c>
      <c r="X6" s="165" t="str">
        <f>IFERROR(__xludf.DUMMYFUNCTION("GOOGLETRANSLATE(D6,""zh-tw"",""es-MX"")"),"harina de trigo")</f>
        <v>harina de trigo</v>
      </c>
      <c r="Y6" s="165"/>
      <c r="Z6" s="7" t="str">
        <f>IFERROR(__xludf.DUMMYFUNCTION("GOOGLETRANSLATE(A6,""zh-tw"",""KO"")"),"애플파이")</f>
        <v>애플파이</v>
      </c>
      <c r="AA6" s="349"/>
      <c r="AB6" s="164" t="str">
        <f>IFERROR(__xludf.DUMMYFUNCTION("GOOGLETRANSLATE(C6,""zh-tw"",""KO"")"),"사과")</f>
        <v>사과</v>
      </c>
      <c r="AC6" s="164" t="str">
        <f>IFERROR(__xludf.DUMMYFUNCTION("GOOGLETRANSLATE(D6,""zh-tw"",""KO"")"),"밀가루")</f>
        <v>밀가루</v>
      </c>
      <c r="AD6" s="164"/>
      <c r="AE6" s="351" t="str">
        <f>IFERROR(__xludf.DUMMYFUNCTION("GOOGLETRANSLATE(A6,""zh-tw"",""ru"")"),"Яблочный пирог")</f>
        <v>Яблочный пирог</v>
      </c>
      <c r="AF6" s="348"/>
      <c r="AG6" s="165" t="str">
        <f>IFERROR(__xludf.DUMMYFUNCTION("GOOGLETRANSLATE(C6,""zh-tw"",""ru"")"),"яблоко")</f>
        <v>яблоко</v>
      </c>
      <c r="AH6" s="165" t="str">
        <f>IFERROR(__xludf.DUMMYFUNCTION("GOOGLETRANSLATE(D6,""zh-tw"",""ru"")"),"пшеничная мука")</f>
        <v>пшеничная мука</v>
      </c>
      <c r="AI6" s="165"/>
      <c r="AJ6" s="353" t="s">
        <v>7128</v>
      </c>
      <c r="AK6" s="349"/>
      <c r="AL6" s="163" t="s">
        <v>7129</v>
      </c>
      <c r="AM6" s="163" t="s">
        <v>7130</v>
      </c>
      <c r="AN6" s="164"/>
      <c r="AO6" s="149" t="s">
        <v>7131</v>
      </c>
      <c r="AP6" s="180"/>
      <c r="AQ6" s="164" t="s">
        <v>7132</v>
      </c>
      <c r="AR6" s="164" t="s">
        <v>7133</v>
      </c>
      <c r="AS6" s="117"/>
      <c r="AT6" s="351" t="s">
        <v>7134</v>
      </c>
      <c r="AU6" s="185"/>
      <c r="AV6" s="164" t="s">
        <v>7135</v>
      </c>
      <c r="AW6" s="164" t="s">
        <v>7136</v>
      </c>
      <c r="AX6" s="18"/>
      <c r="AY6" s="117"/>
      <c r="AZ6" s="117"/>
      <c r="BA6" s="117"/>
      <c r="BB6" s="117"/>
      <c r="BC6" s="117"/>
    </row>
    <row r="7">
      <c r="A7" s="351" t="s">
        <v>7137</v>
      </c>
      <c r="B7" s="180"/>
      <c r="C7" s="165" t="s">
        <v>7120</v>
      </c>
      <c r="D7" s="117"/>
      <c r="E7" s="117"/>
      <c r="F7" s="351" t="s">
        <v>7138</v>
      </c>
      <c r="G7" s="180"/>
      <c r="H7" s="165" t="s">
        <v>7123</v>
      </c>
      <c r="I7" s="117"/>
      <c r="J7" s="117"/>
      <c r="K7" s="104" t="s">
        <v>7139</v>
      </c>
      <c r="L7" s="180"/>
      <c r="M7" s="163" t="s">
        <v>7126</v>
      </c>
      <c r="N7" s="164"/>
      <c r="O7" s="164"/>
      <c r="P7" s="352" t="str">
        <f>IFERROR(__xludf.DUMMYFUNCTION("GOOGLETRANSLATE(A7,""zh-tw"",""zh"")"),"烤苹果")</f>
        <v>烤苹果</v>
      </c>
      <c r="Q7" s="70"/>
      <c r="R7" s="73" t="str">
        <f>IFERROR(__xludf.DUMMYFUNCTION("GOOGLETRANSLATE(C7,""zh-tw"",""zh"")"),"苹果")</f>
        <v>苹果</v>
      </c>
      <c r="S7" s="73"/>
      <c r="T7" s="73"/>
      <c r="U7" s="351" t="str">
        <f>IFERROR(__xludf.DUMMYFUNCTION("GOOGLETRANSLATE(A7,""zh-tw"",""es-MX"")"),"Manzanas al horno")</f>
        <v>Manzanas al horno</v>
      </c>
      <c r="V7" s="348"/>
      <c r="W7" s="165" t="str">
        <f>IFERROR(__xludf.DUMMYFUNCTION("GOOGLETRANSLATE(C7,""zh-tw"",""es-MX"")"),"manzana")</f>
        <v>manzana</v>
      </c>
      <c r="X7" s="165"/>
      <c r="Y7" s="165"/>
      <c r="Z7" s="7" t="str">
        <f>IFERROR(__xludf.DUMMYFUNCTION("GOOGLETRANSLATE(A7,""zh-tw"",""KO"")"),"구운 사과")</f>
        <v>구운 사과</v>
      </c>
      <c r="AA7" s="349"/>
      <c r="AB7" s="164" t="str">
        <f>IFERROR(__xludf.DUMMYFUNCTION("GOOGLETRANSLATE(C7,""zh-tw"",""KO"")"),"사과")</f>
        <v>사과</v>
      </c>
      <c r="AC7" s="164"/>
      <c r="AD7" s="164"/>
      <c r="AE7" s="351" t="str">
        <f>IFERROR(__xludf.DUMMYFUNCTION("GOOGLETRANSLATE(A7,""zh-tw"",""ru"")"),"Печеные яблоки")</f>
        <v>Печеные яблоки</v>
      </c>
      <c r="AF7" s="348"/>
      <c r="AG7" s="165" t="str">
        <f>IFERROR(__xludf.DUMMYFUNCTION("GOOGLETRANSLATE(C7,""zh-tw"",""ru"")"),"яблоко")</f>
        <v>яблоко</v>
      </c>
      <c r="AH7" s="165"/>
      <c r="AI7" s="165"/>
      <c r="AJ7" s="353" t="s">
        <v>7140</v>
      </c>
      <c r="AK7" s="349"/>
      <c r="AL7" s="163" t="s">
        <v>7129</v>
      </c>
      <c r="AM7" s="164"/>
      <c r="AN7" s="164"/>
      <c r="AO7" s="149" t="s">
        <v>7141</v>
      </c>
      <c r="AP7" s="180"/>
      <c r="AQ7" s="164" t="s">
        <v>7132</v>
      </c>
      <c r="AR7" s="117"/>
      <c r="AS7" s="117"/>
      <c r="AT7" s="351" t="s">
        <v>7142</v>
      </c>
      <c r="AU7" s="185"/>
      <c r="AV7" s="164" t="s">
        <v>7135</v>
      </c>
      <c r="AW7" s="18"/>
      <c r="AX7" s="18"/>
      <c r="AY7" s="117"/>
      <c r="AZ7" s="117"/>
      <c r="BA7" s="117"/>
      <c r="BB7" s="117"/>
      <c r="BC7" s="117"/>
    </row>
    <row r="8">
      <c r="A8" s="351" t="s">
        <v>7143</v>
      </c>
      <c r="B8" s="180"/>
      <c r="C8" s="165" t="s">
        <v>7144</v>
      </c>
      <c r="F8" s="351" t="s">
        <v>7145</v>
      </c>
      <c r="G8" s="180"/>
      <c r="H8" s="165" t="s">
        <v>644</v>
      </c>
      <c r="I8" s="117"/>
      <c r="J8" s="117"/>
      <c r="K8" s="104" t="s">
        <v>7146</v>
      </c>
      <c r="L8" s="180"/>
      <c r="M8" s="163" t="s">
        <v>7147</v>
      </c>
      <c r="N8" s="164"/>
      <c r="O8" s="164"/>
      <c r="P8" s="352" t="str">
        <f>IFERROR(__xludf.DUMMYFUNCTION("GOOGLETRANSLATE(A8,""zh-tw"",""zh"")"),"炒贝类")</f>
        <v>炒贝类</v>
      </c>
      <c r="Q8" s="70"/>
      <c r="R8" s="73" t="str">
        <f>IFERROR(__xludf.DUMMYFUNCTION("GOOGLETRANSLATE(C8,""zh-tw"",""zh"")"),"未实装(之后河边炸鱼可以炸出贝壳)")</f>
        <v>未实装(之后河边炸鱼可以炸出贝壳)</v>
      </c>
      <c r="U8" s="351" t="str">
        <f>IFERROR(__xludf.DUMMYFUNCTION("GOOGLETRANSLATE(A8,""zh-tw"",""es-MX"")"),"mariscos salteados")</f>
        <v>mariscos salteados</v>
      </c>
      <c r="V8" s="348"/>
      <c r="W8" s="165" t="str">
        <f>IFERROR(__xludf.DUMMYFUNCTION("GOOGLETRANSLATE(C8,""zh-tw"",""es-MX"")"),"Aún no implementado (más adelante, podrás lanzar peces al río para obtener conchas).")</f>
        <v>Aún no implementado (más adelante, podrás lanzar peces al río para obtener conchas).</v>
      </c>
      <c r="Z8" s="353" t="s">
        <v>7148</v>
      </c>
      <c r="AA8" s="349"/>
      <c r="AB8" s="163" t="s">
        <v>653</v>
      </c>
      <c r="AE8" s="351" t="str">
        <f>IFERROR(__xludf.DUMMYFUNCTION("GOOGLETRANSLATE(A8,""zh-tw"",""ru"")"),"Жареные моллюски")</f>
        <v>Жареные моллюски</v>
      </c>
      <c r="AF8" s="348"/>
      <c r="AG8" s="165"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53" t="s">
        <v>7149</v>
      </c>
      <c r="AK8" s="349"/>
      <c r="AL8" s="163" t="s">
        <v>7150</v>
      </c>
      <c r="AO8" s="149" t="s">
        <v>7151</v>
      </c>
      <c r="AP8" s="180"/>
      <c r="AQ8" s="164" t="s">
        <v>7152</v>
      </c>
      <c r="AR8" s="117"/>
      <c r="AS8" s="117"/>
      <c r="AT8" s="351" t="s">
        <v>7153</v>
      </c>
      <c r="AU8" s="185"/>
      <c r="AV8" s="164" t="s">
        <v>3093</v>
      </c>
      <c r="AW8" s="18"/>
      <c r="AX8" s="18"/>
      <c r="AY8" s="117"/>
      <c r="AZ8" s="117"/>
      <c r="BA8" s="117"/>
      <c r="BB8" s="117"/>
      <c r="BC8" s="117"/>
    </row>
    <row r="9">
      <c r="A9" s="351" t="s">
        <v>7154</v>
      </c>
      <c r="B9" s="180"/>
      <c r="C9" s="165" t="s">
        <v>7155</v>
      </c>
      <c r="D9" s="117"/>
      <c r="E9" s="117"/>
      <c r="F9" s="351" t="s">
        <v>7156</v>
      </c>
      <c r="G9" s="180"/>
      <c r="H9" s="165" t="s">
        <v>7155</v>
      </c>
      <c r="I9" s="117"/>
      <c r="J9" s="117"/>
      <c r="K9" s="104" t="s">
        <v>7157</v>
      </c>
      <c r="L9" s="180"/>
      <c r="M9" s="163" t="s">
        <v>7158</v>
      </c>
      <c r="N9" s="164"/>
      <c r="O9" s="164"/>
      <c r="P9" s="352" t="str">
        <f>IFERROR(__xludf.DUMMYFUNCTION("GOOGLETRANSLATE(A9,""zh-tw"",""zh"")"),"煎鱼")</f>
        <v>煎鱼</v>
      </c>
      <c r="Q9" s="70"/>
      <c r="R9" s="73" t="str">
        <f>IFERROR(__xludf.DUMMYFUNCTION("GOOGLETRANSLATE(C9,""zh-tw"",""zh"")"),"鱼类")</f>
        <v>鱼类</v>
      </c>
      <c r="S9" s="73"/>
      <c r="T9" s="73"/>
      <c r="U9" s="351" t="str">
        <f>IFERROR(__xludf.DUMMYFUNCTION("GOOGLETRANSLATE(A9,""zh-tw"",""es-MX"")"),"Pescado frito")</f>
        <v>Pescado frito</v>
      </c>
      <c r="V9" s="348"/>
      <c r="W9" s="165" t="str">
        <f>IFERROR(__xludf.DUMMYFUNCTION("GOOGLETRANSLATE(C9,""zh-tw"",""es-MX"")"),"pez")</f>
        <v>pez</v>
      </c>
      <c r="X9" s="165"/>
      <c r="Y9" s="165"/>
      <c r="Z9" s="353" t="s">
        <v>7159</v>
      </c>
      <c r="AA9" s="349"/>
      <c r="AB9" s="164" t="str">
        <f>IFERROR(__xludf.DUMMYFUNCTION("GOOGLETRANSLATE(C9,""zh-tw"",""KO"")"),"물고기")</f>
        <v>물고기</v>
      </c>
      <c r="AC9" s="164"/>
      <c r="AD9" s="164"/>
      <c r="AE9" s="351" t="str">
        <f>IFERROR(__xludf.DUMMYFUNCTION("GOOGLETRANSLATE(A9,""zh-tw"",""ru"")"),"Жареная рыба")</f>
        <v>Жареная рыба</v>
      </c>
      <c r="AF9" s="348"/>
      <c r="AG9" s="165" t="str">
        <f>IFERROR(__xludf.DUMMYFUNCTION("GOOGLETRANSLATE(C9,""zh-tw"",""ru"")"),"рыба")</f>
        <v>рыба</v>
      </c>
      <c r="AH9" s="165"/>
      <c r="AI9" s="165"/>
      <c r="AJ9" s="353" t="s">
        <v>7160</v>
      </c>
      <c r="AK9" s="349"/>
      <c r="AL9" s="163" t="s">
        <v>7161</v>
      </c>
      <c r="AM9" s="164"/>
      <c r="AN9" s="164"/>
      <c r="AO9" s="149" t="s">
        <v>7162</v>
      </c>
      <c r="AP9" s="180"/>
      <c r="AQ9" s="164" t="s">
        <v>7163</v>
      </c>
      <c r="AR9" s="117"/>
      <c r="AS9" s="117"/>
      <c r="AT9" s="351" t="s">
        <v>7164</v>
      </c>
      <c r="AU9" s="185"/>
      <c r="AV9" s="164" t="s">
        <v>7165</v>
      </c>
      <c r="AW9" s="18"/>
      <c r="AX9" s="18"/>
      <c r="AY9" s="117"/>
      <c r="AZ9" s="117"/>
      <c r="BA9" s="117"/>
      <c r="BB9" s="117"/>
      <c r="BC9" s="117"/>
    </row>
    <row r="10">
      <c r="A10" s="351" t="s">
        <v>7166</v>
      </c>
      <c r="B10" s="180"/>
      <c r="C10" s="165" t="s">
        <v>4661</v>
      </c>
      <c r="D10" s="165" t="s">
        <v>4661</v>
      </c>
      <c r="E10" s="165" t="s">
        <v>4661</v>
      </c>
      <c r="F10" s="351" t="s">
        <v>7167</v>
      </c>
      <c r="G10" s="180"/>
      <c r="H10" s="165" t="s">
        <v>7168</v>
      </c>
      <c r="I10" s="165" t="s">
        <v>7168</v>
      </c>
      <c r="J10" s="165" t="s">
        <v>7168</v>
      </c>
      <c r="K10" s="104" t="s">
        <v>7169</v>
      </c>
      <c r="L10" s="180"/>
      <c r="M10" s="163" t="s">
        <v>4666</v>
      </c>
      <c r="N10" s="163" t="s">
        <v>4666</v>
      </c>
      <c r="O10" s="163" t="s">
        <v>4666</v>
      </c>
      <c r="P10" s="352" t="str">
        <f>IFERROR(__xludf.DUMMYFUNCTION("GOOGLETRANSLATE(A10,""zh-tw"",""zh"")"),"炒蘑菇")</f>
        <v>炒蘑菇</v>
      </c>
      <c r="Q10" s="70"/>
      <c r="R10" s="73" t="str">
        <f>IFERROR(__xludf.DUMMYFUNCTION("GOOGLETRANSLATE(C10,""zh-tw"",""zh"")"),"香菇")</f>
        <v>香菇</v>
      </c>
      <c r="S10" s="73" t="str">
        <f>IFERROR(__xludf.DUMMYFUNCTION("GOOGLETRANSLATE(D10,""zh-tw"",""zh"")"),"香菇")</f>
        <v>香菇</v>
      </c>
      <c r="T10" s="73" t="str">
        <f>IFERROR(__xludf.DUMMYFUNCTION("GOOGLETRANSLATE(E10,""zh-tw"",""zh"")"),"香菇")</f>
        <v>香菇</v>
      </c>
      <c r="U10" s="351" t="str">
        <f>IFERROR(__xludf.DUMMYFUNCTION("GOOGLETRANSLATE(A10,""zh-tw"",""es-MX"")"),"Champiñones salteados")</f>
        <v>Champiñones salteados</v>
      </c>
      <c r="V10" s="348"/>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53" t="s">
        <v>7170</v>
      </c>
      <c r="AA10" s="349"/>
      <c r="AB10" s="164" t="str">
        <f>IFERROR(__xludf.DUMMYFUNCTION("GOOGLETRANSLATE(C10,""zh-tw"",""KO"")"),"버섯")</f>
        <v>버섯</v>
      </c>
      <c r="AC10" s="164" t="str">
        <f>IFERROR(__xludf.DUMMYFUNCTION("GOOGLETRANSLATE(D10,""zh-tw"",""KO"")"),"버섯")</f>
        <v>버섯</v>
      </c>
      <c r="AD10" s="164" t="str">
        <f>IFERROR(__xludf.DUMMYFUNCTION("GOOGLETRANSLATE(E10,""zh-tw"",""KO"")"),"버섯")</f>
        <v>버섯</v>
      </c>
      <c r="AE10" s="351" t="str">
        <f>IFERROR(__xludf.DUMMYFUNCTION("GOOGLETRANSLATE(A10,""zh-tw"",""ru"")"),"Жареные грибы")</f>
        <v>Жареные грибы</v>
      </c>
      <c r="AF10" s="348"/>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53" t="s">
        <v>7171</v>
      </c>
      <c r="AK10" s="349"/>
      <c r="AL10" s="163" t="s">
        <v>7172</v>
      </c>
      <c r="AM10" s="163" t="s">
        <v>7172</v>
      </c>
      <c r="AN10" s="163" t="s">
        <v>7172</v>
      </c>
      <c r="AO10" s="149" t="s">
        <v>7173</v>
      </c>
      <c r="AP10" s="180"/>
      <c r="AQ10" s="164" t="s">
        <v>4674</v>
      </c>
      <c r="AR10" s="164" t="s">
        <v>4674</v>
      </c>
      <c r="AS10" s="164" t="s">
        <v>4674</v>
      </c>
      <c r="AT10" s="351" t="s">
        <v>7174</v>
      </c>
      <c r="AU10" s="185"/>
      <c r="AV10" s="164" t="s">
        <v>4677</v>
      </c>
      <c r="AW10" s="164" t="s">
        <v>4677</v>
      </c>
      <c r="AX10" s="164" t="s">
        <v>4677</v>
      </c>
      <c r="AY10" s="164"/>
      <c r="AZ10" s="164"/>
      <c r="BA10" s="164"/>
      <c r="BB10" s="164"/>
      <c r="BC10" s="164"/>
    </row>
    <row r="11">
      <c r="A11" s="354" t="s">
        <v>7175</v>
      </c>
      <c r="B11" s="180"/>
      <c r="C11" s="165" t="s">
        <v>7176</v>
      </c>
      <c r="D11" s="165" t="s">
        <v>4896</v>
      </c>
      <c r="E11" s="117"/>
      <c r="F11" s="351" t="s">
        <v>7177</v>
      </c>
      <c r="G11" s="180"/>
      <c r="H11" s="165" t="s">
        <v>7178</v>
      </c>
      <c r="I11" s="165" t="s">
        <v>7179</v>
      </c>
      <c r="J11" s="117"/>
      <c r="K11" s="104" t="s">
        <v>7180</v>
      </c>
      <c r="L11" s="180"/>
      <c r="M11" s="163" t="s">
        <v>7181</v>
      </c>
      <c r="N11" s="163" t="s">
        <v>4898</v>
      </c>
      <c r="O11" s="164"/>
      <c r="P11" s="352" t="str">
        <f>IFERROR(__xludf.DUMMYFUNCTION("GOOGLETRANSLATE(A11,""zh-tw"",""zh"")"),"烤串")</f>
        <v>烤串</v>
      </c>
      <c r="Q11" s="70"/>
      <c r="R11" s="73" t="str">
        <f>IFERROR(__xludf.DUMMYFUNCTION("GOOGLETRANSLATE(C11,""zh-tw"",""zh"")"),"大块兽肉")</f>
        <v>大块兽肉</v>
      </c>
      <c r="S11" s="73" t="str">
        <f>IFERROR(__xludf.DUMMYFUNCTION("GOOGLETRANSLATE(D11,""zh-tw"",""zh"")"),"土豆")</f>
        <v>土豆</v>
      </c>
      <c r="T11" s="73"/>
      <c r="U11" s="351" t="str">
        <f>IFERROR(__xludf.DUMMYFUNCTION("GOOGLETRANSLATE(A11,""zh-tw"",""es-MX"")"),"Brochetas a la parrilla")</f>
        <v>Brochetas a la parrilla</v>
      </c>
      <c r="V11" s="348"/>
      <c r="W11" s="165" t="str">
        <f>IFERROR(__xludf.DUMMYFUNCTION("GOOGLETRANSLATE(C11,""zh-tw"",""es-MX"")"),"Grandes trozos de carne")</f>
        <v>Grandes trozos de carne</v>
      </c>
      <c r="X11" s="165" t="str">
        <f>IFERROR(__xludf.DUMMYFUNCTION("GOOGLETRANSLATE(D11,""zh-tw"",""es-MX"")"),"Papa")</f>
        <v>Papa</v>
      </c>
      <c r="Y11" s="165"/>
      <c r="Z11" s="353" t="s">
        <v>7182</v>
      </c>
      <c r="AA11" s="349"/>
      <c r="AB11" s="163" t="s">
        <v>7183</v>
      </c>
      <c r="AC11" s="164" t="str">
        <f>IFERROR(__xludf.DUMMYFUNCTION("GOOGLETRANSLATE(D11,""zh-tw"",""KO"")"),"감자")</f>
        <v>감자</v>
      </c>
      <c r="AD11" s="164"/>
      <c r="AE11" s="351" t="str">
        <f>IFERROR(__xludf.DUMMYFUNCTION("GOOGLETRANSLATE(A11,""zh-tw"",""ru"")"),"Жареные на гриле шашлычки")</f>
        <v>Жареные на гриле шашлычки</v>
      </c>
      <c r="AF11" s="348"/>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53" t="s">
        <v>7184</v>
      </c>
      <c r="AK11" s="349"/>
      <c r="AL11" s="163" t="s">
        <v>7185</v>
      </c>
      <c r="AM11" s="163" t="s">
        <v>4901</v>
      </c>
      <c r="AN11" s="164"/>
      <c r="AO11" s="154" t="s">
        <v>7180</v>
      </c>
      <c r="AP11" s="180"/>
      <c r="AQ11" s="164" t="s">
        <v>7186</v>
      </c>
      <c r="AR11" s="164" t="s">
        <v>4903</v>
      </c>
      <c r="AS11" s="117"/>
      <c r="AT11" s="351" t="s">
        <v>7180</v>
      </c>
      <c r="AU11" s="185"/>
      <c r="AV11" s="164" t="s">
        <v>7187</v>
      </c>
      <c r="AW11" s="164" t="s">
        <v>4905</v>
      </c>
      <c r="AX11" s="18"/>
      <c r="AY11" s="117"/>
      <c r="AZ11" s="117"/>
      <c r="BA11" s="117"/>
      <c r="BB11" s="117"/>
      <c r="BC11" s="117"/>
    </row>
    <row r="12">
      <c r="A12" s="351" t="s">
        <v>7188</v>
      </c>
      <c r="B12" s="180"/>
      <c r="C12" s="165" t="s">
        <v>7101</v>
      </c>
      <c r="D12" s="117"/>
      <c r="E12" s="117"/>
      <c r="F12" s="351" t="s">
        <v>7189</v>
      </c>
      <c r="G12" s="180"/>
      <c r="H12" s="165" t="s">
        <v>7104</v>
      </c>
      <c r="I12" s="117"/>
      <c r="J12" s="117"/>
      <c r="K12" s="104" t="s">
        <v>7190</v>
      </c>
      <c r="L12" s="180"/>
      <c r="M12" s="163" t="s">
        <v>7107</v>
      </c>
      <c r="N12" s="164"/>
      <c r="O12" s="164"/>
      <c r="P12" s="352" t="str">
        <f>IFERROR(__xludf.DUMMYFUNCTION("GOOGLETRANSLATE(A12,""zh-tw"",""zh"")"),"饭团")</f>
        <v>饭团</v>
      </c>
      <c r="Q12" s="70"/>
      <c r="R12" s="73" t="str">
        <f>IFERROR(__xludf.DUMMYFUNCTION("GOOGLETRANSLATE(C12,""zh-tw"",""zh"")"),"白米饭")</f>
        <v>白米饭</v>
      </c>
      <c r="S12" s="73"/>
      <c r="T12" s="73"/>
      <c r="U12" s="351" t="str">
        <f>IFERROR(__xludf.DUMMYFUNCTION("GOOGLETRANSLATE(A12,""zh-tw"",""es-MX"")"),"Bola de arroz")</f>
        <v>Bola de arroz</v>
      </c>
      <c r="V12" s="348"/>
      <c r="W12" s="165" t="str">
        <f>IFERROR(__xludf.DUMMYFUNCTION("GOOGLETRANSLATE(C12,""zh-tw"",""es-MX"")"),"arroz blanco")</f>
        <v>arroz blanco</v>
      </c>
      <c r="X12" s="165"/>
      <c r="Y12" s="165"/>
      <c r="Z12" s="7" t="str">
        <f>IFERROR(__xludf.DUMMYFUNCTION("GOOGLETRANSLATE(A12,""zh-tw"",""KO"")"),"주먹밥")</f>
        <v>주먹밥</v>
      </c>
      <c r="AA12" s="349"/>
      <c r="AB12" s="164" t="str">
        <f>IFERROR(__xludf.DUMMYFUNCTION("GOOGLETRANSLATE(C12,""zh-tw"",""KO"")"),"흰쌀")</f>
        <v>흰쌀</v>
      </c>
      <c r="AC12" s="164"/>
      <c r="AD12" s="164"/>
      <c r="AE12" s="351" t="str">
        <f>IFERROR(__xludf.DUMMYFUNCTION("GOOGLETRANSLATE(A12,""zh-tw"",""ru"")"),"Рисовый шарик")</f>
        <v>Рисовый шарик</v>
      </c>
      <c r="AF12" s="348"/>
      <c r="AG12" s="165" t="str">
        <f>IFERROR(__xludf.DUMMYFUNCTION("GOOGLETRANSLATE(C12,""zh-tw"",""ru"")"),"Белый рис")</f>
        <v>Белый рис</v>
      </c>
      <c r="AH12" s="165"/>
      <c r="AI12" s="165"/>
      <c r="AJ12" s="353" t="s">
        <v>7191</v>
      </c>
      <c r="AK12" s="349"/>
      <c r="AL12" s="163" t="s">
        <v>7111</v>
      </c>
      <c r="AM12" s="164"/>
      <c r="AN12" s="164"/>
      <c r="AO12" s="149" t="s">
        <v>7192</v>
      </c>
      <c r="AP12" s="180"/>
      <c r="AQ12" s="164" t="s">
        <v>7114</v>
      </c>
      <c r="AR12" s="117"/>
      <c r="AS12" s="117"/>
      <c r="AT12" s="351" t="s">
        <v>7190</v>
      </c>
      <c r="AU12" s="185"/>
      <c r="AV12" s="164" t="s">
        <v>7117</v>
      </c>
      <c r="AW12" s="18"/>
      <c r="AX12" s="18"/>
      <c r="AY12" s="117"/>
      <c r="AZ12" s="117"/>
      <c r="BA12" s="117"/>
      <c r="BB12" s="117"/>
      <c r="BC12" s="117"/>
    </row>
    <row r="13">
      <c r="A13" s="351" t="s">
        <v>7193</v>
      </c>
      <c r="B13" s="180"/>
      <c r="C13" s="165" t="s">
        <v>7101</v>
      </c>
      <c r="D13" s="165" t="s">
        <v>7102</v>
      </c>
      <c r="E13" s="165" t="s">
        <v>7176</v>
      </c>
      <c r="F13" s="351" t="s">
        <v>7194</v>
      </c>
      <c r="G13" s="180"/>
      <c r="H13" s="165" t="s">
        <v>7104</v>
      </c>
      <c r="I13" s="165" t="s">
        <v>7105</v>
      </c>
      <c r="J13" s="165" t="s">
        <v>7178</v>
      </c>
      <c r="K13" s="102" t="s">
        <v>7195</v>
      </c>
      <c r="L13" s="180"/>
      <c r="M13" s="163" t="s">
        <v>7107</v>
      </c>
      <c r="N13" s="163" t="s">
        <v>7108</v>
      </c>
      <c r="O13" s="163" t="s">
        <v>7181</v>
      </c>
      <c r="P13" s="352" t="str">
        <f>IFERROR(__xludf.DUMMYFUNCTION("GOOGLETRANSLATE(A13,""zh-tw"",""zh"")"),"肉排咖喱饭")</f>
        <v>肉排咖喱饭</v>
      </c>
      <c r="Q13" s="70"/>
      <c r="R13" s="73" t="str">
        <f>IFERROR(__xludf.DUMMYFUNCTION("GOOGLETRANSLATE(C13,""zh-tw"",""zh"")"),"白米饭")</f>
        <v>白米饭</v>
      </c>
      <c r="S13" s="73" t="str">
        <f>IFERROR(__xludf.DUMMYFUNCTION("GOOGLETRANSLATE(D13,""zh-tw"",""zh"")"),"咖喱块")</f>
        <v>咖喱块</v>
      </c>
      <c r="T13" s="73" t="str">
        <f>IFERROR(__xludf.DUMMYFUNCTION("GOOGLETRANSLATE(E13,""zh-tw"",""zh"")"),"大块兽肉")</f>
        <v>大块兽肉</v>
      </c>
      <c r="U13" s="351" t="str">
        <f>IFERROR(__xludf.DUMMYFUNCTION("GOOGLETRANSLATE(A13,""zh-tw"",""es-MX"")"),"Arroz al curry con chuletas de cerdo")</f>
        <v>Arroz al curry con chuletas de cerdo</v>
      </c>
      <c r="V13" s="348"/>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53" t="s">
        <v>7196</v>
      </c>
      <c r="AA13" s="349"/>
      <c r="AB13" s="164" t="str">
        <f>IFERROR(__xludf.DUMMYFUNCTION("GOOGLETRANSLATE(C13,""zh-tw"",""KO"")"),"흰쌀")</f>
        <v>흰쌀</v>
      </c>
      <c r="AC13" s="163" t="s">
        <v>7109</v>
      </c>
      <c r="AD13" s="163" t="s">
        <v>7183</v>
      </c>
      <c r="AE13" s="351" t="str">
        <f>IFERROR(__xludf.DUMMYFUNCTION("GOOGLETRANSLATE(A13,""zh-tw"",""ru"")"),"Свиная отбивная с карри и рисом")</f>
        <v>Свиная отбивная с карри и рисом</v>
      </c>
      <c r="AF13" s="348"/>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53" t="s">
        <v>7197</v>
      </c>
      <c r="AK13" s="349"/>
      <c r="AL13" s="163" t="s">
        <v>7111</v>
      </c>
      <c r="AM13" s="163" t="s">
        <v>7112</v>
      </c>
      <c r="AN13" s="163" t="s">
        <v>7185</v>
      </c>
      <c r="AO13" s="149" t="s">
        <v>7198</v>
      </c>
      <c r="AP13" s="180"/>
      <c r="AQ13" s="164" t="s">
        <v>7114</v>
      </c>
      <c r="AR13" s="164" t="s">
        <v>7115</v>
      </c>
      <c r="AS13" s="164" t="s">
        <v>7186</v>
      </c>
      <c r="AT13" s="351" t="s">
        <v>7199</v>
      </c>
      <c r="AU13" s="185"/>
      <c r="AV13" s="164" t="s">
        <v>7117</v>
      </c>
      <c r="AW13" s="164" t="s">
        <v>7118</v>
      </c>
      <c r="AX13" s="164" t="s">
        <v>7187</v>
      </c>
      <c r="AY13" s="164"/>
      <c r="AZ13" s="164"/>
      <c r="BA13" s="164"/>
      <c r="BB13" s="164"/>
      <c r="BC13" s="164"/>
    </row>
    <row r="14">
      <c r="A14" s="351" t="s">
        <v>7200</v>
      </c>
      <c r="B14" s="340" t="s">
        <v>239</v>
      </c>
      <c r="C14" s="165" t="s">
        <v>7201</v>
      </c>
      <c r="D14" s="117"/>
      <c r="E14" s="117"/>
      <c r="F14" s="351" t="s">
        <v>7202</v>
      </c>
      <c r="G14" s="340" t="s">
        <v>239</v>
      </c>
      <c r="H14" s="165" t="s">
        <v>7203</v>
      </c>
      <c r="I14" s="117"/>
      <c r="J14" s="117"/>
      <c r="K14" s="104" t="s">
        <v>7204</v>
      </c>
      <c r="L14" s="340" t="s">
        <v>239</v>
      </c>
      <c r="M14" s="163" t="s">
        <v>4930</v>
      </c>
      <c r="N14" s="164"/>
      <c r="O14" s="164"/>
      <c r="P14" s="352" t="str">
        <f>IFERROR(__xludf.DUMMYFUNCTION("GOOGLETRANSLATE(A14,""zh-tw"",""zh"")"),"肉汤")</f>
        <v>肉汤</v>
      </c>
      <c r="Q14" s="70" t="str">
        <f>IFERROR(__xludf.DUMMYFUNCTION("GOOGLETRANSLATE(B14,""zh-tw"",""zh"")"),"A")</f>
        <v>A</v>
      </c>
      <c r="R14" s="73" t="str">
        <f>IFERROR(__xludf.DUMMYFUNCTION("GOOGLETRANSLATE(C14,""zh-tw"",""zh"")"),"小块兽肉")</f>
        <v>小块兽肉</v>
      </c>
      <c r="S14" s="73"/>
      <c r="T14" s="73"/>
      <c r="U14" s="351" t="str">
        <f>IFERROR(__xludf.DUMMYFUNCTION("GOOGLETRANSLATE(A14,""zh-tw"",""es-MX"")"),"caldo")</f>
        <v>caldo</v>
      </c>
      <c r="V14" s="348" t="str">
        <f>IFERROR(__xludf.DUMMYFUNCTION("GOOGLETRANSLATE(B14,""zh-tw"",""es-MX"")"),"A")</f>
        <v>A</v>
      </c>
      <c r="W14" s="165" t="str">
        <f>IFERROR(__xludf.DUMMYFUNCTION("GOOGLETRANSLATE(C14,""zh-tw"",""es-MX"")"),"Pequeños trozos de carne")</f>
        <v>Pequeños trozos de carne</v>
      </c>
      <c r="X14" s="165"/>
      <c r="Y14" s="165"/>
      <c r="Z14" s="353" t="s">
        <v>7205</v>
      </c>
      <c r="AA14" s="349" t="s">
        <v>239</v>
      </c>
      <c r="AB14" s="163" t="s">
        <v>4932</v>
      </c>
      <c r="AC14" s="164"/>
      <c r="AD14" s="164"/>
      <c r="AE14" s="351" t="str">
        <f>IFERROR(__xludf.DUMMYFUNCTION("GOOGLETRANSLATE(A14,""zh-tw"",""ru"")"),"бульон")</f>
        <v>бульон</v>
      </c>
      <c r="AF14" s="348" t="str">
        <f>IFERROR(__xludf.DUMMYFUNCTION("GOOGLETRANSLATE(L14,""zh-tw"",""es-MX"")"),"A")</f>
        <v>A</v>
      </c>
      <c r="AG14" s="165" t="str">
        <f>IFERROR(__xludf.DUMMYFUNCTION("GOOGLETRANSLATE(C14,""zh-tw"",""ru"")"),"Небольшие кусочки мяса")</f>
        <v>Небольшие кусочки мяса</v>
      </c>
      <c r="AH14" s="165"/>
      <c r="AI14" s="165"/>
      <c r="AJ14" s="353" t="s">
        <v>7206</v>
      </c>
      <c r="AK14" s="349" t="s">
        <v>239</v>
      </c>
      <c r="AL14" s="163" t="s">
        <v>7207</v>
      </c>
      <c r="AM14" s="164"/>
      <c r="AN14" s="164"/>
      <c r="AO14" s="149" t="s">
        <v>7208</v>
      </c>
      <c r="AP14" s="340" t="s">
        <v>239</v>
      </c>
      <c r="AQ14" s="164" t="s">
        <v>4936</v>
      </c>
      <c r="AR14" s="117"/>
      <c r="AS14" s="117"/>
      <c r="AT14" s="351" t="s">
        <v>7209</v>
      </c>
      <c r="AU14" s="340" t="s">
        <v>239</v>
      </c>
      <c r="AV14" s="164" t="s">
        <v>4938</v>
      </c>
      <c r="AW14" s="18"/>
      <c r="AX14" s="18"/>
      <c r="AY14" s="117"/>
      <c r="AZ14" s="117"/>
      <c r="BA14" s="117"/>
      <c r="BB14" s="117"/>
      <c r="BC14" s="117"/>
    </row>
    <row r="15">
      <c r="A15" s="351" t="s">
        <v>7210</v>
      </c>
      <c r="B15" s="340" t="s">
        <v>239</v>
      </c>
      <c r="C15" s="165" t="s">
        <v>7176</v>
      </c>
      <c r="D15" s="117"/>
      <c r="E15" s="117"/>
      <c r="F15" s="351" t="s">
        <v>7211</v>
      </c>
      <c r="G15" s="340" t="s">
        <v>239</v>
      </c>
      <c r="H15" s="165" t="s">
        <v>7178</v>
      </c>
      <c r="I15" s="117"/>
      <c r="J15" s="117"/>
      <c r="K15" s="104" t="s">
        <v>7212</v>
      </c>
      <c r="L15" s="340" t="s">
        <v>239</v>
      </c>
      <c r="M15" s="163" t="s">
        <v>7181</v>
      </c>
      <c r="N15" s="164"/>
      <c r="O15" s="164"/>
      <c r="P15" s="352" t="str">
        <f>IFERROR(__xludf.DUMMYFUNCTION("GOOGLETRANSLATE(A15,""zh-tw"",""zh"")"),"烤肉块")</f>
        <v>烤肉块</v>
      </c>
      <c r="Q15" s="70" t="str">
        <f>IFERROR(__xludf.DUMMYFUNCTION("GOOGLETRANSLATE(B15,""zh-tw"",""zh"")"),"A")</f>
        <v>A</v>
      </c>
      <c r="R15" s="73" t="str">
        <f>IFERROR(__xludf.DUMMYFUNCTION("GOOGLETRANSLATE(C15,""zh-tw"",""zh"")"),"大块兽肉")</f>
        <v>大块兽肉</v>
      </c>
      <c r="S15" s="73"/>
      <c r="T15" s="73"/>
      <c r="U15" s="351" t="str">
        <f>IFERROR(__xludf.DUMMYFUNCTION("GOOGLETRANSLATE(A15,""zh-tw"",""es-MX"")"),"Trozos de carne asada")</f>
        <v>Trozos de carne asada</v>
      </c>
      <c r="V15" s="348" t="str">
        <f>IFERROR(__xludf.DUMMYFUNCTION("GOOGLETRANSLATE(B15,""zh-tw"",""es-MX"")"),"A")</f>
        <v>A</v>
      </c>
      <c r="W15" s="165" t="str">
        <f>IFERROR(__xludf.DUMMYFUNCTION("GOOGLETRANSLATE(C15,""zh-tw"",""es-MX"")"),"Grandes trozos de carne")</f>
        <v>Grandes trozos de carne</v>
      </c>
      <c r="X15" s="165"/>
      <c r="Y15" s="165"/>
      <c r="Z15" s="7" t="str">
        <f>IFERROR(__xludf.DUMMYFUNCTION("GOOGLETRANSLATE(A15,""zh-tw"",""KO"")"),"구운 고기 덩어리")</f>
        <v>구운 고기 덩어리</v>
      </c>
      <c r="AA15" s="349" t="s">
        <v>239</v>
      </c>
      <c r="AB15" s="163" t="s">
        <v>7183</v>
      </c>
      <c r="AC15" s="164"/>
      <c r="AD15" s="164"/>
      <c r="AE15" s="351" t="str">
        <f>IFERROR(__xludf.DUMMYFUNCTION("GOOGLETRANSLATE(A15,""zh-tw"",""ru"")"),"Кусочки жареного мяса")</f>
        <v>Кусочки жареного мяса</v>
      </c>
      <c r="AF15" s="348" t="str">
        <f>IFERROR(__xludf.DUMMYFUNCTION("GOOGLETRANSLATE(L15,""zh-tw"",""es-MX"")"),"A")</f>
        <v>A</v>
      </c>
      <c r="AG15" s="165" t="str">
        <f>IFERROR(__xludf.DUMMYFUNCTION("GOOGLETRANSLATE(C15,""zh-tw"",""ru"")"),"Большие куски мяса")</f>
        <v>Большие куски мяса</v>
      </c>
      <c r="AH15" s="165"/>
      <c r="AI15" s="165"/>
      <c r="AJ15" s="353" t="s">
        <v>7213</v>
      </c>
      <c r="AK15" s="349" t="s">
        <v>239</v>
      </c>
      <c r="AL15" s="163" t="s">
        <v>7185</v>
      </c>
      <c r="AM15" s="164"/>
      <c r="AN15" s="164"/>
      <c r="AO15" s="149" t="s">
        <v>7214</v>
      </c>
      <c r="AP15" s="340" t="s">
        <v>239</v>
      </c>
      <c r="AQ15" s="164" t="s">
        <v>7186</v>
      </c>
      <c r="AR15" s="117"/>
      <c r="AS15" s="117"/>
      <c r="AT15" s="351" t="s">
        <v>7215</v>
      </c>
      <c r="AU15" s="340" t="s">
        <v>239</v>
      </c>
      <c r="AV15" s="164" t="s">
        <v>7187</v>
      </c>
      <c r="AW15" s="18"/>
      <c r="AX15" s="18"/>
      <c r="AY15" s="117"/>
      <c r="AZ15" s="117"/>
      <c r="BA15" s="117"/>
      <c r="BB15" s="117"/>
      <c r="BC15" s="117"/>
    </row>
    <row r="16">
      <c r="A16" s="351" t="s">
        <v>7216</v>
      </c>
      <c r="B16" s="340" t="s">
        <v>239</v>
      </c>
      <c r="C16" s="165" t="s">
        <v>7176</v>
      </c>
      <c r="D16" s="165" t="s">
        <v>7176</v>
      </c>
      <c r="E16" s="117"/>
      <c r="F16" s="351" t="s">
        <v>7217</v>
      </c>
      <c r="G16" s="340" t="s">
        <v>239</v>
      </c>
      <c r="H16" s="165" t="s">
        <v>7178</v>
      </c>
      <c r="I16" s="165" t="s">
        <v>7178</v>
      </c>
      <c r="J16" s="117"/>
      <c r="K16" s="104" t="s">
        <v>7218</v>
      </c>
      <c r="L16" s="340" t="s">
        <v>239</v>
      </c>
      <c r="M16" s="163" t="s">
        <v>7181</v>
      </c>
      <c r="N16" s="163" t="s">
        <v>7181</v>
      </c>
      <c r="O16" s="164"/>
      <c r="P16" s="352" t="str">
        <f>IFERROR(__xludf.DUMMYFUNCTION("GOOGLETRANSLATE(A16,""zh-tw"",""zh"")"),"牛排肉")</f>
        <v>牛排肉</v>
      </c>
      <c r="Q16" s="70" t="str">
        <f>IFERROR(__xludf.DUMMYFUNCTION("GOOGLETRANSLATE(B16,""zh-tw"",""zh"")"),"A")</f>
        <v>A</v>
      </c>
      <c r="R16" s="73" t="str">
        <f>IFERROR(__xludf.DUMMYFUNCTION("GOOGLETRANSLATE(C16,""zh-tw"",""zh"")"),"大块兽肉")</f>
        <v>大块兽肉</v>
      </c>
      <c r="S16" s="73" t="str">
        <f>IFERROR(__xludf.DUMMYFUNCTION("GOOGLETRANSLATE(D16,""zh-tw"",""zh"")"),"大块兽肉")</f>
        <v>大块兽肉</v>
      </c>
      <c r="T16" s="73"/>
      <c r="U16" s="351" t="str">
        <f>IFERROR(__xludf.DUMMYFUNCTION("GOOGLETRANSLATE(A16,""zh-tw"",""es-MX"")"),"Filete de res")</f>
        <v>Filete de res</v>
      </c>
      <c r="V16" s="348"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53" t="s">
        <v>7219</v>
      </c>
      <c r="AA16" s="349" t="s">
        <v>239</v>
      </c>
      <c r="AB16" s="163" t="s">
        <v>7183</v>
      </c>
      <c r="AC16" s="163" t="s">
        <v>7183</v>
      </c>
      <c r="AD16" s="164"/>
      <c r="AE16" s="351" t="str">
        <f>IFERROR(__xludf.DUMMYFUNCTION("GOOGLETRANSLATE(A16,""zh-tw"",""ru"")"),"Говяжий стейк")</f>
        <v>Говяжий стейк</v>
      </c>
      <c r="AF16" s="348"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53" t="s">
        <v>7220</v>
      </c>
      <c r="AK16" s="349" t="s">
        <v>239</v>
      </c>
      <c r="AL16" s="163" t="s">
        <v>7185</v>
      </c>
      <c r="AM16" s="163" t="s">
        <v>7185</v>
      </c>
      <c r="AN16" s="164"/>
      <c r="AO16" s="149" t="s">
        <v>7221</v>
      </c>
      <c r="AP16" s="340" t="s">
        <v>239</v>
      </c>
      <c r="AQ16" s="164" t="s">
        <v>7186</v>
      </c>
      <c r="AR16" s="164" t="s">
        <v>7186</v>
      </c>
      <c r="AS16" s="117"/>
      <c r="AT16" s="351" t="s">
        <v>7222</v>
      </c>
      <c r="AU16" s="340" t="s">
        <v>239</v>
      </c>
      <c r="AV16" s="164" t="s">
        <v>7187</v>
      </c>
      <c r="AW16" s="164" t="s">
        <v>7187</v>
      </c>
      <c r="AX16" s="18"/>
      <c r="AY16" s="117"/>
      <c r="AZ16" s="117"/>
      <c r="BA16" s="117"/>
      <c r="BB16" s="117"/>
      <c r="BC16" s="117"/>
    </row>
    <row r="17">
      <c r="A17" s="354" t="s">
        <v>7223</v>
      </c>
      <c r="B17" s="340" t="s">
        <v>239</v>
      </c>
      <c r="C17" s="165" t="s">
        <v>7176</v>
      </c>
      <c r="D17" s="165" t="s">
        <v>7176</v>
      </c>
      <c r="E17" s="165" t="s">
        <v>7176</v>
      </c>
      <c r="F17" s="351" t="s">
        <v>7224</v>
      </c>
      <c r="G17" s="340" t="s">
        <v>239</v>
      </c>
      <c r="H17" s="165" t="s">
        <v>7178</v>
      </c>
      <c r="I17" s="165" t="s">
        <v>7178</v>
      </c>
      <c r="J17" s="165" t="s">
        <v>7178</v>
      </c>
      <c r="K17" s="104" t="s">
        <v>7225</v>
      </c>
      <c r="L17" s="340" t="s">
        <v>239</v>
      </c>
      <c r="M17" s="163" t="s">
        <v>7181</v>
      </c>
      <c r="N17" s="163" t="s">
        <v>7181</v>
      </c>
      <c r="O17" s="163" t="s">
        <v>7181</v>
      </c>
      <c r="P17" s="352" t="str">
        <f>IFERROR(__xludf.DUMMYFUNCTION("GOOGLETRANSLATE(A17,""zh-tw"",""zh"")"),"酱牛肉")</f>
        <v>酱牛肉</v>
      </c>
      <c r="Q17" s="70" t="str">
        <f>IFERROR(__xludf.DUMMYFUNCTION("GOOGLETRANSLATE(B17,""zh-tw"",""zh"")"),"A")</f>
        <v>A</v>
      </c>
      <c r="R17" s="73" t="str">
        <f>IFERROR(__xludf.DUMMYFUNCTION("GOOGLETRANSLATE(C17,""zh-tw"",""zh"")"),"大块兽肉")</f>
        <v>大块兽肉</v>
      </c>
      <c r="S17" s="73" t="str">
        <f>IFERROR(__xludf.DUMMYFUNCTION("GOOGLETRANSLATE(D17,""zh-tw"",""zh"")"),"大块兽肉")</f>
        <v>大块兽肉</v>
      </c>
      <c r="T17" s="73" t="str">
        <f>IFERROR(__xludf.DUMMYFUNCTION("GOOGLETRANSLATE(E17,""zh-tw"",""zh"")"),"大块兽肉")</f>
        <v>大块兽肉</v>
      </c>
      <c r="U17" s="351" t="str">
        <f>IFERROR(__xludf.DUMMYFUNCTION("GOOGLETRANSLATE(A17,""zh-tw"",""es-MX"")"),"Carne de res estofada")</f>
        <v>Carne de res estofada</v>
      </c>
      <c r="V17" s="348"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53" t="s">
        <v>7226</v>
      </c>
      <c r="AA17" s="349" t="s">
        <v>239</v>
      </c>
      <c r="AB17" s="163" t="s">
        <v>7183</v>
      </c>
      <c r="AC17" s="305" t="s">
        <v>7183</v>
      </c>
      <c r="AD17" s="305" t="s">
        <v>7183</v>
      </c>
      <c r="AE17" s="351" t="str">
        <f>IFERROR(__xludf.DUMMYFUNCTION("GOOGLETRANSLATE(A17,""zh-tw"",""ru"")"),"Тушеная говядина")</f>
        <v>Тушеная говядина</v>
      </c>
      <c r="AF17" s="348"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53" t="s">
        <v>7227</v>
      </c>
      <c r="AK17" s="349" t="s">
        <v>239</v>
      </c>
      <c r="AL17" s="163" t="s">
        <v>7185</v>
      </c>
      <c r="AM17" s="163" t="s">
        <v>7185</v>
      </c>
      <c r="AN17" s="163" t="s">
        <v>7185</v>
      </c>
      <c r="AO17" s="154" t="s">
        <v>7228</v>
      </c>
      <c r="AP17" s="340" t="s">
        <v>239</v>
      </c>
      <c r="AQ17" s="164" t="s">
        <v>7186</v>
      </c>
      <c r="AR17" s="164" t="s">
        <v>7186</v>
      </c>
      <c r="AS17" s="164" t="s">
        <v>7186</v>
      </c>
      <c r="AT17" s="351" t="s">
        <v>7229</v>
      </c>
      <c r="AU17" s="340" t="s">
        <v>239</v>
      </c>
      <c r="AV17" s="164" t="s">
        <v>7187</v>
      </c>
      <c r="AW17" s="164" t="s">
        <v>7187</v>
      </c>
      <c r="AX17" s="164" t="s">
        <v>7187</v>
      </c>
      <c r="AY17" s="164"/>
      <c r="AZ17" s="164"/>
      <c r="BA17" s="164"/>
      <c r="BB17" s="164"/>
      <c r="BC17" s="164"/>
    </row>
    <row r="18">
      <c r="A18" s="351" t="s">
        <v>7230</v>
      </c>
      <c r="B18" s="340" t="s">
        <v>239</v>
      </c>
      <c r="C18" s="165" t="s">
        <v>7101</v>
      </c>
      <c r="D18" s="165" t="s">
        <v>7176</v>
      </c>
      <c r="E18" s="117"/>
      <c r="F18" s="351" t="s">
        <v>7231</v>
      </c>
      <c r="G18" s="340" t="s">
        <v>239</v>
      </c>
      <c r="H18" s="165" t="s">
        <v>7104</v>
      </c>
      <c r="I18" s="165" t="s">
        <v>7178</v>
      </c>
      <c r="J18" s="117"/>
      <c r="K18" s="104" t="s">
        <v>7232</v>
      </c>
      <c r="L18" s="340" t="s">
        <v>239</v>
      </c>
      <c r="M18" s="163" t="s">
        <v>7233</v>
      </c>
      <c r="N18" s="163" t="s">
        <v>7181</v>
      </c>
      <c r="O18" s="164"/>
      <c r="P18" s="352" t="str">
        <f>IFERROR(__xludf.DUMMYFUNCTION("GOOGLETRANSLATE(A18,""zh-tw"",""zh"")"),"牛肉饭团")</f>
        <v>牛肉饭团</v>
      </c>
      <c r="Q18" s="70" t="str">
        <f>IFERROR(__xludf.DUMMYFUNCTION("GOOGLETRANSLATE(B18,""zh-tw"",""zh"")"),"A")</f>
        <v>A</v>
      </c>
      <c r="R18" s="73" t="str">
        <f>IFERROR(__xludf.DUMMYFUNCTION("GOOGLETRANSLATE(C18,""zh-tw"",""zh"")"),"白米饭")</f>
        <v>白米饭</v>
      </c>
      <c r="S18" s="73" t="str">
        <f>IFERROR(__xludf.DUMMYFUNCTION("GOOGLETRANSLATE(D18,""zh-tw"",""zh"")"),"大块兽肉")</f>
        <v>大块兽肉</v>
      </c>
      <c r="T18" s="73"/>
      <c r="U18" s="351" t="str">
        <f>IFERROR(__xludf.DUMMYFUNCTION("GOOGLETRANSLATE(A18,""zh-tw"",""es-MX"")"),"Bola de arroz con carne de res")</f>
        <v>Bola de arroz con carne de res</v>
      </c>
      <c r="V18" s="348"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53" t="s">
        <v>7234</v>
      </c>
      <c r="AA18" s="349" t="s">
        <v>239</v>
      </c>
      <c r="AB18" s="164" t="str">
        <f>IFERROR(__xludf.DUMMYFUNCTION("GOOGLETRANSLATE(C18,""zh-tw"",""KO"")"),"흰쌀")</f>
        <v>흰쌀</v>
      </c>
      <c r="AC18" s="163" t="s">
        <v>7183</v>
      </c>
      <c r="AD18" s="164"/>
      <c r="AE18" s="351" t="str">
        <f>IFERROR(__xludf.DUMMYFUNCTION("GOOGLETRANSLATE(A18,""zh-tw"",""ru"")"),"Рисовые шарики с говядиной")</f>
        <v>Рисовые шарики с говядиной</v>
      </c>
      <c r="AF18" s="348"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53" t="s">
        <v>7235</v>
      </c>
      <c r="AK18" s="349" t="s">
        <v>239</v>
      </c>
      <c r="AL18" s="163" t="s">
        <v>7111</v>
      </c>
      <c r="AM18" s="163" t="s">
        <v>7185</v>
      </c>
      <c r="AN18" s="164"/>
      <c r="AO18" s="149" t="s">
        <v>7236</v>
      </c>
      <c r="AP18" s="340" t="s">
        <v>239</v>
      </c>
      <c r="AQ18" s="164" t="s">
        <v>7114</v>
      </c>
      <c r="AR18" s="164" t="s">
        <v>7186</v>
      </c>
      <c r="AS18" s="117"/>
      <c r="AT18" s="351" t="s">
        <v>7237</v>
      </c>
      <c r="AU18" s="340" t="s">
        <v>239</v>
      </c>
      <c r="AV18" s="164" t="s">
        <v>7238</v>
      </c>
      <c r="AW18" s="164" t="s">
        <v>7187</v>
      </c>
      <c r="AX18" s="18"/>
      <c r="AY18" s="117"/>
      <c r="AZ18" s="117"/>
      <c r="BA18" s="117"/>
      <c r="BB18" s="117"/>
      <c r="BC18" s="117"/>
    </row>
    <row r="19">
      <c r="A19" s="351" t="s">
        <v>7239</v>
      </c>
      <c r="B19" s="180"/>
      <c r="C19" s="165" t="s">
        <v>7240</v>
      </c>
      <c r="D19" s="117"/>
      <c r="E19" s="117"/>
      <c r="F19" s="351" t="s">
        <v>7241</v>
      </c>
      <c r="G19" s="180"/>
      <c r="H19" s="165" t="s">
        <v>7242</v>
      </c>
      <c r="I19" s="117"/>
      <c r="J19" s="117"/>
      <c r="K19" s="102" t="s">
        <v>7243</v>
      </c>
      <c r="L19" s="180"/>
      <c r="M19" s="163" t="s">
        <v>7244</v>
      </c>
      <c r="N19" s="164"/>
      <c r="O19" s="164"/>
      <c r="P19" s="352" t="str">
        <f>IFERROR(__xludf.DUMMYFUNCTION("GOOGLETRANSLATE(A19,""zh-tw"",""zh"")"),"奇怪的史莱姆果冻(蓝色)")</f>
        <v>奇怪的史莱姆果冻(蓝色)</v>
      </c>
      <c r="Q19" s="70"/>
      <c r="R19" s="73" t="str">
        <f>IFERROR(__xludf.DUMMYFUNCTION("GOOGLETRANSLATE(C19,""zh-tw"",""zh"")"),"水怪黏液")</f>
        <v>水怪黏液</v>
      </c>
      <c r="S19" s="73"/>
      <c r="T19" s="73"/>
      <c r="U19" s="351" t="str">
        <f>IFERROR(__xludf.DUMMYFUNCTION("GOOGLETRANSLATE(A19,""zh-tw"",""es-MX"")"),"Gelatina de limo extraña (azul)")</f>
        <v>Gelatina de limo extraña (azul)</v>
      </c>
      <c r="V19" s="348"/>
      <c r="W19" s="165" t="str">
        <f>IFERROR(__xludf.DUMMYFUNCTION("GOOGLETRANSLATE(C19,""zh-tw"",""es-MX"")"),"Slime de monstruo de agua")</f>
        <v>Slime de monstruo de agua</v>
      </c>
      <c r="X19" s="165"/>
      <c r="Y19" s="165"/>
      <c r="Z19" s="7" t="str">
        <f>IFERROR(__xludf.DUMMYFUNCTION("GOOGLETRANSLATE(A19,""zh-tw"",""KO"")"),"이상한 슬라임 젤리(파란색)")</f>
        <v>이상한 슬라임 젤리(파란색)</v>
      </c>
      <c r="AA19" s="349"/>
      <c r="AB19" s="163" t="s">
        <v>7245</v>
      </c>
      <c r="AC19" s="164"/>
      <c r="AD19" s="164"/>
      <c r="AE19" s="351" t="str">
        <f>IFERROR(__xludf.DUMMYFUNCTION("GOOGLETRANSLATE(A19,""zh-tw"",""ru"")"),"Странное желеобразное лизун (синее)")</f>
        <v>Странное желеобразное лизун (синее)</v>
      </c>
      <c r="AF19" s="348"/>
      <c r="AG19" s="165" t="str">
        <f>IFERROR(__xludf.DUMMYFUNCTION("GOOGLETRANSLATE(C19,""zh-tw"",""ru"")"),"Водяной монстр-слизь")</f>
        <v>Водяной монстр-слизь</v>
      </c>
      <c r="AH19" s="165"/>
      <c r="AI19" s="165"/>
      <c r="AJ19" s="353" t="s">
        <v>7246</v>
      </c>
      <c r="AK19" s="349"/>
      <c r="AL19" s="163" t="s">
        <v>7247</v>
      </c>
      <c r="AM19" s="164"/>
      <c r="AN19" s="164"/>
      <c r="AO19" s="149" t="s">
        <v>7248</v>
      </c>
      <c r="AP19" s="180"/>
      <c r="AQ19" s="164" t="s">
        <v>7249</v>
      </c>
      <c r="AR19" s="117"/>
      <c r="AS19" s="117"/>
      <c r="AT19" s="351" t="s">
        <v>7250</v>
      </c>
      <c r="AU19" s="185"/>
      <c r="AV19" s="164" t="s">
        <v>7251</v>
      </c>
      <c r="AW19" s="18"/>
      <c r="AX19" s="18"/>
      <c r="AY19" s="117"/>
      <c r="AZ19" s="117"/>
      <c r="BA19" s="117"/>
      <c r="BB19" s="117"/>
      <c r="BC19" s="117"/>
    </row>
    <row r="20">
      <c r="A20" s="351" t="s">
        <v>7252</v>
      </c>
      <c r="B20" s="180"/>
      <c r="C20" s="165" t="s">
        <v>7089</v>
      </c>
      <c r="D20" s="165" t="s">
        <v>4477</v>
      </c>
      <c r="E20" s="117"/>
      <c r="F20" s="351" t="s">
        <v>7253</v>
      </c>
      <c r="G20" s="180"/>
      <c r="H20" s="165" t="s">
        <v>7091</v>
      </c>
      <c r="I20" s="165" t="s">
        <v>7254</v>
      </c>
      <c r="J20" s="117"/>
      <c r="K20" s="104" t="s">
        <v>7255</v>
      </c>
      <c r="L20" s="180"/>
      <c r="M20" s="163" t="s">
        <v>7093</v>
      </c>
      <c r="N20" s="163" t="s">
        <v>4479</v>
      </c>
      <c r="O20" s="164"/>
      <c r="P20" s="352" t="str">
        <f>IFERROR(__xludf.DUMMYFUNCTION("GOOGLETRANSLATE(A20,""zh-tw"",""zh"")"),"奇怪的史莱姆果冻(粉色)")</f>
        <v>奇怪的史莱姆果冻(粉色)</v>
      </c>
      <c r="Q20" s="70"/>
      <c r="R20" s="73" t="str">
        <f>IFERROR(__xludf.DUMMYFUNCTION("GOOGLETRANSLATE(C20,""zh-tw"",""zh"")"),"史莱姆黏液")</f>
        <v>史莱姆黏液</v>
      </c>
      <c r="S20" s="73" t="str">
        <f>IFERROR(__xludf.DUMMYFUNCTION("GOOGLETRANSLATE(D20,""zh-tw"",""zh"")"),"苹果妖精")</f>
        <v>苹果妖精</v>
      </c>
      <c r="T20" s="73"/>
      <c r="U20" s="351" t="str">
        <f>IFERROR(__xludf.DUMMYFUNCTION("GOOGLETRANSLATE(A20,""zh-tw"",""es-MX"")"),"Gelatina de baba extraña (rosa)")</f>
        <v>Gelatina de baba extraña (rosa)</v>
      </c>
      <c r="V20" s="348"/>
      <c r="W20" s="165" t="str">
        <f>IFERROR(__xludf.DUMMYFUNCTION("GOOGLETRANSLATE(C20,""zh-tw"",""es-MX"")"),"limo")</f>
        <v>limo</v>
      </c>
      <c r="X20" s="165" t="str">
        <f>IFERROR(__xludf.DUMMYFUNCTION("GOOGLETRANSLATE(D20,""zh-tw"",""es-MX"")"),"Hada de la manzana")</f>
        <v>Hada de la manzana</v>
      </c>
      <c r="Y20" s="165"/>
      <c r="Z20" s="353" t="s">
        <v>7256</v>
      </c>
      <c r="AA20" s="349"/>
      <c r="AB20" s="163" t="s">
        <v>7094</v>
      </c>
      <c r="AC20" s="163" t="s">
        <v>4481</v>
      </c>
      <c r="AD20" s="164"/>
      <c r="AE20" s="351" t="str">
        <f>IFERROR(__xludf.DUMMYFUNCTION("GOOGLETRANSLATE(A20,""zh-tw"",""ru"")"),"Странное желеобразное лизун (розовое)")</f>
        <v>Странное желеобразное лизун (розовое)</v>
      </c>
      <c r="AF20" s="348"/>
      <c r="AG20" s="165" t="str">
        <f>IFERROR(__xludf.DUMMYFUNCTION("GOOGLETRANSLATE(C20,""zh-tw"",""ru"")"),"слизь")</f>
        <v>слизь</v>
      </c>
      <c r="AH20" s="165" t="str">
        <f>IFERROR(__xludf.DUMMYFUNCTION("GOOGLETRANSLATE(D20,""zh-tw"",""ru"")"),"Яблочная Фея")</f>
        <v>Яблочная Фея</v>
      </c>
      <c r="AI20" s="165"/>
      <c r="AJ20" s="353" t="s">
        <v>7257</v>
      </c>
      <c r="AK20" s="349"/>
      <c r="AL20" s="163" t="s">
        <v>7096</v>
      </c>
      <c r="AM20" s="163" t="s">
        <v>4483</v>
      </c>
      <c r="AN20" s="164"/>
      <c r="AO20" s="149" t="s">
        <v>7258</v>
      </c>
      <c r="AP20" s="180"/>
      <c r="AQ20" s="164" t="s">
        <v>7098</v>
      </c>
      <c r="AR20" s="164" t="s">
        <v>7259</v>
      </c>
      <c r="AS20" s="117"/>
      <c r="AT20" s="351" t="s">
        <v>7260</v>
      </c>
      <c r="AU20" s="185"/>
      <c r="AV20" s="164" t="s">
        <v>7099</v>
      </c>
      <c r="AW20" s="164" t="s">
        <v>7261</v>
      </c>
      <c r="AX20" s="18"/>
      <c r="AY20" s="117"/>
      <c r="AZ20" s="117"/>
      <c r="BA20" s="117"/>
      <c r="BB20" s="117"/>
      <c r="BC20" s="117"/>
    </row>
    <row r="21">
      <c r="A21" s="351" t="s">
        <v>7262</v>
      </c>
      <c r="B21" s="180"/>
      <c r="C21" s="165" t="s">
        <v>7089</v>
      </c>
      <c r="D21" s="165" t="s">
        <v>7263</v>
      </c>
      <c r="E21" s="117"/>
      <c r="F21" s="351" t="s">
        <v>7264</v>
      </c>
      <c r="G21" s="180"/>
      <c r="H21" s="165" t="s">
        <v>7091</v>
      </c>
      <c r="I21" s="165" t="s">
        <v>7265</v>
      </c>
      <c r="J21" s="117"/>
      <c r="K21" s="104" t="s">
        <v>7266</v>
      </c>
      <c r="L21" s="180"/>
      <c r="M21" s="163" t="s">
        <v>7093</v>
      </c>
      <c r="N21" s="163" t="s">
        <v>7267</v>
      </c>
      <c r="O21" s="164"/>
      <c r="P21" s="352" t="str">
        <f>IFERROR(__xludf.DUMMYFUNCTION("GOOGLETRANSLATE(A21,""zh-tw"",""zh"")"),"奇怪的史莱姆果冻(黑色)")</f>
        <v>奇怪的史莱姆果冻(黑色)</v>
      </c>
      <c r="Q21" s="70"/>
      <c r="R21" s="73" t="str">
        <f>IFERROR(__xludf.DUMMYFUNCTION("GOOGLETRANSLATE(C21,""zh-tw"",""zh"")"),"史莱姆黏液")</f>
        <v>史莱姆黏液</v>
      </c>
      <c r="S21" s="73" t="str">
        <f>IFERROR(__xludf.DUMMYFUNCTION("GOOGLETRANSLATE(D21,""zh-tw"",""zh"")"),"垃圾")</f>
        <v>垃圾</v>
      </c>
      <c r="T21" s="73"/>
      <c r="U21" s="351" t="str">
        <f>IFERROR(__xludf.DUMMYFUNCTION("GOOGLETRANSLATE(A21,""zh-tw"",""es-MX"")"),"Gelatina de baba extraña (negra)")</f>
        <v>Gelatina de baba extraña (negra)</v>
      </c>
      <c r="V21" s="348"/>
      <c r="W21" s="165" t="str">
        <f>IFERROR(__xludf.DUMMYFUNCTION("GOOGLETRANSLATE(C21,""zh-tw"",""es-MX"")"),"limo")</f>
        <v>limo</v>
      </c>
      <c r="X21" s="165" t="str">
        <f>IFERROR(__xludf.DUMMYFUNCTION("GOOGLETRANSLATE(D21,""zh-tw"",""es-MX"")"),"Basura")</f>
        <v>Basura</v>
      </c>
      <c r="Y21" s="165"/>
      <c r="Z21" s="7" t="str">
        <f>IFERROR(__xludf.DUMMYFUNCTION("GOOGLETRANSLATE(A21,""zh-tw"",""KO"")"),"이상한 슬라임 젤리(검정색)")</f>
        <v>이상한 슬라임 젤리(검정색)</v>
      </c>
      <c r="AA21" s="349"/>
      <c r="AB21" s="163" t="s">
        <v>7094</v>
      </c>
      <c r="AC21" s="164" t="str">
        <f>IFERROR(__xludf.DUMMYFUNCTION("GOOGLETRANSLATE(D21,""zh-tw"",""KO"")"),"쓰레기")</f>
        <v>쓰레기</v>
      </c>
      <c r="AD21" s="164"/>
      <c r="AE21" s="351" t="str">
        <f>IFERROR(__xludf.DUMMYFUNCTION("GOOGLETRANSLATE(A21,""zh-tw"",""ru"")"),"Странное желеобразное лизун (черное)")</f>
        <v>Странное желеобразное лизун (черное)</v>
      </c>
      <c r="AF21" s="348"/>
      <c r="AG21" s="165" t="str">
        <f>IFERROR(__xludf.DUMMYFUNCTION("GOOGLETRANSLATE(C21,""zh-tw"",""ru"")"),"слизь")</f>
        <v>слизь</v>
      </c>
      <c r="AH21" s="165" t="str">
        <f>IFERROR(__xludf.DUMMYFUNCTION("GOOGLETRANSLATE(D21,""zh-tw"",""ru"")"),"Мусор")</f>
        <v>Мусор</v>
      </c>
      <c r="AI21" s="165"/>
      <c r="AJ21" s="353" t="s">
        <v>7268</v>
      </c>
      <c r="AK21" s="349"/>
      <c r="AL21" s="163" t="s">
        <v>7096</v>
      </c>
      <c r="AM21" s="163" t="s">
        <v>7269</v>
      </c>
      <c r="AN21" s="164"/>
      <c r="AO21" s="149" t="s">
        <v>7270</v>
      </c>
      <c r="AP21" s="180"/>
      <c r="AQ21" s="164" t="s">
        <v>7098</v>
      </c>
      <c r="AR21" s="164" t="s">
        <v>7271</v>
      </c>
      <c r="AS21" s="117"/>
      <c r="AT21" s="351" t="s">
        <v>7272</v>
      </c>
      <c r="AU21" s="185"/>
      <c r="AV21" s="164" t="s">
        <v>7099</v>
      </c>
      <c r="AW21" s="164" t="s">
        <v>7273</v>
      </c>
      <c r="AX21" s="18"/>
      <c r="AY21" s="117"/>
      <c r="AZ21" s="117"/>
      <c r="BA21" s="117"/>
      <c r="BB21" s="117"/>
      <c r="BC21" s="117"/>
    </row>
    <row r="22">
      <c r="A22" s="351" t="s">
        <v>7274</v>
      </c>
      <c r="B22" s="180"/>
      <c r="C22" s="165" t="s">
        <v>7240</v>
      </c>
      <c r="D22" s="165" t="s">
        <v>589</v>
      </c>
      <c r="E22" s="117"/>
      <c r="F22" s="351" t="s">
        <v>7275</v>
      </c>
      <c r="G22" s="180"/>
      <c r="H22" s="165" t="s">
        <v>7091</v>
      </c>
      <c r="I22" s="165" t="s">
        <v>592</v>
      </c>
      <c r="J22" s="117"/>
      <c r="K22" s="104" t="s">
        <v>7276</v>
      </c>
      <c r="L22" s="180"/>
      <c r="M22" s="163" t="s">
        <v>7093</v>
      </c>
      <c r="N22" s="163" t="s">
        <v>7277</v>
      </c>
      <c r="O22" s="164"/>
      <c r="P22" s="352" t="str">
        <f>IFERROR(__xludf.DUMMYFUNCTION("GOOGLETRANSLATE(A22,""zh-tw"",""zh"")"),"奇怪的史莱姆果冻(彩色)")</f>
        <v>奇怪的史莱姆果冻(彩色)</v>
      </c>
      <c r="Q22" s="70"/>
      <c r="R22" s="73" t="str">
        <f>IFERROR(__xludf.DUMMYFUNCTION("GOOGLETRANSLATE(C22,""zh-tw"",""zh"")"),"水怪黏液")</f>
        <v>水怪黏液</v>
      </c>
      <c r="S22" s="73" t="str">
        <f>IFERROR(__xludf.DUMMYFUNCTION("GOOGLETRANSLATE(D22,""zh-tw"",""zh"")"),"呆毛")</f>
        <v>呆毛</v>
      </c>
      <c r="T22" s="73"/>
      <c r="U22" s="351" t="str">
        <f>IFERROR(__xludf.DUMMYFUNCTION("GOOGLETRANSLATE(A22,""zh-tw"",""es-MX"")"),"Gelatina de baba extraña (colorida)")</f>
        <v>Gelatina de baba extraña (colorida)</v>
      </c>
      <c r="V22" s="348"/>
      <c r="W22" s="165" t="str">
        <f>IFERROR(__xludf.DUMMYFUNCTION("GOOGLETRANSLATE(C22,""zh-tw"",""es-MX"")"),"Slime de monstruo de agua")</f>
        <v>Slime de monstruo de agua</v>
      </c>
      <c r="X22" s="165" t="str">
        <f>IFERROR(__xludf.DUMMYFUNCTION("GOOGLETRANSLATE(D22,""zh-tw"",""es-MX"")"),"ahoge")</f>
        <v>ahoge</v>
      </c>
      <c r="Y22" s="165"/>
      <c r="Z22" s="7" t="str">
        <f>IFERROR(__xludf.DUMMYFUNCTION("GOOGLETRANSLATE(A22,""zh-tw"",""KO"")"),"이상한 슬라임 젤리 (컬러풀)")</f>
        <v>이상한 슬라임 젤리 (컬러풀)</v>
      </c>
      <c r="AA22" s="349"/>
      <c r="AB22" s="163" t="s">
        <v>7245</v>
      </c>
      <c r="AC22" s="163" t="s">
        <v>601</v>
      </c>
      <c r="AD22" s="164"/>
      <c r="AE22" s="351" t="str">
        <f>IFERROR(__xludf.DUMMYFUNCTION("GOOGLETRANSLATE(A22,""zh-tw"",""ru"")"),"Странная слизь-желе (цветная)")</f>
        <v>Странная слизь-желе (цветная)</v>
      </c>
      <c r="AF22" s="348"/>
      <c r="AG22" s="165" t="str">
        <f>IFERROR(__xludf.DUMMYFUNCTION("GOOGLETRANSLATE(C22,""zh-tw"",""ru"")"),"Водяной монстр-слизь")</f>
        <v>Водяной монстр-слизь</v>
      </c>
      <c r="AH22" s="165" t="str">
        <f>IFERROR(__xludf.DUMMYFUNCTION("GOOGLETRANSLATE(D22,""zh-tw"",""ru"")"),"ахоге")</f>
        <v>ахоге</v>
      </c>
      <c r="AI22" s="165"/>
      <c r="AJ22" s="353" t="s">
        <v>7278</v>
      </c>
      <c r="AK22" s="349"/>
      <c r="AL22" s="163" t="s">
        <v>7247</v>
      </c>
      <c r="AM22" s="163" t="s">
        <v>7279</v>
      </c>
      <c r="AN22" s="164"/>
      <c r="AO22" s="149" t="s">
        <v>7280</v>
      </c>
      <c r="AP22" s="180"/>
      <c r="AQ22" s="164" t="s">
        <v>7098</v>
      </c>
      <c r="AR22" s="164" t="s">
        <v>7281</v>
      </c>
      <c r="AS22" s="117"/>
      <c r="AT22" s="351" t="s">
        <v>7282</v>
      </c>
      <c r="AU22" s="185"/>
      <c r="AV22" s="164" t="s">
        <v>7099</v>
      </c>
      <c r="AW22" s="164" t="s">
        <v>7283</v>
      </c>
      <c r="AX22" s="18"/>
      <c r="AY22" s="117"/>
      <c r="AZ22" s="117"/>
      <c r="BA22" s="117"/>
      <c r="BB22" s="117"/>
      <c r="BC22" s="117"/>
    </row>
    <row r="23">
      <c r="A23" s="351" t="s">
        <v>7284</v>
      </c>
      <c r="B23" s="180"/>
      <c r="C23" s="165" t="s">
        <v>7285</v>
      </c>
      <c r="D23" s="117"/>
      <c r="E23" s="117"/>
      <c r="F23" s="351" t="s">
        <v>7286</v>
      </c>
      <c r="G23" s="180"/>
      <c r="H23" s="165" t="s">
        <v>7287</v>
      </c>
      <c r="I23" s="117"/>
      <c r="J23" s="117"/>
      <c r="K23" s="102" t="s">
        <v>7288</v>
      </c>
      <c r="L23" s="180"/>
      <c r="M23" s="163" t="s">
        <v>7289</v>
      </c>
      <c r="N23" s="164"/>
      <c r="O23" s="164"/>
      <c r="P23" s="352" t="str">
        <f>IFERROR(__xludf.DUMMYFUNCTION("GOOGLETRANSLATE(A23,""zh-tw"",""zh"")"),"烤香蕉")</f>
        <v>烤香蕉</v>
      </c>
      <c r="Q23" s="70"/>
      <c r="R23" s="73" t="str">
        <f>IFERROR(__xludf.DUMMYFUNCTION("GOOGLETRANSLATE(C23,""zh-tw"",""zh"")"),"香蕉")</f>
        <v>香蕉</v>
      </c>
      <c r="S23" s="73"/>
      <c r="T23" s="73"/>
      <c r="U23" s="351" t="str">
        <f>IFERROR(__xludf.DUMMYFUNCTION("GOOGLETRANSLATE(A23,""zh-tw"",""es-MX"")"),"Plátanos horneados")</f>
        <v>Plátanos horneados</v>
      </c>
      <c r="V23" s="348"/>
      <c r="W23" s="165" t="str">
        <f>IFERROR(__xludf.DUMMYFUNCTION("GOOGLETRANSLATE(C23,""zh-tw"",""es-MX"")"),"banana")</f>
        <v>banana</v>
      </c>
      <c r="X23" s="165"/>
      <c r="Y23" s="165"/>
      <c r="Z23" s="7" t="str">
        <f>IFERROR(__xludf.DUMMYFUNCTION("GOOGLETRANSLATE(A23,""zh-tw"",""KO"")"),"구운 바나나")</f>
        <v>구운 바나나</v>
      </c>
      <c r="AA23" s="349"/>
      <c r="AB23" s="164" t="str">
        <f>IFERROR(__xludf.DUMMYFUNCTION("GOOGLETRANSLATE(C23,""zh-tw"",""KO"")"),"바나나")</f>
        <v>바나나</v>
      </c>
      <c r="AC23" s="164"/>
      <c r="AD23" s="164"/>
      <c r="AE23" s="351" t="str">
        <f>IFERROR(__xludf.DUMMYFUNCTION("GOOGLETRANSLATE(A23,""zh-tw"",""ru"")"),"Печеные бананы")</f>
        <v>Печеные бананы</v>
      </c>
      <c r="AF23" s="348"/>
      <c r="AG23" s="165" t="str">
        <f>IFERROR(__xludf.DUMMYFUNCTION("GOOGLETRANSLATE(C23,""zh-tw"",""ru"")"),"банан")</f>
        <v>банан</v>
      </c>
      <c r="AH23" s="165"/>
      <c r="AI23" s="165"/>
      <c r="AJ23" s="353" t="s">
        <v>7290</v>
      </c>
      <c r="AK23" s="349"/>
      <c r="AL23" s="163" t="s">
        <v>7291</v>
      </c>
      <c r="AM23" s="164"/>
      <c r="AN23" s="164"/>
      <c r="AO23" s="149" t="s">
        <v>7292</v>
      </c>
      <c r="AP23" s="180"/>
      <c r="AQ23" s="164" t="s">
        <v>7293</v>
      </c>
      <c r="AR23" s="117"/>
      <c r="AS23" s="117"/>
      <c r="AT23" s="351" t="s">
        <v>7288</v>
      </c>
      <c r="AU23" s="185"/>
      <c r="AV23" s="164" t="s">
        <v>7289</v>
      </c>
      <c r="AW23" s="18"/>
      <c r="AX23" s="18"/>
      <c r="AY23" s="117"/>
      <c r="AZ23" s="117"/>
      <c r="BA23" s="117"/>
      <c r="BB23" s="117"/>
      <c r="BC23" s="117"/>
    </row>
    <row r="24">
      <c r="A24" s="351" t="s">
        <v>7294</v>
      </c>
      <c r="B24" s="180"/>
      <c r="C24" s="165" t="s">
        <v>7201</v>
      </c>
      <c r="D24" s="165" t="s">
        <v>4896</v>
      </c>
      <c r="E24" s="165" t="s">
        <v>7295</v>
      </c>
      <c r="F24" s="351" t="s">
        <v>7296</v>
      </c>
      <c r="G24" s="180"/>
      <c r="H24" s="165" t="s">
        <v>7203</v>
      </c>
      <c r="I24" s="165" t="s">
        <v>7297</v>
      </c>
      <c r="J24" s="165" t="s">
        <v>7298</v>
      </c>
      <c r="K24" s="104" t="s">
        <v>7299</v>
      </c>
      <c r="L24" s="180"/>
      <c r="M24" s="163" t="s">
        <v>4930</v>
      </c>
      <c r="N24" s="163" t="s">
        <v>4898</v>
      </c>
      <c r="O24" s="163" t="s">
        <v>7300</v>
      </c>
      <c r="P24" s="352" t="str">
        <f>IFERROR(__xludf.DUMMYFUNCTION("GOOGLETRANSLATE(A24,""zh-tw"",""zh"")"),"罗宋汤")</f>
        <v>罗宋汤</v>
      </c>
      <c r="Q24" s="70"/>
      <c r="R24" s="73" t="str">
        <f>IFERROR(__xludf.DUMMYFUNCTION("GOOGLETRANSLATE(C24,""zh-tw"",""zh"")"),"小块兽肉")</f>
        <v>小块兽肉</v>
      </c>
      <c r="S24" s="73" t="str">
        <f>IFERROR(__xludf.DUMMYFUNCTION("GOOGLETRANSLATE(D24,""zh-tw"",""zh"")"),"土豆")</f>
        <v>土豆</v>
      </c>
      <c r="T24" s="73" t="str">
        <f>IFERROR(__xludf.DUMMYFUNCTION("GOOGLETRANSLATE(E24,""zh-tw"",""zh"")"),"胡萝卜")</f>
        <v>胡萝卜</v>
      </c>
      <c r="U24" s="351" t="str">
        <f>IFERROR(__xludf.DUMMYFUNCTION("GOOGLETRANSLATE(A24,""zh-tw"",""es-MX"")"),"Sopa de remolacha")</f>
        <v>Sopa de remolacha</v>
      </c>
      <c r="V24" s="348"/>
      <c r="W24" s="165" t="str">
        <f>IFERROR(__xludf.DUMMYFUNCTION("GOOGLETRANSLATE(C24,""zh-tw"",""es-MX"")"),"Pequeños trozos de carne")</f>
        <v>Pequeños trozos de carne</v>
      </c>
      <c r="X24" s="165" t="str">
        <f>IFERROR(__xludf.DUMMYFUNCTION("GOOGLETRANSLATE(D24,""zh-tw"",""es-MX"")"),"Papa")</f>
        <v>Papa</v>
      </c>
      <c r="Y24" s="165" t="str">
        <f>IFERROR(__xludf.DUMMYFUNCTION("GOOGLETRANSLATE(E24,""zh-tw"",""es-MX"")"),"zanahoria")</f>
        <v>zanahoria</v>
      </c>
      <c r="Z24" s="7" t="str">
        <f>IFERROR(__xludf.DUMMYFUNCTION("GOOGLETRANSLATE(A24,""zh-tw"",""KO"")"),"보르시치")</f>
        <v>보르시치</v>
      </c>
      <c r="AA24" s="349"/>
      <c r="AB24" s="163" t="s">
        <v>4932</v>
      </c>
      <c r="AC24" s="164" t="str">
        <f>IFERROR(__xludf.DUMMYFUNCTION("GOOGLETRANSLATE(D24,""zh-tw"",""KO"")"),"감자")</f>
        <v>감자</v>
      </c>
      <c r="AD24" s="164" t="str">
        <f>IFERROR(__xludf.DUMMYFUNCTION("GOOGLETRANSLATE(E24,""zh-tw"",""KO"")"),"당근")</f>
        <v>당근</v>
      </c>
      <c r="AE24" s="351" t="str">
        <f>IFERROR(__xludf.DUMMYFUNCTION("GOOGLETRANSLATE(A24,""zh-tw"",""ru"")"),"Борщ")</f>
        <v>Борщ</v>
      </c>
      <c r="AF24" s="348"/>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53" t="s">
        <v>7301</v>
      </c>
      <c r="AK24" s="349"/>
      <c r="AL24" s="163" t="s">
        <v>7207</v>
      </c>
      <c r="AM24" s="163" t="s">
        <v>4901</v>
      </c>
      <c r="AN24" s="163" t="s">
        <v>4901</v>
      </c>
      <c r="AO24" s="149" t="s">
        <v>7302</v>
      </c>
      <c r="AP24" s="180"/>
      <c r="AQ24" s="164" t="s">
        <v>4936</v>
      </c>
      <c r="AR24" s="164" t="s">
        <v>4903</v>
      </c>
      <c r="AS24" s="164" t="s">
        <v>7303</v>
      </c>
      <c r="AT24" s="351" t="s">
        <v>7299</v>
      </c>
      <c r="AU24" s="185"/>
      <c r="AV24" s="164" t="s">
        <v>4938</v>
      </c>
      <c r="AW24" s="164" t="s">
        <v>4905</v>
      </c>
      <c r="AX24" s="164" t="s">
        <v>7304</v>
      </c>
      <c r="AY24" s="164"/>
      <c r="AZ24" s="164"/>
      <c r="BA24" s="164"/>
      <c r="BB24" s="164"/>
      <c r="BC24" s="164"/>
    </row>
    <row r="25">
      <c r="A25" s="351" t="s">
        <v>7305</v>
      </c>
      <c r="B25" s="180"/>
      <c r="C25" s="165" t="s">
        <v>7306</v>
      </c>
      <c r="D25" s="117"/>
      <c r="E25" s="117"/>
      <c r="F25" s="351" t="s">
        <v>7307</v>
      </c>
      <c r="G25" s="180"/>
      <c r="H25" s="165" t="s">
        <v>7308</v>
      </c>
      <c r="I25" s="117"/>
      <c r="J25" s="117"/>
      <c r="K25" s="104" t="s">
        <v>7309</v>
      </c>
      <c r="L25" s="180"/>
      <c r="M25" s="163" t="s">
        <v>7310</v>
      </c>
      <c r="N25" s="164"/>
      <c r="O25" s="164"/>
      <c r="P25" s="352" t="str">
        <f>IFERROR(__xludf.DUMMYFUNCTION("GOOGLETRANSLATE(A25,""zh-tw"",""zh"")"),"烤章鱼脚")</f>
        <v>烤章鱼脚</v>
      </c>
      <c r="Q25" s="70"/>
      <c r="R25" s="73" t="str">
        <f>IFERROR(__xludf.DUMMYFUNCTION("GOOGLETRANSLATE(C25,""zh-tw"",""zh"")"),"章鱼脚")</f>
        <v>章鱼脚</v>
      </c>
      <c r="S25" s="73"/>
      <c r="T25" s="73"/>
      <c r="U25" s="351" t="str">
        <f>IFERROR(__xludf.DUMMYFUNCTION("GOOGLETRANSLATE(A25,""zh-tw"",""es-MX"")"),"Patas de pulpo a la plancha")</f>
        <v>Patas de pulpo a la plancha</v>
      </c>
      <c r="V25" s="348"/>
      <c r="W25" s="165" t="str">
        <f>IFERROR(__xludf.DUMMYFUNCTION("GOOGLETRANSLATE(C25,""zh-tw"",""es-MX"")"),"Patas de pulpo")</f>
        <v>Patas de pulpo</v>
      </c>
      <c r="X25" s="165"/>
      <c r="Y25" s="165"/>
      <c r="Z25" s="353" t="s">
        <v>7311</v>
      </c>
      <c r="AA25" s="349"/>
      <c r="AB25" s="163" t="s">
        <v>7312</v>
      </c>
      <c r="AC25" s="164"/>
      <c r="AD25" s="164"/>
      <c r="AE25" s="351" t="str">
        <f>IFERROR(__xludf.DUMMYFUNCTION("GOOGLETRANSLATE(A25,""zh-tw"",""ru"")"),"Жареные ножки осьминога")</f>
        <v>Жареные ножки осьминога</v>
      </c>
      <c r="AF25" s="348"/>
      <c r="AG25" s="165" t="str">
        <f>IFERROR(__xludf.DUMMYFUNCTION("GOOGLETRANSLATE(C25,""zh-tw"",""ru"")"),"Ноги осьминога")</f>
        <v>Ноги осьминога</v>
      </c>
      <c r="AH25" s="165"/>
      <c r="AI25" s="165"/>
      <c r="AJ25" s="353" t="s">
        <v>7313</v>
      </c>
      <c r="AK25" s="349"/>
      <c r="AL25" s="163" t="s">
        <v>7314</v>
      </c>
      <c r="AM25" s="164"/>
      <c r="AN25" s="164"/>
      <c r="AO25" s="149" t="s">
        <v>7315</v>
      </c>
      <c r="AP25" s="180"/>
      <c r="AQ25" s="164" t="s">
        <v>7316</v>
      </c>
      <c r="AR25" s="117"/>
      <c r="AS25" s="117"/>
      <c r="AT25" s="351" t="s">
        <v>7317</v>
      </c>
      <c r="AU25" s="185"/>
      <c r="AV25" s="164" t="s">
        <v>7318</v>
      </c>
      <c r="AW25" s="18"/>
      <c r="AX25" s="18"/>
      <c r="AY25" s="117"/>
      <c r="AZ25" s="117"/>
      <c r="BA25" s="117"/>
      <c r="BB25" s="117"/>
      <c r="BC25" s="117"/>
    </row>
    <row r="26">
      <c r="A26" s="354" t="s">
        <v>7319</v>
      </c>
      <c r="B26" s="180"/>
      <c r="C26" s="165" t="s">
        <v>7320</v>
      </c>
      <c r="D26" s="165" t="s">
        <v>7320</v>
      </c>
      <c r="E26" s="165" t="s">
        <v>7320</v>
      </c>
      <c r="F26" s="351" t="s">
        <v>7321</v>
      </c>
      <c r="G26" s="180"/>
      <c r="H26" s="165" t="s">
        <v>7298</v>
      </c>
      <c r="I26" s="165" t="s">
        <v>7298</v>
      </c>
      <c r="J26" s="165" t="s">
        <v>7298</v>
      </c>
      <c r="K26" s="102" t="s">
        <v>7322</v>
      </c>
      <c r="L26" s="180"/>
      <c r="M26" s="163" t="s">
        <v>7300</v>
      </c>
      <c r="N26" s="163" t="s">
        <v>7300</v>
      </c>
      <c r="O26" s="163" t="s">
        <v>7300</v>
      </c>
      <c r="P26" s="352" t="str">
        <f>IFERROR(__xludf.DUMMYFUNCTION("GOOGLETRANSLATE(A26,""zh-tw"",""zh"")"),"蔬菜沙拉")</f>
        <v>蔬菜沙拉</v>
      </c>
      <c r="Q26" s="70"/>
      <c r="R26" s="73" t="str">
        <f>IFERROR(__xludf.DUMMYFUNCTION("GOOGLETRANSLATE(C26,""zh-tw"",""zh"")"),"蔬菜")</f>
        <v>蔬菜</v>
      </c>
      <c r="S26" s="73" t="str">
        <f>IFERROR(__xludf.DUMMYFUNCTION("GOOGLETRANSLATE(D26,""zh-tw"",""zh"")"),"蔬菜")</f>
        <v>蔬菜</v>
      </c>
      <c r="T26" s="73" t="str">
        <f>IFERROR(__xludf.DUMMYFUNCTION("GOOGLETRANSLATE(E26,""zh-tw"",""zh"")"),"蔬菜")</f>
        <v>蔬菜</v>
      </c>
      <c r="U26" s="351" t="str">
        <f>IFERROR(__xludf.DUMMYFUNCTION("GOOGLETRANSLATE(A26,""zh-tw"",""es-MX"")"),"Ensalada de verduras")</f>
        <v>Ensalada de verduras</v>
      </c>
      <c r="V26" s="348"/>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53" t="s">
        <v>7323</v>
      </c>
      <c r="AA26" s="349"/>
      <c r="AB26" s="355" t="s">
        <v>7324</v>
      </c>
      <c r="AC26" s="355" t="s">
        <v>7324</v>
      </c>
      <c r="AD26" s="163" t="s">
        <v>7324</v>
      </c>
      <c r="AE26" s="351" t="str">
        <f>IFERROR(__xludf.DUMMYFUNCTION("GOOGLETRANSLATE(A26,""zh-tw"",""ru"")"),"Овощной салат")</f>
        <v>Овощной салат</v>
      </c>
      <c r="AF26" s="348"/>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53" t="s">
        <v>7325</v>
      </c>
      <c r="AK26" s="349"/>
      <c r="AL26" s="163" t="s">
        <v>7326</v>
      </c>
      <c r="AM26" s="163" t="s">
        <v>7326</v>
      </c>
      <c r="AN26" s="163" t="s">
        <v>7326</v>
      </c>
      <c r="AO26" s="154" t="s">
        <v>7327</v>
      </c>
      <c r="AP26" s="180"/>
      <c r="AQ26" s="164" t="s">
        <v>7303</v>
      </c>
      <c r="AR26" s="164" t="s">
        <v>7303</v>
      </c>
      <c r="AS26" s="164" t="s">
        <v>7303</v>
      </c>
      <c r="AT26" s="351" t="s">
        <v>7328</v>
      </c>
      <c r="AU26" s="185"/>
      <c r="AV26" s="164" t="s">
        <v>7304</v>
      </c>
      <c r="AW26" s="164" t="s">
        <v>7304</v>
      </c>
      <c r="AX26" s="164" t="s">
        <v>7304</v>
      </c>
      <c r="AY26" s="164"/>
      <c r="AZ26" s="164"/>
      <c r="BA26" s="164"/>
      <c r="BB26" s="164"/>
      <c r="BC26" s="164"/>
    </row>
    <row r="27">
      <c r="A27" s="351" t="s">
        <v>7329</v>
      </c>
      <c r="B27" s="180"/>
      <c r="C27" s="165" t="s">
        <v>4896</v>
      </c>
      <c r="D27" s="117"/>
      <c r="E27" s="117"/>
      <c r="F27" s="351" t="s">
        <v>7330</v>
      </c>
      <c r="G27" s="180"/>
      <c r="H27" s="165" t="s">
        <v>7297</v>
      </c>
      <c r="I27" s="117"/>
      <c r="J27" s="117"/>
      <c r="K27" s="104" t="s">
        <v>7331</v>
      </c>
      <c r="L27" s="180"/>
      <c r="M27" s="163" t="s">
        <v>4898</v>
      </c>
      <c r="N27" s="164"/>
      <c r="O27" s="164"/>
      <c r="P27" s="352" t="str">
        <f>IFERROR(__xludf.DUMMYFUNCTION("GOOGLETRANSLATE(A27,""zh-tw"",""zh"")"),"土豆泥")</f>
        <v>土豆泥</v>
      </c>
      <c r="Q27" s="70"/>
      <c r="R27" s="73" t="str">
        <f>IFERROR(__xludf.DUMMYFUNCTION("GOOGLETRANSLATE(C27,""zh-tw"",""zh"")"),"土豆")</f>
        <v>土豆</v>
      </c>
      <c r="S27" s="73"/>
      <c r="T27" s="73"/>
      <c r="U27" s="351" t="str">
        <f>IFERROR(__xludf.DUMMYFUNCTION("GOOGLETRANSLATE(A27,""zh-tw"",""es-MX"")"),"Puré de papas")</f>
        <v>Puré de papas</v>
      </c>
      <c r="V27" s="348"/>
      <c r="W27" s="165" t="str">
        <f>IFERROR(__xludf.DUMMYFUNCTION("GOOGLETRANSLATE(C27,""zh-tw"",""es-MX"")"),"Papa")</f>
        <v>Papa</v>
      </c>
      <c r="X27" s="165"/>
      <c r="Y27" s="165"/>
      <c r="Z27" s="353" t="s">
        <v>7332</v>
      </c>
      <c r="AA27" s="349"/>
      <c r="AB27" s="164" t="str">
        <f>IFERROR(__xludf.DUMMYFUNCTION("GOOGLETRANSLATE(C27,""zh-tw"",""KO"")"),"감자")</f>
        <v>감자</v>
      </c>
      <c r="AC27" s="164"/>
      <c r="AD27" s="164"/>
      <c r="AE27" s="351" t="str">
        <f>IFERROR(__xludf.DUMMYFUNCTION("GOOGLETRANSLATE(A27,""zh-tw"",""ru"")"),"Картофельное пюре")</f>
        <v>Картофельное пюре</v>
      </c>
      <c r="AF27" s="348"/>
      <c r="AG27" s="165" t="str">
        <f>IFERROR(__xludf.DUMMYFUNCTION("GOOGLETRANSLATE(C27,""zh-tw"",""ru"")"),"Картофель")</f>
        <v>Картофель</v>
      </c>
      <c r="AH27" s="165"/>
      <c r="AI27" s="165"/>
      <c r="AJ27" s="353" t="s">
        <v>7333</v>
      </c>
      <c r="AK27" s="349"/>
      <c r="AL27" s="163" t="s">
        <v>4901</v>
      </c>
      <c r="AM27" s="164"/>
      <c r="AN27" s="164"/>
      <c r="AO27" s="149" t="s">
        <v>7334</v>
      </c>
      <c r="AP27" s="180"/>
      <c r="AQ27" s="164" t="s">
        <v>4903</v>
      </c>
      <c r="AR27" s="117"/>
      <c r="AS27" s="117"/>
      <c r="AT27" s="351" t="s">
        <v>7335</v>
      </c>
      <c r="AU27" s="185"/>
      <c r="AV27" s="164" t="s">
        <v>4905</v>
      </c>
      <c r="AW27" s="18"/>
      <c r="AX27" s="18"/>
      <c r="AY27" s="117"/>
      <c r="AZ27" s="117"/>
      <c r="BA27" s="117"/>
      <c r="BB27" s="117"/>
      <c r="BC27" s="117"/>
    </row>
    <row r="28">
      <c r="A28" s="351" t="s">
        <v>7336</v>
      </c>
      <c r="B28" s="180"/>
      <c r="C28" s="165" t="s">
        <v>7295</v>
      </c>
      <c r="D28" s="165" t="s">
        <v>7337</v>
      </c>
      <c r="E28" s="117"/>
      <c r="F28" s="351" t="s">
        <v>7338</v>
      </c>
      <c r="G28" s="180"/>
      <c r="H28" s="165" t="s">
        <v>7298</v>
      </c>
      <c r="I28" s="165" t="s">
        <v>7339</v>
      </c>
      <c r="J28" s="117"/>
      <c r="K28" s="104" t="s">
        <v>7340</v>
      </c>
      <c r="L28" s="180"/>
      <c r="M28" s="163" t="s">
        <v>7300</v>
      </c>
      <c r="N28" s="163" t="s">
        <v>4666</v>
      </c>
      <c r="O28" s="164"/>
      <c r="P28" s="352" t="str">
        <f>IFERROR(__xludf.DUMMYFUNCTION("GOOGLETRANSLATE(A28,""zh-tw"",""zh"")"),"萝卜菇片汤")</f>
        <v>萝卜菇片汤</v>
      </c>
      <c r="Q28" s="70"/>
      <c r="R28" s="73" t="str">
        <f>IFERROR(__xludf.DUMMYFUNCTION("GOOGLETRANSLATE(C28,""zh-tw"",""zh"")"),"胡萝卜")</f>
        <v>胡萝卜</v>
      </c>
      <c r="S28" s="73" t="str">
        <f>IFERROR(__xludf.DUMMYFUNCTION("GOOGLETRANSLATE(D28,""zh-tw"",""zh"")"),"菇类")</f>
        <v>菇类</v>
      </c>
      <c r="T28" s="73"/>
      <c r="U28" s="351" t="str">
        <f>IFERROR(__xludf.DUMMYFUNCTION("GOOGLETRANSLATE(A28,""zh-tw"",""es-MX"")"),"Sopa de rábanos y champiñones")</f>
        <v>Sopa de rábanos y champiñones</v>
      </c>
      <c r="V28" s="348"/>
      <c r="W28" s="165" t="str">
        <f>IFERROR(__xludf.DUMMYFUNCTION("GOOGLETRANSLATE(C28,""zh-tw"",""es-MX"")"),"zanahoria")</f>
        <v>zanahoria</v>
      </c>
      <c r="X28" s="165" t="str">
        <f>IFERROR(__xludf.DUMMYFUNCTION("GOOGLETRANSLATE(D28,""zh-tw"",""es-MX"")"),"Hongos")</f>
        <v>Hongos</v>
      </c>
      <c r="Y28" s="165"/>
      <c r="Z28" s="353" t="s">
        <v>7341</v>
      </c>
      <c r="AA28" s="349"/>
      <c r="AB28" s="164" t="str">
        <f>IFERROR(__xludf.DUMMYFUNCTION("GOOGLETRANSLATE(C28,""zh-tw"",""KO"")"),"당근")</f>
        <v>당근</v>
      </c>
      <c r="AC28" s="164" t="str">
        <f>IFERROR(__xludf.DUMMYFUNCTION("GOOGLETRANSLATE(D28,""zh-tw"",""KO"")"),"버섯")</f>
        <v>버섯</v>
      </c>
      <c r="AD28" s="164"/>
      <c r="AE28" s="351" t="str">
        <f>IFERROR(__xludf.DUMMYFUNCTION("GOOGLETRANSLATE(A28,""zh-tw"",""ru"")"),"Суп из редиса и грибов")</f>
        <v>Суп из редиса и грибов</v>
      </c>
      <c r="AF28" s="348"/>
      <c r="AG28" s="165" t="str">
        <f>IFERROR(__xludf.DUMMYFUNCTION("GOOGLETRANSLATE(C28,""zh-tw"",""ru"")"),"морковь")</f>
        <v>морковь</v>
      </c>
      <c r="AH28" s="165" t="str">
        <f>IFERROR(__xludf.DUMMYFUNCTION("GOOGLETRANSLATE(D28,""zh-tw"",""ru"")"),"Грибы")</f>
        <v>Грибы</v>
      </c>
      <c r="AI28" s="165"/>
      <c r="AJ28" s="353" t="s">
        <v>7342</v>
      </c>
      <c r="AK28" s="349"/>
      <c r="AL28" s="163" t="s">
        <v>7343</v>
      </c>
      <c r="AM28" s="164" t="str">
        <f>IFERROR(__xludf.DUMMYFUNCTION("GOOGLETRANSLATE(D28,""zh-tw"",""de"")"),"Pilze")</f>
        <v>Pilze</v>
      </c>
      <c r="AN28" s="164"/>
      <c r="AO28" s="149" t="s">
        <v>7344</v>
      </c>
      <c r="AP28" s="180"/>
      <c r="AQ28" s="164" t="s">
        <v>7303</v>
      </c>
      <c r="AR28" s="164" t="s">
        <v>4674</v>
      </c>
      <c r="AS28" s="117"/>
      <c r="AT28" s="351" t="s">
        <v>7345</v>
      </c>
      <c r="AU28" s="185"/>
      <c r="AV28" s="164" t="s">
        <v>7304</v>
      </c>
      <c r="AW28" s="164" t="s">
        <v>4677</v>
      </c>
      <c r="AX28" s="18"/>
      <c r="AY28" s="117"/>
      <c r="AZ28" s="117"/>
      <c r="BA28" s="117"/>
      <c r="BB28" s="117"/>
      <c r="BC28" s="117"/>
    </row>
    <row r="29">
      <c r="A29" s="351" t="s">
        <v>7346</v>
      </c>
      <c r="B29" s="180"/>
      <c r="C29" s="165" t="s">
        <v>7347</v>
      </c>
      <c r="D29" s="117"/>
      <c r="E29" s="117"/>
      <c r="F29" s="351" t="s">
        <v>7348</v>
      </c>
      <c r="G29" s="180"/>
      <c r="H29" s="165" t="s">
        <v>7349</v>
      </c>
      <c r="I29" s="117"/>
      <c r="J29" s="117"/>
      <c r="K29" s="104" t="s">
        <v>7350</v>
      </c>
      <c r="L29" s="180"/>
      <c r="M29" s="163" t="s">
        <v>7351</v>
      </c>
      <c r="N29" s="164"/>
      <c r="O29" s="164"/>
      <c r="P29" s="352" t="str">
        <f>IFERROR(__xludf.DUMMYFUNCTION("GOOGLETRANSLATE(A29,""zh-tw"",""zh"")"),"意面")</f>
        <v>意面</v>
      </c>
      <c r="Q29" s="70"/>
      <c r="R29" s="73" t="str">
        <f>IFERROR(__xludf.DUMMYFUNCTION("GOOGLETRANSLATE(C29,""zh-tw"",""zh"")"),"意大利面")</f>
        <v>意大利面</v>
      </c>
      <c r="S29" s="73"/>
      <c r="T29" s="73"/>
      <c r="U29" s="351" t="str">
        <f>IFERROR(__xludf.DUMMYFUNCTION("GOOGLETRANSLATE(A29,""zh-tw"",""es-MX"")"),"pastas")</f>
        <v>pastas</v>
      </c>
      <c r="V29" s="348"/>
      <c r="W29" s="165" t="str">
        <f>IFERROR(__xludf.DUMMYFUNCTION("GOOGLETRANSLATE(C29,""zh-tw"",""es-MX"")"),"espaguetis")</f>
        <v>espaguetis</v>
      </c>
      <c r="X29" s="165"/>
      <c r="Y29" s="165"/>
      <c r="Z29" s="7" t="str">
        <f>IFERROR(__xludf.DUMMYFUNCTION("GOOGLETRANSLATE(A29,""zh-tw"",""KO"")"),"파스타")</f>
        <v>파스타</v>
      </c>
      <c r="AA29" s="349"/>
      <c r="AB29" s="164" t="str">
        <f>IFERROR(__xludf.DUMMYFUNCTION("GOOGLETRANSLATE(C29,""zh-tw"",""KO"")"),"스파게티")</f>
        <v>스파게티</v>
      </c>
      <c r="AC29" s="164"/>
      <c r="AD29" s="164"/>
      <c r="AE29" s="351" t="str">
        <f>IFERROR(__xludf.DUMMYFUNCTION("GOOGLETRANSLATE(A29,""zh-tw"",""ru"")"),"макароны")</f>
        <v>макароны</v>
      </c>
      <c r="AF29" s="348"/>
      <c r="AG29" s="165" t="str">
        <f>IFERROR(__xludf.DUMMYFUNCTION("GOOGLETRANSLATE(C29,""zh-tw"",""ru"")"),"спагетти")</f>
        <v>спагетти</v>
      </c>
      <c r="AH29" s="165"/>
      <c r="AI29" s="165"/>
      <c r="AJ29" s="353" t="s">
        <v>7352</v>
      </c>
      <c r="AK29" s="349"/>
      <c r="AL29" s="163" t="s">
        <v>7351</v>
      </c>
      <c r="AM29" s="164"/>
      <c r="AN29" s="164"/>
      <c r="AO29" s="149" t="s">
        <v>7350</v>
      </c>
      <c r="AP29" s="180"/>
      <c r="AQ29" s="164" t="s">
        <v>7353</v>
      </c>
      <c r="AR29" s="117"/>
      <c r="AS29" s="117"/>
      <c r="AT29" s="351" t="s">
        <v>7354</v>
      </c>
      <c r="AU29" s="185"/>
      <c r="AV29" s="164" t="s">
        <v>7355</v>
      </c>
      <c r="AW29" s="18"/>
      <c r="AX29" s="18"/>
      <c r="AY29" s="117"/>
      <c r="AZ29" s="117"/>
      <c r="BA29" s="117"/>
      <c r="BB29" s="117"/>
      <c r="BC29" s="117"/>
    </row>
    <row r="30">
      <c r="A30" s="351" t="s">
        <v>7356</v>
      </c>
      <c r="B30" s="180"/>
      <c r="C30" s="165" t="s">
        <v>7347</v>
      </c>
      <c r="D30" s="165" t="s">
        <v>7357</v>
      </c>
      <c r="E30" s="117"/>
      <c r="F30" s="351" t="s">
        <v>7358</v>
      </c>
      <c r="G30" s="180"/>
      <c r="H30" s="165" t="s">
        <v>7349</v>
      </c>
      <c r="I30" s="165" t="s">
        <v>7359</v>
      </c>
      <c r="J30" s="117"/>
      <c r="K30" s="104" t="s">
        <v>7360</v>
      </c>
      <c r="L30" s="180"/>
      <c r="M30" s="163" t="s">
        <v>7351</v>
      </c>
      <c r="N30" s="163" t="s">
        <v>7361</v>
      </c>
      <c r="O30" s="164"/>
      <c r="P30" s="352" t="str">
        <f>IFERROR(__xludf.DUMMYFUNCTION("GOOGLETRANSLATE(A30,""zh-tw"",""zh"")"),"番茄意面")</f>
        <v>番茄意面</v>
      </c>
      <c r="Q30" s="70"/>
      <c r="R30" s="73" t="str">
        <f>IFERROR(__xludf.DUMMYFUNCTION("GOOGLETRANSLATE(C30,""zh-tw"",""zh"")"),"意大利面")</f>
        <v>意大利面</v>
      </c>
      <c r="S30" s="73" t="str">
        <f>IFERROR(__xludf.DUMMYFUNCTION("GOOGLETRANSLATE(D30,""zh-tw"",""zh"")"),"番茄酱")</f>
        <v>番茄酱</v>
      </c>
      <c r="T30" s="73"/>
      <c r="U30" s="351" t="str">
        <f>IFERROR(__xludf.DUMMYFUNCTION("GOOGLETRANSLATE(A30,""zh-tw"",""es-MX"")"),"Pasta de tomate")</f>
        <v>Pasta de tomate</v>
      </c>
      <c r="V30" s="348"/>
      <c r="W30" s="165" t="str">
        <f>IFERROR(__xludf.DUMMYFUNCTION("GOOGLETRANSLATE(C30,""zh-tw"",""es-MX"")"),"espaguetis")</f>
        <v>espaguetis</v>
      </c>
      <c r="X30" s="165" t="str">
        <f>IFERROR(__xludf.DUMMYFUNCTION("GOOGLETRANSLATE(D30,""zh-tw"",""es-MX"")"),"salsa de tomate")</f>
        <v>salsa de tomate</v>
      </c>
      <c r="Y30" s="165"/>
      <c r="Z30" s="7" t="str">
        <f>IFERROR(__xludf.DUMMYFUNCTION("GOOGLETRANSLATE(A30,""zh-tw"",""KO"")"),"토마토 파스타")</f>
        <v>토마토 파스타</v>
      </c>
      <c r="AA30" s="349"/>
      <c r="AB30" s="164" t="str">
        <f>IFERROR(__xludf.DUMMYFUNCTION("GOOGLETRANSLATE(C30,""zh-tw"",""KO"")"),"스파게티")</f>
        <v>스파게티</v>
      </c>
      <c r="AC30" s="164" t="str">
        <f>IFERROR(__xludf.DUMMYFUNCTION("GOOGLETRANSLATE(D30,""zh-tw"",""KO"")"),"토마토 소스")</f>
        <v>토마토 소스</v>
      </c>
      <c r="AD30" s="164"/>
      <c r="AE30" s="351" t="str">
        <f>IFERROR(__xludf.DUMMYFUNCTION("GOOGLETRANSLATE(A30,""zh-tw"",""ru"")"),"Томатная паста")</f>
        <v>Томатная паста</v>
      </c>
      <c r="AF30" s="348"/>
      <c r="AG30" s="165" t="str">
        <f>IFERROR(__xludf.DUMMYFUNCTION("GOOGLETRANSLATE(C30,""zh-tw"",""ru"")"),"спагетти")</f>
        <v>спагетти</v>
      </c>
      <c r="AH30" s="165" t="str">
        <f>IFERROR(__xludf.DUMMYFUNCTION("GOOGLETRANSLATE(D30,""zh-tw"",""ru"")"),"Томатный соус")</f>
        <v>Томатный соус</v>
      </c>
      <c r="AI30" s="165"/>
      <c r="AJ30" s="353" t="s">
        <v>7362</v>
      </c>
      <c r="AK30" s="349"/>
      <c r="AL30" s="163" t="s">
        <v>7351</v>
      </c>
      <c r="AM30" s="163" t="s">
        <v>7363</v>
      </c>
      <c r="AN30" s="164"/>
      <c r="AO30" s="149" t="s">
        <v>7364</v>
      </c>
      <c r="AP30" s="180"/>
      <c r="AQ30" s="164" t="s">
        <v>7353</v>
      </c>
      <c r="AR30" s="164" t="s">
        <v>7365</v>
      </c>
      <c r="AS30" s="117"/>
      <c r="AT30" s="351" t="s">
        <v>7366</v>
      </c>
      <c r="AU30" s="185"/>
      <c r="AV30" s="164" t="s">
        <v>7355</v>
      </c>
      <c r="AW30" s="164" t="s">
        <v>7367</v>
      </c>
      <c r="AX30" s="18"/>
      <c r="AY30" s="117"/>
      <c r="AZ30" s="117"/>
      <c r="BA30" s="117"/>
      <c r="BB30" s="117"/>
      <c r="BC30" s="117"/>
    </row>
    <row r="31">
      <c r="A31" s="351" t="s">
        <v>7368</v>
      </c>
      <c r="B31" s="180"/>
      <c r="C31" s="165" t="s">
        <v>7347</v>
      </c>
      <c r="D31" s="165" t="s">
        <v>7369</v>
      </c>
      <c r="E31" s="117"/>
      <c r="F31" s="351" t="s">
        <v>7370</v>
      </c>
      <c r="G31" s="180"/>
      <c r="H31" s="165" t="s">
        <v>7349</v>
      </c>
      <c r="I31" s="165" t="s">
        <v>7371</v>
      </c>
      <c r="J31" s="117"/>
      <c r="K31" s="104" t="s">
        <v>7372</v>
      </c>
      <c r="L31" s="180"/>
      <c r="M31" s="163" t="s">
        <v>7351</v>
      </c>
      <c r="N31" s="163" t="s">
        <v>7373</v>
      </c>
      <c r="O31" s="164"/>
      <c r="P31" s="352" t="str">
        <f>IFERROR(__xludf.DUMMYFUNCTION("GOOGLETRANSLATE(A31,""zh-tw"",""zh"")"),"海鲜意面")</f>
        <v>海鲜意面</v>
      </c>
      <c r="Q31" s="70"/>
      <c r="R31" s="73" t="str">
        <f>IFERROR(__xludf.DUMMYFUNCTION("GOOGLETRANSLATE(C31,""zh-tw"",""zh"")"),"意大利面")</f>
        <v>意大利面</v>
      </c>
      <c r="S31" s="73" t="str">
        <f>IFERROR(__xludf.DUMMYFUNCTION("GOOGLETRANSLATE(D31,""zh-tw"",""zh"")"),"甜虾")</f>
        <v>甜虾</v>
      </c>
      <c r="T31" s="73"/>
      <c r="U31" s="351" t="str">
        <f>IFERROR(__xludf.DUMMYFUNCTION("GOOGLETRANSLATE(A31,""zh-tw"",""es-MX"")"),"Pasta con mariscos")</f>
        <v>Pasta con mariscos</v>
      </c>
      <c r="V31" s="348"/>
      <c r="W31" s="165" t="str">
        <f>IFERROR(__xludf.DUMMYFUNCTION("GOOGLETRANSLATE(C31,""zh-tw"",""es-MX"")"),"espaguetis")</f>
        <v>espaguetis</v>
      </c>
      <c r="X31" s="165" t="str">
        <f>IFERROR(__xludf.DUMMYFUNCTION("GOOGLETRANSLATE(D31,""zh-tw"",""es-MX"")"),"Camarones dulces")</f>
        <v>Camarones dulces</v>
      </c>
      <c r="Y31" s="165"/>
      <c r="Z31" s="7" t="str">
        <f>IFERROR(__xludf.DUMMYFUNCTION("GOOGLETRANSLATE(A31,""zh-tw"",""KO"")"),"해산물 파스타")</f>
        <v>해산물 파스타</v>
      </c>
      <c r="AA31" s="349"/>
      <c r="AB31" s="164" t="str">
        <f>IFERROR(__xludf.DUMMYFUNCTION("GOOGLETRANSLATE(C31,""zh-tw"",""KO"")"),"스파게티")</f>
        <v>스파게티</v>
      </c>
      <c r="AC31" s="163" t="s">
        <v>7374</v>
      </c>
      <c r="AD31" s="164"/>
      <c r="AE31" s="351" t="str">
        <f>IFERROR(__xludf.DUMMYFUNCTION("GOOGLETRANSLATE(A31,""zh-tw"",""ru"")"),"Паста с морепродуктами")</f>
        <v>Паста с морепродуктами</v>
      </c>
      <c r="AF31" s="348"/>
      <c r="AG31" s="165" t="str">
        <f>IFERROR(__xludf.DUMMYFUNCTION("GOOGLETRANSLATE(C31,""zh-tw"",""ru"")"),"спагетти")</f>
        <v>спагетти</v>
      </c>
      <c r="AH31" s="165" t="str">
        <f>IFERROR(__xludf.DUMMYFUNCTION("GOOGLETRANSLATE(D31,""zh-tw"",""ru"")"),"Сладкие креветки")</f>
        <v>Сладкие креветки</v>
      </c>
      <c r="AI31" s="165"/>
      <c r="AJ31" s="353" t="s">
        <v>7375</v>
      </c>
      <c r="AK31" s="349"/>
      <c r="AL31" s="163" t="s">
        <v>7351</v>
      </c>
      <c r="AM31" s="163" t="s">
        <v>7376</v>
      </c>
      <c r="AN31" s="164"/>
      <c r="AO31" s="149" t="s">
        <v>7377</v>
      </c>
      <c r="AP31" s="180"/>
      <c r="AQ31" s="164" t="s">
        <v>7353</v>
      </c>
      <c r="AR31" s="164" t="s">
        <v>7378</v>
      </c>
      <c r="AS31" s="117"/>
      <c r="AT31" s="351" t="s">
        <v>7379</v>
      </c>
      <c r="AU31" s="185"/>
      <c r="AV31" s="164" t="s">
        <v>7355</v>
      </c>
      <c r="AW31" s="164" t="s">
        <v>7380</v>
      </c>
      <c r="AX31" s="18"/>
      <c r="AY31" s="117"/>
      <c r="AZ31" s="117"/>
      <c r="BA31" s="117"/>
      <c r="BB31" s="117"/>
      <c r="BC31" s="117"/>
    </row>
    <row r="32">
      <c r="A32" s="351" t="s">
        <v>7381</v>
      </c>
      <c r="B32" s="180"/>
      <c r="C32" s="165" t="s">
        <v>7101</v>
      </c>
      <c r="D32" s="165" t="s">
        <v>7102</v>
      </c>
      <c r="E32" s="165" t="s">
        <v>4646</v>
      </c>
      <c r="F32" s="351" t="s">
        <v>7382</v>
      </c>
      <c r="G32" s="180"/>
      <c r="H32" s="165" t="s">
        <v>7104</v>
      </c>
      <c r="I32" s="165" t="s">
        <v>7105</v>
      </c>
      <c r="J32" s="165" t="s">
        <v>7383</v>
      </c>
      <c r="K32" s="102" t="s">
        <v>7384</v>
      </c>
      <c r="L32" s="180"/>
      <c r="M32" s="163" t="s">
        <v>7107</v>
      </c>
      <c r="N32" s="163" t="s">
        <v>7108</v>
      </c>
      <c r="O32" s="163" t="s">
        <v>4649</v>
      </c>
      <c r="P32" s="352" t="str">
        <f>IFERROR(__xludf.DUMMYFUNCTION("GOOGLETRANSLATE(A32,""zh-tw"",""zh"")"),"鸡蛋咖喱饭")</f>
        <v>鸡蛋咖喱饭</v>
      </c>
      <c r="Q32" s="70"/>
      <c r="R32" s="73" t="str">
        <f>IFERROR(__xludf.DUMMYFUNCTION("GOOGLETRANSLATE(C32,""zh-tw"",""zh"")"),"白米饭")</f>
        <v>白米饭</v>
      </c>
      <c r="S32" s="73" t="str">
        <f>IFERROR(__xludf.DUMMYFUNCTION("GOOGLETRANSLATE(D32,""zh-tw"",""zh"")"),"咖喱块")</f>
        <v>咖喱块</v>
      </c>
      <c r="T32" s="73" t="str">
        <f>IFERROR(__xludf.DUMMYFUNCTION("GOOGLETRANSLATE(E32,""zh-tw"",""zh"")"),"很大的蛋")</f>
        <v>很大的蛋</v>
      </c>
      <c r="U32" s="351" t="str">
        <f>IFERROR(__xludf.DUMMYFUNCTION("GOOGLETRANSLATE(A32,""zh-tw"",""es-MX"")"),"Arroz con curry de huevo")</f>
        <v>Arroz con curry de huevo</v>
      </c>
      <c r="V32" s="348"/>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7" t="str">
        <f>IFERROR(__xludf.DUMMYFUNCTION("GOOGLETRANSLATE(A32,""zh-tw"",""KO"")"),"계란 카레 라이스")</f>
        <v>계란 카레 라이스</v>
      </c>
      <c r="AA32" s="349"/>
      <c r="AB32" s="164" t="str">
        <f>IFERROR(__xludf.DUMMYFUNCTION("GOOGLETRANSLATE(C32,""zh-tw"",""KO"")"),"흰쌀")</f>
        <v>흰쌀</v>
      </c>
      <c r="AC32" s="163" t="s">
        <v>7109</v>
      </c>
      <c r="AD32" s="163" t="s">
        <v>4651</v>
      </c>
      <c r="AE32" s="351" t="str">
        <f>IFERROR(__xludf.DUMMYFUNCTION("GOOGLETRANSLATE(A32,""zh-tw"",""ru"")"),"Яичный карри с рисом")</f>
        <v>Яичный карри с рисом</v>
      </c>
      <c r="AF32" s="348"/>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53" t="s">
        <v>7385</v>
      </c>
      <c r="AK32" s="349"/>
      <c r="AL32" s="163" t="s">
        <v>7111</v>
      </c>
      <c r="AM32" s="163" t="s">
        <v>7112</v>
      </c>
      <c r="AN32" s="163" t="s">
        <v>7386</v>
      </c>
      <c r="AO32" s="149" t="s">
        <v>7387</v>
      </c>
      <c r="AP32" s="180"/>
      <c r="AQ32" s="164" t="s">
        <v>7114</v>
      </c>
      <c r="AR32" s="164" t="s">
        <v>7115</v>
      </c>
      <c r="AS32" s="164" t="s">
        <v>4656</v>
      </c>
      <c r="AT32" s="351" t="s">
        <v>7388</v>
      </c>
      <c r="AU32" s="185"/>
      <c r="AV32" s="164" t="s">
        <v>7117</v>
      </c>
      <c r="AW32" s="164" t="s">
        <v>7118</v>
      </c>
      <c r="AX32" s="164" t="s">
        <v>4658</v>
      </c>
      <c r="AY32" s="164"/>
      <c r="AZ32" s="164"/>
      <c r="BA32" s="164"/>
      <c r="BB32" s="164"/>
      <c r="BC32" s="164"/>
    </row>
    <row r="33">
      <c r="A33" s="351" t="s">
        <v>7389</v>
      </c>
      <c r="B33" s="180"/>
      <c r="C33" s="165" t="s">
        <v>7101</v>
      </c>
      <c r="D33" s="165" t="s">
        <v>4646</v>
      </c>
      <c r="E33" s="117"/>
      <c r="F33" s="351" t="s">
        <v>7390</v>
      </c>
      <c r="G33" s="180"/>
      <c r="H33" s="165" t="s">
        <v>7104</v>
      </c>
      <c r="I33" s="165" t="s">
        <v>7383</v>
      </c>
      <c r="J33" s="117"/>
      <c r="K33" s="104" t="s">
        <v>7391</v>
      </c>
      <c r="L33" s="180"/>
      <c r="M33" s="163" t="s">
        <v>7107</v>
      </c>
      <c r="N33" s="163" t="s">
        <v>7392</v>
      </c>
      <c r="O33" s="164"/>
      <c r="P33" s="352" t="str">
        <f>IFERROR(__xludf.DUMMYFUNCTION("GOOGLETRANSLATE(A33,""zh-tw"",""zh"")"),"蛋包饭")</f>
        <v>蛋包饭</v>
      </c>
      <c r="Q33" s="70"/>
      <c r="R33" s="73" t="str">
        <f>IFERROR(__xludf.DUMMYFUNCTION("GOOGLETRANSLATE(C33,""zh-tw"",""zh"")"),"白米饭")</f>
        <v>白米饭</v>
      </c>
      <c r="S33" s="73" t="str">
        <f>IFERROR(__xludf.DUMMYFUNCTION("GOOGLETRANSLATE(D33,""zh-tw"",""zh"")"),"很大的蛋")</f>
        <v>很大的蛋</v>
      </c>
      <c r="T33" s="73"/>
      <c r="U33" s="351" t="str">
        <f>IFERROR(__xludf.DUMMYFUNCTION("GOOGLETRANSLATE(A33,""zh-tw"",""es-MX"")"),"Arroz para tortilla")</f>
        <v>Arroz para tortilla</v>
      </c>
      <c r="V33" s="348"/>
      <c r="W33" s="165" t="str">
        <f>IFERROR(__xludf.DUMMYFUNCTION("GOOGLETRANSLATE(C33,""zh-tw"",""es-MX"")"),"arroz blanco")</f>
        <v>arroz blanco</v>
      </c>
      <c r="X33" s="165" t="str">
        <f>IFERROR(__xludf.DUMMYFUNCTION("GOOGLETRANSLATE(D33,""zh-tw"",""es-MX"")"),"Un huevo muy grande")</f>
        <v>Un huevo muy grande</v>
      </c>
      <c r="Y33" s="165"/>
      <c r="Z33" s="353" t="s">
        <v>7393</v>
      </c>
      <c r="AA33" s="349"/>
      <c r="AB33" s="164" t="str">
        <f>IFERROR(__xludf.DUMMYFUNCTION("GOOGLETRANSLATE(C33,""zh-tw"",""KO"")"),"흰쌀")</f>
        <v>흰쌀</v>
      </c>
      <c r="AC33" s="305" t="s">
        <v>4651</v>
      </c>
      <c r="AD33" s="164"/>
      <c r="AE33" s="351" t="str">
        <f>IFERROR(__xludf.DUMMYFUNCTION("GOOGLETRANSLATE(A33,""zh-tw"",""ru"")"),"Омлет с рисом")</f>
        <v>Омлет с рисом</v>
      </c>
      <c r="AF33" s="348"/>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53" t="s">
        <v>7394</v>
      </c>
      <c r="AK33" s="349"/>
      <c r="AL33" s="163" t="s">
        <v>7111</v>
      </c>
      <c r="AM33" s="163" t="s">
        <v>7386</v>
      </c>
      <c r="AN33" s="164"/>
      <c r="AO33" s="149" t="s">
        <v>7391</v>
      </c>
      <c r="AP33" s="180"/>
      <c r="AQ33" s="164" t="s">
        <v>7114</v>
      </c>
      <c r="AR33" s="164" t="s">
        <v>4656</v>
      </c>
      <c r="AS33" s="117"/>
      <c r="AT33" s="351" t="s">
        <v>7391</v>
      </c>
      <c r="AU33" s="185"/>
      <c r="AV33" s="164" t="s">
        <v>7117</v>
      </c>
      <c r="AW33" s="164" t="s">
        <v>4658</v>
      </c>
      <c r="AX33" s="18"/>
      <c r="AY33" s="117"/>
      <c r="AZ33" s="117"/>
      <c r="BA33" s="117"/>
      <c r="BB33" s="117"/>
      <c r="BC33" s="117"/>
    </row>
    <row r="34">
      <c r="A34" s="351" t="s">
        <v>7395</v>
      </c>
      <c r="B34" s="180"/>
      <c r="C34" s="165" t="s">
        <v>7101</v>
      </c>
      <c r="D34" s="165" t="s">
        <v>4646</v>
      </c>
      <c r="E34" s="165" t="s">
        <v>4907</v>
      </c>
      <c r="F34" s="351" t="s">
        <v>7396</v>
      </c>
      <c r="G34" s="180"/>
      <c r="H34" s="165" t="s">
        <v>7104</v>
      </c>
      <c r="I34" s="165" t="s">
        <v>7383</v>
      </c>
      <c r="J34" s="165" t="s">
        <v>7397</v>
      </c>
      <c r="K34" s="104" t="s">
        <v>7398</v>
      </c>
      <c r="L34" s="180"/>
      <c r="M34" s="163" t="s">
        <v>7107</v>
      </c>
      <c r="N34" s="163" t="s">
        <v>7392</v>
      </c>
      <c r="O34" s="163" t="s">
        <v>4909</v>
      </c>
      <c r="P34" s="352" t="str">
        <f>IFERROR(__xludf.DUMMYFUNCTION("GOOGLETRANSLATE(A34,""zh-tw"",""zh"")"),"番茄蛋包饭")</f>
        <v>番茄蛋包饭</v>
      </c>
      <c r="Q34" s="70"/>
      <c r="R34" s="73" t="str">
        <f>IFERROR(__xludf.DUMMYFUNCTION("GOOGLETRANSLATE(C34,""zh-tw"",""zh"")"),"白米饭")</f>
        <v>白米饭</v>
      </c>
      <c r="S34" s="73" t="str">
        <f>IFERROR(__xludf.DUMMYFUNCTION("GOOGLETRANSLATE(D34,""zh-tw"",""zh"")"),"很大的蛋")</f>
        <v>很大的蛋</v>
      </c>
      <c r="T34" s="73" t="str">
        <f>IFERROR(__xludf.DUMMYFUNCTION("GOOGLETRANSLATE(E34,""zh-tw"",""zh"")"),"番茄")</f>
        <v>番茄</v>
      </c>
      <c r="U34" s="351" t="str">
        <f>IFERROR(__xludf.DUMMYFUNCTION("GOOGLETRANSLATE(A34,""zh-tw"",""es-MX"")"),"Arroz con tortilla de tomate")</f>
        <v>Arroz con tortilla de tomate</v>
      </c>
      <c r="V34" s="348"/>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53" t="s">
        <v>7399</v>
      </c>
      <c r="AA34" s="349"/>
      <c r="AB34" s="164" t="str">
        <f>IFERROR(__xludf.DUMMYFUNCTION("GOOGLETRANSLATE(C34,""zh-tw"",""KO"")"),"흰쌀")</f>
        <v>흰쌀</v>
      </c>
      <c r="AC34" s="305" t="s">
        <v>4651</v>
      </c>
      <c r="AD34" s="164" t="str">
        <f>IFERROR(__xludf.DUMMYFUNCTION("GOOGLETRANSLATE(E34,""zh-tw"",""KO"")"),"토마토")</f>
        <v>토마토</v>
      </c>
      <c r="AE34" s="351" t="str">
        <f>IFERROR(__xludf.DUMMYFUNCTION("GOOGLETRANSLATE(A34,""zh-tw"",""ru"")"),"Омлет с томатным рисом")</f>
        <v>Омлет с томатным рисом</v>
      </c>
      <c r="AF34" s="348"/>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53" t="s">
        <v>7400</v>
      </c>
      <c r="AK34" s="349"/>
      <c r="AL34" s="163" t="s">
        <v>7111</v>
      </c>
      <c r="AM34" s="163" t="s">
        <v>7386</v>
      </c>
      <c r="AN34" s="163" t="s">
        <v>7401</v>
      </c>
      <c r="AO34" s="149" t="s">
        <v>7402</v>
      </c>
      <c r="AP34" s="180"/>
      <c r="AQ34" s="164" t="s">
        <v>7114</v>
      </c>
      <c r="AR34" s="164" t="s">
        <v>4656</v>
      </c>
      <c r="AS34" s="164" t="s">
        <v>4913</v>
      </c>
      <c r="AT34" s="351" t="s">
        <v>7403</v>
      </c>
      <c r="AU34" s="185"/>
      <c r="AV34" s="164" t="s">
        <v>7117</v>
      </c>
      <c r="AW34" s="164" t="s">
        <v>4658</v>
      </c>
      <c r="AX34" s="164" t="s">
        <v>4909</v>
      </c>
      <c r="AY34" s="164"/>
      <c r="AZ34" s="164"/>
      <c r="BA34" s="164"/>
      <c r="BB34" s="164"/>
      <c r="BC34" s="164"/>
    </row>
    <row r="35">
      <c r="A35" s="351" t="s">
        <v>7404</v>
      </c>
      <c r="B35" s="180"/>
      <c r="C35" s="165" t="s">
        <v>7101</v>
      </c>
      <c r="D35" s="165" t="s">
        <v>7405</v>
      </c>
      <c r="E35" s="117"/>
      <c r="F35" s="351" t="s">
        <v>7406</v>
      </c>
      <c r="G35" s="180"/>
      <c r="H35" s="165" t="s">
        <v>7104</v>
      </c>
      <c r="I35" s="165" t="s">
        <v>7407</v>
      </c>
      <c r="J35" s="117"/>
      <c r="K35" s="104" t="s">
        <v>7408</v>
      </c>
      <c r="L35" s="180"/>
      <c r="M35" s="163" t="s">
        <v>7107</v>
      </c>
      <c r="N35" s="163" t="s">
        <v>7373</v>
      </c>
      <c r="O35" s="164"/>
      <c r="P35" s="352" t="str">
        <f>IFERROR(__xludf.DUMMYFUNCTION("GOOGLETRANSLATE(A35,""zh-tw"",""zh"")"),"海鲜炖饭")</f>
        <v>海鲜炖饭</v>
      </c>
      <c r="Q35" s="70"/>
      <c r="R35" s="73" t="str">
        <f>IFERROR(__xludf.DUMMYFUNCTION("GOOGLETRANSLATE(C35,""zh-tw"",""zh"")"),"白米饭")</f>
        <v>白米饭</v>
      </c>
      <c r="S35" s="73" t="str">
        <f>IFERROR(__xludf.DUMMYFUNCTION("GOOGLETRANSLATE(D35,""zh-tw"",""zh"")"),"大龙虾")</f>
        <v>大龙虾</v>
      </c>
      <c r="T35" s="73"/>
      <c r="U35" s="351" t="str">
        <f>IFERROR(__xludf.DUMMYFUNCTION("GOOGLETRANSLATE(A35,""zh-tw"",""es-MX"")"),"Risotto de mariscos")</f>
        <v>Risotto de mariscos</v>
      </c>
      <c r="V35" s="348"/>
      <c r="W35" s="165" t="str">
        <f>IFERROR(__xludf.DUMMYFUNCTION("GOOGLETRANSLATE(C35,""zh-tw"",""es-MX"")"),"arroz blanco")</f>
        <v>arroz blanco</v>
      </c>
      <c r="X35" s="165" t="str">
        <f>IFERROR(__xludf.DUMMYFUNCTION("GOOGLETRANSLATE(D35,""zh-tw"",""es-MX"")"),"Langosta")</f>
        <v>Langosta</v>
      </c>
      <c r="Y35" s="165"/>
      <c r="Z35" s="7" t="str">
        <f>IFERROR(__xludf.DUMMYFUNCTION("GOOGLETRANSLATE(A35,""zh-tw"",""KO"")"),"해산물 리조또")</f>
        <v>해산물 리조또</v>
      </c>
      <c r="AA35" s="349"/>
      <c r="AB35" s="164" t="str">
        <f>IFERROR(__xludf.DUMMYFUNCTION("GOOGLETRANSLATE(C35,""zh-tw"",""KO"")"),"흰쌀")</f>
        <v>흰쌀</v>
      </c>
      <c r="AC35" s="163" t="s">
        <v>7409</v>
      </c>
      <c r="AD35" s="164"/>
      <c r="AE35" s="351" t="str">
        <f>IFERROR(__xludf.DUMMYFUNCTION("GOOGLETRANSLATE(A35,""zh-tw"",""ru"")"),"Ризотто с морепродуктами")</f>
        <v>Ризотто с морепродуктами</v>
      </c>
      <c r="AF35" s="348"/>
      <c r="AG35" s="165" t="str">
        <f>IFERROR(__xludf.DUMMYFUNCTION("GOOGLETRANSLATE(C35,""zh-tw"",""ru"")"),"Белый рис")</f>
        <v>Белый рис</v>
      </c>
      <c r="AH35" s="165" t="str">
        <f>IFERROR(__xludf.DUMMYFUNCTION("GOOGLETRANSLATE(D35,""zh-tw"",""ru"")"),"Омар")</f>
        <v>Омар</v>
      </c>
      <c r="AI35" s="165"/>
      <c r="AJ35" s="353" t="s">
        <v>7410</v>
      </c>
      <c r="AK35" s="349"/>
      <c r="AL35" s="163" t="s">
        <v>7111</v>
      </c>
      <c r="AM35" s="163" t="s">
        <v>7411</v>
      </c>
      <c r="AN35" s="164"/>
      <c r="AO35" s="149" t="s">
        <v>7412</v>
      </c>
      <c r="AP35" s="180"/>
      <c r="AQ35" s="164" t="s">
        <v>7114</v>
      </c>
      <c r="AR35" s="164" t="s">
        <v>7378</v>
      </c>
      <c r="AS35" s="117"/>
      <c r="AT35" s="351" t="s">
        <v>7413</v>
      </c>
      <c r="AU35" s="185"/>
      <c r="AV35" s="164" t="s">
        <v>7117</v>
      </c>
      <c r="AW35" s="164" t="s">
        <v>7380</v>
      </c>
      <c r="AX35" s="18"/>
      <c r="AY35" s="117"/>
      <c r="AZ35" s="117"/>
      <c r="BA35" s="117"/>
      <c r="BB35" s="117"/>
      <c r="BC35" s="117"/>
    </row>
    <row r="36">
      <c r="A36" s="351" t="s">
        <v>7414</v>
      </c>
      <c r="B36" s="180"/>
      <c r="C36" s="165" t="s">
        <v>7415</v>
      </c>
      <c r="D36" s="117"/>
      <c r="E36" s="117"/>
      <c r="F36" s="351" t="s">
        <v>7416</v>
      </c>
      <c r="G36" s="180"/>
      <c r="H36" s="165" t="s">
        <v>7417</v>
      </c>
      <c r="I36" s="117"/>
      <c r="J36" s="117"/>
      <c r="K36" s="102" t="s">
        <v>7418</v>
      </c>
      <c r="L36" s="180"/>
      <c r="M36" s="163" t="s">
        <v>7419</v>
      </c>
      <c r="N36" s="164"/>
      <c r="O36" s="164"/>
      <c r="P36" s="352" t="str">
        <f>IFERROR(__xludf.DUMMYFUNCTION("GOOGLETRANSLATE(A36,""zh-tw"",""zh"")"),"菠萝饮")</f>
        <v>菠萝饮</v>
      </c>
      <c r="Q36" s="70"/>
      <c r="R36" s="73" t="str">
        <f>IFERROR(__xludf.DUMMYFUNCTION("GOOGLETRANSLATE(C36,""zh-tw"",""zh"")"),"菠萝")</f>
        <v>菠萝</v>
      </c>
      <c r="S36" s="73"/>
      <c r="T36" s="73"/>
      <c r="U36" s="351" t="str">
        <f>IFERROR(__xludf.DUMMYFUNCTION("GOOGLETRANSLATE(A36,""zh-tw"",""es-MX"")"),"Bebida de piña")</f>
        <v>Bebida de piña</v>
      </c>
      <c r="V36" s="348"/>
      <c r="W36" s="165" t="str">
        <f>IFERROR(__xludf.DUMMYFUNCTION("GOOGLETRANSLATE(C36,""zh-tw"",""es-MX"")"),"Piña")</f>
        <v>Piña</v>
      </c>
      <c r="X36" s="165"/>
      <c r="Y36" s="165"/>
      <c r="Z36" s="353" t="s">
        <v>7420</v>
      </c>
      <c r="AA36" s="349"/>
      <c r="AB36" s="164" t="str">
        <f>IFERROR(__xludf.DUMMYFUNCTION("GOOGLETRANSLATE(C36,""zh-tw"",""KO"")"),"파인애플")</f>
        <v>파인애플</v>
      </c>
      <c r="AC36" s="164"/>
      <c r="AD36" s="164"/>
      <c r="AE36" s="351" t="str">
        <f>IFERROR(__xludf.DUMMYFUNCTION("GOOGLETRANSLATE(A36,""zh-tw"",""ru"")"),"Ананасовый напиток")</f>
        <v>Ананасовый напиток</v>
      </c>
      <c r="AF36" s="348"/>
      <c r="AG36" s="165" t="str">
        <f>IFERROR(__xludf.DUMMYFUNCTION("GOOGLETRANSLATE(C36,""zh-tw"",""ru"")"),"Ананас")</f>
        <v>Ананас</v>
      </c>
      <c r="AH36" s="165"/>
      <c r="AI36" s="165"/>
      <c r="AJ36" s="353" t="s">
        <v>7421</v>
      </c>
      <c r="AK36" s="349"/>
      <c r="AL36" s="163" t="s">
        <v>7422</v>
      </c>
      <c r="AM36" s="164"/>
      <c r="AN36" s="164"/>
      <c r="AO36" s="149" t="s">
        <v>7423</v>
      </c>
      <c r="AP36" s="180"/>
      <c r="AQ36" s="164" t="s">
        <v>7424</v>
      </c>
      <c r="AR36" s="117"/>
      <c r="AS36" s="117"/>
      <c r="AT36" s="351" t="s">
        <v>7425</v>
      </c>
      <c r="AU36" s="185"/>
      <c r="AV36" s="164" t="s">
        <v>7426</v>
      </c>
      <c r="AW36" s="18"/>
      <c r="AX36" s="18"/>
      <c r="AY36" s="117"/>
      <c r="AZ36" s="117"/>
      <c r="BA36" s="117"/>
      <c r="BB36" s="117"/>
      <c r="BC36" s="117"/>
    </row>
    <row r="37">
      <c r="A37" s="354" t="s">
        <v>7427</v>
      </c>
      <c r="B37" s="180"/>
      <c r="C37" s="165" t="s">
        <v>7320</v>
      </c>
      <c r="D37" s="165" t="s">
        <v>7320</v>
      </c>
      <c r="E37" s="117"/>
      <c r="F37" s="351" t="s">
        <v>7428</v>
      </c>
      <c r="G37" s="180"/>
      <c r="H37" s="165" t="s">
        <v>7429</v>
      </c>
      <c r="I37" s="165" t="s">
        <v>7429</v>
      </c>
      <c r="J37" s="117"/>
      <c r="K37" s="104" t="s">
        <v>7430</v>
      </c>
      <c r="L37" s="180"/>
      <c r="M37" s="163" t="s">
        <v>7431</v>
      </c>
      <c r="N37" s="163" t="s">
        <v>7431</v>
      </c>
      <c r="O37" s="164"/>
      <c r="P37" s="352" t="str">
        <f>IFERROR(__xludf.DUMMYFUNCTION("GOOGLETRANSLATE(A37,""zh-tw"",""zh"")"),"冲绳杂炒")</f>
        <v>冲绳杂炒</v>
      </c>
      <c r="Q37" s="70"/>
      <c r="R37" s="73" t="str">
        <f>IFERROR(__xludf.DUMMYFUNCTION("GOOGLETRANSLATE(C37,""zh-tw"",""zh"")"),"蔬菜")</f>
        <v>蔬菜</v>
      </c>
      <c r="S37" s="73" t="str">
        <f>IFERROR(__xludf.DUMMYFUNCTION("GOOGLETRANSLATE(D37,""zh-tw"",""zh"")"),"蔬菜")</f>
        <v>蔬菜</v>
      </c>
      <c r="T37" s="73"/>
      <c r="U37" s="351" t="str">
        <f>IFERROR(__xludf.DUMMYFUNCTION("GOOGLETRANSLATE(A37,""zh-tw"",""es-MX"")"),"Salteado de Okinawa")</f>
        <v>Salteado de Okinawa</v>
      </c>
      <c r="V37" s="348"/>
      <c r="W37" s="165" t="str">
        <f>IFERROR(__xludf.DUMMYFUNCTION("GOOGLETRANSLATE(C37,""zh-tw"",""es-MX"")"),"verdura")</f>
        <v>verdura</v>
      </c>
      <c r="X37" s="165" t="str">
        <f>IFERROR(__xludf.DUMMYFUNCTION("GOOGLETRANSLATE(D37,""zh-tw"",""es-MX"")"),"verdura")</f>
        <v>verdura</v>
      </c>
      <c r="Y37" s="165"/>
      <c r="Z37" s="353" t="s">
        <v>7432</v>
      </c>
      <c r="AA37" s="349"/>
      <c r="AB37" s="164" t="str">
        <f>IFERROR(__xludf.DUMMYFUNCTION("GOOGLETRANSLATE(C37,""zh-tw"",""KO"")"),"채소")</f>
        <v>채소</v>
      </c>
      <c r="AC37" s="164" t="str">
        <f>IFERROR(__xludf.DUMMYFUNCTION("GOOGLETRANSLATE(D37,""zh-tw"",""KO"")"),"채소")</f>
        <v>채소</v>
      </c>
      <c r="AD37" s="164"/>
      <c r="AE37" s="351" t="str">
        <f>IFERROR(__xludf.DUMMYFUNCTION("GOOGLETRANSLATE(A37,""zh-tw"",""ru"")"),"Окинавское жаркое")</f>
        <v>Окинавское жаркое</v>
      </c>
      <c r="AF37" s="348"/>
      <c r="AG37" s="165" t="str">
        <f>IFERROR(__xludf.DUMMYFUNCTION("GOOGLETRANSLATE(C37,""zh-tw"",""ru"")"),"овощ")</f>
        <v>овощ</v>
      </c>
      <c r="AH37" s="165" t="str">
        <f>IFERROR(__xludf.DUMMYFUNCTION("GOOGLETRANSLATE(D37,""zh-tw"",""ru"")"),"овощ")</f>
        <v>овощ</v>
      </c>
      <c r="AI37" s="165"/>
      <c r="AJ37" s="353" t="s">
        <v>7433</v>
      </c>
      <c r="AK37" s="349"/>
      <c r="AL37" s="163" t="s">
        <v>7326</v>
      </c>
      <c r="AM37" s="163" t="s">
        <v>7326</v>
      </c>
      <c r="AN37" s="164"/>
      <c r="AO37" s="154" t="s">
        <v>7434</v>
      </c>
      <c r="AP37" s="180"/>
      <c r="AQ37" s="164" t="s">
        <v>7435</v>
      </c>
      <c r="AR37" s="164" t="s">
        <v>7435</v>
      </c>
      <c r="AS37" s="117"/>
      <c r="AT37" s="351" t="s">
        <v>7436</v>
      </c>
      <c r="AU37" s="185"/>
      <c r="AV37" s="164" t="s">
        <v>7437</v>
      </c>
      <c r="AW37" s="164" t="s">
        <v>7437</v>
      </c>
      <c r="AX37" s="18"/>
      <c r="AY37" s="117"/>
      <c r="AZ37" s="117"/>
      <c r="BA37" s="117"/>
      <c r="BB37" s="117"/>
      <c r="BC37" s="117"/>
    </row>
    <row r="38">
      <c r="A38" s="351" t="s">
        <v>7438</v>
      </c>
      <c r="B38" s="340" t="s">
        <v>239</v>
      </c>
      <c r="C38" s="165" t="s">
        <v>7439</v>
      </c>
      <c r="D38" s="165" t="s">
        <v>7439</v>
      </c>
      <c r="E38" s="165" t="s">
        <v>7121</v>
      </c>
      <c r="F38" s="351" t="s">
        <v>7440</v>
      </c>
      <c r="G38" s="340" t="s">
        <v>239</v>
      </c>
      <c r="H38" s="165" t="s">
        <v>7441</v>
      </c>
      <c r="I38" s="165" t="s">
        <v>7441</v>
      </c>
      <c r="J38" s="165" t="s">
        <v>7124</v>
      </c>
      <c r="K38" s="102" t="s">
        <v>7442</v>
      </c>
      <c r="L38" s="340" t="s">
        <v>239</v>
      </c>
      <c r="M38" s="163" t="s">
        <v>7443</v>
      </c>
      <c r="N38" s="163" t="s">
        <v>7443</v>
      </c>
      <c r="O38" s="163" t="s">
        <v>7127</v>
      </c>
      <c r="P38" s="352" t="str">
        <f>IFERROR(__xludf.DUMMYFUNCTION("GOOGLETRANSLATE(A38,""zh-tw"",""zh"")"),"炸鸡桶")</f>
        <v>炸鸡桶</v>
      </c>
      <c r="Q38" s="70" t="str">
        <f>IFERROR(__xludf.DUMMYFUNCTION("GOOGLETRANSLATE(B38,""zh-tw"",""zh"")"),"A")</f>
        <v>A</v>
      </c>
      <c r="R38" s="73" t="str">
        <f>IFERROR(__xludf.DUMMYFUNCTION("GOOGLETRANSLATE(C38,""zh-tw"",""zh"")"),"鸡腿肉")</f>
        <v>鸡腿肉</v>
      </c>
      <c r="S38" s="73" t="str">
        <f>IFERROR(__xludf.DUMMYFUNCTION("GOOGLETRANSLATE(D38,""zh-tw"",""zh"")"),"鸡腿肉")</f>
        <v>鸡腿肉</v>
      </c>
      <c r="T38" s="73" t="str">
        <f>IFERROR(__xludf.DUMMYFUNCTION("GOOGLETRANSLATE(E38,""zh-tw"",""zh"")"),"小麦粉")</f>
        <v>小麦粉</v>
      </c>
      <c r="U38" s="351" t="str">
        <f>IFERROR(__xludf.DUMMYFUNCTION("GOOGLETRANSLATE(A38,""zh-tw"",""es-MX"")"),"Cubo de pollo frito")</f>
        <v>Cubo de pollo frito</v>
      </c>
      <c r="V38" s="348"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53" t="s">
        <v>7444</v>
      </c>
      <c r="AA38" s="356" t="s">
        <v>239</v>
      </c>
      <c r="AB38" s="163" t="s">
        <v>7445</v>
      </c>
      <c r="AC38" s="163" t="s">
        <v>7445</v>
      </c>
      <c r="AD38" s="164" t="str">
        <f>IFERROR(__xludf.DUMMYFUNCTION("GOOGLETRANSLATE(E38,""zh-tw"",""KO"")"),"밀가루")</f>
        <v>밀가루</v>
      </c>
      <c r="AE38" s="351" t="str">
        <f>IFERROR(__xludf.DUMMYFUNCTION("GOOGLETRANSLATE(A38,""zh-tw"",""ru"")"),"Ведро жареной курицы")</f>
        <v>Ведро жареной курицы</v>
      </c>
      <c r="AF38" s="348"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53" t="s">
        <v>7446</v>
      </c>
      <c r="AK38" s="349" t="s">
        <v>239</v>
      </c>
      <c r="AL38" s="163" t="s">
        <v>7447</v>
      </c>
      <c r="AM38" s="163" t="s">
        <v>7447</v>
      </c>
      <c r="AN38" s="163" t="s">
        <v>7130</v>
      </c>
      <c r="AO38" s="149" t="s">
        <v>7448</v>
      </c>
      <c r="AP38" s="340" t="s">
        <v>239</v>
      </c>
      <c r="AQ38" s="164" t="s">
        <v>7449</v>
      </c>
      <c r="AR38" s="164" t="s">
        <v>7449</v>
      </c>
      <c r="AS38" s="164" t="s">
        <v>7133</v>
      </c>
      <c r="AT38" s="351" t="s">
        <v>7450</v>
      </c>
      <c r="AU38" s="340" t="s">
        <v>239</v>
      </c>
      <c r="AV38" s="164" t="s">
        <v>7451</v>
      </c>
      <c r="AW38" s="164" t="s">
        <v>7451</v>
      </c>
      <c r="AX38" s="164" t="s">
        <v>7136</v>
      </c>
      <c r="AY38" s="164"/>
      <c r="AZ38" s="164"/>
      <c r="BA38" s="164"/>
      <c r="BB38" s="164"/>
      <c r="BC38" s="164"/>
    </row>
    <row r="39">
      <c r="A39" s="354" t="s">
        <v>7452</v>
      </c>
      <c r="B39" s="340" t="s">
        <v>239</v>
      </c>
      <c r="C39" s="165" t="s">
        <v>7439</v>
      </c>
      <c r="D39" s="117"/>
      <c r="E39" s="117"/>
      <c r="F39" s="351" t="s">
        <v>7453</v>
      </c>
      <c r="G39" s="340" t="s">
        <v>239</v>
      </c>
      <c r="H39" s="165" t="s">
        <v>7441</v>
      </c>
      <c r="I39" s="117"/>
      <c r="J39" s="117"/>
      <c r="K39" s="104" t="s">
        <v>7454</v>
      </c>
      <c r="L39" s="340" t="s">
        <v>239</v>
      </c>
      <c r="M39" s="163" t="s">
        <v>7443</v>
      </c>
      <c r="N39" s="164"/>
      <c r="O39" s="164"/>
      <c r="P39" s="352" t="str">
        <f>IFERROR(__xludf.DUMMYFUNCTION("GOOGLETRANSLATE(A39,""zh-tw"",""zh"")"),"炸鸡腿")</f>
        <v>炸鸡腿</v>
      </c>
      <c r="Q39" s="70" t="str">
        <f>IFERROR(__xludf.DUMMYFUNCTION("GOOGLETRANSLATE(B39,""zh-tw"",""zh"")"),"A")</f>
        <v>A</v>
      </c>
      <c r="R39" s="73" t="str">
        <f>IFERROR(__xludf.DUMMYFUNCTION("GOOGLETRANSLATE(C39,""zh-tw"",""zh"")"),"鸡腿肉")</f>
        <v>鸡腿肉</v>
      </c>
      <c r="S39" s="73"/>
      <c r="T39" s="73"/>
      <c r="U39" s="351" t="str">
        <f>IFERROR(__xludf.DUMMYFUNCTION("GOOGLETRANSLATE(A39,""zh-tw"",""es-MX"")"),"Piernas de pollo fritas")</f>
        <v>Piernas de pollo fritas</v>
      </c>
      <c r="V39" s="348" t="str">
        <f>IFERROR(__xludf.DUMMYFUNCTION("GOOGLETRANSLATE(B39,""zh-tw"",""es-MX"")"),"A")</f>
        <v>A</v>
      </c>
      <c r="W39" s="165" t="str">
        <f>IFERROR(__xludf.DUMMYFUNCTION("GOOGLETRANSLATE(C39,""zh-tw"",""es-MX"")"),"Carne de muslo de pollo")</f>
        <v>Carne de muslo de pollo</v>
      </c>
      <c r="X39" s="165"/>
      <c r="Y39" s="165"/>
      <c r="Z39" s="7" t="str">
        <f>IFERROR(__xludf.DUMMYFUNCTION("GOOGLETRANSLATE(A39,""zh-tw"",""KO"")"),"튀긴 닭다리")</f>
        <v>튀긴 닭다리</v>
      </c>
      <c r="AA39" s="356" t="s">
        <v>239</v>
      </c>
      <c r="AB39" s="163" t="s">
        <v>7445</v>
      </c>
      <c r="AC39" s="164"/>
      <c r="AD39" s="164"/>
      <c r="AE39" s="351" t="str">
        <f>IFERROR(__xludf.DUMMYFUNCTION("GOOGLETRANSLATE(A39,""zh-tw"",""ru"")"),"Жареные куриные ножки")</f>
        <v>Жареные куриные ножки</v>
      </c>
      <c r="AF39" s="348" t="str">
        <f>IFERROR(__xludf.DUMMYFUNCTION("GOOGLETRANSLATE(L39,""zh-tw"",""es-MX"")"),"A")</f>
        <v>A</v>
      </c>
      <c r="AG39" s="165" t="str">
        <f>IFERROR(__xludf.DUMMYFUNCTION("GOOGLETRANSLATE(C39,""zh-tw"",""ru"")"),"Мясо куриного бедра")</f>
        <v>Мясо куриного бедра</v>
      </c>
      <c r="AH39" s="165"/>
      <c r="AI39" s="165"/>
      <c r="AJ39" s="353" t="s">
        <v>7455</v>
      </c>
      <c r="AK39" s="349" t="s">
        <v>239</v>
      </c>
      <c r="AL39" s="163" t="s">
        <v>7447</v>
      </c>
      <c r="AM39" s="164"/>
      <c r="AN39" s="164"/>
      <c r="AO39" s="154" t="s">
        <v>7456</v>
      </c>
      <c r="AP39" s="340" t="s">
        <v>239</v>
      </c>
      <c r="AQ39" s="164" t="s">
        <v>7449</v>
      </c>
      <c r="AR39" s="117"/>
      <c r="AS39" s="117"/>
      <c r="AT39" s="351" t="s">
        <v>7457</v>
      </c>
      <c r="AU39" s="340" t="s">
        <v>239</v>
      </c>
      <c r="AV39" s="164" t="s">
        <v>7451</v>
      </c>
      <c r="AW39" s="18"/>
      <c r="AX39" s="18"/>
      <c r="AY39" s="117"/>
      <c r="AZ39" s="117"/>
      <c r="BA39" s="117"/>
      <c r="BB39" s="117"/>
      <c r="BC39" s="117"/>
    </row>
    <row r="40">
      <c r="A40" s="351" t="s">
        <v>7458</v>
      </c>
      <c r="B40" s="340" t="s">
        <v>239</v>
      </c>
      <c r="C40" s="165" t="s">
        <v>7101</v>
      </c>
      <c r="D40" s="165" t="s">
        <v>7439</v>
      </c>
      <c r="E40" s="117"/>
      <c r="F40" s="351" t="s">
        <v>7459</v>
      </c>
      <c r="G40" s="340" t="s">
        <v>239</v>
      </c>
      <c r="H40" s="165" t="s">
        <v>7104</v>
      </c>
      <c r="I40" s="165" t="s">
        <v>7441</v>
      </c>
      <c r="J40" s="117"/>
      <c r="K40" s="104" t="s">
        <v>7460</v>
      </c>
      <c r="L40" s="340" t="s">
        <v>239</v>
      </c>
      <c r="M40" s="163" t="s">
        <v>7233</v>
      </c>
      <c r="N40" s="163" t="s">
        <v>7443</v>
      </c>
      <c r="O40" s="164"/>
      <c r="P40" s="352" t="str">
        <f>IFERROR(__xludf.DUMMYFUNCTION("GOOGLETRANSLATE(A40,""zh-tw"",""zh"")"),"天妇罗饭团")</f>
        <v>天妇罗饭团</v>
      </c>
      <c r="Q40" s="70" t="str">
        <f>IFERROR(__xludf.DUMMYFUNCTION("GOOGLETRANSLATE(B40,""zh-tw"",""zh"")"),"A")</f>
        <v>A</v>
      </c>
      <c r="R40" s="73" t="str">
        <f>IFERROR(__xludf.DUMMYFUNCTION("GOOGLETRANSLATE(C40,""zh-tw"",""zh"")"),"白米饭")</f>
        <v>白米饭</v>
      </c>
      <c r="S40" s="73" t="str">
        <f>IFERROR(__xludf.DUMMYFUNCTION("GOOGLETRANSLATE(D40,""zh-tw"",""zh"")"),"鸡腿肉")</f>
        <v>鸡腿肉</v>
      </c>
      <c r="T40" s="73"/>
      <c r="U40" s="351" t="str">
        <f>IFERROR(__xludf.DUMMYFUNCTION("GOOGLETRANSLATE(A40,""zh-tw"",""es-MX"")"),"Bola de arroz tempura")</f>
        <v>Bola de arroz tempura</v>
      </c>
      <c r="V40" s="348"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53" t="s">
        <v>7461</v>
      </c>
      <c r="AA40" s="356" t="s">
        <v>239</v>
      </c>
      <c r="AB40" s="164" t="str">
        <f>IFERROR(__xludf.DUMMYFUNCTION("GOOGLETRANSLATE(C40,""zh-tw"",""KO"")"),"흰쌀")</f>
        <v>흰쌀</v>
      </c>
      <c r="AC40" s="163" t="s">
        <v>7445</v>
      </c>
      <c r="AD40" s="164"/>
      <c r="AE40" s="351" t="str">
        <f>IFERROR(__xludf.DUMMYFUNCTION("GOOGLETRANSLATE(A40,""zh-tw"",""ru"")"),"Рисовые шарики темпура")</f>
        <v>Рисовые шарики темпура</v>
      </c>
      <c r="AF40" s="348"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53" t="s">
        <v>7462</v>
      </c>
      <c r="AK40" s="349" t="s">
        <v>239</v>
      </c>
      <c r="AL40" s="163" t="s">
        <v>7111</v>
      </c>
      <c r="AM40" s="163" t="s">
        <v>7447</v>
      </c>
      <c r="AN40" s="164"/>
      <c r="AO40" s="149" t="s">
        <v>7460</v>
      </c>
      <c r="AP40" s="340" t="s">
        <v>239</v>
      </c>
      <c r="AQ40" s="164" t="s">
        <v>7114</v>
      </c>
      <c r="AR40" s="164" t="s">
        <v>7449</v>
      </c>
      <c r="AS40" s="117"/>
      <c r="AT40" s="351" t="s">
        <v>7460</v>
      </c>
      <c r="AU40" s="340" t="s">
        <v>239</v>
      </c>
      <c r="AV40" s="164" t="s">
        <v>7117</v>
      </c>
      <c r="AW40" s="164" t="s">
        <v>7451</v>
      </c>
      <c r="AX40" s="18"/>
      <c r="AY40" s="117"/>
      <c r="AZ40" s="117"/>
      <c r="BA40" s="117"/>
      <c r="BB40" s="117"/>
      <c r="BC40" s="117"/>
    </row>
    <row r="41">
      <c r="A41" s="351" t="s">
        <v>7463</v>
      </c>
      <c r="B41" s="180"/>
      <c r="C41" s="165" t="s">
        <v>7464</v>
      </c>
      <c r="D41" s="165" t="s">
        <v>7464</v>
      </c>
      <c r="E41" s="165" t="s">
        <v>7464</v>
      </c>
      <c r="F41" s="351" t="s">
        <v>7465</v>
      </c>
      <c r="G41" s="357"/>
      <c r="H41" s="165" t="s">
        <v>7407</v>
      </c>
      <c r="I41" s="165" t="s">
        <v>7407</v>
      </c>
      <c r="J41" s="165" t="s">
        <v>7407</v>
      </c>
      <c r="K41" s="104" t="s">
        <v>7466</v>
      </c>
      <c r="L41" s="180"/>
      <c r="M41" s="163" t="s">
        <v>7467</v>
      </c>
      <c r="N41" s="163" t="s">
        <v>7467</v>
      </c>
      <c r="O41" s="163" t="s">
        <v>7467</v>
      </c>
      <c r="P41" s="352" t="str">
        <f>IFERROR(__xludf.DUMMYFUNCTION("GOOGLETRANSLATE(A41,""zh-tw"",""zh"")"),"焗龙虾")</f>
        <v>焗龙虾</v>
      </c>
      <c r="Q41" s="70"/>
      <c r="R41" s="73" t="str">
        <f>IFERROR(__xludf.DUMMYFUNCTION("GOOGLETRANSLATE(C41,""zh-tw"",""zh"")"),"龙虾")</f>
        <v>龙虾</v>
      </c>
      <c r="S41" s="73" t="str">
        <f>IFERROR(__xludf.DUMMYFUNCTION("GOOGLETRANSLATE(D41,""zh-tw"",""zh"")"),"龙虾")</f>
        <v>龙虾</v>
      </c>
      <c r="T41" s="73" t="str">
        <f>IFERROR(__xludf.DUMMYFUNCTION("GOOGLETRANSLATE(E41,""zh-tw"",""zh"")"),"龙虾")</f>
        <v>龙虾</v>
      </c>
      <c r="U41" s="351" t="str">
        <f>IFERROR(__xludf.DUMMYFUNCTION("GOOGLETRANSLATE(A41,""zh-tw"",""es-MX"")"),"Langosta al horno")</f>
        <v>Langosta al horno</v>
      </c>
      <c r="V41" s="348"/>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53" t="s">
        <v>7468</v>
      </c>
      <c r="AA41" s="349"/>
      <c r="AB41" s="163" t="s">
        <v>7409</v>
      </c>
      <c r="AC41" s="163" t="s">
        <v>7409</v>
      </c>
      <c r="AD41" s="163" t="s">
        <v>7409</v>
      </c>
      <c r="AE41" s="351" t="str">
        <f>IFERROR(__xludf.DUMMYFUNCTION("GOOGLETRANSLATE(A41,""zh-tw"",""ru"")"),"Запеченный лобстер")</f>
        <v>Запеченный лобстер</v>
      </c>
      <c r="AF41" s="348"/>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53" t="s">
        <v>7469</v>
      </c>
      <c r="AK41" s="349"/>
      <c r="AL41" s="163" t="s">
        <v>7411</v>
      </c>
      <c r="AM41" s="163" t="s">
        <v>7411</v>
      </c>
      <c r="AN41" s="163" t="s">
        <v>7411</v>
      </c>
      <c r="AO41" s="149" t="s">
        <v>7470</v>
      </c>
      <c r="AP41" s="180"/>
      <c r="AQ41" s="164" t="s">
        <v>7471</v>
      </c>
      <c r="AR41" s="164" t="s">
        <v>7471</v>
      </c>
      <c r="AS41" s="164" t="s">
        <v>7471</v>
      </c>
      <c r="AT41" s="351" t="s">
        <v>7472</v>
      </c>
      <c r="AU41" s="185"/>
      <c r="AV41" s="164" t="s">
        <v>7473</v>
      </c>
      <c r="AW41" s="164" t="s">
        <v>7473</v>
      </c>
      <c r="AX41" s="164" t="s">
        <v>7473</v>
      </c>
      <c r="AY41" s="164"/>
      <c r="AZ41" s="164"/>
      <c r="BA41" s="164"/>
      <c r="BB41" s="164"/>
      <c r="BC41" s="164"/>
    </row>
    <row r="42">
      <c r="A42" s="351" t="s">
        <v>7474</v>
      </c>
      <c r="B42" s="180"/>
      <c r="C42" s="165" t="s">
        <v>7475</v>
      </c>
      <c r="D42" s="165" t="s">
        <v>7475</v>
      </c>
      <c r="E42" s="165" t="s">
        <v>7475</v>
      </c>
      <c r="F42" s="351" t="s">
        <v>7476</v>
      </c>
      <c r="G42" s="357"/>
      <c r="H42" s="165" t="s">
        <v>7477</v>
      </c>
      <c r="I42" s="165" t="s">
        <v>7477</v>
      </c>
      <c r="J42" s="165" t="s">
        <v>7477</v>
      </c>
      <c r="K42" s="104" t="s">
        <v>7478</v>
      </c>
      <c r="L42" s="180"/>
      <c r="M42" s="163" t="s">
        <v>7479</v>
      </c>
      <c r="N42" s="163" t="s">
        <v>7479</v>
      </c>
      <c r="O42" s="163" t="s">
        <v>7479</v>
      </c>
      <c r="P42" s="352" t="str">
        <f>IFERROR(__xludf.DUMMYFUNCTION("GOOGLETRANSLATE(A42,""zh-tw"",""zh"")"),"煮螃蟹")</f>
        <v>煮螃蟹</v>
      </c>
      <c r="Q42" s="70"/>
      <c r="R42" s="73" t="str">
        <f>IFERROR(__xludf.DUMMYFUNCTION("GOOGLETRANSLATE(C42,""zh-tw"",""zh"")"),"毛蟹")</f>
        <v>毛蟹</v>
      </c>
      <c r="S42" s="73" t="str">
        <f>IFERROR(__xludf.DUMMYFUNCTION("GOOGLETRANSLATE(D42,""zh-tw"",""zh"")"),"毛蟹")</f>
        <v>毛蟹</v>
      </c>
      <c r="T42" s="73" t="str">
        <f>IFERROR(__xludf.DUMMYFUNCTION("GOOGLETRANSLATE(E42,""zh-tw"",""zh"")"),"毛蟹")</f>
        <v>毛蟹</v>
      </c>
      <c r="U42" s="351" t="str">
        <f>IFERROR(__xludf.DUMMYFUNCTION("GOOGLETRANSLATE(A42,""zh-tw"",""es-MX"")"),"cangrejo hervido")</f>
        <v>cangrejo hervido</v>
      </c>
      <c r="V42" s="348"/>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53" t="s">
        <v>7480</v>
      </c>
      <c r="AA42" s="349"/>
      <c r="AB42" s="164" t="str">
        <f>IFERROR(__xludf.DUMMYFUNCTION("GOOGLETRANSLATE(C42,""zh-tw"",""KO"")"),"털게")</f>
        <v>털게</v>
      </c>
      <c r="AC42" s="164" t="str">
        <f>IFERROR(__xludf.DUMMYFUNCTION("GOOGLETRANSLATE(D42,""zh-tw"",""KO"")"),"털게")</f>
        <v>털게</v>
      </c>
      <c r="AD42" s="164" t="str">
        <f>IFERROR(__xludf.DUMMYFUNCTION("GOOGLETRANSLATE(E42,""zh-tw"",""KO"")"),"털게")</f>
        <v>털게</v>
      </c>
      <c r="AE42" s="351" t="str">
        <f>IFERROR(__xludf.DUMMYFUNCTION("GOOGLETRANSLATE(A42,""zh-tw"",""ru"")"),"Вареный краб")</f>
        <v>Вареный краб</v>
      </c>
      <c r="AF42" s="348"/>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53" t="s">
        <v>7481</v>
      </c>
      <c r="AK42" s="349"/>
      <c r="AL42" s="163" t="s">
        <v>7482</v>
      </c>
      <c r="AM42" s="163" t="s">
        <v>7482</v>
      </c>
      <c r="AN42" s="163" t="s">
        <v>7482</v>
      </c>
      <c r="AO42" s="149" t="s">
        <v>7483</v>
      </c>
      <c r="AP42" s="180"/>
      <c r="AQ42" s="164" t="s">
        <v>7484</v>
      </c>
      <c r="AR42" s="164" t="s">
        <v>7484</v>
      </c>
      <c r="AS42" s="164" t="s">
        <v>7484</v>
      </c>
      <c r="AT42" s="351" t="s">
        <v>7485</v>
      </c>
      <c r="AU42" s="185"/>
      <c r="AV42" s="164" t="s">
        <v>7486</v>
      </c>
      <c r="AW42" s="164" t="s">
        <v>7486</v>
      </c>
      <c r="AX42" s="164" t="s">
        <v>7486</v>
      </c>
      <c r="AY42" s="164"/>
      <c r="AZ42" s="164"/>
      <c r="BA42" s="164"/>
      <c r="BB42" s="164"/>
      <c r="BC42" s="164"/>
    </row>
    <row r="43">
      <c r="A43" s="354" t="s">
        <v>7487</v>
      </c>
      <c r="B43" s="180"/>
      <c r="C43" s="165" t="s">
        <v>7488</v>
      </c>
      <c r="D43" s="117"/>
      <c r="E43" s="117"/>
      <c r="F43" s="351" t="s">
        <v>7489</v>
      </c>
      <c r="G43" s="357"/>
      <c r="H43" s="165" t="s">
        <v>7490</v>
      </c>
      <c r="I43" s="117"/>
      <c r="J43" s="117"/>
      <c r="K43" s="104" t="s">
        <v>7491</v>
      </c>
      <c r="L43" s="180"/>
      <c r="M43" s="163" t="s">
        <v>7492</v>
      </c>
      <c r="N43" s="164"/>
      <c r="O43" s="164"/>
      <c r="P43" s="352" t="str">
        <f>IFERROR(__xludf.DUMMYFUNCTION("GOOGLETRANSLATE(A43,""zh-tw"",""zh"")"),"金枪鱼头")</f>
        <v>金枪鱼头</v>
      </c>
      <c r="Q43" s="70"/>
      <c r="R43" s="73" t="str">
        <f>IFERROR(__xludf.DUMMYFUNCTION("GOOGLETRANSLATE(C43,""zh-tw"",""zh"")"),"金枪鱼")</f>
        <v>金枪鱼</v>
      </c>
      <c r="S43" s="73"/>
      <c r="T43" s="73"/>
      <c r="U43" s="351" t="str">
        <f>IFERROR(__xludf.DUMMYFUNCTION("GOOGLETRANSLATE(A43,""zh-tw"",""es-MX"")"),"cabeza de atún")</f>
        <v>cabeza de atún</v>
      </c>
      <c r="V43" s="348"/>
      <c r="W43" s="165" t="str">
        <f>IFERROR(__xludf.DUMMYFUNCTION("GOOGLETRANSLATE(C43,""zh-tw"",""es-MX"")"),"atún")</f>
        <v>atún</v>
      </c>
      <c r="X43" s="165"/>
      <c r="Y43" s="165"/>
      <c r="Z43" s="7" t="str">
        <f>IFERROR(__xludf.DUMMYFUNCTION("GOOGLETRANSLATE(A43,""zh-tw"",""KO"")"),"참치 머리")</f>
        <v>참치 머리</v>
      </c>
      <c r="AA43" s="349"/>
      <c r="AB43" s="164" t="str">
        <f>IFERROR(__xludf.DUMMYFUNCTION("GOOGLETRANSLATE(C43,""zh-tw"",""KO"")"),"참치")</f>
        <v>참치</v>
      </c>
      <c r="AC43" s="164"/>
      <c r="AD43" s="164"/>
      <c r="AE43" s="351" t="str">
        <f>IFERROR(__xludf.DUMMYFUNCTION("GOOGLETRANSLATE(A43,""zh-tw"",""ru"")"),"Голова тунца")</f>
        <v>Голова тунца</v>
      </c>
      <c r="AF43" s="348"/>
      <c r="AG43" s="165" t="str">
        <f>IFERROR(__xludf.DUMMYFUNCTION("GOOGLETRANSLATE(C43,""zh-tw"",""ru"")"),"тунец")</f>
        <v>тунец</v>
      </c>
      <c r="AH43" s="165"/>
      <c r="AI43" s="165"/>
      <c r="AJ43" s="353" t="s">
        <v>7493</v>
      </c>
      <c r="AK43" s="349"/>
      <c r="AL43" s="163" t="s">
        <v>7494</v>
      </c>
      <c r="AM43" s="164"/>
      <c r="AN43" s="164"/>
      <c r="AO43" s="154" t="s">
        <v>7495</v>
      </c>
      <c r="AP43" s="180"/>
      <c r="AQ43" s="164" t="s">
        <v>7496</v>
      </c>
      <c r="AR43" s="164" t="s">
        <v>7133</v>
      </c>
      <c r="AS43" s="117"/>
      <c r="AT43" s="351" t="s">
        <v>7497</v>
      </c>
      <c r="AU43" s="185"/>
      <c r="AV43" s="164" t="s">
        <v>7498</v>
      </c>
      <c r="AW43" s="18"/>
      <c r="AX43" s="18"/>
      <c r="AY43" s="117"/>
      <c r="AZ43" s="117"/>
      <c r="BA43" s="117"/>
      <c r="BB43" s="117"/>
      <c r="BC43" s="117"/>
    </row>
    <row r="44">
      <c r="A44" s="351" t="s">
        <v>7499</v>
      </c>
      <c r="B44" s="357"/>
      <c r="C44" s="165" t="s">
        <v>7306</v>
      </c>
      <c r="D44" s="165" t="s">
        <v>7121</v>
      </c>
      <c r="E44" s="117"/>
      <c r="F44" s="351" t="s">
        <v>7500</v>
      </c>
      <c r="G44" s="357"/>
      <c r="H44" s="165" t="s">
        <v>7308</v>
      </c>
      <c r="I44" s="165" t="s">
        <v>7124</v>
      </c>
      <c r="J44" s="117"/>
      <c r="K44" s="104" t="s">
        <v>7501</v>
      </c>
      <c r="L44" s="180"/>
      <c r="M44" s="163" t="s">
        <v>7310</v>
      </c>
      <c r="N44" s="163" t="s">
        <v>7127</v>
      </c>
      <c r="O44" s="164"/>
      <c r="P44" s="352" t="str">
        <f>IFERROR(__xludf.DUMMYFUNCTION("GOOGLETRANSLATE(A44,""zh-tw"",""zh"")"),"章鱼丸子")</f>
        <v>章鱼丸子</v>
      </c>
      <c r="Q44" s="70"/>
      <c r="R44" s="73" t="str">
        <f>IFERROR(__xludf.DUMMYFUNCTION("GOOGLETRANSLATE(C44,""zh-tw"",""zh"")"),"章鱼脚")</f>
        <v>章鱼脚</v>
      </c>
      <c r="S44" s="73" t="str">
        <f>IFERROR(__xludf.DUMMYFUNCTION("GOOGLETRANSLATE(D44,""zh-tw"",""zh"")"),"小麦粉")</f>
        <v>小麦粉</v>
      </c>
      <c r="T44" s="73"/>
      <c r="U44" s="351" t="str">
        <f>IFERROR(__xludf.DUMMYFUNCTION("GOOGLETRANSLATE(A44,""zh-tw"",""es-MX"")"),"Takoyaki")</f>
        <v>Takoyaki</v>
      </c>
      <c r="V44" s="348"/>
      <c r="W44" s="165" t="str">
        <f>IFERROR(__xludf.DUMMYFUNCTION("GOOGLETRANSLATE(C44,""zh-tw"",""es-MX"")"),"Patas de pulpo")</f>
        <v>Patas de pulpo</v>
      </c>
      <c r="X44" s="165" t="str">
        <f>IFERROR(__xludf.DUMMYFUNCTION("GOOGLETRANSLATE(D44,""zh-tw"",""es-MX"")"),"harina de trigo")</f>
        <v>harina de trigo</v>
      </c>
      <c r="Y44" s="165"/>
      <c r="Z44" s="353" t="s">
        <v>7502</v>
      </c>
      <c r="AA44" s="349"/>
      <c r="AB44" s="163" t="s">
        <v>7312</v>
      </c>
      <c r="AC44" s="164" t="str">
        <f>IFERROR(__xludf.DUMMYFUNCTION("GOOGLETRANSLATE(D44,""zh-tw"",""KO"")"),"밀가루")</f>
        <v>밀가루</v>
      </c>
      <c r="AD44" s="164"/>
      <c r="AE44" s="351" t="str">
        <f>IFERROR(__xludf.DUMMYFUNCTION("GOOGLETRANSLATE(A44,""zh-tw"",""ru"")"),"Такояки")</f>
        <v>Такояки</v>
      </c>
      <c r="AF44" s="348"/>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53" t="s">
        <v>7503</v>
      </c>
      <c r="AK44" s="349"/>
      <c r="AL44" s="163" t="s">
        <v>7314</v>
      </c>
      <c r="AM44" s="163" t="s">
        <v>7130</v>
      </c>
      <c r="AN44" s="164"/>
      <c r="AO44" s="149" t="s">
        <v>7501</v>
      </c>
      <c r="AP44" s="180"/>
      <c r="AQ44" s="164" t="s">
        <v>7316</v>
      </c>
      <c r="AR44" s="117"/>
      <c r="AS44" s="117"/>
      <c r="AT44" s="351" t="s">
        <v>7501</v>
      </c>
      <c r="AU44" s="185"/>
      <c r="AV44" s="164" t="s">
        <v>7310</v>
      </c>
      <c r="AW44" s="164" t="s">
        <v>7136</v>
      </c>
      <c r="AX44" s="18"/>
      <c r="AY44" s="117"/>
      <c r="AZ44" s="117"/>
      <c r="BA44" s="117"/>
      <c r="BB44" s="117"/>
      <c r="BC44" s="117"/>
    </row>
    <row r="45">
      <c r="A45" s="351" t="s">
        <v>7504</v>
      </c>
      <c r="B45" s="357"/>
      <c r="C45" s="165" t="s">
        <v>7176</v>
      </c>
      <c r="D45" s="117"/>
      <c r="E45" s="117"/>
      <c r="F45" s="351" t="s">
        <v>7211</v>
      </c>
      <c r="G45" s="357"/>
      <c r="H45" s="165" t="s">
        <v>7178</v>
      </c>
      <c r="I45" s="117"/>
      <c r="J45" s="117"/>
      <c r="K45" s="104" t="s">
        <v>7505</v>
      </c>
      <c r="L45" s="180"/>
      <c r="M45" s="163" t="s">
        <v>7181</v>
      </c>
      <c r="N45" s="164"/>
      <c r="O45" s="164"/>
      <c r="P45" s="352" t="str">
        <f>IFERROR(__xludf.DUMMYFUNCTION("GOOGLETRANSLATE(A45,""zh-tw"",""zh"")"),"汉堡肉")</f>
        <v>汉堡肉</v>
      </c>
      <c r="Q45" s="70"/>
      <c r="R45" s="73" t="str">
        <f>IFERROR(__xludf.DUMMYFUNCTION("GOOGLETRANSLATE(C45,""zh-tw"",""zh"")"),"大块兽肉")</f>
        <v>大块兽肉</v>
      </c>
      <c r="S45" s="73"/>
      <c r="T45" s="73"/>
      <c r="U45" s="351" t="str">
        <f>IFERROR(__xludf.DUMMYFUNCTION("GOOGLETRANSLATE(A45,""zh-tw"",""es-MX"")"),"hamburguesas")</f>
        <v>hamburguesas</v>
      </c>
      <c r="V45" s="348"/>
      <c r="W45" s="165" t="str">
        <f>IFERROR(__xludf.DUMMYFUNCTION("GOOGLETRANSLATE(C45,""zh-tw"",""es-MX"")"),"Grandes trozos de carne")</f>
        <v>Grandes trozos de carne</v>
      </c>
      <c r="X45" s="165"/>
      <c r="Y45" s="165"/>
      <c r="Z45" s="353" t="s">
        <v>7506</v>
      </c>
      <c r="AA45" s="349"/>
      <c r="AB45" s="163" t="s">
        <v>7183</v>
      </c>
      <c r="AC45" s="164"/>
      <c r="AD45" s="164"/>
      <c r="AE45" s="351" t="str">
        <f>IFERROR(__xludf.DUMMYFUNCTION("GOOGLETRANSLATE(A45,""zh-tw"",""ru"")"),"Котлеты для гамбургеров")</f>
        <v>Котлеты для гамбургеров</v>
      </c>
      <c r="AF45" s="348"/>
      <c r="AG45" s="165" t="str">
        <f>IFERROR(__xludf.DUMMYFUNCTION("GOOGLETRANSLATE(C45,""zh-tw"",""ru"")"),"Большие куски мяса")</f>
        <v>Большие куски мяса</v>
      </c>
      <c r="AH45" s="165"/>
      <c r="AI45" s="165"/>
      <c r="AJ45" s="353" t="s">
        <v>7507</v>
      </c>
      <c r="AK45" s="349"/>
      <c r="AL45" s="163" t="s">
        <v>7185</v>
      </c>
      <c r="AM45" s="164"/>
      <c r="AN45" s="164"/>
      <c r="AO45" s="149" t="s">
        <v>7508</v>
      </c>
      <c r="AP45" s="180"/>
      <c r="AQ45" s="164" t="s">
        <v>7186</v>
      </c>
      <c r="AR45" s="117"/>
      <c r="AS45" s="117"/>
      <c r="AT45" s="351" t="s">
        <v>7509</v>
      </c>
      <c r="AU45" s="185"/>
      <c r="AV45" s="164" t="s">
        <v>7187</v>
      </c>
      <c r="AW45" s="18"/>
      <c r="AX45" s="18"/>
      <c r="AY45" s="117"/>
      <c r="AZ45" s="117"/>
      <c r="BA45" s="117"/>
      <c r="BB45" s="117"/>
      <c r="BC45" s="117"/>
    </row>
    <row r="46">
      <c r="A46" s="351" t="s">
        <v>7510</v>
      </c>
      <c r="B46" s="340" t="s">
        <v>848</v>
      </c>
      <c r="C46" s="165" t="s">
        <v>4896</v>
      </c>
      <c r="D46" s="165" t="s">
        <v>4917</v>
      </c>
      <c r="E46" s="117"/>
      <c r="F46" s="351" t="s">
        <v>7511</v>
      </c>
      <c r="G46" s="340" t="s">
        <v>848</v>
      </c>
      <c r="H46" s="165" t="s">
        <v>7297</v>
      </c>
      <c r="I46" s="165" t="s">
        <v>7512</v>
      </c>
      <c r="J46" s="117"/>
      <c r="K46" s="104" t="s">
        <v>7513</v>
      </c>
      <c r="L46" s="340" t="s">
        <v>848</v>
      </c>
      <c r="M46" s="163" t="s">
        <v>4898</v>
      </c>
      <c r="N46" s="163" t="s">
        <v>4919</v>
      </c>
      <c r="O46" s="164"/>
      <c r="P46" s="352" t="str">
        <f>IFERROR(__xludf.DUMMYFUNCTION("GOOGLETRANSLATE(A46,""zh-tw"",""zh"")"),"辣味土豆泥")</f>
        <v>辣味土豆泥</v>
      </c>
      <c r="Q46" s="70" t="str">
        <f>IFERROR(__xludf.DUMMYFUNCTION("GOOGLETRANSLATE(B46,""zh-tw"",""zh"")"),"B")</f>
        <v>B</v>
      </c>
      <c r="R46" s="73" t="str">
        <f>IFERROR(__xludf.DUMMYFUNCTION("GOOGLETRANSLATE(C46,""zh-tw"",""zh"")"),"土豆")</f>
        <v>土豆</v>
      </c>
      <c r="S46" s="73" t="str">
        <f>IFERROR(__xludf.DUMMYFUNCTION("GOOGLETRANSLATE(D46,""zh-tw"",""zh"")"),"辣椒")</f>
        <v>辣椒</v>
      </c>
      <c r="T46" s="73"/>
      <c r="U46" s="351" t="str">
        <f>IFERROR(__xludf.DUMMYFUNCTION("GOOGLETRANSLATE(A46,""zh-tw"",""es-MX"")"),"Puré de papas picante")</f>
        <v>Puré de papas picante</v>
      </c>
      <c r="V46" s="348" t="str">
        <f>IFERROR(__xludf.DUMMYFUNCTION("GOOGLETRANSLATE(B46,""zh-tw"",""es-MX"")"),"B")</f>
        <v>B</v>
      </c>
      <c r="W46" s="165" t="str">
        <f>IFERROR(__xludf.DUMMYFUNCTION("GOOGLETRANSLATE(C46,""zh-tw"",""es-MX"")"),"Papa")</f>
        <v>Papa</v>
      </c>
      <c r="X46" s="165" t="str">
        <f>IFERROR(__xludf.DUMMYFUNCTION("GOOGLETRANSLATE(D46,""zh-tw"",""es-MX"")"),"chile")</f>
        <v>chile</v>
      </c>
      <c r="Y46" s="165"/>
      <c r="Z46" s="353" t="s">
        <v>7514</v>
      </c>
      <c r="AA46" s="356" t="s">
        <v>848</v>
      </c>
      <c r="AB46" s="164" t="str">
        <f>IFERROR(__xludf.DUMMYFUNCTION("GOOGLETRANSLATE(C46,""zh-tw"",""KO"")"),"감자")</f>
        <v>감자</v>
      </c>
      <c r="AC46" s="305" t="s">
        <v>7515</v>
      </c>
      <c r="AD46" s="164"/>
      <c r="AE46" s="351" t="str">
        <f>IFERROR(__xludf.DUMMYFUNCTION("GOOGLETRANSLATE(A46,""zh-tw"",""ru"")"),"Острое картофельное пюре")</f>
        <v>Острое картофельное пюре</v>
      </c>
      <c r="AF46" s="348"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53" t="s">
        <v>7516</v>
      </c>
      <c r="AK46" s="349" t="s">
        <v>848</v>
      </c>
      <c r="AL46" s="163" t="s">
        <v>4901</v>
      </c>
      <c r="AM46" s="163" t="s">
        <v>7517</v>
      </c>
      <c r="AN46" s="164"/>
      <c r="AO46" s="149" t="s">
        <v>7518</v>
      </c>
      <c r="AP46" s="340" t="s">
        <v>848</v>
      </c>
      <c r="AQ46" s="164" t="s">
        <v>4903</v>
      </c>
      <c r="AR46" s="164" t="s">
        <v>4923</v>
      </c>
      <c r="AS46" s="117"/>
      <c r="AT46" s="351" t="s">
        <v>7519</v>
      </c>
      <c r="AU46" s="340" t="s">
        <v>848</v>
      </c>
      <c r="AV46" s="164" t="s">
        <v>4905</v>
      </c>
      <c r="AW46" s="164" t="s">
        <v>4919</v>
      </c>
      <c r="AX46" s="18"/>
      <c r="AY46" s="117"/>
      <c r="AZ46" s="117"/>
      <c r="BA46" s="117"/>
      <c r="BB46" s="117"/>
      <c r="BC46" s="117"/>
    </row>
    <row r="47">
      <c r="A47" s="351" t="s">
        <v>7520</v>
      </c>
      <c r="B47" s="340" t="s">
        <v>848</v>
      </c>
      <c r="C47" s="165" t="s">
        <v>4917</v>
      </c>
      <c r="D47" s="117"/>
      <c r="E47" s="117"/>
      <c r="F47" s="351" t="s">
        <v>7521</v>
      </c>
      <c r="G47" s="340" t="s">
        <v>848</v>
      </c>
      <c r="H47" s="165" t="s">
        <v>7512</v>
      </c>
      <c r="I47" s="117"/>
      <c r="J47" s="117"/>
      <c r="K47" s="104" t="s">
        <v>7522</v>
      </c>
      <c r="L47" s="340" t="s">
        <v>848</v>
      </c>
      <c r="M47" s="163" t="s">
        <v>4919</v>
      </c>
      <c r="N47" s="164"/>
      <c r="O47" s="164"/>
      <c r="P47" s="352" t="str">
        <f>IFERROR(__xludf.DUMMYFUNCTION("GOOGLETRANSLATE(A47,""zh-tw"",""zh"")"),"辣椒水")</f>
        <v>辣椒水</v>
      </c>
      <c r="Q47" s="70" t="str">
        <f>IFERROR(__xludf.DUMMYFUNCTION("GOOGLETRANSLATE(B47,""zh-tw"",""zh"")"),"B")</f>
        <v>B</v>
      </c>
      <c r="R47" s="73" t="str">
        <f>IFERROR(__xludf.DUMMYFUNCTION("GOOGLETRANSLATE(C47,""zh-tw"",""zh"")"),"辣椒")</f>
        <v>辣椒</v>
      </c>
      <c r="S47" s="73"/>
      <c r="T47" s="73"/>
      <c r="U47" s="351" t="str">
        <f>IFERROR(__xludf.DUMMYFUNCTION("GOOGLETRANSLATE(A47,""zh-tw"",""es-MX"")"),"Agua de chile")</f>
        <v>Agua de chile</v>
      </c>
      <c r="V47" s="348" t="str">
        <f>IFERROR(__xludf.DUMMYFUNCTION("GOOGLETRANSLATE(B47,""zh-tw"",""es-MX"")"),"B")</f>
        <v>B</v>
      </c>
      <c r="W47" s="165" t="str">
        <f>IFERROR(__xludf.DUMMYFUNCTION("GOOGLETRANSLATE(C47,""zh-tw"",""es-MX"")"),"chile")</f>
        <v>chile</v>
      </c>
      <c r="X47" s="165"/>
      <c r="Y47" s="165"/>
      <c r="Z47" s="353" t="s">
        <v>7523</v>
      </c>
      <c r="AA47" s="356" t="s">
        <v>848</v>
      </c>
      <c r="AB47" s="305" t="s">
        <v>7515</v>
      </c>
      <c r="AC47" s="164"/>
      <c r="AD47" s="164"/>
      <c r="AE47" s="351" t="str">
        <f>IFERROR(__xludf.DUMMYFUNCTION("GOOGLETRANSLATE(A47,""zh-tw"",""ru"")"),"Вода чили")</f>
        <v>Вода чили</v>
      </c>
      <c r="AF47" s="348" t="str">
        <f>IFERROR(__xludf.DUMMYFUNCTION("GOOGLETRANSLATE(L47,""zh-tw"",""es-MX"")"),"B")</f>
        <v>B</v>
      </c>
      <c r="AG47" s="165" t="str">
        <f>IFERROR(__xludf.DUMMYFUNCTION("GOOGLETRANSLATE(C47,""zh-tw"",""ru"")"),"чили")</f>
        <v>чили</v>
      </c>
      <c r="AH47" s="165"/>
      <c r="AI47" s="165"/>
      <c r="AJ47" s="353" t="s">
        <v>7524</v>
      </c>
      <c r="AK47" s="349" t="s">
        <v>848</v>
      </c>
      <c r="AL47" s="163" t="s">
        <v>7517</v>
      </c>
      <c r="AM47" s="164"/>
      <c r="AN47" s="164"/>
      <c r="AO47" s="149" t="s">
        <v>7525</v>
      </c>
      <c r="AP47" s="340" t="s">
        <v>848</v>
      </c>
      <c r="AQ47" s="164" t="s">
        <v>4923</v>
      </c>
      <c r="AR47" s="117"/>
      <c r="AS47" s="117"/>
      <c r="AT47" s="351" t="s">
        <v>7526</v>
      </c>
      <c r="AU47" s="340" t="s">
        <v>848</v>
      </c>
      <c r="AV47" s="164" t="s">
        <v>4919</v>
      </c>
      <c r="AW47" s="18"/>
      <c r="AX47" s="18"/>
      <c r="AY47" s="117"/>
      <c r="AZ47" s="117"/>
      <c r="BA47" s="117"/>
      <c r="BB47" s="117"/>
      <c r="BC47" s="117"/>
    </row>
    <row r="48">
      <c r="A48" s="351" t="s">
        <v>7527</v>
      </c>
      <c r="B48" s="357"/>
      <c r="C48" s="165" t="s">
        <v>7089</v>
      </c>
      <c r="D48" s="165" t="s">
        <v>7240</v>
      </c>
      <c r="E48" s="117"/>
      <c r="F48" s="351" t="s">
        <v>7528</v>
      </c>
      <c r="G48" s="357"/>
      <c r="H48" s="165" t="s">
        <v>7091</v>
      </c>
      <c r="I48" s="165" t="s">
        <v>7242</v>
      </c>
      <c r="J48" s="117"/>
      <c r="K48" s="104" t="s">
        <v>7529</v>
      </c>
      <c r="L48" s="180"/>
      <c r="M48" s="163" t="s">
        <v>7093</v>
      </c>
      <c r="N48" s="163" t="s">
        <v>7244</v>
      </c>
      <c r="O48" s="164"/>
      <c r="P48" s="352" t="str">
        <f>IFERROR(__xludf.DUMMYFUNCTION("GOOGLETRANSLATE(A48,""zh-tw"",""zh"")"),"水怪软糖")</f>
        <v>水怪软糖</v>
      </c>
      <c r="Q48" s="70"/>
      <c r="R48" s="73" t="str">
        <f>IFERROR(__xludf.DUMMYFUNCTION("GOOGLETRANSLATE(C48,""zh-tw"",""zh"")"),"史莱姆黏液")</f>
        <v>史莱姆黏液</v>
      </c>
      <c r="S48" s="73" t="str">
        <f>IFERROR(__xludf.DUMMYFUNCTION("GOOGLETRANSLATE(D48,""zh-tw"",""zh"")"),"水怪黏液")</f>
        <v>水怪黏液</v>
      </c>
      <c r="T48" s="73"/>
      <c r="U48" s="351" t="str">
        <f>IFERROR(__xludf.DUMMYFUNCTION("GOOGLETRANSLATE(A48,""zh-tw"",""es-MX"")"),"Gomitas de monstruo de agua")</f>
        <v>Gomitas de monstruo de agua</v>
      </c>
      <c r="V48" s="348"/>
      <c r="W48" s="165" t="str">
        <f>IFERROR(__xludf.DUMMYFUNCTION("GOOGLETRANSLATE(C48,""zh-tw"",""es-MX"")"),"limo")</f>
        <v>limo</v>
      </c>
      <c r="X48" s="165" t="str">
        <f>IFERROR(__xludf.DUMMYFUNCTION("GOOGLETRANSLATE(D48,""zh-tw"",""es-MX"")"),"Slime de monstruo de agua")</f>
        <v>Slime de monstruo de agua</v>
      </c>
      <c r="Y48" s="165"/>
      <c r="Z48" s="353" t="s">
        <v>7530</v>
      </c>
      <c r="AA48" s="349"/>
      <c r="AB48" s="305" t="s">
        <v>7094</v>
      </c>
      <c r="AC48" s="163" t="s">
        <v>7245</v>
      </c>
      <c r="AD48" s="164"/>
      <c r="AE48" s="351" t="str">
        <f>IFERROR(__xludf.DUMMYFUNCTION("GOOGLETRANSLATE(A48,""zh-tw"",""ru"")"),"Водный монстр жевательная резинка")</f>
        <v>Водный монстр жевательная резинка</v>
      </c>
      <c r="AF48" s="348"/>
      <c r="AG48" s="165" t="str">
        <f>IFERROR(__xludf.DUMMYFUNCTION("GOOGLETRANSLATE(C48,""zh-tw"",""ru"")"),"слизь")</f>
        <v>слизь</v>
      </c>
      <c r="AH48" s="165" t="str">
        <f>IFERROR(__xludf.DUMMYFUNCTION("GOOGLETRANSLATE(D48,""zh-tw"",""ru"")"),"Водяной монстр-слизь")</f>
        <v>Водяной монстр-слизь</v>
      </c>
      <c r="AI48" s="165"/>
      <c r="AJ48" s="353" t="s">
        <v>7531</v>
      </c>
      <c r="AK48" s="349"/>
      <c r="AL48" s="163" t="s">
        <v>7096</v>
      </c>
      <c r="AM48" s="163" t="s">
        <v>7247</v>
      </c>
      <c r="AN48" s="164"/>
      <c r="AO48" s="149" t="s">
        <v>7532</v>
      </c>
      <c r="AP48" s="180"/>
      <c r="AQ48" s="164" t="s">
        <v>7098</v>
      </c>
      <c r="AR48" s="164" t="s">
        <v>7249</v>
      </c>
      <c r="AS48" s="117"/>
      <c r="AT48" s="351" t="s">
        <v>7533</v>
      </c>
      <c r="AU48" s="185"/>
      <c r="AV48" s="164" t="s">
        <v>7099</v>
      </c>
      <c r="AW48" s="164" t="s">
        <v>7534</v>
      </c>
      <c r="AX48" s="18"/>
      <c r="AY48" s="117"/>
      <c r="AZ48" s="117"/>
      <c r="BA48" s="117"/>
      <c r="BB48" s="117"/>
      <c r="BC48" s="117"/>
    </row>
    <row r="49">
      <c r="A49" s="351" t="s">
        <v>7535</v>
      </c>
      <c r="B49" s="357"/>
      <c r="C49" s="165" t="s">
        <v>7089</v>
      </c>
      <c r="D49" s="165" t="s">
        <v>7240</v>
      </c>
      <c r="E49" s="117"/>
      <c r="F49" s="351" t="s">
        <v>7536</v>
      </c>
      <c r="G49" s="357"/>
      <c r="H49" s="165" t="s">
        <v>7091</v>
      </c>
      <c r="I49" s="165" t="s">
        <v>7242</v>
      </c>
      <c r="J49" s="117"/>
      <c r="K49" s="104" t="s">
        <v>7537</v>
      </c>
      <c r="L49" s="180"/>
      <c r="M49" s="163" t="s">
        <v>7093</v>
      </c>
      <c r="N49" s="163" t="s">
        <v>7244</v>
      </c>
      <c r="O49" s="164"/>
      <c r="P49" s="352" t="str">
        <f>IFERROR(__xludf.DUMMYFUNCTION("GOOGLETRANSLATE(A49,""zh-tw"",""zh"")"),"水怪刨冰")</f>
        <v>水怪刨冰</v>
      </c>
      <c r="Q49" s="70"/>
      <c r="R49" s="73" t="str">
        <f>IFERROR(__xludf.DUMMYFUNCTION("GOOGLETRANSLATE(C49,""zh-tw"",""zh"")"),"史莱姆黏液")</f>
        <v>史莱姆黏液</v>
      </c>
      <c r="S49" s="73" t="str">
        <f>IFERROR(__xludf.DUMMYFUNCTION("GOOGLETRANSLATE(D49,""zh-tw"",""zh"")"),"水怪黏液")</f>
        <v>水怪黏液</v>
      </c>
      <c r="T49" s="73"/>
      <c r="U49" s="351" t="str">
        <f>IFERROR(__xludf.DUMMYFUNCTION("GOOGLETRANSLATE(A49,""zh-tw"",""es-MX"")"),"Hielo raspado Water Monster")</f>
        <v>Hielo raspado Water Monster</v>
      </c>
      <c r="V49" s="348"/>
      <c r="W49" s="165" t="str">
        <f>IFERROR(__xludf.DUMMYFUNCTION("GOOGLETRANSLATE(C49,""zh-tw"",""es-MX"")"),"limo")</f>
        <v>limo</v>
      </c>
      <c r="X49" s="165" t="str">
        <f>IFERROR(__xludf.DUMMYFUNCTION("GOOGLETRANSLATE(D49,""zh-tw"",""es-MX"")"),"Slime de monstruo de agua")</f>
        <v>Slime de monstruo de agua</v>
      </c>
      <c r="Y49" s="165"/>
      <c r="Z49" s="353" t="s">
        <v>7538</v>
      </c>
      <c r="AA49" s="349"/>
      <c r="AB49" s="305" t="s">
        <v>7094</v>
      </c>
      <c r="AC49" s="305" t="s">
        <v>7245</v>
      </c>
      <c r="AD49" s="164"/>
      <c r="AE49" s="351" t="str">
        <f>IFERROR(__xludf.DUMMYFUNCTION("GOOGLETRANSLATE(A49,""zh-tw"",""ru"")"),"Водяной монстр, строганный лед")</f>
        <v>Водяной монстр, строганный лед</v>
      </c>
      <c r="AF49" s="348"/>
      <c r="AG49" s="165" t="str">
        <f>IFERROR(__xludf.DUMMYFUNCTION("GOOGLETRANSLATE(C49,""zh-tw"",""ru"")"),"слизь")</f>
        <v>слизь</v>
      </c>
      <c r="AH49" s="165" t="str">
        <f>IFERROR(__xludf.DUMMYFUNCTION("GOOGLETRANSLATE(D49,""zh-tw"",""ru"")"),"Водяной монстр-слизь")</f>
        <v>Водяной монстр-слизь</v>
      </c>
      <c r="AI49" s="165"/>
      <c r="AJ49" s="353" t="s">
        <v>7539</v>
      </c>
      <c r="AK49" s="349"/>
      <c r="AL49" s="163" t="s">
        <v>7096</v>
      </c>
      <c r="AM49" s="163" t="s">
        <v>7247</v>
      </c>
      <c r="AN49" s="164"/>
      <c r="AO49" s="149" t="s">
        <v>7540</v>
      </c>
      <c r="AP49" s="180"/>
      <c r="AQ49" s="164" t="s">
        <v>7098</v>
      </c>
      <c r="AR49" s="164" t="s">
        <v>7249</v>
      </c>
      <c r="AS49" s="117"/>
      <c r="AT49" s="351" t="s">
        <v>7541</v>
      </c>
      <c r="AU49" s="185"/>
      <c r="AV49" s="164" t="s">
        <v>7099</v>
      </c>
      <c r="AW49" s="164" t="s">
        <v>7534</v>
      </c>
      <c r="AX49" s="18"/>
      <c r="AY49" s="117"/>
      <c r="AZ49" s="117"/>
      <c r="BA49" s="117"/>
      <c r="BB49" s="117"/>
      <c r="BC49" s="117"/>
    </row>
    <row r="50">
      <c r="A50" s="351" t="s">
        <v>7542</v>
      </c>
      <c r="B50" s="358" t="s">
        <v>7543</v>
      </c>
      <c r="C50" s="165" t="s">
        <v>7089</v>
      </c>
      <c r="D50" s="165" t="s">
        <v>7240</v>
      </c>
      <c r="E50" s="165" t="s">
        <v>7544</v>
      </c>
      <c r="F50" s="351" t="s">
        <v>7545</v>
      </c>
      <c r="G50" s="358" t="s">
        <v>7546</v>
      </c>
      <c r="H50" s="165" t="s">
        <v>7091</v>
      </c>
      <c r="I50" s="165" t="s">
        <v>7242</v>
      </c>
      <c r="J50" s="165" t="s">
        <v>7547</v>
      </c>
      <c r="K50" s="104" t="s">
        <v>7548</v>
      </c>
      <c r="L50" s="171" t="s">
        <v>7549</v>
      </c>
      <c r="M50" s="163" t="s">
        <v>7093</v>
      </c>
      <c r="N50" s="163" t="s">
        <v>7244</v>
      </c>
      <c r="O50" s="163" t="s">
        <v>7550</v>
      </c>
      <c r="P50" s="352" t="str">
        <f>IFERROR(__xludf.DUMMYFUNCTION("GOOGLETRANSLATE(A50,""zh-tw"",""zh"")"),"水怪软糖(红)")</f>
        <v>水怪软糖(红)</v>
      </c>
      <c r="Q50" s="70"/>
      <c r="R50" s="73" t="str">
        <f>IFERROR(__xludf.DUMMYFUNCTION("GOOGLETRANSLATE(C50,""zh-tw"",""zh"")"),"史莱姆黏液")</f>
        <v>史莱姆黏液</v>
      </c>
      <c r="S50" s="73" t="str">
        <f>IFERROR(__xludf.DUMMYFUNCTION("GOOGLETRANSLATE(D50,""zh-tw"",""zh"")"),"水怪黏液")</f>
        <v>水怪黏液</v>
      </c>
      <c r="T50" s="73" t="str">
        <f>IFERROR(__xludf.DUMMYFUNCTION("GOOGLETRANSLATE(E50,""zh-tw"",""zh"")"),"番茄/辣椒")</f>
        <v>番茄/辣椒</v>
      </c>
      <c r="U50" s="351" t="str">
        <f>IFERROR(__xludf.DUMMYFUNCTION("GOOGLETRANSLATE(A50,""zh-tw"",""es-MX"")"),"Gomitas Water Monster (rojas)")</f>
        <v>Gomitas Water Monster (rojas)</v>
      </c>
      <c r="V50" s="348" t="str">
        <f>IFERROR(__xludf.DUMMYFUNCTION("GOOGLETRANSLATE(B50,""zh-tw"",""es-MX"")"),"(B) Chiles")</f>
        <v>(B) Chiles</v>
      </c>
      <c r="W50" s="165" t="str">
        <f>IFERROR(__xludf.DUMMYFUNCTION("GOOGLETRANSLATE(C50,""zh-tw"",""es-MX"")"),"limo")</f>
        <v>limo</v>
      </c>
      <c r="X50" s="165" t="str">
        <f>IFERROR(__xludf.DUMMYFUNCTION("GOOGLETRANSLATE(D50,""zh-tw"",""es-MX"")"),"Slime de monstruo de agua")</f>
        <v>Slime de monstruo de agua</v>
      </c>
      <c r="Y50" s="165" t="str">
        <f>IFERROR(__xludf.DUMMYFUNCTION("GOOGLETRANSLATE(E50,""zh-tw"",""es-MX"")"),"Tomates/Pimientos")</f>
        <v>Tomates/Pimientos</v>
      </c>
      <c r="Z50" s="353" t="s">
        <v>7551</v>
      </c>
      <c r="AA50" s="356" t="s">
        <v>7552</v>
      </c>
      <c r="AB50" s="163" t="s">
        <v>7094</v>
      </c>
      <c r="AC50" s="305" t="s">
        <v>7245</v>
      </c>
      <c r="AD50" s="164" t="str">
        <f>IFERROR(__xludf.DUMMYFUNCTION("GOOGLETRANSLATE(E50,""zh-tw"",""KO"")"),"토마토/고추")</f>
        <v>토마토/고추</v>
      </c>
      <c r="AE50" s="351" t="str">
        <f>IFERROR(__xludf.DUMMYFUNCTION("GOOGLETRANSLATE(A50,""zh-tw"",""ru"")"),"Жевательные конфеты Water Monster (красные)")</f>
        <v>Жевательные конфеты Water Monster (красные)</v>
      </c>
      <c r="AF50" s="348"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53" t="s">
        <v>7553</v>
      </c>
      <c r="AK50" s="349" t="s">
        <v>848</v>
      </c>
      <c r="AL50" s="163" t="s">
        <v>7096</v>
      </c>
      <c r="AM50" s="163" t="s">
        <v>7247</v>
      </c>
      <c r="AN50" s="164" t="str">
        <f>IFERROR(__xludf.DUMMYFUNCTION("GOOGLETRANSLATE(E50,""zh-tw"",""de"")"),"Tomaten/Paprika")</f>
        <v>Tomaten/Paprika</v>
      </c>
      <c r="AO50" s="149" t="s">
        <v>7554</v>
      </c>
      <c r="AP50" s="77" t="s">
        <v>7555</v>
      </c>
      <c r="AQ50" s="164" t="s">
        <v>7098</v>
      </c>
      <c r="AR50" s="164" t="s">
        <v>7249</v>
      </c>
      <c r="AS50" s="164" t="s">
        <v>7556</v>
      </c>
      <c r="AT50" s="351" t="s">
        <v>7557</v>
      </c>
      <c r="AU50" s="150" t="s">
        <v>7558</v>
      </c>
      <c r="AV50" s="164" t="s">
        <v>7099</v>
      </c>
      <c r="AW50" s="164" t="s">
        <v>7534</v>
      </c>
      <c r="AX50" s="164" t="s">
        <v>7559</v>
      </c>
      <c r="AY50" s="164"/>
      <c r="AZ50" s="164"/>
      <c r="BA50" s="164"/>
      <c r="BB50" s="164"/>
      <c r="BC50" s="164"/>
    </row>
    <row r="51">
      <c r="A51" s="351" t="s">
        <v>7560</v>
      </c>
      <c r="B51" s="357"/>
      <c r="C51" s="165" t="s">
        <v>7121</v>
      </c>
      <c r="D51" s="117"/>
      <c r="E51" s="117"/>
      <c r="F51" s="351" t="s">
        <v>7561</v>
      </c>
      <c r="G51" s="357"/>
      <c r="H51" s="165" t="s">
        <v>7124</v>
      </c>
      <c r="I51" s="117"/>
      <c r="J51" s="117"/>
      <c r="K51" s="104" t="s">
        <v>7562</v>
      </c>
      <c r="L51" s="180"/>
      <c r="M51" s="163" t="s">
        <v>7127</v>
      </c>
      <c r="N51" s="164"/>
      <c r="O51" s="164"/>
      <c r="P51" s="352" t="str">
        <f>IFERROR(__xludf.DUMMYFUNCTION("GOOGLETRANSLATE(A51,""zh-tw"",""zh"")"),"煎薄饼")</f>
        <v>煎薄饼</v>
      </c>
      <c r="Q51" s="70"/>
      <c r="R51" s="73" t="str">
        <f>IFERROR(__xludf.DUMMYFUNCTION("GOOGLETRANSLATE(C51,""zh-tw"",""zh"")"),"小麦粉")</f>
        <v>小麦粉</v>
      </c>
      <c r="S51" s="73"/>
      <c r="T51" s="73"/>
      <c r="U51" s="351" t="str">
        <f>IFERROR(__xludf.DUMMYFUNCTION("GOOGLETRANSLATE(A51,""zh-tw"",""es-MX"")"),"Panqueques")</f>
        <v>Panqueques</v>
      </c>
      <c r="V51" s="348"/>
      <c r="W51" s="165" t="str">
        <f>IFERROR(__xludf.DUMMYFUNCTION("GOOGLETRANSLATE(C51,""zh-tw"",""es-MX"")"),"harina de trigo")</f>
        <v>harina de trigo</v>
      </c>
      <c r="X51" s="165"/>
      <c r="Y51" s="165"/>
      <c r="Z51" s="7" t="str">
        <f>IFERROR(__xludf.DUMMYFUNCTION("GOOGLETRANSLATE(A51,""zh-tw"",""KO"")"),"팬케이크")</f>
        <v>팬케이크</v>
      </c>
      <c r="AA51" s="349"/>
      <c r="AB51" s="164" t="str">
        <f>IFERROR(__xludf.DUMMYFUNCTION("GOOGLETRANSLATE(C51,""zh-tw"",""KO"")"),"밀가루")</f>
        <v>밀가루</v>
      </c>
      <c r="AC51" s="164"/>
      <c r="AD51" s="164"/>
      <c r="AE51" s="351" t="str">
        <f>IFERROR(__xludf.DUMMYFUNCTION("GOOGLETRANSLATE(A51,""zh-tw"",""ru"")"),"Блины")</f>
        <v>Блины</v>
      </c>
      <c r="AF51" s="348"/>
      <c r="AG51" s="165" t="str">
        <f>IFERROR(__xludf.DUMMYFUNCTION("GOOGLETRANSLATE(C51,""zh-tw"",""ru"")"),"пшеничная мука")</f>
        <v>пшеничная мука</v>
      </c>
      <c r="AH51" s="165"/>
      <c r="AI51" s="165"/>
      <c r="AJ51" s="353" t="s">
        <v>7563</v>
      </c>
      <c r="AK51" s="349"/>
      <c r="AL51" s="163" t="s">
        <v>7130</v>
      </c>
      <c r="AM51" s="164"/>
      <c r="AN51" s="164"/>
      <c r="AO51" s="149" t="s">
        <v>7564</v>
      </c>
      <c r="AP51" s="180"/>
      <c r="AQ51" s="164" t="s">
        <v>7133</v>
      </c>
      <c r="AR51" s="117"/>
      <c r="AS51" s="117"/>
      <c r="AT51" s="351" t="s">
        <v>7565</v>
      </c>
      <c r="AU51" s="185"/>
      <c r="AV51" s="164" t="s">
        <v>7136</v>
      </c>
      <c r="AW51" s="18"/>
      <c r="AX51" s="18"/>
      <c r="AY51" s="117"/>
      <c r="AZ51" s="117"/>
      <c r="BA51" s="117"/>
      <c r="BB51" s="117"/>
      <c r="BC51" s="117"/>
    </row>
    <row r="52">
      <c r="A52" s="351" t="s">
        <v>7566</v>
      </c>
      <c r="B52" s="357"/>
      <c r="C52" s="165" t="s">
        <v>4884</v>
      </c>
      <c r="D52" s="165" t="s">
        <v>7121</v>
      </c>
      <c r="E52" s="117"/>
      <c r="F52" s="351" t="s">
        <v>7567</v>
      </c>
      <c r="G52" s="357"/>
      <c r="H52" s="165" t="s">
        <v>7568</v>
      </c>
      <c r="I52" s="165" t="s">
        <v>7124</v>
      </c>
      <c r="J52" s="117"/>
      <c r="K52" s="104" t="s">
        <v>7569</v>
      </c>
      <c r="L52" s="180"/>
      <c r="M52" s="163" t="s">
        <v>4886</v>
      </c>
      <c r="N52" s="163" t="s">
        <v>7127</v>
      </c>
      <c r="O52" s="164"/>
      <c r="P52" s="352" t="str">
        <f>IFERROR(__xludf.DUMMYFUNCTION("GOOGLETRANSLATE(A52,""zh-tw"",""zh"")"),"草莓煎薄饼")</f>
        <v>草莓煎薄饼</v>
      </c>
      <c r="Q52" s="70"/>
      <c r="R52" s="73" t="str">
        <f>IFERROR(__xludf.DUMMYFUNCTION("GOOGLETRANSLATE(C52,""zh-tw"",""zh"")"),"草莓")</f>
        <v>草莓</v>
      </c>
      <c r="S52" s="73" t="str">
        <f>IFERROR(__xludf.DUMMYFUNCTION("GOOGLETRANSLATE(D52,""zh-tw"",""zh"")"),"小麦粉")</f>
        <v>小麦粉</v>
      </c>
      <c r="T52" s="73"/>
      <c r="U52" s="351" t="str">
        <f>IFERROR(__xludf.DUMMYFUNCTION("GOOGLETRANSLATE(A52,""zh-tw"",""es-MX"")"),"Panqueques de fresa")</f>
        <v>Panqueques de fresa</v>
      </c>
      <c r="V52" s="348"/>
      <c r="W52" s="165" t="str">
        <f>IFERROR(__xludf.DUMMYFUNCTION("GOOGLETRANSLATE(C52,""zh-tw"",""es-MX"")"),"fresa")</f>
        <v>fresa</v>
      </c>
      <c r="X52" s="165" t="str">
        <f>IFERROR(__xludf.DUMMYFUNCTION("GOOGLETRANSLATE(D52,""zh-tw"",""es-MX"")"),"harina de trigo")</f>
        <v>harina de trigo</v>
      </c>
      <c r="Y52" s="165"/>
      <c r="Z52" s="7" t="str">
        <f>IFERROR(__xludf.DUMMYFUNCTION("GOOGLETRANSLATE(A52,""zh-tw"",""KO"")"),"딸기 팬케이크")</f>
        <v>딸기 팬케이크</v>
      </c>
      <c r="AA52" s="349"/>
      <c r="AB52" s="164" t="str">
        <f>IFERROR(__xludf.DUMMYFUNCTION("GOOGLETRANSLATE(C52,""zh-tw"",""KO"")"),"딸기")</f>
        <v>딸기</v>
      </c>
      <c r="AC52" s="164" t="str">
        <f>IFERROR(__xludf.DUMMYFUNCTION("GOOGLETRANSLATE(D52,""zh-tw"",""KO"")"),"밀가루")</f>
        <v>밀가루</v>
      </c>
      <c r="AD52" s="164"/>
      <c r="AE52" s="351" t="str">
        <f>IFERROR(__xludf.DUMMYFUNCTION("GOOGLETRANSLATE(A52,""zh-tw"",""ru"")"),"Клубничные блинчики")</f>
        <v>Клубничные блинчики</v>
      </c>
      <c r="AF52" s="348"/>
      <c r="AG52" s="165" t="str">
        <f>IFERROR(__xludf.DUMMYFUNCTION("GOOGLETRANSLATE(C52,""zh-tw"",""ru"")"),"клубника")</f>
        <v>клубника</v>
      </c>
      <c r="AH52" s="165" t="str">
        <f>IFERROR(__xludf.DUMMYFUNCTION("GOOGLETRANSLATE(D52,""zh-tw"",""ru"")"),"пшеничная мука")</f>
        <v>пшеничная мука</v>
      </c>
      <c r="AI52" s="165"/>
      <c r="AJ52" s="353" t="s">
        <v>7570</v>
      </c>
      <c r="AK52" s="349"/>
      <c r="AL52" s="163" t="s">
        <v>7571</v>
      </c>
      <c r="AM52" s="163" t="s">
        <v>7130</v>
      </c>
      <c r="AN52" s="164"/>
      <c r="AO52" s="149" t="s">
        <v>7572</v>
      </c>
      <c r="AP52" s="180"/>
      <c r="AQ52" s="164" t="s">
        <v>4892</v>
      </c>
      <c r="AR52" s="164" t="s">
        <v>7133</v>
      </c>
      <c r="AS52" s="117"/>
      <c r="AT52" s="351" t="s">
        <v>7573</v>
      </c>
      <c r="AU52" s="185"/>
      <c r="AV52" s="164" t="s">
        <v>4894</v>
      </c>
      <c r="AW52" s="164" t="s">
        <v>7136</v>
      </c>
      <c r="AX52" s="18"/>
      <c r="AY52" s="117"/>
      <c r="AZ52" s="117"/>
      <c r="BA52" s="117"/>
      <c r="BB52" s="117"/>
      <c r="BC52" s="117"/>
    </row>
    <row r="53">
      <c r="A53" s="351" t="s">
        <v>7574</v>
      </c>
      <c r="B53" s="357"/>
      <c r="C53" s="165" t="s">
        <v>4907</v>
      </c>
      <c r="D53" s="117"/>
      <c r="E53" s="117"/>
      <c r="F53" s="351" t="s">
        <v>7575</v>
      </c>
      <c r="G53" s="357"/>
      <c r="H53" s="165" t="s">
        <v>7397</v>
      </c>
      <c r="I53" s="117"/>
      <c r="J53" s="117"/>
      <c r="K53" s="104" t="s">
        <v>7576</v>
      </c>
      <c r="L53" s="180"/>
      <c r="M53" s="163" t="s">
        <v>4909</v>
      </c>
      <c r="N53" s="164"/>
      <c r="O53" s="164"/>
      <c r="P53" s="352" t="str">
        <f>IFERROR(__xludf.DUMMYFUNCTION("GOOGLETRANSLATE(A53,""zh-tw"",""zh"")"),"番茄汤")</f>
        <v>番茄汤</v>
      </c>
      <c r="Q53" s="70"/>
      <c r="R53" s="73" t="str">
        <f>IFERROR(__xludf.DUMMYFUNCTION("GOOGLETRANSLATE(C53,""zh-tw"",""zh"")"),"番茄")</f>
        <v>番茄</v>
      </c>
      <c r="S53" s="73"/>
      <c r="T53" s="73"/>
      <c r="U53" s="351" t="str">
        <f>IFERROR(__xludf.DUMMYFUNCTION("GOOGLETRANSLATE(A53,""zh-tw"",""es-MX"")"),"Sopa de tomate")</f>
        <v>Sopa de tomate</v>
      </c>
      <c r="V53" s="348"/>
      <c r="W53" s="165" t="str">
        <f>IFERROR(__xludf.DUMMYFUNCTION("GOOGLETRANSLATE(C53,""zh-tw"",""es-MX"")"),"tomate")</f>
        <v>tomate</v>
      </c>
      <c r="X53" s="165"/>
      <c r="Y53" s="165"/>
      <c r="Z53" s="7" t="str">
        <f>IFERROR(__xludf.DUMMYFUNCTION("GOOGLETRANSLATE(A53,""zh-tw"",""KO"")"),"토마토 수프")</f>
        <v>토마토 수프</v>
      </c>
      <c r="AA53" s="349"/>
      <c r="AB53" s="164" t="str">
        <f>IFERROR(__xludf.DUMMYFUNCTION("GOOGLETRANSLATE(C53,""zh-tw"",""KO"")"),"토마토")</f>
        <v>토마토</v>
      </c>
      <c r="AC53" s="164"/>
      <c r="AD53" s="164"/>
      <c r="AE53" s="351" t="str">
        <f>IFERROR(__xludf.DUMMYFUNCTION("GOOGLETRANSLATE(A53,""zh-tw"",""ru"")"),"Томатный суп")</f>
        <v>Томатный суп</v>
      </c>
      <c r="AF53" s="348"/>
      <c r="AG53" s="165" t="str">
        <f>IFERROR(__xludf.DUMMYFUNCTION("GOOGLETRANSLATE(C53,""zh-tw"",""ru"")"),"помидор")</f>
        <v>помидор</v>
      </c>
      <c r="AH53" s="165"/>
      <c r="AI53" s="165"/>
      <c r="AJ53" s="353" t="s">
        <v>7577</v>
      </c>
      <c r="AK53" s="349"/>
      <c r="AL53" s="163" t="s">
        <v>7401</v>
      </c>
      <c r="AM53" s="164"/>
      <c r="AN53" s="164"/>
      <c r="AO53" s="149" t="s">
        <v>7578</v>
      </c>
      <c r="AP53" s="180"/>
      <c r="AQ53" s="164" t="s">
        <v>4903</v>
      </c>
      <c r="AR53" s="117"/>
      <c r="AS53" s="117"/>
      <c r="AT53" s="351" t="s">
        <v>7579</v>
      </c>
      <c r="AU53" s="185"/>
      <c r="AV53" s="164" t="s">
        <v>7401</v>
      </c>
      <c r="AW53" s="18"/>
      <c r="AX53" s="18"/>
      <c r="AY53" s="117"/>
      <c r="AZ53" s="117"/>
      <c r="BA53" s="117"/>
      <c r="BB53" s="117"/>
      <c r="BC53" s="117"/>
    </row>
    <row r="54">
      <c r="A54" s="351" t="s">
        <v>4884</v>
      </c>
      <c r="B54" s="357"/>
      <c r="C54" s="165" t="s">
        <v>4884</v>
      </c>
      <c r="D54" s="117"/>
      <c r="E54" s="117"/>
      <c r="F54" s="351" t="s">
        <v>7580</v>
      </c>
      <c r="G54" s="357"/>
      <c r="H54" s="165" t="s">
        <v>7568</v>
      </c>
      <c r="I54" s="117"/>
      <c r="J54" s="117"/>
      <c r="K54" s="104" t="s">
        <v>4886</v>
      </c>
      <c r="L54" s="180"/>
      <c r="M54" s="163" t="s">
        <v>4886</v>
      </c>
      <c r="N54" s="164"/>
      <c r="O54" s="164"/>
      <c r="P54" s="352" t="str">
        <f>IFERROR(__xludf.DUMMYFUNCTION("GOOGLETRANSLATE(A54,""zh-tw"",""zh"")"),"草莓")</f>
        <v>草莓</v>
      </c>
      <c r="Q54" s="70"/>
      <c r="R54" s="73" t="str">
        <f>IFERROR(__xludf.DUMMYFUNCTION("GOOGLETRANSLATE(C54,""zh-tw"",""zh"")"),"草莓")</f>
        <v>草莓</v>
      </c>
      <c r="S54" s="73"/>
      <c r="T54" s="73"/>
      <c r="U54" s="351" t="str">
        <f>IFERROR(__xludf.DUMMYFUNCTION("GOOGLETRANSLATE(A54,""zh-tw"",""es-MX"")"),"fresa")</f>
        <v>fresa</v>
      </c>
      <c r="V54" s="348"/>
      <c r="W54" s="165" t="str">
        <f>IFERROR(__xludf.DUMMYFUNCTION("GOOGLETRANSLATE(C54,""zh-tw"",""es-MX"")"),"fresa")</f>
        <v>fresa</v>
      </c>
      <c r="X54" s="165"/>
      <c r="Y54" s="165"/>
      <c r="Z54" s="7" t="str">
        <f>IFERROR(__xludf.DUMMYFUNCTION("GOOGLETRANSLATE(A54,""zh-tw"",""KO"")"),"딸기")</f>
        <v>딸기</v>
      </c>
      <c r="AA54" s="349"/>
      <c r="AB54" s="164" t="str">
        <f>IFERROR(__xludf.DUMMYFUNCTION("GOOGLETRANSLATE(C54,""zh-tw"",""KO"")"),"딸기")</f>
        <v>딸기</v>
      </c>
      <c r="AC54" s="164"/>
      <c r="AD54" s="164"/>
      <c r="AE54" s="351" t="str">
        <f>IFERROR(__xludf.DUMMYFUNCTION("GOOGLETRANSLATE(A54,""zh-tw"",""ru"")"),"клубника")</f>
        <v>клубника</v>
      </c>
      <c r="AF54" s="348"/>
      <c r="AG54" s="165" t="str">
        <f>IFERROR(__xludf.DUMMYFUNCTION("GOOGLETRANSLATE(C54,""zh-tw"",""ru"")"),"клубника")</f>
        <v>клубника</v>
      </c>
      <c r="AH54" s="165"/>
      <c r="AI54" s="165"/>
      <c r="AJ54" s="353" t="s">
        <v>7571</v>
      </c>
      <c r="AK54" s="349"/>
      <c r="AL54" s="163" t="s">
        <v>7571</v>
      </c>
      <c r="AM54" s="164"/>
      <c r="AN54" s="164"/>
      <c r="AO54" s="149" t="s">
        <v>4892</v>
      </c>
      <c r="AP54" s="180"/>
      <c r="AQ54" s="164" t="s">
        <v>4892</v>
      </c>
      <c r="AR54" s="117"/>
      <c r="AS54" s="117"/>
      <c r="AT54" s="351" t="s">
        <v>4894</v>
      </c>
      <c r="AU54" s="185"/>
      <c r="AV54" s="164" t="s">
        <v>4894</v>
      </c>
      <c r="AW54" s="18"/>
      <c r="AX54" s="18"/>
      <c r="AY54" s="117"/>
      <c r="AZ54" s="117"/>
      <c r="BA54" s="117"/>
      <c r="BB54" s="117"/>
      <c r="BC54" s="117"/>
    </row>
    <row r="55">
      <c r="A55" s="115"/>
      <c r="B55" s="180"/>
      <c r="C55" s="117"/>
      <c r="D55" s="117"/>
      <c r="E55" s="117"/>
      <c r="F55" s="115"/>
      <c r="G55" s="357"/>
      <c r="H55" s="117"/>
      <c r="I55" s="117"/>
      <c r="J55" s="117"/>
      <c r="K55" s="102"/>
      <c r="L55" s="150"/>
      <c r="M55" s="163"/>
      <c r="N55" s="163"/>
      <c r="O55" s="164"/>
      <c r="P55" s="92"/>
      <c r="Q55" s="150"/>
      <c r="R55" s="117"/>
      <c r="S55" s="117"/>
      <c r="T55" s="117"/>
      <c r="U55" s="115"/>
      <c r="V55" s="180"/>
      <c r="W55" s="117"/>
      <c r="X55" s="117"/>
      <c r="Y55" s="117"/>
      <c r="Z55" s="115"/>
      <c r="AA55" s="180"/>
      <c r="AB55" s="117"/>
      <c r="AC55" s="117"/>
      <c r="AD55" s="117"/>
      <c r="AE55" s="115"/>
      <c r="AF55" s="180"/>
      <c r="AG55" s="117"/>
      <c r="AH55" s="117"/>
      <c r="AI55" s="117"/>
      <c r="AJ55" s="115"/>
      <c r="AK55" s="180"/>
      <c r="AL55" s="117"/>
      <c r="AM55" s="117"/>
      <c r="AN55" s="117"/>
      <c r="AO55" s="115"/>
      <c r="AP55" s="180"/>
      <c r="AQ55" s="117"/>
      <c r="AR55" s="117"/>
      <c r="AS55" s="117"/>
      <c r="AT55" s="117"/>
      <c r="AU55" s="117"/>
      <c r="AV55" s="117"/>
      <c r="AW55" s="117"/>
      <c r="AX55" s="117"/>
      <c r="AY55" s="117"/>
      <c r="AZ55" s="117"/>
      <c r="BA55" s="117"/>
      <c r="BB55" s="117"/>
      <c r="BC55" s="117"/>
    </row>
    <row r="56">
      <c r="A56" s="115"/>
      <c r="B56" s="180"/>
      <c r="C56" s="117"/>
      <c r="D56" s="117"/>
      <c r="E56" s="117"/>
      <c r="F56" s="115"/>
      <c r="G56" s="357"/>
      <c r="H56" s="117"/>
      <c r="I56" s="117"/>
      <c r="J56" s="117"/>
      <c r="K56" s="92"/>
      <c r="L56" s="180"/>
      <c r="M56" s="117"/>
      <c r="N56" s="117"/>
      <c r="O56" s="117"/>
      <c r="P56" s="92"/>
      <c r="Q56" s="150"/>
      <c r="R56" s="117"/>
      <c r="S56" s="117"/>
      <c r="T56" s="117"/>
      <c r="U56" s="115"/>
      <c r="V56" s="180"/>
      <c r="W56" s="117"/>
      <c r="X56" s="117"/>
      <c r="Y56" s="117"/>
      <c r="Z56" s="115"/>
      <c r="AA56" s="180"/>
      <c r="AB56" s="117"/>
      <c r="AC56" s="117"/>
      <c r="AD56" s="117"/>
      <c r="AE56" s="115"/>
      <c r="AF56" s="180"/>
      <c r="AG56" s="117"/>
      <c r="AH56" s="117"/>
      <c r="AI56" s="117"/>
      <c r="AJ56" s="115"/>
      <c r="AK56" s="180"/>
      <c r="AL56" s="117"/>
      <c r="AM56" s="117"/>
      <c r="AN56" s="117"/>
      <c r="AO56" s="115"/>
      <c r="AP56" s="180"/>
      <c r="AQ56" s="117"/>
      <c r="AR56" s="117"/>
      <c r="AS56" s="117"/>
      <c r="AT56" s="117"/>
      <c r="AU56" s="117"/>
      <c r="AV56" s="117"/>
      <c r="AW56" s="117"/>
      <c r="AX56" s="117"/>
      <c r="AY56" s="117"/>
      <c r="AZ56" s="117"/>
      <c r="BA56" s="117"/>
      <c r="BB56" s="117"/>
      <c r="BC56" s="117"/>
    </row>
    <row r="57">
      <c r="A57" s="115"/>
      <c r="B57" s="180"/>
      <c r="C57" s="117"/>
      <c r="D57" s="117"/>
      <c r="E57" s="117"/>
      <c r="F57" s="115"/>
      <c r="G57" s="180"/>
      <c r="H57" s="117"/>
      <c r="I57" s="117"/>
      <c r="J57" s="117"/>
      <c r="K57" s="92"/>
      <c r="L57" s="180"/>
      <c r="M57" s="117"/>
      <c r="N57" s="117"/>
      <c r="O57" s="117"/>
      <c r="P57" s="92"/>
      <c r="Q57" s="150"/>
      <c r="R57" s="117"/>
      <c r="S57" s="117"/>
      <c r="T57" s="117"/>
      <c r="U57" s="115"/>
      <c r="V57" s="180"/>
      <c r="W57" s="117"/>
      <c r="X57" s="117"/>
      <c r="Y57" s="117"/>
      <c r="Z57" s="115"/>
      <c r="AA57" s="180"/>
      <c r="AB57" s="117"/>
      <c r="AC57" s="117"/>
      <c r="AD57" s="117"/>
      <c r="AE57" s="115"/>
      <c r="AF57" s="180"/>
      <c r="AG57" s="117"/>
      <c r="AH57" s="117"/>
      <c r="AI57" s="117"/>
      <c r="AJ57" s="115"/>
      <c r="AK57" s="180"/>
      <c r="AL57" s="117"/>
      <c r="AM57" s="117"/>
      <c r="AN57" s="117"/>
      <c r="AO57" s="115"/>
      <c r="AP57" s="180"/>
      <c r="AQ57" s="117"/>
      <c r="AR57" s="117"/>
      <c r="AS57" s="117"/>
      <c r="AT57" s="117"/>
      <c r="AU57" s="117"/>
      <c r="AV57" s="117"/>
      <c r="AW57" s="117"/>
      <c r="AX57" s="117"/>
      <c r="AY57" s="117"/>
      <c r="AZ57" s="117"/>
      <c r="BA57" s="117"/>
      <c r="BB57" s="117"/>
      <c r="BC57" s="117"/>
    </row>
    <row r="58">
      <c r="A58" s="115"/>
      <c r="B58" s="180"/>
      <c r="C58" s="117"/>
      <c r="D58" s="117"/>
      <c r="E58" s="117"/>
      <c r="F58" s="115"/>
      <c r="G58" s="180"/>
      <c r="H58" s="117"/>
      <c r="I58" s="117"/>
      <c r="J58" s="117"/>
      <c r="K58" s="92"/>
      <c r="L58" s="180"/>
      <c r="M58" s="117"/>
      <c r="N58" s="117"/>
      <c r="O58" s="117"/>
      <c r="P58" s="92"/>
      <c r="Q58" s="150"/>
      <c r="R58" s="117"/>
      <c r="S58" s="117"/>
      <c r="T58" s="117"/>
      <c r="U58" s="115"/>
      <c r="V58" s="180"/>
      <c r="W58" s="117"/>
      <c r="X58" s="117"/>
      <c r="Y58" s="117"/>
      <c r="Z58" s="115"/>
      <c r="AA58" s="180"/>
      <c r="AB58" s="117"/>
      <c r="AC58" s="117"/>
      <c r="AD58" s="117"/>
      <c r="AE58" s="115"/>
      <c r="AF58" s="180"/>
      <c r="AG58" s="117"/>
      <c r="AH58" s="117"/>
      <c r="AI58" s="117"/>
      <c r="AJ58" s="115"/>
      <c r="AK58" s="180"/>
      <c r="AL58" s="117"/>
      <c r="AM58" s="117"/>
      <c r="AN58" s="117"/>
      <c r="AO58" s="115"/>
      <c r="AP58" s="180"/>
      <c r="AQ58" s="117"/>
      <c r="AR58" s="117"/>
      <c r="AS58" s="117"/>
      <c r="AT58" s="117"/>
      <c r="AU58" s="117"/>
      <c r="AV58" s="117"/>
      <c r="AW58" s="117"/>
      <c r="AX58" s="117"/>
      <c r="AY58" s="117"/>
      <c r="AZ58" s="117"/>
      <c r="BA58" s="117"/>
      <c r="BB58" s="117"/>
      <c r="BC58" s="117"/>
    </row>
    <row r="59">
      <c r="A59" s="115"/>
      <c r="B59" s="180"/>
      <c r="C59" s="117"/>
      <c r="D59" s="117"/>
      <c r="E59" s="117"/>
      <c r="F59" s="115"/>
      <c r="G59" s="180"/>
      <c r="H59" s="117"/>
      <c r="I59" s="117"/>
      <c r="J59" s="117"/>
      <c r="K59" s="92"/>
      <c r="L59" s="180"/>
      <c r="M59" s="117"/>
      <c r="N59" s="117"/>
      <c r="O59" s="117"/>
      <c r="P59" s="92"/>
      <c r="Q59" s="150"/>
      <c r="R59" s="117"/>
      <c r="S59" s="117"/>
      <c r="T59" s="117"/>
      <c r="U59" s="115"/>
      <c r="V59" s="180"/>
      <c r="W59" s="117"/>
      <c r="X59" s="117"/>
      <c r="Y59" s="117"/>
      <c r="Z59" s="115"/>
      <c r="AA59" s="180"/>
      <c r="AB59" s="117"/>
      <c r="AC59" s="117"/>
      <c r="AD59" s="117"/>
      <c r="AE59" s="115"/>
      <c r="AF59" s="180"/>
      <c r="AG59" s="117"/>
      <c r="AH59" s="117"/>
      <c r="AI59" s="117"/>
      <c r="AJ59" s="115"/>
      <c r="AK59" s="180"/>
      <c r="AL59" s="117"/>
      <c r="AM59" s="117"/>
      <c r="AN59" s="117"/>
      <c r="AO59" s="115"/>
      <c r="AP59" s="180"/>
      <c r="AQ59" s="117"/>
      <c r="AR59" s="117"/>
      <c r="AS59" s="117"/>
      <c r="AT59" s="117"/>
      <c r="AU59" s="117"/>
      <c r="AV59" s="117"/>
      <c r="AW59" s="117"/>
      <c r="AX59" s="117"/>
      <c r="AY59" s="117"/>
      <c r="AZ59" s="117"/>
      <c r="BA59" s="117"/>
      <c r="BB59" s="117"/>
      <c r="BC59" s="117"/>
    </row>
    <row r="60">
      <c r="A60" s="115"/>
      <c r="B60" s="180"/>
      <c r="C60" s="117"/>
      <c r="D60" s="117"/>
      <c r="E60" s="117"/>
      <c r="F60" s="115"/>
      <c r="G60" s="180"/>
      <c r="H60" s="117"/>
      <c r="I60" s="117"/>
      <c r="J60" s="117"/>
      <c r="K60" s="92"/>
      <c r="L60" s="180"/>
      <c r="M60" s="117"/>
      <c r="N60" s="117"/>
      <c r="O60" s="117"/>
      <c r="P60" s="92"/>
      <c r="Q60" s="150"/>
      <c r="R60" s="117"/>
      <c r="S60" s="117"/>
      <c r="T60" s="117"/>
      <c r="U60" s="115"/>
      <c r="V60" s="180"/>
      <c r="W60" s="117"/>
      <c r="X60" s="117"/>
      <c r="Y60" s="117"/>
      <c r="Z60" s="115"/>
      <c r="AA60" s="180"/>
      <c r="AB60" s="117"/>
      <c r="AC60" s="117"/>
      <c r="AD60" s="117"/>
      <c r="AE60" s="115"/>
      <c r="AF60" s="180"/>
      <c r="AG60" s="117"/>
      <c r="AH60" s="117"/>
      <c r="AI60" s="117"/>
      <c r="AJ60" s="115"/>
      <c r="AK60" s="180"/>
      <c r="AL60" s="117"/>
      <c r="AM60" s="117"/>
      <c r="AN60" s="117"/>
      <c r="AO60" s="115"/>
      <c r="AP60" s="180"/>
      <c r="AQ60" s="117"/>
      <c r="AR60" s="117"/>
      <c r="AS60" s="117"/>
      <c r="AT60" s="117"/>
      <c r="AU60" s="117"/>
      <c r="AV60" s="117"/>
      <c r="AW60" s="117"/>
      <c r="AX60" s="117"/>
      <c r="AY60" s="117"/>
      <c r="AZ60" s="117"/>
      <c r="BA60" s="117"/>
      <c r="BB60" s="117"/>
      <c r="BC60" s="117"/>
    </row>
    <row r="61">
      <c r="A61" s="115"/>
      <c r="B61" s="180"/>
      <c r="C61" s="117"/>
      <c r="D61" s="117"/>
      <c r="E61" s="117"/>
      <c r="F61" s="115"/>
      <c r="G61" s="180"/>
      <c r="H61" s="117"/>
      <c r="I61" s="117"/>
      <c r="J61" s="117"/>
      <c r="K61" s="92"/>
      <c r="L61" s="180"/>
      <c r="M61" s="117"/>
      <c r="N61" s="117"/>
      <c r="O61" s="117"/>
      <c r="P61" s="92"/>
      <c r="Q61" s="150"/>
      <c r="R61" s="117"/>
      <c r="S61" s="117"/>
      <c r="T61" s="117"/>
      <c r="U61" s="115"/>
      <c r="V61" s="180"/>
      <c r="W61" s="117"/>
      <c r="X61" s="117"/>
      <c r="Y61" s="117"/>
      <c r="Z61" s="115"/>
      <c r="AA61" s="180"/>
      <c r="AB61" s="117"/>
      <c r="AC61" s="117"/>
      <c r="AD61" s="117"/>
      <c r="AE61" s="115"/>
      <c r="AF61" s="180"/>
      <c r="AG61" s="117"/>
      <c r="AH61" s="117"/>
      <c r="AI61" s="117"/>
      <c r="AJ61" s="115"/>
      <c r="AK61" s="180"/>
      <c r="AL61" s="117"/>
      <c r="AM61" s="117"/>
      <c r="AN61" s="117"/>
      <c r="AO61" s="115"/>
      <c r="AP61" s="180"/>
      <c r="AQ61" s="117"/>
      <c r="AR61" s="117"/>
      <c r="AS61" s="117"/>
      <c r="AT61" s="117"/>
      <c r="AU61" s="117"/>
      <c r="AV61" s="117"/>
      <c r="AW61" s="117"/>
      <c r="AX61" s="117"/>
      <c r="AY61" s="117"/>
      <c r="AZ61" s="117"/>
      <c r="BA61" s="117"/>
      <c r="BB61" s="117"/>
      <c r="BC61" s="117"/>
    </row>
    <row r="62">
      <c r="A62" s="115"/>
      <c r="B62" s="180"/>
      <c r="C62" s="117"/>
      <c r="D62" s="117"/>
      <c r="E62" s="117"/>
      <c r="F62" s="115"/>
      <c r="G62" s="180"/>
      <c r="H62" s="117"/>
      <c r="I62" s="117"/>
      <c r="J62" s="117"/>
      <c r="K62" s="92"/>
      <c r="L62" s="180"/>
      <c r="M62" s="117"/>
      <c r="N62" s="117"/>
      <c r="O62" s="117"/>
      <c r="P62" s="92"/>
      <c r="Q62" s="150"/>
      <c r="R62" s="117"/>
      <c r="S62" s="117"/>
      <c r="T62" s="117"/>
      <c r="U62" s="115"/>
      <c r="V62" s="180"/>
      <c r="W62" s="117"/>
      <c r="X62" s="117"/>
      <c r="Y62" s="117"/>
      <c r="Z62" s="115"/>
      <c r="AA62" s="180"/>
      <c r="AB62" s="117"/>
      <c r="AC62" s="117"/>
      <c r="AD62" s="117"/>
      <c r="AE62" s="115"/>
      <c r="AF62" s="180"/>
      <c r="AG62" s="117"/>
      <c r="AH62" s="117"/>
      <c r="AI62" s="117"/>
      <c r="AJ62" s="115"/>
      <c r="AK62" s="180"/>
      <c r="AL62" s="117"/>
      <c r="AM62" s="117"/>
      <c r="AN62" s="117"/>
      <c r="AO62" s="115"/>
      <c r="AP62" s="180"/>
      <c r="AQ62" s="117"/>
      <c r="AR62" s="117"/>
      <c r="AS62" s="117"/>
      <c r="AT62" s="117"/>
      <c r="AU62" s="117"/>
      <c r="AV62" s="117"/>
      <c r="AW62" s="117"/>
      <c r="AX62" s="117"/>
      <c r="AY62" s="117"/>
      <c r="AZ62" s="117"/>
      <c r="BA62" s="117"/>
      <c r="BB62" s="117"/>
      <c r="BC62" s="117"/>
    </row>
    <row r="63">
      <c r="A63" s="115"/>
      <c r="B63" s="180"/>
      <c r="C63" s="117"/>
      <c r="D63" s="117"/>
      <c r="E63" s="117"/>
      <c r="F63" s="115"/>
      <c r="G63" s="180"/>
      <c r="H63" s="117"/>
      <c r="I63" s="117"/>
      <c r="J63" s="117"/>
      <c r="K63" s="92"/>
      <c r="L63" s="180"/>
      <c r="M63" s="117"/>
      <c r="N63" s="117"/>
      <c r="O63" s="117"/>
      <c r="P63" s="92"/>
      <c r="Q63" s="150"/>
      <c r="R63" s="117"/>
      <c r="S63" s="117"/>
      <c r="T63" s="117"/>
      <c r="U63" s="115"/>
      <c r="V63" s="180"/>
      <c r="W63" s="117"/>
      <c r="X63" s="117"/>
      <c r="Y63" s="117"/>
      <c r="Z63" s="115"/>
      <c r="AA63" s="180"/>
      <c r="AB63" s="117"/>
      <c r="AC63" s="117"/>
      <c r="AD63" s="117"/>
      <c r="AE63" s="115"/>
      <c r="AF63" s="180"/>
      <c r="AG63" s="117"/>
      <c r="AH63" s="117"/>
      <c r="AI63" s="117"/>
      <c r="AJ63" s="115"/>
      <c r="AK63" s="180"/>
      <c r="AL63" s="117"/>
      <c r="AM63" s="117"/>
      <c r="AN63" s="117"/>
      <c r="AO63" s="115"/>
      <c r="AP63" s="180"/>
      <c r="AQ63" s="117"/>
      <c r="AR63" s="117"/>
      <c r="AS63" s="117"/>
      <c r="AT63" s="117"/>
      <c r="AU63" s="117"/>
      <c r="AV63" s="117"/>
      <c r="AW63" s="117"/>
      <c r="AX63" s="117"/>
      <c r="AY63" s="117"/>
      <c r="AZ63" s="117"/>
      <c r="BA63" s="117"/>
      <c r="BB63" s="117"/>
      <c r="BC63" s="117"/>
    </row>
    <row r="64">
      <c r="A64" s="115"/>
      <c r="B64" s="180"/>
      <c r="C64" s="117"/>
      <c r="D64" s="117"/>
      <c r="E64" s="117"/>
      <c r="F64" s="115"/>
      <c r="G64" s="180"/>
      <c r="H64" s="117"/>
      <c r="I64" s="117"/>
      <c r="J64" s="117"/>
      <c r="K64" s="92"/>
      <c r="L64" s="180"/>
      <c r="M64" s="117"/>
      <c r="N64" s="117"/>
      <c r="O64" s="117"/>
      <c r="P64" s="92"/>
      <c r="Q64" s="150"/>
      <c r="R64" s="117"/>
      <c r="S64" s="117"/>
      <c r="T64" s="117"/>
      <c r="U64" s="115"/>
      <c r="V64" s="180"/>
      <c r="W64" s="117"/>
      <c r="X64" s="117"/>
      <c r="Y64" s="117"/>
      <c r="Z64" s="115"/>
      <c r="AA64" s="180"/>
      <c r="AB64" s="117"/>
      <c r="AC64" s="117"/>
      <c r="AD64" s="117"/>
      <c r="AE64" s="115"/>
      <c r="AF64" s="180"/>
      <c r="AG64" s="117"/>
      <c r="AH64" s="117"/>
      <c r="AI64" s="117"/>
      <c r="AJ64" s="115"/>
      <c r="AK64" s="180"/>
      <c r="AL64" s="117"/>
      <c r="AM64" s="117"/>
      <c r="AN64" s="117"/>
      <c r="AO64" s="115"/>
      <c r="AP64" s="180"/>
      <c r="AQ64" s="117"/>
      <c r="AR64" s="117"/>
      <c r="AS64" s="117"/>
      <c r="AT64" s="117"/>
      <c r="AU64" s="117"/>
      <c r="AV64" s="117"/>
      <c r="AW64" s="117"/>
      <c r="AX64" s="117"/>
      <c r="AY64" s="117"/>
      <c r="AZ64" s="117"/>
      <c r="BA64" s="117"/>
      <c r="BB64" s="117"/>
      <c r="BC64" s="117"/>
    </row>
    <row r="65">
      <c r="A65" s="115"/>
      <c r="B65" s="180"/>
      <c r="C65" s="117"/>
      <c r="D65" s="117"/>
      <c r="E65" s="117"/>
      <c r="F65" s="115"/>
      <c r="G65" s="180"/>
      <c r="H65" s="117"/>
      <c r="I65" s="117"/>
      <c r="J65" s="117"/>
      <c r="K65" s="92"/>
      <c r="L65" s="180"/>
      <c r="M65" s="117"/>
      <c r="N65" s="117"/>
      <c r="O65" s="117"/>
      <c r="P65" s="92"/>
      <c r="Q65" s="150"/>
      <c r="R65" s="117"/>
      <c r="S65" s="117"/>
      <c r="T65" s="117"/>
      <c r="U65" s="115"/>
      <c r="V65" s="180"/>
      <c r="W65" s="117"/>
      <c r="X65" s="117"/>
      <c r="Y65" s="117"/>
      <c r="Z65" s="115"/>
      <c r="AA65" s="180"/>
      <c r="AB65" s="117"/>
      <c r="AC65" s="117"/>
      <c r="AD65" s="117"/>
      <c r="AE65" s="115"/>
      <c r="AF65" s="180"/>
      <c r="AG65" s="117"/>
      <c r="AH65" s="117"/>
      <c r="AI65" s="117"/>
      <c r="AJ65" s="115"/>
      <c r="AK65" s="180"/>
      <c r="AL65" s="117"/>
      <c r="AM65" s="117"/>
      <c r="AN65" s="117"/>
      <c r="AO65" s="115"/>
      <c r="AP65" s="180"/>
      <c r="AQ65" s="117"/>
      <c r="AR65" s="117"/>
      <c r="AS65" s="117"/>
      <c r="AT65" s="117"/>
      <c r="AU65" s="117"/>
      <c r="AV65" s="117"/>
      <c r="AW65" s="117"/>
      <c r="AX65" s="117"/>
      <c r="AY65" s="117"/>
      <c r="AZ65" s="117"/>
      <c r="BA65" s="117"/>
      <c r="BB65" s="117"/>
      <c r="BC65" s="117"/>
    </row>
    <row r="66">
      <c r="A66" s="115"/>
      <c r="B66" s="180"/>
      <c r="C66" s="117"/>
      <c r="D66" s="117"/>
      <c r="E66" s="117"/>
      <c r="F66" s="115"/>
      <c r="G66" s="180"/>
      <c r="H66" s="117"/>
      <c r="I66" s="117"/>
      <c r="J66" s="117"/>
      <c r="K66" s="92"/>
      <c r="L66" s="180"/>
      <c r="M66" s="117"/>
      <c r="N66" s="117"/>
      <c r="O66" s="117"/>
      <c r="P66" s="92"/>
      <c r="Q66" s="150"/>
      <c r="R66" s="117"/>
      <c r="S66" s="117"/>
      <c r="T66" s="117"/>
      <c r="U66" s="115"/>
      <c r="V66" s="180"/>
      <c r="W66" s="117"/>
      <c r="X66" s="117"/>
      <c r="Y66" s="117"/>
      <c r="Z66" s="115"/>
      <c r="AA66" s="180"/>
      <c r="AB66" s="117"/>
      <c r="AC66" s="117"/>
      <c r="AD66" s="117"/>
      <c r="AE66" s="115"/>
      <c r="AF66" s="180"/>
      <c r="AG66" s="117"/>
      <c r="AH66" s="117"/>
      <c r="AI66" s="117"/>
      <c r="AJ66" s="115"/>
      <c r="AK66" s="180"/>
      <c r="AL66" s="117"/>
      <c r="AM66" s="117"/>
      <c r="AN66" s="117"/>
      <c r="AO66" s="115"/>
      <c r="AP66" s="180"/>
      <c r="AQ66" s="117"/>
      <c r="AR66" s="117"/>
      <c r="AS66" s="117"/>
      <c r="AT66" s="117"/>
      <c r="AU66" s="117"/>
      <c r="AV66" s="117"/>
      <c r="AW66" s="117"/>
      <c r="AX66" s="117"/>
      <c r="AY66" s="117"/>
      <c r="AZ66" s="117"/>
      <c r="BA66" s="117"/>
      <c r="BB66" s="117"/>
      <c r="BC66" s="117"/>
    </row>
    <row r="67">
      <c r="A67" s="115"/>
      <c r="B67" s="180"/>
      <c r="C67" s="117"/>
      <c r="D67" s="117"/>
      <c r="E67" s="117"/>
      <c r="F67" s="115"/>
      <c r="G67" s="180"/>
      <c r="H67" s="117"/>
      <c r="I67" s="117"/>
      <c r="J67" s="117"/>
      <c r="K67" s="92"/>
      <c r="L67" s="180"/>
      <c r="M67" s="117"/>
      <c r="N67" s="117"/>
      <c r="O67" s="117"/>
      <c r="P67" s="92"/>
      <c r="Q67" s="150"/>
      <c r="R67" s="117"/>
      <c r="S67" s="117"/>
      <c r="T67" s="117"/>
      <c r="U67" s="115"/>
      <c r="V67" s="180"/>
      <c r="W67" s="117"/>
      <c r="X67" s="117"/>
      <c r="Y67" s="117"/>
      <c r="Z67" s="115"/>
      <c r="AA67" s="180"/>
      <c r="AB67" s="117"/>
      <c r="AC67" s="117"/>
      <c r="AD67" s="117"/>
      <c r="AE67" s="115"/>
      <c r="AF67" s="180"/>
      <c r="AG67" s="117"/>
      <c r="AH67" s="117"/>
      <c r="AI67" s="117"/>
      <c r="AJ67" s="115"/>
      <c r="AK67" s="180"/>
      <c r="AL67" s="117"/>
      <c r="AM67" s="117"/>
      <c r="AN67" s="117"/>
      <c r="AO67" s="115"/>
      <c r="AP67" s="180"/>
      <c r="AQ67" s="117"/>
      <c r="AR67" s="117"/>
      <c r="AS67" s="117"/>
      <c r="AT67" s="117"/>
      <c r="AU67" s="117"/>
      <c r="AV67" s="117"/>
      <c r="AW67" s="117"/>
      <c r="AX67" s="117"/>
      <c r="AY67" s="117"/>
      <c r="AZ67" s="117"/>
      <c r="BA67" s="117"/>
      <c r="BB67" s="117"/>
      <c r="BC67" s="117"/>
    </row>
    <row r="68">
      <c r="A68" s="115"/>
      <c r="B68" s="180"/>
      <c r="C68" s="117"/>
      <c r="D68" s="117"/>
      <c r="E68" s="117"/>
      <c r="F68" s="115"/>
      <c r="G68" s="180"/>
      <c r="H68" s="117"/>
      <c r="I68" s="117"/>
      <c r="J68" s="117"/>
      <c r="K68" s="92"/>
      <c r="L68" s="180"/>
      <c r="M68" s="117"/>
      <c r="N68" s="117"/>
      <c r="O68" s="117"/>
      <c r="P68" s="92"/>
      <c r="Q68" s="150"/>
      <c r="R68" s="117"/>
      <c r="S68" s="117"/>
      <c r="T68" s="117"/>
      <c r="U68" s="115"/>
      <c r="V68" s="180"/>
      <c r="W68" s="117"/>
      <c r="X68" s="117"/>
      <c r="Y68" s="117"/>
      <c r="Z68" s="115"/>
      <c r="AA68" s="180"/>
      <c r="AB68" s="117"/>
      <c r="AC68" s="117"/>
      <c r="AD68" s="117"/>
      <c r="AE68" s="115"/>
      <c r="AF68" s="180"/>
      <c r="AG68" s="117"/>
      <c r="AH68" s="117"/>
      <c r="AI68" s="117"/>
      <c r="AJ68" s="115"/>
      <c r="AK68" s="180"/>
      <c r="AL68" s="117"/>
      <c r="AM68" s="117"/>
      <c r="AN68" s="117"/>
      <c r="AO68" s="115"/>
      <c r="AP68" s="180"/>
      <c r="AQ68" s="117"/>
      <c r="AR68" s="117"/>
      <c r="AS68" s="117"/>
      <c r="AT68" s="117"/>
      <c r="AU68" s="117"/>
      <c r="AV68" s="117"/>
      <c r="AW68" s="117"/>
      <c r="AX68" s="117"/>
      <c r="AY68" s="117"/>
      <c r="AZ68" s="117"/>
      <c r="BA68" s="117"/>
      <c r="BB68" s="117"/>
      <c r="BC68" s="117"/>
    </row>
    <row r="69">
      <c r="A69" s="115"/>
      <c r="B69" s="180"/>
      <c r="C69" s="117"/>
      <c r="D69" s="117"/>
      <c r="E69" s="117"/>
      <c r="F69" s="115"/>
      <c r="G69" s="180"/>
      <c r="H69" s="117"/>
      <c r="I69" s="117"/>
      <c r="J69" s="117"/>
      <c r="K69" s="92"/>
      <c r="L69" s="180"/>
      <c r="M69" s="117"/>
      <c r="N69" s="117"/>
      <c r="O69" s="117"/>
      <c r="P69" s="92"/>
      <c r="Q69" s="150"/>
      <c r="R69" s="117"/>
      <c r="S69" s="117"/>
      <c r="T69" s="117"/>
      <c r="U69" s="115"/>
      <c r="V69" s="180"/>
      <c r="W69" s="117"/>
      <c r="X69" s="117"/>
      <c r="Y69" s="117"/>
      <c r="Z69" s="115"/>
      <c r="AA69" s="180"/>
      <c r="AB69" s="117"/>
      <c r="AC69" s="117"/>
      <c r="AD69" s="117"/>
      <c r="AE69" s="115"/>
      <c r="AF69" s="180"/>
      <c r="AG69" s="117"/>
      <c r="AH69" s="117"/>
      <c r="AI69" s="117"/>
      <c r="AJ69" s="115"/>
      <c r="AK69" s="180"/>
      <c r="AL69" s="117"/>
      <c r="AM69" s="117"/>
      <c r="AN69" s="117"/>
      <c r="AO69" s="115"/>
      <c r="AP69" s="180"/>
      <c r="AQ69" s="117"/>
      <c r="AR69" s="117"/>
      <c r="AS69" s="117"/>
      <c r="AT69" s="117"/>
      <c r="AU69" s="117"/>
      <c r="AV69" s="117"/>
      <c r="AW69" s="117"/>
      <c r="AX69" s="117"/>
      <c r="AY69" s="117"/>
      <c r="AZ69" s="117"/>
      <c r="BA69" s="117"/>
      <c r="BB69" s="117"/>
      <c r="BC69" s="117"/>
    </row>
    <row r="70">
      <c r="A70" s="115"/>
      <c r="B70" s="180"/>
      <c r="C70" s="117"/>
      <c r="D70" s="117"/>
      <c r="E70" s="117"/>
      <c r="F70" s="115"/>
      <c r="G70" s="180"/>
      <c r="H70" s="117"/>
      <c r="I70" s="117"/>
      <c r="J70" s="117"/>
      <c r="K70" s="92"/>
      <c r="L70" s="180"/>
      <c r="M70" s="117"/>
      <c r="N70" s="117"/>
      <c r="O70" s="117"/>
      <c r="P70" s="92"/>
      <c r="Q70" s="150"/>
      <c r="R70" s="117"/>
      <c r="S70" s="117"/>
      <c r="T70" s="117"/>
      <c r="U70" s="115"/>
      <c r="V70" s="180"/>
      <c r="W70" s="117"/>
      <c r="X70" s="117"/>
      <c r="Y70" s="117"/>
      <c r="Z70" s="115"/>
      <c r="AA70" s="180"/>
      <c r="AB70" s="117"/>
      <c r="AC70" s="117"/>
      <c r="AD70" s="117"/>
      <c r="AE70" s="115"/>
      <c r="AF70" s="180"/>
      <c r="AG70" s="117"/>
      <c r="AH70" s="117"/>
      <c r="AI70" s="117"/>
      <c r="AJ70" s="115"/>
      <c r="AK70" s="180"/>
      <c r="AL70" s="117"/>
      <c r="AM70" s="117"/>
      <c r="AN70" s="117"/>
      <c r="AO70" s="115"/>
      <c r="AP70" s="180"/>
      <c r="AQ70" s="117"/>
      <c r="AR70" s="117"/>
      <c r="AS70" s="117"/>
      <c r="AT70" s="117"/>
      <c r="AU70" s="117"/>
      <c r="AV70" s="117"/>
      <c r="AW70" s="117"/>
      <c r="AX70" s="117"/>
      <c r="AY70" s="117"/>
      <c r="AZ70" s="117"/>
      <c r="BA70" s="117"/>
      <c r="BB70" s="117"/>
      <c r="BC70" s="117"/>
    </row>
    <row r="71">
      <c r="A71" s="115"/>
      <c r="B71" s="180"/>
      <c r="C71" s="117"/>
      <c r="D71" s="117"/>
      <c r="E71" s="117"/>
      <c r="F71" s="115"/>
      <c r="G71" s="180"/>
      <c r="H71" s="117"/>
      <c r="I71" s="117"/>
      <c r="J71" s="117"/>
      <c r="K71" s="92"/>
      <c r="L71" s="180"/>
      <c r="M71" s="117"/>
      <c r="N71" s="117"/>
      <c r="O71" s="117"/>
      <c r="P71" s="92"/>
      <c r="Q71" s="150"/>
      <c r="R71" s="117"/>
      <c r="S71" s="117"/>
      <c r="T71" s="117"/>
      <c r="U71" s="115"/>
      <c r="V71" s="180"/>
      <c r="W71" s="117"/>
      <c r="X71" s="117"/>
      <c r="Y71" s="117"/>
      <c r="Z71" s="115"/>
      <c r="AA71" s="180"/>
      <c r="AB71" s="117"/>
      <c r="AC71" s="117"/>
      <c r="AD71" s="117"/>
      <c r="AE71" s="115"/>
      <c r="AF71" s="180"/>
      <c r="AG71" s="117"/>
      <c r="AH71" s="117"/>
      <c r="AI71" s="117"/>
      <c r="AJ71" s="115"/>
      <c r="AK71" s="180"/>
      <c r="AL71" s="117"/>
      <c r="AM71" s="117"/>
      <c r="AN71" s="117"/>
      <c r="AO71" s="115"/>
      <c r="AP71" s="180"/>
      <c r="AQ71" s="117"/>
      <c r="AR71" s="117"/>
      <c r="AS71" s="117"/>
      <c r="AT71" s="117"/>
      <c r="AU71" s="117"/>
      <c r="AV71" s="117"/>
      <c r="AW71" s="117"/>
      <c r="AX71" s="117"/>
      <c r="AY71" s="117"/>
      <c r="AZ71" s="117"/>
      <c r="BA71" s="117"/>
      <c r="BB71" s="117"/>
      <c r="BC71" s="117"/>
    </row>
    <row r="72">
      <c r="A72" s="115"/>
      <c r="B72" s="180"/>
      <c r="C72" s="117"/>
      <c r="D72" s="117"/>
      <c r="E72" s="117"/>
      <c r="F72" s="115"/>
      <c r="G72" s="180"/>
      <c r="H72" s="117"/>
      <c r="I72" s="117"/>
      <c r="J72" s="117"/>
      <c r="K72" s="92"/>
      <c r="L72" s="180"/>
      <c r="M72" s="117"/>
      <c r="N72" s="117"/>
      <c r="O72" s="117"/>
      <c r="P72" s="92"/>
      <c r="Q72" s="150"/>
      <c r="R72" s="117"/>
      <c r="S72" s="117"/>
      <c r="T72" s="117"/>
      <c r="U72" s="115"/>
      <c r="V72" s="180"/>
      <c r="W72" s="117"/>
      <c r="X72" s="117"/>
      <c r="Y72" s="117"/>
      <c r="Z72" s="115"/>
      <c r="AA72" s="180"/>
      <c r="AB72" s="117"/>
      <c r="AC72" s="117"/>
      <c r="AD72" s="117"/>
      <c r="AE72" s="115"/>
      <c r="AF72" s="180"/>
      <c r="AG72" s="117"/>
      <c r="AH72" s="117"/>
      <c r="AI72" s="117"/>
      <c r="AJ72" s="115"/>
      <c r="AK72" s="180"/>
      <c r="AL72" s="117"/>
      <c r="AM72" s="117"/>
      <c r="AN72" s="117"/>
      <c r="AO72" s="115"/>
      <c r="AP72" s="180"/>
      <c r="AQ72" s="117"/>
      <c r="AR72" s="117"/>
      <c r="AS72" s="117"/>
      <c r="AT72" s="117"/>
      <c r="AU72" s="117"/>
      <c r="AV72" s="117"/>
      <c r="AW72" s="117"/>
      <c r="AX72" s="117"/>
      <c r="AY72" s="117"/>
      <c r="AZ72" s="117"/>
      <c r="BA72" s="117"/>
      <c r="BB72" s="117"/>
      <c r="BC72" s="117"/>
    </row>
    <row r="73">
      <c r="A73" s="115"/>
      <c r="B73" s="180"/>
      <c r="C73" s="117"/>
      <c r="D73" s="117"/>
      <c r="E73" s="117"/>
      <c r="F73" s="115"/>
      <c r="G73" s="180"/>
      <c r="H73" s="117"/>
      <c r="I73" s="117"/>
      <c r="J73" s="117"/>
      <c r="K73" s="92"/>
      <c r="L73" s="180"/>
      <c r="M73" s="117"/>
      <c r="N73" s="117"/>
      <c r="O73" s="117"/>
      <c r="P73" s="92"/>
      <c r="Q73" s="150"/>
      <c r="R73" s="117"/>
      <c r="S73" s="117"/>
      <c r="T73" s="117"/>
      <c r="U73" s="115"/>
      <c r="V73" s="180"/>
      <c r="W73" s="117"/>
      <c r="X73" s="117"/>
      <c r="Y73" s="117"/>
      <c r="Z73" s="115"/>
      <c r="AA73" s="180"/>
      <c r="AB73" s="117"/>
      <c r="AC73" s="117"/>
      <c r="AD73" s="117"/>
      <c r="AE73" s="115"/>
      <c r="AF73" s="180"/>
      <c r="AG73" s="117"/>
      <c r="AH73" s="117"/>
      <c r="AI73" s="117"/>
      <c r="AJ73" s="115"/>
      <c r="AK73" s="180"/>
      <c r="AL73" s="117"/>
      <c r="AM73" s="117"/>
      <c r="AN73" s="117"/>
      <c r="AO73" s="115"/>
      <c r="AP73" s="180"/>
      <c r="AQ73" s="117"/>
      <c r="AR73" s="117"/>
      <c r="AS73" s="117"/>
      <c r="AT73" s="117"/>
      <c r="AU73" s="117"/>
      <c r="AV73" s="117"/>
      <c r="AW73" s="117"/>
      <c r="AX73" s="117"/>
      <c r="AY73" s="117"/>
      <c r="AZ73" s="117"/>
      <c r="BA73" s="117"/>
      <c r="BB73" s="117"/>
      <c r="BC73" s="117"/>
    </row>
    <row r="74">
      <c r="A74" s="115"/>
      <c r="B74" s="180"/>
      <c r="C74" s="117"/>
      <c r="D74" s="117"/>
      <c r="E74" s="117"/>
      <c r="F74" s="115"/>
      <c r="G74" s="180"/>
      <c r="H74" s="117"/>
      <c r="I74" s="117"/>
      <c r="J74" s="117"/>
      <c r="K74" s="92"/>
      <c r="L74" s="180"/>
      <c r="M74" s="117"/>
      <c r="N74" s="117"/>
      <c r="O74" s="117"/>
      <c r="P74" s="92"/>
      <c r="Q74" s="150"/>
      <c r="R74" s="117"/>
      <c r="S74" s="117"/>
      <c r="T74" s="117"/>
      <c r="U74" s="115"/>
      <c r="V74" s="180"/>
      <c r="W74" s="117"/>
      <c r="X74" s="117"/>
      <c r="Y74" s="117"/>
      <c r="Z74" s="115"/>
      <c r="AA74" s="180"/>
      <c r="AB74" s="117"/>
      <c r="AC74" s="117"/>
      <c r="AD74" s="117"/>
      <c r="AE74" s="115"/>
      <c r="AF74" s="180"/>
      <c r="AG74" s="117"/>
      <c r="AH74" s="117"/>
      <c r="AI74" s="117"/>
      <c r="AJ74" s="115"/>
      <c r="AK74" s="180"/>
      <c r="AL74" s="117"/>
      <c r="AM74" s="117"/>
      <c r="AN74" s="117"/>
      <c r="AO74" s="115"/>
      <c r="AP74" s="180"/>
      <c r="AQ74" s="117"/>
      <c r="AR74" s="117"/>
      <c r="AS74" s="117"/>
      <c r="AT74" s="117"/>
      <c r="AU74" s="117"/>
      <c r="AV74" s="117"/>
      <c r="AW74" s="117"/>
      <c r="AX74" s="117"/>
      <c r="AY74" s="117"/>
      <c r="AZ74" s="117"/>
      <c r="BA74" s="117"/>
      <c r="BB74" s="117"/>
      <c r="BC74" s="117"/>
    </row>
    <row r="75">
      <c r="A75" s="115"/>
      <c r="B75" s="180"/>
      <c r="C75" s="117"/>
      <c r="D75" s="117"/>
      <c r="E75" s="117"/>
      <c r="F75" s="115"/>
      <c r="G75" s="180"/>
      <c r="H75" s="117"/>
      <c r="I75" s="117"/>
      <c r="J75" s="117"/>
      <c r="K75" s="92"/>
      <c r="L75" s="180"/>
      <c r="M75" s="117"/>
      <c r="N75" s="117"/>
      <c r="O75" s="117"/>
      <c r="P75" s="92"/>
      <c r="Q75" s="150"/>
      <c r="R75" s="117"/>
      <c r="S75" s="117"/>
      <c r="T75" s="117"/>
      <c r="U75" s="115"/>
      <c r="V75" s="180"/>
      <c r="W75" s="117"/>
      <c r="X75" s="117"/>
      <c r="Y75" s="117"/>
      <c r="Z75" s="115"/>
      <c r="AA75" s="180"/>
      <c r="AB75" s="117"/>
      <c r="AC75" s="117"/>
      <c r="AD75" s="117"/>
      <c r="AE75" s="115"/>
      <c r="AF75" s="180"/>
      <c r="AG75" s="117"/>
      <c r="AH75" s="117"/>
      <c r="AI75" s="117"/>
      <c r="AJ75" s="115"/>
      <c r="AK75" s="180"/>
      <c r="AL75" s="117"/>
      <c r="AM75" s="117"/>
      <c r="AN75" s="117"/>
      <c r="AO75" s="115"/>
      <c r="AP75" s="180"/>
      <c r="AQ75" s="117"/>
      <c r="AR75" s="117"/>
      <c r="AS75" s="117"/>
      <c r="AT75" s="117"/>
      <c r="AU75" s="117"/>
      <c r="AV75" s="117"/>
      <c r="AW75" s="117"/>
      <c r="AX75" s="117"/>
      <c r="AY75" s="117"/>
      <c r="AZ75" s="117"/>
      <c r="BA75" s="117"/>
      <c r="BB75" s="117"/>
      <c r="BC75" s="117"/>
    </row>
    <row r="76">
      <c r="A76" s="115"/>
      <c r="B76" s="180"/>
      <c r="C76" s="117"/>
      <c r="D76" s="117"/>
      <c r="E76" s="117"/>
      <c r="F76" s="115"/>
      <c r="G76" s="180"/>
      <c r="H76" s="117"/>
      <c r="I76" s="117"/>
      <c r="J76" s="117"/>
      <c r="K76" s="92"/>
      <c r="L76" s="180"/>
      <c r="M76" s="117"/>
      <c r="N76" s="117"/>
      <c r="O76" s="117"/>
      <c r="P76" s="92"/>
      <c r="Q76" s="150"/>
      <c r="R76" s="117"/>
      <c r="S76" s="117"/>
      <c r="T76" s="117"/>
      <c r="U76" s="115"/>
      <c r="V76" s="180"/>
      <c r="W76" s="117"/>
      <c r="X76" s="117"/>
      <c r="Y76" s="117"/>
      <c r="Z76" s="115"/>
      <c r="AA76" s="180"/>
      <c r="AB76" s="117"/>
      <c r="AC76" s="117"/>
      <c r="AD76" s="117"/>
      <c r="AE76" s="115"/>
      <c r="AF76" s="180"/>
      <c r="AG76" s="117"/>
      <c r="AH76" s="117"/>
      <c r="AI76" s="117"/>
      <c r="AJ76" s="115"/>
      <c r="AK76" s="180"/>
      <c r="AL76" s="117"/>
      <c r="AM76" s="117"/>
      <c r="AN76" s="117"/>
      <c r="AO76" s="115"/>
      <c r="AP76" s="180"/>
      <c r="AQ76" s="117"/>
      <c r="AR76" s="117"/>
      <c r="AS76" s="117"/>
      <c r="AT76" s="117"/>
      <c r="AU76" s="117"/>
      <c r="AV76" s="117"/>
      <c r="AW76" s="117"/>
      <c r="AX76" s="117"/>
      <c r="AY76" s="117"/>
      <c r="AZ76" s="117"/>
      <c r="BA76" s="117"/>
      <c r="BB76" s="117"/>
      <c r="BC76" s="117"/>
    </row>
    <row r="77">
      <c r="A77" s="115"/>
      <c r="B77" s="180"/>
      <c r="C77" s="117"/>
      <c r="D77" s="117"/>
      <c r="E77" s="117"/>
      <c r="F77" s="115"/>
      <c r="G77" s="180"/>
      <c r="H77" s="117"/>
      <c r="I77" s="117"/>
      <c r="J77" s="117"/>
      <c r="K77" s="92"/>
      <c r="L77" s="180"/>
      <c r="M77" s="117"/>
      <c r="N77" s="117"/>
      <c r="O77" s="117"/>
      <c r="P77" s="92"/>
      <c r="Q77" s="150"/>
      <c r="R77" s="117"/>
      <c r="S77" s="117"/>
      <c r="T77" s="117"/>
      <c r="U77" s="115"/>
      <c r="V77" s="180"/>
      <c r="W77" s="117"/>
      <c r="X77" s="117"/>
      <c r="Y77" s="117"/>
      <c r="Z77" s="115"/>
      <c r="AA77" s="180"/>
      <c r="AB77" s="117"/>
      <c r="AC77" s="117"/>
      <c r="AD77" s="117"/>
      <c r="AE77" s="115"/>
      <c r="AF77" s="180"/>
      <c r="AG77" s="117"/>
      <c r="AH77" s="117"/>
      <c r="AI77" s="117"/>
      <c r="AJ77" s="115"/>
      <c r="AK77" s="180"/>
      <c r="AL77" s="117"/>
      <c r="AM77" s="117"/>
      <c r="AN77" s="117"/>
      <c r="AO77" s="115"/>
      <c r="AP77" s="180"/>
      <c r="AQ77" s="117"/>
      <c r="AR77" s="117"/>
      <c r="AS77" s="117"/>
      <c r="AT77" s="117"/>
      <c r="AU77" s="117"/>
      <c r="AV77" s="117"/>
      <c r="AW77" s="117"/>
      <c r="AX77" s="117"/>
      <c r="AY77" s="117"/>
      <c r="AZ77" s="117"/>
      <c r="BA77" s="117"/>
      <c r="BB77" s="117"/>
      <c r="BC77" s="117"/>
    </row>
    <row r="78">
      <c r="A78" s="115"/>
      <c r="B78" s="180"/>
      <c r="C78" s="117"/>
      <c r="D78" s="117"/>
      <c r="E78" s="117"/>
      <c r="F78" s="115"/>
      <c r="G78" s="180"/>
      <c r="H78" s="117"/>
      <c r="I78" s="117"/>
      <c r="J78" s="117"/>
      <c r="K78" s="92"/>
      <c r="L78" s="180"/>
      <c r="M78" s="117"/>
      <c r="N78" s="117"/>
      <c r="O78" s="117"/>
      <c r="P78" s="92"/>
      <c r="Q78" s="150"/>
      <c r="R78" s="117"/>
      <c r="S78" s="117"/>
      <c r="T78" s="117"/>
      <c r="U78" s="115"/>
      <c r="V78" s="180"/>
      <c r="W78" s="117"/>
      <c r="X78" s="117"/>
      <c r="Y78" s="117"/>
      <c r="Z78" s="115"/>
      <c r="AA78" s="180"/>
      <c r="AB78" s="117"/>
      <c r="AC78" s="117"/>
      <c r="AD78" s="117"/>
      <c r="AE78" s="115"/>
      <c r="AF78" s="180"/>
      <c r="AG78" s="117"/>
      <c r="AH78" s="117"/>
      <c r="AI78" s="117"/>
      <c r="AJ78" s="115"/>
      <c r="AK78" s="180"/>
      <c r="AL78" s="117"/>
      <c r="AM78" s="117"/>
      <c r="AN78" s="117"/>
      <c r="AO78" s="115"/>
      <c r="AP78" s="180"/>
      <c r="AQ78" s="117"/>
      <c r="AR78" s="117"/>
      <c r="AS78" s="117"/>
      <c r="AT78" s="117"/>
      <c r="AU78" s="117"/>
      <c r="AV78" s="117"/>
      <c r="AW78" s="117"/>
      <c r="AX78" s="117"/>
      <c r="AY78" s="117"/>
      <c r="AZ78" s="117"/>
      <c r="BA78" s="117"/>
      <c r="BB78" s="117"/>
      <c r="BC78" s="117"/>
    </row>
    <row r="79">
      <c r="A79" s="115"/>
      <c r="B79" s="180"/>
      <c r="C79" s="117"/>
      <c r="D79" s="117"/>
      <c r="E79" s="117"/>
      <c r="F79" s="115"/>
      <c r="G79" s="180"/>
      <c r="H79" s="117"/>
      <c r="I79" s="117"/>
      <c r="J79" s="117"/>
      <c r="K79" s="92"/>
      <c r="L79" s="180"/>
      <c r="M79" s="117"/>
      <c r="N79" s="117"/>
      <c r="O79" s="117"/>
      <c r="P79" s="92"/>
      <c r="Q79" s="150"/>
      <c r="R79" s="117"/>
      <c r="S79" s="117"/>
      <c r="T79" s="117"/>
      <c r="U79" s="115"/>
      <c r="V79" s="180"/>
      <c r="W79" s="117"/>
      <c r="X79" s="117"/>
      <c r="Y79" s="117"/>
      <c r="Z79" s="115"/>
      <c r="AA79" s="180"/>
      <c r="AB79" s="117"/>
      <c r="AC79" s="117"/>
      <c r="AD79" s="117"/>
      <c r="AE79" s="115"/>
      <c r="AF79" s="180"/>
      <c r="AG79" s="117"/>
      <c r="AH79" s="117"/>
      <c r="AI79" s="117"/>
      <c r="AJ79" s="115"/>
      <c r="AK79" s="180"/>
      <c r="AL79" s="117"/>
      <c r="AM79" s="117"/>
      <c r="AN79" s="117"/>
      <c r="AO79" s="115"/>
      <c r="AP79" s="180"/>
      <c r="AQ79" s="117"/>
      <c r="AR79" s="117"/>
      <c r="AS79" s="117"/>
      <c r="AT79" s="117"/>
      <c r="AU79" s="117"/>
      <c r="AV79" s="117"/>
      <c r="AW79" s="117"/>
      <c r="AX79" s="117"/>
      <c r="AY79" s="117"/>
      <c r="AZ79" s="117"/>
      <c r="BA79" s="117"/>
      <c r="BB79" s="117"/>
      <c r="BC79" s="117"/>
    </row>
    <row r="80">
      <c r="A80" s="115"/>
      <c r="B80" s="180"/>
      <c r="C80" s="117"/>
      <c r="D80" s="117"/>
      <c r="E80" s="117"/>
      <c r="F80" s="115"/>
      <c r="G80" s="180"/>
      <c r="H80" s="117"/>
      <c r="I80" s="117"/>
      <c r="J80" s="117"/>
      <c r="K80" s="92"/>
      <c r="L80" s="180"/>
      <c r="M80" s="117"/>
      <c r="N80" s="117"/>
      <c r="O80" s="117"/>
      <c r="P80" s="92"/>
      <c r="Q80" s="150"/>
      <c r="R80" s="117"/>
      <c r="S80" s="117"/>
      <c r="T80" s="117"/>
      <c r="U80" s="115"/>
      <c r="V80" s="180"/>
      <c r="W80" s="117"/>
      <c r="X80" s="117"/>
      <c r="Y80" s="117"/>
      <c r="Z80" s="115"/>
      <c r="AA80" s="180"/>
      <c r="AB80" s="117"/>
      <c r="AC80" s="117"/>
      <c r="AD80" s="117"/>
      <c r="AE80" s="115"/>
      <c r="AF80" s="180"/>
      <c r="AG80" s="117"/>
      <c r="AH80" s="117"/>
      <c r="AI80" s="117"/>
      <c r="AJ80" s="115"/>
      <c r="AK80" s="180"/>
      <c r="AL80" s="117"/>
      <c r="AM80" s="117"/>
      <c r="AN80" s="117"/>
      <c r="AO80" s="115"/>
      <c r="AP80" s="180"/>
      <c r="AQ80" s="117"/>
      <c r="AR80" s="117"/>
      <c r="AS80" s="117"/>
      <c r="AT80" s="117"/>
      <c r="AU80" s="117"/>
      <c r="AV80" s="117"/>
      <c r="AW80" s="117"/>
      <c r="AX80" s="117"/>
      <c r="AY80" s="117"/>
      <c r="AZ80" s="117"/>
      <c r="BA80" s="117"/>
      <c r="BB80" s="117"/>
      <c r="BC80" s="117"/>
    </row>
    <row r="81">
      <c r="A81" s="115"/>
      <c r="B81" s="180"/>
      <c r="C81" s="117"/>
      <c r="D81" s="117"/>
      <c r="E81" s="117"/>
      <c r="F81" s="115"/>
      <c r="G81" s="180"/>
      <c r="H81" s="117"/>
      <c r="I81" s="117"/>
      <c r="J81" s="117"/>
      <c r="K81" s="92"/>
      <c r="L81" s="180"/>
      <c r="M81" s="117"/>
      <c r="N81" s="117"/>
      <c r="O81" s="117"/>
      <c r="P81" s="92"/>
      <c r="Q81" s="150"/>
      <c r="R81" s="117"/>
      <c r="S81" s="117"/>
      <c r="T81" s="117"/>
      <c r="U81" s="115"/>
      <c r="V81" s="180"/>
      <c r="W81" s="117"/>
      <c r="X81" s="117"/>
      <c r="Y81" s="117"/>
      <c r="Z81" s="115"/>
      <c r="AA81" s="180"/>
      <c r="AB81" s="117"/>
      <c r="AC81" s="117"/>
      <c r="AD81" s="117"/>
      <c r="AE81" s="115"/>
      <c r="AF81" s="180"/>
      <c r="AG81" s="117"/>
      <c r="AH81" s="117"/>
      <c r="AI81" s="117"/>
      <c r="AJ81" s="115"/>
      <c r="AK81" s="180"/>
      <c r="AL81" s="117"/>
      <c r="AM81" s="117"/>
      <c r="AN81" s="117"/>
      <c r="AO81" s="115"/>
      <c r="AP81" s="180"/>
      <c r="AQ81" s="117"/>
      <c r="AR81" s="117"/>
      <c r="AS81" s="117"/>
      <c r="AT81" s="117"/>
      <c r="AU81" s="117"/>
      <c r="AV81" s="117"/>
      <c r="AW81" s="117"/>
      <c r="AX81" s="117"/>
      <c r="AY81" s="117"/>
      <c r="AZ81" s="117"/>
      <c r="BA81" s="117"/>
      <c r="BB81" s="117"/>
      <c r="BC81" s="117"/>
    </row>
    <row r="82">
      <c r="A82" s="115"/>
      <c r="B82" s="180"/>
      <c r="C82" s="117"/>
      <c r="D82" s="117"/>
      <c r="E82" s="117"/>
      <c r="F82" s="115"/>
      <c r="G82" s="180"/>
      <c r="H82" s="117"/>
      <c r="I82" s="117"/>
      <c r="J82" s="117"/>
      <c r="K82" s="92"/>
      <c r="L82" s="180"/>
      <c r="M82" s="117"/>
      <c r="N82" s="117"/>
      <c r="O82" s="117"/>
      <c r="P82" s="92"/>
      <c r="Q82" s="150"/>
      <c r="R82" s="117"/>
      <c r="S82" s="117"/>
      <c r="T82" s="117"/>
      <c r="U82" s="115"/>
      <c r="V82" s="180"/>
      <c r="W82" s="117"/>
      <c r="X82" s="117"/>
      <c r="Y82" s="117"/>
      <c r="Z82" s="115"/>
      <c r="AA82" s="180"/>
      <c r="AB82" s="117"/>
      <c r="AC82" s="117"/>
      <c r="AD82" s="117"/>
      <c r="AE82" s="115"/>
      <c r="AF82" s="180"/>
      <c r="AG82" s="117"/>
      <c r="AH82" s="117"/>
      <c r="AI82" s="117"/>
      <c r="AJ82" s="115"/>
      <c r="AK82" s="180"/>
      <c r="AL82" s="117"/>
      <c r="AM82" s="117"/>
      <c r="AN82" s="117"/>
      <c r="AO82" s="115"/>
      <c r="AP82" s="180"/>
      <c r="AQ82" s="117"/>
      <c r="AR82" s="117"/>
      <c r="AS82" s="117"/>
      <c r="AT82" s="117"/>
      <c r="AU82" s="117"/>
      <c r="AV82" s="117"/>
      <c r="AW82" s="117"/>
      <c r="AX82" s="117"/>
      <c r="AY82" s="117"/>
      <c r="AZ82" s="117"/>
      <c r="BA82" s="117"/>
      <c r="BB82" s="117"/>
      <c r="BC82" s="117"/>
    </row>
    <row r="83">
      <c r="A83" s="115"/>
      <c r="B83" s="180"/>
      <c r="C83" s="117"/>
      <c r="D83" s="117"/>
      <c r="E83" s="117"/>
      <c r="F83" s="115"/>
      <c r="G83" s="180"/>
      <c r="H83" s="117"/>
      <c r="I83" s="117"/>
      <c r="J83" s="117"/>
      <c r="K83" s="92"/>
      <c r="L83" s="180"/>
      <c r="M83" s="117"/>
      <c r="N83" s="117"/>
      <c r="O83" s="117"/>
      <c r="P83" s="92"/>
      <c r="Q83" s="150"/>
      <c r="R83" s="117"/>
      <c r="S83" s="117"/>
      <c r="T83" s="117"/>
      <c r="U83" s="115"/>
      <c r="V83" s="180"/>
      <c r="W83" s="117"/>
      <c r="X83" s="117"/>
      <c r="Y83" s="117"/>
      <c r="Z83" s="115"/>
      <c r="AA83" s="180"/>
      <c r="AB83" s="117"/>
      <c r="AC83" s="117"/>
      <c r="AD83" s="117"/>
      <c r="AE83" s="115"/>
      <c r="AF83" s="180"/>
      <c r="AG83" s="117"/>
      <c r="AH83" s="117"/>
      <c r="AI83" s="117"/>
      <c r="AJ83" s="115"/>
      <c r="AK83" s="180"/>
      <c r="AL83" s="117"/>
      <c r="AM83" s="117"/>
      <c r="AN83" s="117"/>
      <c r="AO83" s="115"/>
      <c r="AP83" s="180"/>
      <c r="AQ83" s="117"/>
      <c r="AR83" s="117"/>
      <c r="AS83" s="117"/>
      <c r="AT83" s="117"/>
      <c r="AU83" s="117"/>
      <c r="AV83" s="117"/>
      <c r="AW83" s="117"/>
      <c r="AX83" s="117"/>
      <c r="AY83" s="117"/>
      <c r="AZ83" s="117"/>
      <c r="BA83" s="117"/>
      <c r="BB83" s="117"/>
      <c r="BC83" s="117"/>
    </row>
    <row r="84">
      <c r="A84" s="115"/>
      <c r="B84" s="180"/>
      <c r="C84" s="117"/>
      <c r="D84" s="117"/>
      <c r="E84" s="117"/>
      <c r="F84" s="115"/>
      <c r="G84" s="180"/>
      <c r="H84" s="117"/>
      <c r="I84" s="117"/>
      <c r="J84" s="117"/>
      <c r="K84" s="92"/>
      <c r="L84" s="180"/>
      <c r="M84" s="117"/>
      <c r="N84" s="117"/>
      <c r="O84" s="117"/>
      <c r="P84" s="92"/>
      <c r="Q84" s="150"/>
      <c r="R84" s="117"/>
      <c r="S84" s="117"/>
      <c r="T84" s="117"/>
      <c r="U84" s="115"/>
      <c r="V84" s="180"/>
      <c r="W84" s="117"/>
      <c r="X84" s="117"/>
      <c r="Y84" s="117"/>
      <c r="Z84" s="115"/>
      <c r="AA84" s="180"/>
      <c r="AB84" s="117"/>
      <c r="AC84" s="117"/>
      <c r="AD84" s="117"/>
      <c r="AE84" s="115"/>
      <c r="AF84" s="180"/>
      <c r="AG84" s="117"/>
      <c r="AH84" s="117"/>
      <c r="AI84" s="117"/>
      <c r="AJ84" s="115"/>
      <c r="AK84" s="180"/>
      <c r="AL84" s="117"/>
      <c r="AM84" s="117"/>
      <c r="AN84" s="117"/>
      <c r="AO84" s="115"/>
      <c r="AP84" s="180"/>
      <c r="AQ84" s="117"/>
      <c r="AR84" s="117"/>
      <c r="AS84" s="117"/>
      <c r="AT84" s="117"/>
      <c r="AU84" s="117"/>
      <c r="AV84" s="117"/>
      <c r="AW84" s="117"/>
      <c r="AX84" s="117"/>
      <c r="AY84" s="117"/>
      <c r="AZ84" s="117"/>
      <c r="BA84" s="117"/>
      <c r="BB84" s="117"/>
      <c r="BC84" s="117"/>
    </row>
    <row r="85">
      <c r="A85" s="115"/>
      <c r="B85" s="180"/>
      <c r="C85" s="117"/>
      <c r="D85" s="117"/>
      <c r="E85" s="117"/>
      <c r="F85" s="115"/>
      <c r="G85" s="180"/>
      <c r="H85" s="117"/>
      <c r="I85" s="117"/>
      <c r="J85" s="117"/>
      <c r="K85" s="92"/>
      <c r="L85" s="180"/>
      <c r="M85" s="117"/>
      <c r="N85" s="117"/>
      <c r="O85" s="117"/>
      <c r="P85" s="92"/>
      <c r="Q85" s="150"/>
      <c r="R85" s="117"/>
      <c r="S85" s="117"/>
      <c r="T85" s="117"/>
      <c r="U85" s="115"/>
      <c r="V85" s="180"/>
      <c r="W85" s="117"/>
      <c r="X85" s="117"/>
      <c r="Y85" s="117"/>
      <c r="Z85" s="115"/>
      <c r="AA85" s="180"/>
      <c r="AB85" s="117"/>
      <c r="AC85" s="117"/>
      <c r="AD85" s="117"/>
      <c r="AE85" s="115"/>
      <c r="AF85" s="180"/>
      <c r="AG85" s="117"/>
      <c r="AH85" s="117"/>
      <c r="AI85" s="117"/>
      <c r="AJ85" s="115"/>
      <c r="AK85" s="180"/>
      <c r="AL85" s="117"/>
      <c r="AM85" s="117"/>
      <c r="AN85" s="117"/>
      <c r="AO85" s="115"/>
      <c r="AP85" s="180"/>
      <c r="AQ85" s="117"/>
      <c r="AR85" s="117"/>
      <c r="AS85" s="117"/>
      <c r="AT85" s="117"/>
      <c r="AU85" s="117"/>
      <c r="AV85" s="117"/>
      <c r="AW85" s="117"/>
      <c r="AX85" s="117"/>
      <c r="AY85" s="117"/>
      <c r="AZ85" s="117"/>
      <c r="BA85" s="117"/>
      <c r="BB85" s="117"/>
      <c r="BC85" s="117"/>
    </row>
    <row r="86">
      <c r="A86" s="115"/>
      <c r="B86" s="180"/>
      <c r="C86" s="117"/>
      <c r="D86" s="117"/>
      <c r="E86" s="117"/>
      <c r="F86" s="115"/>
      <c r="G86" s="180"/>
      <c r="H86" s="117"/>
      <c r="I86" s="117"/>
      <c r="J86" s="117"/>
      <c r="K86" s="92"/>
      <c r="L86" s="180"/>
      <c r="M86" s="117"/>
      <c r="N86" s="117"/>
      <c r="O86" s="117"/>
      <c r="P86" s="92"/>
      <c r="Q86" s="150"/>
      <c r="R86" s="117"/>
      <c r="S86" s="117"/>
      <c r="T86" s="117"/>
      <c r="U86" s="115"/>
      <c r="V86" s="180"/>
      <c r="W86" s="117"/>
      <c r="X86" s="117"/>
      <c r="Y86" s="117"/>
      <c r="Z86" s="115"/>
      <c r="AA86" s="180"/>
      <c r="AB86" s="117"/>
      <c r="AC86" s="117"/>
      <c r="AD86" s="117"/>
      <c r="AE86" s="115"/>
      <c r="AF86" s="180"/>
      <c r="AG86" s="117"/>
      <c r="AH86" s="117"/>
      <c r="AI86" s="117"/>
      <c r="AJ86" s="115"/>
      <c r="AK86" s="180"/>
      <c r="AL86" s="117"/>
      <c r="AM86" s="117"/>
      <c r="AN86" s="117"/>
      <c r="AO86" s="115"/>
      <c r="AP86" s="180"/>
      <c r="AQ86" s="117"/>
      <c r="AR86" s="117"/>
      <c r="AS86" s="117"/>
      <c r="AT86" s="117"/>
      <c r="AU86" s="117"/>
      <c r="AV86" s="117"/>
      <c r="AW86" s="117"/>
      <c r="AX86" s="117"/>
      <c r="AY86" s="117"/>
      <c r="AZ86" s="117"/>
      <c r="BA86" s="117"/>
      <c r="BB86" s="117"/>
      <c r="BC86" s="117"/>
    </row>
    <row r="87">
      <c r="A87" s="115"/>
      <c r="B87" s="180"/>
      <c r="C87" s="117"/>
      <c r="D87" s="117"/>
      <c r="E87" s="117"/>
      <c r="F87" s="115"/>
      <c r="G87" s="180"/>
      <c r="H87" s="117"/>
      <c r="I87" s="117"/>
      <c r="J87" s="117"/>
      <c r="K87" s="92"/>
      <c r="L87" s="180"/>
      <c r="M87" s="117"/>
      <c r="N87" s="117"/>
      <c r="O87" s="117"/>
      <c r="P87" s="92"/>
      <c r="Q87" s="150"/>
      <c r="R87" s="117"/>
      <c r="S87" s="117"/>
      <c r="T87" s="117"/>
      <c r="U87" s="115"/>
      <c r="V87" s="180"/>
      <c r="W87" s="117"/>
      <c r="X87" s="117"/>
      <c r="Y87" s="117"/>
      <c r="Z87" s="115"/>
      <c r="AA87" s="180"/>
      <c r="AB87" s="117"/>
      <c r="AC87" s="117"/>
      <c r="AD87" s="117"/>
      <c r="AE87" s="115"/>
      <c r="AF87" s="180"/>
      <c r="AG87" s="117"/>
      <c r="AH87" s="117"/>
      <c r="AI87" s="117"/>
      <c r="AJ87" s="115"/>
      <c r="AK87" s="180"/>
      <c r="AL87" s="117"/>
      <c r="AM87" s="117"/>
      <c r="AN87" s="117"/>
      <c r="AO87" s="115"/>
      <c r="AP87" s="180"/>
      <c r="AQ87" s="117"/>
      <c r="AR87" s="117"/>
      <c r="AS87" s="117"/>
      <c r="AT87" s="117"/>
      <c r="AU87" s="117"/>
      <c r="AV87" s="117"/>
      <c r="AW87" s="117"/>
      <c r="AX87" s="117"/>
      <c r="AY87" s="117"/>
      <c r="AZ87" s="117"/>
      <c r="BA87" s="117"/>
      <c r="BB87" s="117"/>
      <c r="BC87" s="117"/>
    </row>
    <row r="88">
      <c r="A88" s="115"/>
      <c r="B88" s="180"/>
      <c r="C88" s="117"/>
      <c r="D88" s="117"/>
      <c r="E88" s="117"/>
      <c r="F88" s="115"/>
      <c r="G88" s="180"/>
      <c r="H88" s="117"/>
      <c r="I88" s="117"/>
      <c r="J88" s="117"/>
      <c r="K88" s="92"/>
      <c r="L88" s="180"/>
      <c r="M88" s="117"/>
      <c r="N88" s="117"/>
      <c r="O88" s="117"/>
      <c r="P88" s="92"/>
      <c r="Q88" s="150"/>
      <c r="R88" s="117"/>
      <c r="S88" s="117"/>
      <c r="T88" s="117"/>
      <c r="U88" s="115"/>
      <c r="V88" s="180"/>
      <c r="W88" s="117"/>
      <c r="X88" s="117"/>
      <c r="Y88" s="117"/>
      <c r="Z88" s="115"/>
      <c r="AA88" s="180"/>
      <c r="AB88" s="117"/>
      <c r="AC88" s="117"/>
      <c r="AD88" s="117"/>
      <c r="AE88" s="115"/>
      <c r="AF88" s="180"/>
      <c r="AG88" s="117"/>
      <c r="AH88" s="117"/>
      <c r="AI88" s="117"/>
      <c r="AJ88" s="115"/>
      <c r="AK88" s="180"/>
      <c r="AL88" s="117"/>
      <c r="AM88" s="117"/>
      <c r="AN88" s="117"/>
      <c r="AO88" s="115"/>
      <c r="AP88" s="180"/>
      <c r="AQ88" s="117"/>
      <c r="AR88" s="117"/>
      <c r="AS88" s="117"/>
      <c r="AT88" s="117"/>
      <c r="AU88" s="117"/>
      <c r="AV88" s="117"/>
      <c r="AW88" s="117"/>
      <c r="AX88" s="117"/>
      <c r="AY88" s="117"/>
      <c r="AZ88" s="117"/>
      <c r="BA88" s="117"/>
      <c r="BB88" s="117"/>
      <c r="BC88" s="117"/>
    </row>
    <row r="89">
      <c r="A89" s="115"/>
      <c r="B89" s="180"/>
      <c r="C89" s="117"/>
      <c r="D89" s="117"/>
      <c r="E89" s="117"/>
      <c r="F89" s="115"/>
      <c r="G89" s="180"/>
      <c r="H89" s="117"/>
      <c r="I89" s="117"/>
      <c r="J89" s="117"/>
      <c r="K89" s="92"/>
      <c r="L89" s="180"/>
      <c r="M89" s="117"/>
      <c r="N89" s="117"/>
      <c r="O89" s="117"/>
      <c r="P89" s="92"/>
      <c r="Q89" s="150"/>
      <c r="R89" s="117"/>
      <c r="S89" s="117"/>
      <c r="T89" s="117"/>
      <c r="U89" s="115"/>
      <c r="V89" s="180"/>
      <c r="W89" s="117"/>
      <c r="X89" s="117"/>
      <c r="Y89" s="117"/>
      <c r="Z89" s="115"/>
      <c r="AA89" s="180"/>
      <c r="AB89" s="117"/>
      <c r="AC89" s="117"/>
      <c r="AD89" s="117"/>
      <c r="AE89" s="115"/>
      <c r="AF89" s="180"/>
      <c r="AG89" s="117"/>
      <c r="AH89" s="117"/>
      <c r="AI89" s="117"/>
      <c r="AJ89" s="115"/>
      <c r="AK89" s="180"/>
      <c r="AL89" s="117"/>
      <c r="AM89" s="117"/>
      <c r="AN89" s="117"/>
      <c r="AO89" s="115"/>
      <c r="AP89" s="180"/>
      <c r="AQ89" s="117"/>
      <c r="AR89" s="117"/>
      <c r="AS89" s="117"/>
      <c r="AT89" s="117"/>
      <c r="AU89" s="117"/>
      <c r="AV89" s="117"/>
      <c r="AW89" s="117"/>
      <c r="AX89" s="117"/>
      <c r="AY89" s="117"/>
      <c r="AZ89" s="117"/>
      <c r="BA89" s="117"/>
      <c r="BB89" s="117"/>
      <c r="BC89" s="117"/>
    </row>
    <row r="90">
      <c r="A90" s="115"/>
      <c r="B90" s="180"/>
      <c r="C90" s="117"/>
      <c r="D90" s="117"/>
      <c r="E90" s="117"/>
      <c r="F90" s="115"/>
      <c r="G90" s="180"/>
      <c r="H90" s="117"/>
      <c r="I90" s="117"/>
      <c r="J90" s="117"/>
      <c r="K90" s="92"/>
      <c r="L90" s="180"/>
      <c r="M90" s="117"/>
      <c r="N90" s="117"/>
      <c r="O90" s="117"/>
      <c r="P90" s="92"/>
      <c r="Q90" s="150"/>
      <c r="R90" s="117"/>
      <c r="S90" s="117"/>
      <c r="T90" s="117"/>
      <c r="U90" s="115"/>
      <c r="V90" s="180"/>
      <c r="W90" s="117"/>
      <c r="X90" s="117"/>
      <c r="Y90" s="117"/>
      <c r="Z90" s="115"/>
      <c r="AA90" s="180"/>
      <c r="AB90" s="117"/>
      <c r="AC90" s="117"/>
      <c r="AD90" s="117"/>
      <c r="AE90" s="115"/>
      <c r="AF90" s="180"/>
      <c r="AG90" s="117"/>
      <c r="AH90" s="117"/>
      <c r="AI90" s="117"/>
      <c r="AJ90" s="115"/>
      <c r="AK90" s="180"/>
      <c r="AL90" s="117"/>
      <c r="AM90" s="117"/>
      <c r="AN90" s="117"/>
      <c r="AO90" s="115"/>
      <c r="AP90" s="180"/>
      <c r="AQ90" s="117"/>
      <c r="AR90" s="117"/>
      <c r="AS90" s="117"/>
      <c r="AT90" s="117"/>
      <c r="AU90" s="117"/>
      <c r="AV90" s="117"/>
      <c r="AW90" s="117"/>
      <c r="AX90" s="117"/>
      <c r="AY90" s="117"/>
      <c r="AZ90" s="117"/>
      <c r="BA90" s="117"/>
      <c r="BB90" s="117"/>
      <c r="BC90" s="117"/>
    </row>
    <row r="91">
      <c r="A91" s="115"/>
      <c r="B91" s="180"/>
      <c r="C91" s="117"/>
      <c r="D91" s="117"/>
      <c r="E91" s="117"/>
      <c r="F91" s="115"/>
      <c r="G91" s="180"/>
      <c r="H91" s="117"/>
      <c r="I91" s="117"/>
      <c r="J91" s="117"/>
      <c r="K91" s="92"/>
      <c r="L91" s="180"/>
      <c r="M91" s="117"/>
      <c r="N91" s="117"/>
      <c r="O91" s="117"/>
      <c r="P91" s="92"/>
      <c r="Q91" s="150"/>
      <c r="R91" s="117"/>
      <c r="S91" s="117"/>
      <c r="T91" s="117"/>
      <c r="U91" s="115"/>
      <c r="V91" s="180"/>
      <c r="W91" s="117"/>
      <c r="X91" s="117"/>
      <c r="Y91" s="117"/>
      <c r="Z91" s="115"/>
      <c r="AA91" s="180"/>
      <c r="AB91" s="117"/>
      <c r="AC91" s="117"/>
      <c r="AD91" s="117"/>
      <c r="AE91" s="115"/>
      <c r="AF91" s="180"/>
      <c r="AG91" s="117"/>
      <c r="AH91" s="117"/>
      <c r="AI91" s="117"/>
      <c r="AJ91" s="115"/>
      <c r="AK91" s="180"/>
      <c r="AL91" s="117"/>
      <c r="AM91" s="117"/>
      <c r="AN91" s="117"/>
      <c r="AO91" s="115"/>
      <c r="AP91" s="180"/>
      <c r="AQ91" s="117"/>
      <c r="AR91" s="117"/>
      <c r="AS91" s="117"/>
      <c r="AT91" s="117"/>
      <c r="AU91" s="117"/>
      <c r="AV91" s="117"/>
      <c r="AW91" s="117"/>
      <c r="AX91" s="117"/>
      <c r="AY91" s="117"/>
      <c r="AZ91" s="117"/>
      <c r="BA91" s="117"/>
      <c r="BB91" s="117"/>
      <c r="BC91" s="117"/>
    </row>
    <row r="92">
      <c r="A92" s="115"/>
      <c r="B92" s="180"/>
      <c r="C92" s="117"/>
      <c r="D92" s="117"/>
      <c r="E92" s="117"/>
      <c r="F92" s="115"/>
      <c r="G92" s="180"/>
      <c r="H92" s="117"/>
      <c r="I92" s="117"/>
      <c r="J92" s="117"/>
      <c r="K92" s="92"/>
      <c r="L92" s="180"/>
      <c r="M92" s="117"/>
      <c r="N92" s="117"/>
      <c r="O92" s="117"/>
      <c r="P92" s="92"/>
      <c r="Q92" s="150"/>
      <c r="R92" s="117"/>
      <c r="S92" s="117"/>
      <c r="T92" s="117"/>
      <c r="U92" s="115"/>
      <c r="V92" s="180"/>
      <c r="W92" s="117"/>
      <c r="X92" s="117"/>
      <c r="Y92" s="117"/>
      <c r="Z92" s="115"/>
      <c r="AA92" s="180"/>
      <c r="AB92" s="117"/>
      <c r="AC92" s="117"/>
      <c r="AD92" s="117"/>
      <c r="AE92" s="115"/>
      <c r="AF92" s="180"/>
      <c r="AG92" s="117"/>
      <c r="AH92" s="117"/>
      <c r="AI92" s="117"/>
      <c r="AJ92" s="115"/>
      <c r="AK92" s="180"/>
      <c r="AL92" s="117"/>
      <c r="AM92" s="117"/>
      <c r="AN92" s="117"/>
      <c r="AO92" s="115"/>
      <c r="AP92" s="180"/>
      <c r="AQ92" s="117"/>
      <c r="AR92" s="117"/>
      <c r="AS92" s="117"/>
      <c r="AT92" s="117"/>
      <c r="AU92" s="117"/>
      <c r="AV92" s="117"/>
      <c r="AW92" s="117"/>
      <c r="AX92" s="117"/>
      <c r="AY92" s="117"/>
      <c r="AZ92" s="117"/>
      <c r="BA92" s="117"/>
      <c r="BB92" s="117"/>
      <c r="BC92" s="117"/>
    </row>
    <row r="93">
      <c r="A93" s="115"/>
      <c r="B93" s="180"/>
      <c r="C93" s="117"/>
      <c r="D93" s="117"/>
      <c r="E93" s="117"/>
      <c r="F93" s="115"/>
      <c r="G93" s="180"/>
      <c r="H93" s="117"/>
      <c r="I93" s="117"/>
      <c r="J93" s="117"/>
      <c r="K93" s="92"/>
      <c r="L93" s="180"/>
      <c r="M93" s="117"/>
      <c r="N93" s="117"/>
      <c r="O93" s="117"/>
      <c r="P93" s="92"/>
      <c r="Q93" s="150"/>
      <c r="R93" s="117"/>
      <c r="S93" s="117"/>
      <c r="T93" s="117"/>
      <c r="U93" s="115"/>
      <c r="V93" s="180"/>
      <c r="W93" s="117"/>
      <c r="X93" s="117"/>
      <c r="Y93" s="117"/>
      <c r="Z93" s="115"/>
      <c r="AA93" s="180"/>
      <c r="AB93" s="117"/>
      <c r="AC93" s="117"/>
      <c r="AD93" s="117"/>
      <c r="AE93" s="115"/>
      <c r="AF93" s="180"/>
      <c r="AG93" s="117"/>
      <c r="AH93" s="117"/>
      <c r="AI93" s="117"/>
      <c r="AJ93" s="115"/>
      <c r="AK93" s="180"/>
      <c r="AL93" s="117"/>
      <c r="AM93" s="117"/>
      <c r="AN93" s="117"/>
      <c r="AO93" s="115"/>
      <c r="AP93" s="180"/>
      <c r="AQ93" s="117"/>
      <c r="AR93" s="117"/>
      <c r="AS93" s="117"/>
      <c r="AT93" s="117"/>
      <c r="AU93" s="117"/>
      <c r="AV93" s="117"/>
      <c r="AW93" s="117"/>
      <c r="AX93" s="117"/>
      <c r="AY93" s="117"/>
      <c r="AZ93" s="117"/>
      <c r="BA93" s="117"/>
      <c r="BB93" s="117"/>
      <c r="BC93" s="117"/>
    </row>
    <row r="94">
      <c r="A94" s="115"/>
      <c r="B94" s="180"/>
      <c r="C94" s="117"/>
      <c r="D94" s="117"/>
      <c r="E94" s="117"/>
      <c r="F94" s="115"/>
      <c r="G94" s="180"/>
      <c r="H94" s="117"/>
      <c r="I94" s="117"/>
      <c r="J94" s="117"/>
      <c r="K94" s="92"/>
      <c r="L94" s="180"/>
      <c r="M94" s="117"/>
      <c r="N94" s="117"/>
      <c r="O94" s="117"/>
      <c r="P94" s="92"/>
      <c r="Q94" s="150"/>
      <c r="R94" s="117"/>
      <c r="S94" s="117"/>
      <c r="T94" s="117"/>
      <c r="U94" s="115"/>
      <c r="V94" s="180"/>
      <c r="W94" s="117"/>
      <c r="X94" s="117"/>
      <c r="Y94" s="117"/>
      <c r="Z94" s="115"/>
      <c r="AA94" s="180"/>
      <c r="AB94" s="117"/>
      <c r="AC94" s="117"/>
      <c r="AD94" s="117"/>
      <c r="AE94" s="115"/>
      <c r="AF94" s="180"/>
      <c r="AG94" s="117"/>
      <c r="AH94" s="117"/>
      <c r="AI94" s="117"/>
      <c r="AJ94" s="115"/>
      <c r="AK94" s="180"/>
      <c r="AL94" s="117"/>
      <c r="AM94" s="117"/>
      <c r="AN94" s="117"/>
      <c r="AO94" s="115"/>
      <c r="AP94" s="180"/>
      <c r="AQ94" s="117"/>
      <c r="AR94" s="117"/>
      <c r="AS94" s="117"/>
      <c r="AT94" s="117"/>
      <c r="AU94" s="117"/>
      <c r="AV94" s="117"/>
      <c r="AW94" s="117"/>
      <c r="AX94" s="117"/>
      <c r="AY94" s="117"/>
      <c r="AZ94" s="117"/>
      <c r="BA94" s="117"/>
      <c r="BB94" s="117"/>
      <c r="BC94" s="117"/>
    </row>
    <row r="95">
      <c r="A95" s="115"/>
      <c r="B95" s="180"/>
      <c r="C95" s="117"/>
      <c r="D95" s="117"/>
      <c r="E95" s="117"/>
      <c r="F95" s="115"/>
      <c r="G95" s="180"/>
      <c r="H95" s="117"/>
      <c r="I95" s="117"/>
      <c r="J95" s="117"/>
      <c r="K95" s="92"/>
      <c r="L95" s="180"/>
      <c r="M95" s="117"/>
      <c r="N95" s="117"/>
      <c r="O95" s="117"/>
      <c r="P95" s="92"/>
      <c r="Q95" s="150"/>
      <c r="R95" s="117"/>
      <c r="S95" s="117"/>
      <c r="T95" s="117"/>
      <c r="U95" s="115"/>
      <c r="V95" s="180"/>
      <c r="W95" s="117"/>
      <c r="X95" s="117"/>
      <c r="Y95" s="117"/>
      <c r="Z95" s="115"/>
      <c r="AA95" s="180"/>
      <c r="AB95" s="117"/>
      <c r="AC95" s="117"/>
      <c r="AD95" s="117"/>
      <c r="AE95" s="115"/>
      <c r="AF95" s="180"/>
      <c r="AG95" s="117"/>
      <c r="AH95" s="117"/>
      <c r="AI95" s="117"/>
      <c r="AJ95" s="115"/>
      <c r="AK95" s="180"/>
      <c r="AL95" s="117"/>
      <c r="AM95" s="117"/>
      <c r="AN95" s="117"/>
      <c r="AO95" s="115"/>
      <c r="AP95" s="180"/>
      <c r="AQ95" s="117"/>
      <c r="AR95" s="117"/>
      <c r="AS95" s="117"/>
      <c r="AT95" s="117"/>
      <c r="AU95" s="117"/>
      <c r="AV95" s="117"/>
      <c r="AW95" s="117"/>
      <c r="AX95" s="117"/>
      <c r="AY95" s="117"/>
      <c r="AZ95" s="117"/>
      <c r="BA95" s="117"/>
      <c r="BB95" s="117"/>
      <c r="BC95" s="117"/>
    </row>
    <row r="96">
      <c r="A96" s="115"/>
      <c r="B96" s="180"/>
      <c r="C96" s="117"/>
      <c r="D96" s="117"/>
      <c r="E96" s="117"/>
      <c r="F96" s="115"/>
      <c r="G96" s="180"/>
      <c r="H96" s="117"/>
      <c r="I96" s="117"/>
      <c r="J96" s="117"/>
      <c r="K96" s="92"/>
      <c r="L96" s="180"/>
      <c r="M96" s="117"/>
      <c r="N96" s="117"/>
      <c r="O96" s="117"/>
      <c r="P96" s="92"/>
      <c r="Q96" s="150"/>
      <c r="R96" s="117"/>
      <c r="S96" s="117"/>
      <c r="T96" s="117"/>
      <c r="U96" s="115"/>
      <c r="V96" s="180"/>
      <c r="W96" s="117"/>
      <c r="X96" s="117"/>
      <c r="Y96" s="117"/>
      <c r="Z96" s="115"/>
      <c r="AA96" s="180"/>
      <c r="AB96" s="117"/>
      <c r="AC96" s="117"/>
      <c r="AD96" s="117"/>
      <c r="AE96" s="115"/>
      <c r="AF96" s="180"/>
      <c r="AG96" s="117"/>
      <c r="AH96" s="117"/>
      <c r="AI96" s="117"/>
      <c r="AJ96" s="115"/>
      <c r="AK96" s="180"/>
      <c r="AL96" s="117"/>
      <c r="AM96" s="117"/>
      <c r="AN96" s="117"/>
      <c r="AO96" s="115"/>
      <c r="AP96" s="180"/>
      <c r="AQ96" s="117"/>
      <c r="AR96" s="117"/>
      <c r="AS96" s="117"/>
      <c r="AT96" s="117"/>
      <c r="AU96" s="117"/>
      <c r="AV96" s="117"/>
      <c r="AW96" s="117"/>
      <c r="AX96" s="117"/>
      <c r="AY96" s="117"/>
      <c r="AZ96" s="117"/>
      <c r="BA96" s="117"/>
      <c r="BB96" s="117"/>
      <c r="BC96" s="117"/>
    </row>
    <row r="97">
      <c r="A97" s="115"/>
      <c r="B97" s="180"/>
      <c r="C97" s="117"/>
      <c r="D97" s="117"/>
      <c r="E97" s="117"/>
      <c r="F97" s="115"/>
      <c r="G97" s="180"/>
      <c r="H97" s="117"/>
      <c r="I97" s="117"/>
      <c r="J97" s="117"/>
      <c r="K97" s="92"/>
      <c r="L97" s="180"/>
      <c r="M97" s="117"/>
      <c r="N97" s="117"/>
      <c r="O97" s="117"/>
      <c r="P97" s="92"/>
      <c r="Q97" s="150"/>
      <c r="R97" s="117"/>
      <c r="S97" s="117"/>
      <c r="T97" s="117"/>
      <c r="U97" s="115"/>
      <c r="V97" s="180"/>
      <c r="W97" s="117"/>
      <c r="X97" s="117"/>
      <c r="Y97" s="117"/>
      <c r="Z97" s="115"/>
      <c r="AA97" s="180"/>
      <c r="AB97" s="117"/>
      <c r="AC97" s="117"/>
      <c r="AD97" s="117"/>
      <c r="AE97" s="115"/>
      <c r="AF97" s="180"/>
      <c r="AG97" s="117"/>
      <c r="AH97" s="117"/>
      <c r="AI97" s="117"/>
      <c r="AJ97" s="115"/>
      <c r="AK97" s="180"/>
      <c r="AL97" s="117"/>
      <c r="AM97" s="117"/>
      <c r="AN97" s="117"/>
      <c r="AO97" s="115"/>
      <c r="AP97" s="180"/>
      <c r="AQ97" s="117"/>
      <c r="AR97" s="117"/>
      <c r="AS97" s="117"/>
      <c r="AT97" s="117"/>
      <c r="AU97" s="117"/>
      <c r="AV97" s="117"/>
      <c r="AW97" s="117"/>
      <c r="AX97" s="117"/>
      <c r="AY97" s="117"/>
      <c r="AZ97" s="117"/>
      <c r="BA97" s="117"/>
      <c r="BB97" s="117"/>
      <c r="BC97" s="117"/>
    </row>
    <row r="98">
      <c r="A98" s="115"/>
      <c r="B98" s="180"/>
      <c r="C98" s="117"/>
      <c r="D98" s="117"/>
      <c r="E98" s="117"/>
      <c r="F98" s="115"/>
      <c r="G98" s="180"/>
      <c r="H98" s="117"/>
      <c r="I98" s="117"/>
      <c r="J98" s="117"/>
      <c r="K98" s="92"/>
      <c r="L98" s="180"/>
      <c r="M98" s="117"/>
      <c r="N98" s="117"/>
      <c r="O98" s="117"/>
      <c r="P98" s="92"/>
      <c r="Q98" s="150"/>
      <c r="R98" s="117"/>
      <c r="S98" s="117"/>
      <c r="T98" s="117"/>
      <c r="U98" s="115"/>
      <c r="V98" s="180"/>
      <c r="W98" s="117"/>
      <c r="X98" s="117"/>
      <c r="Y98" s="117"/>
      <c r="Z98" s="115"/>
      <c r="AA98" s="180"/>
      <c r="AB98" s="117"/>
      <c r="AC98" s="117"/>
      <c r="AD98" s="117"/>
      <c r="AE98" s="115"/>
      <c r="AF98" s="180"/>
      <c r="AG98" s="117"/>
      <c r="AH98" s="117"/>
      <c r="AI98" s="117"/>
      <c r="AJ98" s="115"/>
      <c r="AK98" s="180"/>
      <c r="AL98" s="117"/>
      <c r="AM98" s="117"/>
      <c r="AN98" s="117"/>
      <c r="AO98" s="115"/>
      <c r="AP98" s="180"/>
      <c r="AQ98" s="117"/>
      <c r="AR98" s="117"/>
      <c r="AS98" s="117"/>
      <c r="AT98" s="117"/>
      <c r="AU98" s="117"/>
      <c r="AV98" s="117"/>
      <c r="AW98" s="117"/>
      <c r="AX98" s="117"/>
      <c r="AY98" s="117"/>
      <c r="AZ98" s="117"/>
      <c r="BA98" s="117"/>
      <c r="BB98" s="117"/>
      <c r="BC98" s="117"/>
    </row>
    <row r="99">
      <c r="A99" s="115"/>
      <c r="B99" s="180"/>
      <c r="C99" s="117"/>
      <c r="D99" s="117"/>
      <c r="E99" s="117"/>
      <c r="F99" s="115"/>
      <c r="G99" s="180"/>
      <c r="H99" s="117"/>
      <c r="I99" s="117"/>
      <c r="J99" s="117"/>
      <c r="K99" s="92"/>
      <c r="L99" s="180"/>
      <c r="M99" s="117"/>
      <c r="N99" s="117"/>
      <c r="O99" s="117"/>
      <c r="P99" s="92"/>
      <c r="Q99" s="150"/>
      <c r="R99" s="117"/>
      <c r="S99" s="117"/>
      <c r="T99" s="117"/>
      <c r="U99" s="115"/>
      <c r="V99" s="180"/>
      <c r="W99" s="117"/>
      <c r="X99" s="117"/>
      <c r="Y99" s="117"/>
      <c r="Z99" s="115"/>
      <c r="AA99" s="180"/>
      <c r="AB99" s="117"/>
      <c r="AC99" s="117"/>
      <c r="AD99" s="117"/>
      <c r="AE99" s="115"/>
      <c r="AF99" s="180"/>
      <c r="AG99" s="117"/>
      <c r="AH99" s="117"/>
      <c r="AI99" s="117"/>
      <c r="AJ99" s="115"/>
      <c r="AK99" s="180"/>
      <c r="AL99" s="117"/>
      <c r="AM99" s="117"/>
      <c r="AN99" s="117"/>
      <c r="AO99" s="115"/>
      <c r="AP99" s="180"/>
      <c r="AQ99" s="117"/>
      <c r="AR99" s="117"/>
      <c r="AS99" s="117"/>
      <c r="AT99" s="117"/>
      <c r="AU99" s="117"/>
      <c r="AV99" s="117"/>
      <c r="AW99" s="117"/>
      <c r="AX99" s="117"/>
      <c r="AY99" s="117"/>
      <c r="AZ99" s="117"/>
      <c r="BA99" s="117"/>
      <c r="BB99" s="117"/>
      <c r="BC99" s="117"/>
    </row>
    <row r="100">
      <c r="A100" s="115"/>
      <c r="B100" s="180"/>
      <c r="C100" s="117"/>
      <c r="D100" s="117"/>
      <c r="E100" s="117"/>
      <c r="F100" s="115"/>
      <c r="G100" s="180"/>
      <c r="H100" s="117"/>
      <c r="I100" s="117"/>
      <c r="J100" s="117"/>
      <c r="K100" s="92"/>
      <c r="L100" s="180"/>
      <c r="M100" s="117"/>
      <c r="N100" s="117"/>
      <c r="O100" s="117"/>
      <c r="P100" s="92"/>
      <c r="Q100" s="150"/>
      <c r="R100" s="117"/>
      <c r="S100" s="117"/>
      <c r="T100" s="117"/>
      <c r="U100" s="115"/>
      <c r="V100" s="180"/>
      <c r="W100" s="117"/>
      <c r="X100" s="117"/>
      <c r="Y100" s="117"/>
      <c r="Z100" s="115"/>
      <c r="AA100" s="180"/>
      <c r="AB100" s="117"/>
      <c r="AC100" s="117"/>
      <c r="AD100" s="117"/>
      <c r="AE100" s="115"/>
      <c r="AF100" s="180"/>
      <c r="AG100" s="117"/>
      <c r="AH100" s="117"/>
      <c r="AI100" s="117"/>
      <c r="AJ100" s="115"/>
      <c r="AK100" s="180"/>
      <c r="AL100" s="117"/>
      <c r="AM100" s="117"/>
      <c r="AN100" s="117"/>
      <c r="AO100" s="115"/>
      <c r="AP100" s="180"/>
      <c r="AQ100" s="117"/>
      <c r="AR100" s="117"/>
      <c r="AS100" s="117"/>
      <c r="AT100" s="117"/>
      <c r="AU100" s="117"/>
      <c r="AV100" s="117"/>
      <c r="AW100" s="117"/>
      <c r="AX100" s="117"/>
      <c r="AY100" s="117"/>
      <c r="AZ100" s="117"/>
      <c r="BA100" s="117"/>
      <c r="BB100" s="117"/>
      <c r="BC100" s="117"/>
    </row>
    <row r="101">
      <c r="A101" s="115"/>
      <c r="B101" s="180"/>
      <c r="C101" s="117"/>
      <c r="D101" s="117"/>
      <c r="E101" s="117"/>
      <c r="F101" s="115"/>
      <c r="G101" s="180"/>
      <c r="H101" s="117"/>
      <c r="I101" s="117"/>
      <c r="J101" s="117"/>
      <c r="K101" s="92"/>
      <c r="L101" s="180"/>
      <c r="M101" s="117"/>
      <c r="N101" s="117"/>
      <c r="O101" s="117"/>
      <c r="P101" s="92"/>
      <c r="Q101" s="150"/>
      <c r="R101" s="117"/>
      <c r="S101" s="117"/>
      <c r="T101" s="117"/>
      <c r="U101" s="115"/>
      <c r="V101" s="180"/>
      <c r="W101" s="117"/>
      <c r="X101" s="117"/>
      <c r="Y101" s="117"/>
      <c r="Z101" s="115"/>
      <c r="AA101" s="180"/>
      <c r="AB101" s="117"/>
      <c r="AC101" s="117"/>
      <c r="AD101" s="117"/>
      <c r="AE101" s="115"/>
      <c r="AF101" s="180"/>
      <c r="AG101" s="117"/>
      <c r="AH101" s="117"/>
      <c r="AI101" s="117"/>
      <c r="AJ101" s="115"/>
      <c r="AK101" s="180"/>
      <c r="AL101" s="117"/>
      <c r="AM101" s="117"/>
      <c r="AN101" s="117"/>
      <c r="AO101" s="115"/>
      <c r="AP101" s="180"/>
      <c r="AQ101" s="117"/>
      <c r="AR101" s="117"/>
      <c r="AS101" s="117"/>
      <c r="AT101" s="117"/>
      <c r="AU101" s="117"/>
      <c r="AV101" s="117"/>
      <c r="AW101" s="117"/>
      <c r="AX101" s="117"/>
      <c r="AY101" s="117"/>
      <c r="AZ101" s="117"/>
      <c r="BA101" s="117"/>
      <c r="BB101" s="117"/>
      <c r="BC101" s="117"/>
    </row>
    <row r="102">
      <c r="A102" s="115"/>
      <c r="B102" s="180"/>
      <c r="C102" s="117"/>
      <c r="D102" s="117"/>
      <c r="E102" s="117"/>
      <c r="F102" s="115"/>
      <c r="G102" s="180"/>
      <c r="H102" s="117"/>
      <c r="I102" s="117"/>
      <c r="J102" s="117"/>
      <c r="K102" s="92"/>
      <c r="L102" s="180"/>
      <c r="M102" s="117"/>
      <c r="N102" s="117"/>
      <c r="O102" s="117"/>
      <c r="P102" s="92"/>
      <c r="Q102" s="150"/>
      <c r="R102" s="117"/>
      <c r="S102" s="117"/>
      <c r="T102" s="117"/>
      <c r="U102" s="115"/>
      <c r="V102" s="180"/>
      <c r="W102" s="117"/>
      <c r="X102" s="117"/>
      <c r="Y102" s="117"/>
      <c r="Z102" s="115"/>
      <c r="AA102" s="180"/>
      <c r="AB102" s="117"/>
      <c r="AC102" s="117"/>
      <c r="AD102" s="117"/>
      <c r="AE102" s="115"/>
      <c r="AF102" s="180"/>
      <c r="AG102" s="117"/>
      <c r="AH102" s="117"/>
      <c r="AI102" s="117"/>
      <c r="AJ102" s="115"/>
      <c r="AK102" s="180"/>
      <c r="AL102" s="117"/>
      <c r="AM102" s="117"/>
      <c r="AN102" s="117"/>
      <c r="AO102" s="115"/>
      <c r="AP102" s="180"/>
      <c r="AQ102" s="117"/>
      <c r="AR102" s="117"/>
      <c r="AS102" s="117"/>
      <c r="AT102" s="117"/>
      <c r="AU102" s="117"/>
      <c r="AV102" s="117"/>
      <c r="AW102" s="117"/>
      <c r="AX102" s="117"/>
      <c r="AY102" s="117"/>
      <c r="AZ102" s="117"/>
      <c r="BA102" s="117"/>
      <c r="BB102" s="117"/>
      <c r="BC102" s="117"/>
    </row>
    <row r="103">
      <c r="A103" s="115"/>
      <c r="B103" s="180"/>
      <c r="C103" s="117"/>
      <c r="D103" s="117"/>
      <c r="E103" s="117"/>
      <c r="F103" s="115"/>
      <c r="G103" s="180"/>
      <c r="H103" s="117"/>
      <c r="I103" s="117"/>
      <c r="J103" s="117"/>
      <c r="K103" s="92"/>
      <c r="L103" s="180"/>
      <c r="M103" s="117"/>
      <c r="N103" s="117"/>
      <c r="O103" s="117"/>
      <c r="P103" s="92"/>
      <c r="Q103" s="150"/>
      <c r="R103" s="117"/>
      <c r="S103" s="117"/>
      <c r="T103" s="117"/>
      <c r="U103" s="115"/>
      <c r="V103" s="180"/>
      <c r="W103" s="117"/>
      <c r="X103" s="117"/>
      <c r="Y103" s="117"/>
      <c r="Z103" s="115"/>
      <c r="AA103" s="180"/>
      <c r="AB103" s="117"/>
      <c r="AC103" s="117"/>
      <c r="AD103" s="117"/>
      <c r="AE103" s="115"/>
      <c r="AF103" s="180"/>
      <c r="AG103" s="117"/>
      <c r="AH103" s="117"/>
      <c r="AI103" s="117"/>
      <c r="AJ103" s="115"/>
      <c r="AK103" s="180"/>
      <c r="AL103" s="117"/>
      <c r="AM103" s="117"/>
      <c r="AN103" s="117"/>
      <c r="AO103" s="115"/>
      <c r="AP103" s="180"/>
      <c r="AQ103" s="117"/>
      <c r="AR103" s="117"/>
      <c r="AS103" s="117"/>
      <c r="AT103" s="117"/>
      <c r="AU103" s="117"/>
      <c r="AV103" s="117"/>
      <c r="AW103" s="117"/>
      <c r="AX103" s="117"/>
      <c r="AY103" s="117"/>
      <c r="AZ103" s="117"/>
      <c r="BA103" s="117"/>
      <c r="BB103" s="117"/>
      <c r="BC103" s="117"/>
    </row>
    <row r="104">
      <c r="A104" s="115"/>
      <c r="B104" s="180"/>
      <c r="C104" s="117"/>
      <c r="D104" s="117"/>
      <c r="E104" s="117"/>
      <c r="F104" s="115"/>
      <c r="G104" s="180"/>
      <c r="H104" s="117"/>
      <c r="I104" s="117"/>
      <c r="J104" s="117"/>
      <c r="K104" s="92"/>
      <c r="L104" s="180"/>
      <c r="M104" s="117"/>
      <c r="N104" s="117"/>
      <c r="O104" s="117"/>
      <c r="P104" s="92"/>
      <c r="Q104" s="150"/>
      <c r="R104" s="117"/>
      <c r="S104" s="117"/>
      <c r="T104" s="117"/>
      <c r="U104" s="115"/>
      <c r="V104" s="180"/>
      <c r="W104" s="117"/>
      <c r="X104" s="117"/>
      <c r="Y104" s="117"/>
      <c r="Z104" s="115"/>
      <c r="AA104" s="180"/>
      <c r="AB104" s="117"/>
      <c r="AC104" s="117"/>
      <c r="AD104" s="117"/>
      <c r="AE104" s="115"/>
      <c r="AF104" s="180"/>
      <c r="AG104" s="117"/>
      <c r="AH104" s="117"/>
      <c r="AI104" s="117"/>
      <c r="AJ104" s="115"/>
      <c r="AK104" s="180"/>
      <c r="AL104" s="117"/>
      <c r="AM104" s="117"/>
      <c r="AN104" s="117"/>
      <c r="AO104" s="115"/>
      <c r="AP104" s="180"/>
      <c r="AQ104" s="117"/>
      <c r="AR104" s="117"/>
      <c r="AS104" s="117"/>
      <c r="AT104" s="117"/>
      <c r="AU104" s="117"/>
      <c r="AV104" s="117"/>
      <c r="AW104" s="117"/>
      <c r="AX104" s="117"/>
      <c r="AY104" s="117"/>
      <c r="AZ104" s="117"/>
      <c r="BA104" s="117"/>
      <c r="BB104" s="117"/>
      <c r="BC104" s="117"/>
    </row>
    <row r="105">
      <c r="A105" s="115"/>
      <c r="B105" s="180"/>
      <c r="C105" s="117"/>
      <c r="D105" s="117"/>
      <c r="E105" s="117"/>
      <c r="F105" s="115"/>
      <c r="G105" s="180"/>
      <c r="H105" s="117"/>
      <c r="I105" s="117"/>
      <c r="J105" s="117"/>
      <c r="K105" s="92"/>
      <c r="L105" s="180"/>
      <c r="M105" s="117"/>
      <c r="N105" s="117"/>
      <c r="O105" s="117"/>
      <c r="P105" s="92"/>
      <c r="Q105" s="150"/>
      <c r="R105" s="117"/>
      <c r="S105" s="117"/>
      <c r="T105" s="117"/>
      <c r="U105" s="115"/>
      <c r="V105" s="180"/>
      <c r="W105" s="117"/>
      <c r="X105" s="117"/>
      <c r="Y105" s="117"/>
      <c r="Z105" s="115"/>
      <c r="AA105" s="180"/>
      <c r="AB105" s="117"/>
      <c r="AC105" s="117"/>
      <c r="AD105" s="117"/>
      <c r="AE105" s="115"/>
      <c r="AF105" s="180"/>
      <c r="AG105" s="117"/>
      <c r="AH105" s="117"/>
      <c r="AI105" s="117"/>
      <c r="AJ105" s="115"/>
      <c r="AK105" s="180"/>
      <c r="AL105" s="117"/>
      <c r="AM105" s="117"/>
      <c r="AN105" s="117"/>
      <c r="AO105" s="115"/>
      <c r="AP105" s="180"/>
      <c r="AQ105" s="117"/>
      <c r="AR105" s="117"/>
      <c r="AS105" s="117"/>
      <c r="AT105" s="117"/>
      <c r="AU105" s="117"/>
      <c r="AV105" s="117"/>
      <c r="AW105" s="117"/>
      <c r="AX105" s="117"/>
      <c r="AY105" s="117"/>
      <c r="AZ105" s="117"/>
      <c r="BA105" s="117"/>
      <c r="BB105" s="117"/>
      <c r="BC105" s="117"/>
    </row>
    <row r="106">
      <c r="A106" s="115"/>
      <c r="B106" s="180"/>
      <c r="C106" s="117"/>
      <c r="D106" s="117"/>
      <c r="E106" s="117"/>
      <c r="F106" s="115"/>
      <c r="G106" s="180"/>
      <c r="H106" s="117"/>
      <c r="I106" s="117"/>
      <c r="J106" s="117"/>
      <c r="K106" s="92"/>
      <c r="L106" s="180"/>
      <c r="M106" s="117"/>
      <c r="N106" s="117"/>
      <c r="O106" s="117"/>
      <c r="P106" s="92"/>
      <c r="Q106" s="150"/>
      <c r="R106" s="117"/>
      <c r="S106" s="117"/>
      <c r="T106" s="117"/>
      <c r="U106" s="115"/>
      <c r="V106" s="180"/>
      <c r="W106" s="117"/>
      <c r="X106" s="117"/>
      <c r="Y106" s="117"/>
      <c r="Z106" s="115"/>
      <c r="AA106" s="180"/>
      <c r="AB106" s="117"/>
      <c r="AC106" s="117"/>
      <c r="AD106" s="117"/>
      <c r="AE106" s="115"/>
      <c r="AF106" s="180"/>
      <c r="AG106" s="117"/>
      <c r="AH106" s="117"/>
      <c r="AI106" s="117"/>
      <c r="AJ106" s="115"/>
      <c r="AK106" s="180"/>
      <c r="AL106" s="117"/>
      <c r="AM106" s="117"/>
      <c r="AN106" s="117"/>
      <c r="AO106" s="115"/>
      <c r="AP106" s="180"/>
      <c r="AQ106" s="117"/>
      <c r="AR106" s="117"/>
      <c r="AS106" s="117"/>
      <c r="AT106" s="117"/>
      <c r="AU106" s="117"/>
      <c r="AV106" s="117"/>
      <c r="AW106" s="117"/>
      <c r="AX106" s="117"/>
      <c r="AY106" s="117"/>
      <c r="AZ106" s="117"/>
      <c r="BA106" s="117"/>
      <c r="BB106" s="117"/>
      <c r="BC106" s="117"/>
    </row>
    <row r="107">
      <c r="A107" s="115"/>
      <c r="B107" s="180"/>
      <c r="C107" s="117"/>
      <c r="D107" s="117"/>
      <c r="E107" s="117"/>
      <c r="F107" s="115"/>
      <c r="G107" s="180"/>
      <c r="H107" s="117"/>
      <c r="I107" s="117"/>
      <c r="J107" s="117"/>
      <c r="K107" s="92"/>
      <c r="L107" s="180"/>
      <c r="M107" s="117"/>
      <c r="N107" s="117"/>
      <c r="O107" s="117"/>
      <c r="P107" s="92"/>
      <c r="Q107" s="150"/>
      <c r="R107" s="117"/>
      <c r="S107" s="117"/>
      <c r="T107" s="117"/>
      <c r="U107" s="115"/>
      <c r="V107" s="180"/>
      <c r="W107" s="117"/>
      <c r="X107" s="117"/>
      <c r="Y107" s="117"/>
      <c r="Z107" s="115"/>
      <c r="AA107" s="180"/>
      <c r="AB107" s="117"/>
      <c r="AC107" s="117"/>
      <c r="AD107" s="117"/>
      <c r="AE107" s="115"/>
      <c r="AF107" s="180"/>
      <c r="AG107" s="117"/>
      <c r="AH107" s="117"/>
      <c r="AI107" s="117"/>
      <c r="AJ107" s="115"/>
      <c r="AK107" s="180"/>
      <c r="AL107" s="117"/>
      <c r="AM107" s="117"/>
      <c r="AN107" s="117"/>
      <c r="AO107" s="115"/>
      <c r="AP107" s="180"/>
      <c r="AQ107" s="117"/>
      <c r="AR107" s="117"/>
      <c r="AS107" s="117"/>
      <c r="AT107" s="117"/>
      <c r="AU107" s="117"/>
      <c r="AV107" s="117"/>
      <c r="AW107" s="117"/>
      <c r="AX107" s="117"/>
      <c r="AY107" s="117"/>
      <c r="AZ107" s="117"/>
      <c r="BA107" s="117"/>
      <c r="BB107" s="117"/>
      <c r="BC107" s="117"/>
    </row>
    <row r="108">
      <c r="A108" s="115"/>
      <c r="B108" s="180"/>
      <c r="C108" s="117"/>
      <c r="D108" s="117"/>
      <c r="E108" s="117"/>
      <c r="F108" s="115"/>
      <c r="G108" s="180"/>
      <c r="H108" s="117"/>
      <c r="I108" s="117"/>
      <c r="J108" s="117"/>
      <c r="K108" s="92"/>
      <c r="L108" s="180"/>
      <c r="M108" s="117"/>
      <c r="N108" s="117"/>
      <c r="O108" s="117"/>
      <c r="P108" s="92"/>
      <c r="Q108" s="150"/>
      <c r="R108" s="117"/>
      <c r="S108" s="117"/>
      <c r="T108" s="117"/>
      <c r="U108" s="115"/>
      <c r="V108" s="180"/>
      <c r="W108" s="117"/>
      <c r="X108" s="117"/>
      <c r="Y108" s="117"/>
      <c r="Z108" s="115"/>
      <c r="AA108" s="180"/>
      <c r="AB108" s="117"/>
      <c r="AC108" s="117"/>
      <c r="AD108" s="117"/>
      <c r="AE108" s="115"/>
      <c r="AF108" s="180"/>
      <c r="AG108" s="117"/>
      <c r="AH108" s="117"/>
      <c r="AI108" s="117"/>
      <c r="AJ108" s="115"/>
      <c r="AK108" s="180"/>
      <c r="AL108" s="117"/>
      <c r="AM108" s="117"/>
      <c r="AN108" s="117"/>
      <c r="AO108" s="115"/>
      <c r="AP108" s="180"/>
      <c r="AQ108" s="117"/>
      <c r="AR108" s="117"/>
      <c r="AS108" s="117"/>
      <c r="AT108" s="117"/>
      <c r="AU108" s="117"/>
      <c r="AV108" s="117"/>
      <c r="AW108" s="117"/>
      <c r="AX108" s="117"/>
      <c r="AY108" s="117"/>
      <c r="AZ108" s="117"/>
      <c r="BA108" s="117"/>
      <c r="BB108" s="117"/>
      <c r="BC108" s="117"/>
    </row>
    <row r="109">
      <c r="A109" s="115"/>
      <c r="B109" s="180"/>
      <c r="C109" s="117"/>
      <c r="D109" s="117"/>
      <c r="E109" s="117"/>
      <c r="F109" s="115"/>
      <c r="G109" s="180"/>
      <c r="H109" s="117"/>
      <c r="I109" s="117"/>
      <c r="J109" s="117"/>
      <c r="K109" s="92"/>
      <c r="L109" s="180"/>
      <c r="M109" s="117"/>
      <c r="N109" s="117"/>
      <c r="O109" s="117"/>
      <c r="P109" s="92"/>
      <c r="Q109" s="150"/>
      <c r="R109" s="117"/>
      <c r="S109" s="117"/>
      <c r="T109" s="117"/>
      <c r="U109" s="115"/>
      <c r="V109" s="180"/>
      <c r="W109" s="117"/>
      <c r="X109" s="117"/>
      <c r="Y109" s="117"/>
      <c r="Z109" s="115"/>
      <c r="AA109" s="180"/>
      <c r="AB109" s="117"/>
      <c r="AC109" s="117"/>
      <c r="AD109" s="117"/>
      <c r="AE109" s="115"/>
      <c r="AF109" s="180"/>
      <c r="AG109" s="117"/>
      <c r="AH109" s="117"/>
      <c r="AI109" s="117"/>
      <c r="AJ109" s="115"/>
      <c r="AK109" s="180"/>
      <c r="AL109" s="117"/>
      <c r="AM109" s="117"/>
      <c r="AN109" s="117"/>
      <c r="AO109" s="115"/>
      <c r="AP109" s="180"/>
      <c r="AQ109" s="117"/>
      <c r="AR109" s="117"/>
      <c r="AS109" s="117"/>
      <c r="AT109" s="117"/>
      <c r="AU109" s="117"/>
      <c r="AV109" s="117"/>
      <c r="AW109" s="117"/>
      <c r="AX109" s="117"/>
      <c r="AY109" s="117"/>
      <c r="AZ109" s="117"/>
      <c r="BA109" s="117"/>
      <c r="BB109" s="117"/>
      <c r="BC109" s="117"/>
    </row>
    <row r="110">
      <c r="A110" s="115"/>
      <c r="B110" s="180"/>
      <c r="C110" s="117"/>
      <c r="D110" s="117"/>
      <c r="E110" s="117"/>
      <c r="F110" s="115"/>
      <c r="G110" s="180"/>
      <c r="H110" s="117"/>
      <c r="I110" s="117"/>
      <c r="J110" s="117"/>
      <c r="K110" s="92"/>
      <c r="L110" s="180"/>
      <c r="M110" s="117"/>
      <c r="N110" s="117"/>
      <c r="O110" s="117"/>
      <c r="P110" s="92"/>
      <c r="Q110" s="150"/>
      <c r="R110" s="117"/>
      <c r="S110" s="117"/>
      <c r="T110" s="117"/>
      <c r="U110" s="115"/>
      <c r="V110" s="180"/>
      <c r="W110" s="117"/>
      <c r="X110" s="117"/>
      <c r="Y110" s="117"/>
      <c r="Z110" s="115"/>
      <c r="AA110" s="180"/>
      <c r="AB110" s="117"/>
      <c r="AC110" s="117"/>
      <c r="AD110" s="117"/>
      <c r="AE110" s="115"/>
      <c r="AF110" s="180"/>
      <c r="AG110" s="117"/>
      <c r="AH110" s="117"/>
      <c r="AI110" s="117"/>
      <c r="AJ110" s="115"/>
      <c r="AK110" s="180"/>
      <c r="AL110" s="117"/>
      <c r="AM110" s="117"/>
      <c r="AN110" s="117"/>
      <c r="AO110" s="115"/>
      <c r="AP110" s="180"/>
      <c r="AQ110" s="117"/>
      <c r="AR110" s="117"/>
      <c r="AS110" s="117"/>
      <c r="AT110" s="117"/>
      <c r="AU110" s="117"/>
      <c r="AV110" s="117"/>
      <c r="AW110" s="117"/>
      <c r="AX110" s="117"/>
      <c r="AY110" s="117"/>
      <c r="AZ110" s="117"/>
      <c r="BA110" s="117"/>
      <c r="BB110" s="117"/>
      <c r="BC110" s="117"/>
    </row>
    <row r="111">
      <c r="A111" s="115"/>
      <c r="B111" s="180"/>
      <c r="C111" s="117"/>
      <c r="D111" s="117"/>
      <c r="E111" s="117"/>
      <c r="F111" s="115"/>
      <c r="G111" s="180"/>
      <c r="H111" s="117"/>
      <c r="I111" s="117"/>
      <c r="J111" s="117"/>
      <c r="K111" s="92"/>
      <c r="L111" s="180"/>
      <c r="M111" s="117"/>
      <c r="N111" s="117"/>
      <c r="O111" s="117"/>
      <c r="P111" s="92"/>
      <c r="Q111" s="150"/>
      <c r="R111" s="117"/>
      <c r="S111" s="117"/>
      <c r="T111" s="117"/>
      <c r="U111" s="115"/>
      <c r="V111" s="180"/>
      <c r="W111" s="117"/>
      <c r="X111" s="117"/>
      <c r="Y111" s="117"/>
      <c r="Z111" s="115"/>
      <c r="AA111" s="180"/>
      <c r="AB111" s="117"/>
      <c r="AC111" s="117"/>
      <c r="AD111" s="117"/>
      <c r="AE111" s="115"/>
      <c r="AF111" s="180"/>
      <c r="AG111" s="117"/>
      <c r="AH111" s="117"/>
      <c r="AI111" s="117"/>
      <c r="AJ111" s="115"/>
      <c r="AK111" s="180"/>
      <c r="AL111" s="117"/>
      <c r="AM111" s="117"/>
      <c r="AN111" s="117"/>
      <c r="AO111" s="115"/>
      <c r="AP111" s="180"/>
      <c r="AQ111" s="117"/>
      <c r="AR111" s="117"/>
      <c r="AS111" s="117"/>
      <c r="AT111" s="117"/>
      <c r="AU111" s="117"/>
      <c r="AV111" s="117"/>
      <c r="AW111" s="117"/>
      <c r="AX111" s="117"/>
      <c r="AY111" s="117"/>
      <c r="AZ111" s="117"/>
      <c r="BA111" s="117"/>
      <c r="BB111" s="117"/>
      <c r="BC111" s="117"/>
    </row>
    <row r="112">
      <c r="A112" s="115"/>
      <c r="B112" s="180"/>
      <c r="C112" s="117"/>
      <c r="D112" s="117"/>
      <c r="E112" s="117"/>
      <c r="F112" s="115"/>
      <c r="G112" s="180"/>
      <c r="H112" s="117"/>
      <c r="I112" s="117"/>
      <c r="J112" s="117"/>
      <c r="K112" s="92"/>
      <c r="L112" s="180"/>
      <c r="M112" s="117"/>
      <c r="N112" s="117"/>
      <c r="O112" s="117"/>
      <c r="P112" s="92"/>
      <c r="Q112" s="150"/>
      <c r="R112" s="117"/>
      <c r="S112" s="117"/>
      <c r="T112" s="117"/>
      <c r="U112" s="115"/>
      <c r="V112" s="180"/>
      <c r="W112" s="117"/>
      <c r="X112" s="117"/>
      <c r="Y112" s="117"/>
      <c r="Z112" s="115"/>
      <c r="AA112" s="180"/>
      <c r="AB112" s="117"/>
      <c r="AC112" s="117"/>
      <c r="AD112" s="117"/>
      <c r="AE112" s="115"/>
      <c r="AF112" s="180"/>
      <c r="AG112" s="117"/>
      <c r="AH112" s="117"/>
      <c r="AI112" s="117"/>
      <c r="AJ112" s="115"/>
      <c r="AK112" s="180"/>
      <c r="AL112" s="117"/>
      <c r="AM112" s="117"/>
      <c r="AN112" s="117"/>
      <c r="AO112" s="115"/>
      <c r="AP112" s="180"/>
      <c r="AQ112" s="117"/>
      <c r="AR112" s="117"/>
      <c r="AS112" s="117"/>
      <c r="AT112" s="117"/>
      <c r="AU112" s="117"/>
      <c r="AV112" s="117"/>
      <c r="AW112" s="117"/>
      <c r="AX112" s="117"/>
      <c r="AY112" s="117"/>
      <c r="AZ112" s="117"/>
      <c r="BA112" s="117"/>
      <c r="BB112" s="117"/>
      <c r="BC112" s="117"/>
    </row>
    <row r="113">
      <c r="A113" s="115"/>
      <c r="B113" s="180"/>
      <c r="C113" s="117"/>
      <c r="D113" s="117"/>
      <c r="E113" s="117"/>
      <c r="F113" s="115"/>
      <c r="G113" s="180"/>
      <c r="H113" s="117"/>
      <c r="I113" s="117"/>
      <c r="J113" s="117"/>
      <c r="K113" s="92"/>
      <c r="L113" s="180"/>
      <c r="M113" s="117"/>
      <c r="N113" s="117"/>
      <c r="O113" s="117"/>
      <c r="P113" s="92"/>
      <c r="Q113" s="150"/>
      <c r="R113" s="117"/>
      <c r="S113" s="117"/>
      <c r="T113" s="117"/>
      <c r="U113" s="115"/>
      <c r="V113" s="180"/>
      <c r="W113" s="117"/>
      <c r="X113" s="117"/>
      <c r="Y113" s="117"/>
      <c r="Z113" s="115"/>
      <c r="AA113" s="180"/>
      <c r="AB113" s="117"/>
      <c r="AC113" s="117"/>
      <c r="AD113" s="117"/>
      <c r="AE113" s="115"/>
      <c r="AF113" s="180"/>
      <c r="AG113" s="117"/>
      <c r="AH113" s="117"/>
      <c r="AI113" s="117"/>
      <c r="AJ113" s="115"/>
      <c r="AK113" s="180"/>
      <c r="AL113" s="117"/>
      <c r="AM113" s="117"/>
      <c r="AN113" s="117"/>
      <c r="AO113" s="115"/>
      <c r="AP113" s="180"/>
      <c r="AQ113" s="117"/>
      <c r="AR113" s="117"/>
      <c r="AS113" s="117"/>
      <c r="AT113" s="117"/>
      <c r="AU113" s="117"/>
      <c r="AV113" s="117"/>
      <c r="AW113" s="117"/>
      <c r="AX113" s="117"/>
      <c r="AY113" s="117"/>
      <c r="AZ113" s="117"/>
      <c r="BA113" s="117"/>
      <c r="BB113" s="117"/>
      <c r="BC113" s="117"/>
    </row>
    <row r="114">
      <c r="A114" s="115"/>
      <c r="B114" s="180"/>
      <c r="C114" s="117"/>
      <c r="D114" s="117"/>
      <c r="E114" s="117"/>
      <c r="F114" s="115"/>
      <c r="G114" s="180"/>
      <c r="H114" s="117"/>
      <c r="I114" s="117"/>
      <c r="J114" s="117"/>
      <c r="K114" s="92"/>
      <c r="L114" s="180"/>
      <c r="M114" s="117"/>
      <c r="N114" s="117"/>
      <c r="O114" s="117"/>
      <c r="P114" s="92"/>
      <c r="Q114" s="150"/>
      <c r="R114" s="117"/>
      <c r="S114" s="117"/>
      <c r="T114" s="117"/>
      <c r="U114" s="115"/>
      <c r="V114" s="180"/>
      <c r="W114" s="117"/>
      <c r="X114" s="117"/>
      <c r="Y114" s="117"/>
      <c r="Z114" s="115"/>
      <c r="AA114" s="180"/>
      <c r="AB114" s="117"/>
      <c r="AC114" s="117"/>
      <c r="AD114" s="117"/>
      <c r="AE114" s="115"/>
      <c r="AF114" s="180"/>
      <c r="AG114" s="117"/>
      <c r="AH114" s="117"/>
      <c r="AI114" s="117"/>
      <c r="AJ114" s="115"/>
      <c r="AK114" s="180"/>
      <c r="AL114" s="117"/>
      <c r="AM114" s="117"/>
      <c r="AN114" s="117"/>
      <c r="AO114" s="115"/>
      <c r="AP114" s="180"/>
      <c r="AQ114" s="117"/>
      <c r="AR114" s="117"/>
      <c r="AS114" s="117"/>
      <c r="AT114" s="117"/>
      <c r="AU114" s="117"/>
      <c r="AV114" s="117"/>
      <c r="AW114" s="117"/>
      <c r="AX114" s="117"/>
      <c r="AY114" s="117"/>
      <c r="AZ114" s="117"/>
      <c r="BA114" s="117"/>
      <c r="BB114" s="117"/>
      <c r="BC114" s="117"/>
    </row>
    <row r="115">
      <c r="A115" s="115"/>
      <c r="B115" s="180"/>
      <c r="C115" s="117"/>
      <c r="D115" s="117"/>
      <c r="E115" s="117"/>
      <c r="F115" s="115"/>
      <c r="G115" s="180"/>
      <c r="H115" s="117"/>
      <c r="I115" s="117"/>
      <c r="J115" s="117"/>
      <c r="K115" s="92"/>
      <c r="L115" s="180"/>
      <c r="M115" s="117"/>
      <c r="N115" s="117"/>
      <c r="O115" s="117"/>
      <c r="P115" s="92"/>
      <c r="Q115" s="150"/>
      <c r="R115" s="117"/>
      <c r="S115" s="117"/>
      <c r="T115" s="117"/>
      <c r="U115" s="115"/>
      <c r="V115" s="180"/>
      <c r="W115" s="117"/>
      <c r="X115" s="117"/>
      <c r="Y115" s="117"/>
      <c r="Z115" s="115"/>
      <c r="AA115" s="180"/>
      <c r="AB115" s="117"/>
      <c r="AC115" s="117"/>
      <c r="AD115" s="117"/>
      <c r="AE115" s="115"/>
      <c r="AF115" s="180"/>
      <c r="AG115" s="117"/>
      <c r="AH115" s="117"/>
      <c r="AI115" s="117"/>
      <c r="AJ115" s="115"/>
      <c r="AK115" s="180"/>
      <c r="AL115" s="117"/>
      <c r="AM115" s="117"/>
      <c r="AN115" s="117"/>
      <c r="AO115" s="115"/>
      <c r="AP115" s="180"/>
      <c r="AQ115" s="117"/>
      <c r="AR115" s="117"/>
      <c r="AS115" s="117"/>
      <c r="AT115" s="117"/>
      <c r="AU115" s="117"/>
      <c r="AV115" s="117"/>
      <c r="AW115" s="117"/>
      <c r="AX115" s="117"/>
      <c r="AY115" s="117"/>
      <c r="AZ115" s="117"/>
      <c r="BA115" s="117"/>
      <c r="BB115" s="117"/>
      <c r="BC115" s="117"/>
    </row>
    <row r="116">
      <c r="A116" s="115"/>
      <c r="B116" s="180"/>
      <c r="C116" s="117"/>
      <c r="D116" s="117"/>
      <c r="E116" s="117"/>
      <c r="F116" s="115"/>
      <c r="G116" s="180"/>
      <c r="H116" s="117"/>
      <c r="I116" s="117"/>
      <c r="J116" s="117"/>
      <c r="K116" s="92"/>
      <c r="L116" s="180"/>
      <c r="M116" s="117"/>
      <c r="N116" s="117"/>
      <c r="O116" s="117"/>
      <c r="P116" s="92"/>
      <c r="Q116" s="150"/>
      <c r="R116" s="117"/>
      <c r="S116" s="117"/>
      <c r="T116" s="117"/>
      <c r="U116" s="115"/>
      <c r="V116" s="180"/>
      <c r="W116" s="117"/>
      <c r="X116" s="117"/>
      <c r="Y116" s="117"/>
      <c r="Z116" s="115"/>
      <c r="AA116" s="180"/>
      <c r="AB116" s="117"/>
      <c r="AC116" s="117"/>
      <c r="AD116" s="117"/>
      <c r="AE116" s="115"/>
      <c r="AF116" s="180"/>
      <c r="AG116" s="117"/>
      <c r="AH116" s="117"/>
      <c r="AI116" s="117"/>
      <c r="AJ116" s="115"/>
      <c r="AK116" s="180"/>
      <c r="AL116" s="117"/>
      <c r="AM116" s="117"/>
      <c r="AN116" s="117"/>
      <c r="AO116" s="115"/>
      <c r="AP116" s="180"/>
      <c r="AQ116" s="117"/>
      <c r="AR116" s="117"/>
      <c r="AS116" s="117"/>
      <c r="AT116" s="117"/>
      <c r="AU116" s="117"/>
      <c r="AV116" s="117"/>
      <c r="AW116" s="117"/>
      <c r="AX116" s="117"/>
      <c r="AY116" s="117"/>
      <c r="AZ116" s="117"/>
      <c r="BA116" s="117"/>
      <c r="BB116" s="117"/>
      <c r="BC116" s="117"/>
    </row>
    <row r="117">
      <c r="A117" s="115"/>
      <c r="B117" s="180"/>
      <c r="C117" s="117"/>
      <c r="D117" s="117"/>
      <c r="E117" s="117"/>
      <c r="F117" s="115"/>
      <c r="G117" s="180"/>
      <c r="H117" s="117"/>
      <c r="I117" s="117"/>
      <c r="J117" s="117"/>
      <c r="K117" s="92"/>
      <c r="L117" s="180"/>
      <c r="M117" s="117"/>
      <c r="N117" s="117"/>
      <c r="O117" s="117"/>
      <c r="P117" s="92"/>
      <c r="Q117" s="150"/>
      <c r="R117" s="117"/>
      <c r="S117" s="117"/>
      <c r="T117" s="117"/>
      <c r="U117" s="115"/>
      <c r="V117" s="180"/>
      <c r="W117" s="117"/>
      <c r="X117" s="117"/>
      <c r="Y117" s="117"/>
      <c r="Z117" s="115"/>
      <c r="AA117" s="180"/>
      <c r="AB117" s="117"/>
      <c r="AC117" s="117"/>
      <c r="AD117" s="117"/>
      <c r="AE117" s="115"/>
      <c r="AF117" s="180"/>
      <c r="AG117" s="117"/>
      <c r="AH117" s="117"/>
      <c r="AI117" s="117"/>
      <c r="AJ117" s="115"/>
      <c r="AK117" s="180"/>
      <c r="AL117" s="117"/>
      <c r="AM117" s="117"/>
      <c r="AN117" s="117"/>
      <c r="AO117" s="115"/>
      <c r="AP117" s="180"/>
      <c r="AQ117" s="117"/>
      <c r="AR117" s="117"/>
      <c r="AS117" s="117"/>
      <c r="AT117" s="117"/>
      <c r="AU117" s="117"/>
      <c r="AV117" s="117"/>
      <c r="AW117" s="117"/>
      <c r="AX117" s="117"/>
      <c r="AY117" s="117"/>
      <c r="AZ117" s="117"/>
      <c r="BA117" s="117"/>
      <c r="BB117" s="117"/>
      <c r="BC117" s="117"/>
    </row>
    <row r="118">
      <c r="A118" s="115"/>
      <c r="B118" s="180"/>
      <c r="C118" s="117"/>
      <c r="D118" s="117"/>
      <c r="E118" s="117"/>
      <c r="F118" s="115"/>
      <c r="G118" s="180"/>
      <c r="H118" s="117"/>
      <c r="I118" s="117"/>
      <c r="J118" s="117"/>
      <c r="K118" s="92"/>
      <c r="L118" s="180"/>
      <c r="M118" s="117"/>
      <c r="N118" s="117"/>
      <c r="O118" s="117"/>
      <c r="P118" s="92"/>
      <c r="Q118" s="150"/>
      <c r="R118" s="117"/>
      <c r="S118" s="117"/>
      <c r="T118" s="117"/>
      <c r="U118" s="115"/>
      <c r="V118" s="180"/>
      <c r="W118" s="117"/>
      <c r="X118" s="117"/>
      <c r="Y118" s="117"/>
      <c r="Z118" s="115"/>
      <c r="AA118" s="180"/>
      <c r="AB118" s="117"/>
      <c r="AC118" s="117"/>
      <c r="AD118" s="117"/>
      <c r="AE118" s="115"/>
      <c r="AF118" s="180"/>
      <c r="AG118" s="117"/>
      <c r="AH118" s="117"/>
      <c r="AI118" s="117"/>
      <c r="AJ118" s="115"/>
      <c r="AK118" s="180"/>
      <c r="AL118" s="117"/>
      <c r="AM118" s="117"/>
      <c r="AN118" s="117"/>
      <c r="AO118" s="115"/>
      <c r="AP118" s="180"/>
      <c r="AQ118" s="117"/>
      <c r="AR118" s="117"/>
      <c r="AS118" s="117"/>
      <c r="AT118" s="117"/>
      <c r="AU118" s="117"/>
      <c r="AV118" s="117"/>
      <c r="AW118" s="117"/>
      <c r="AX118" s="117"/>
      <c r="AY118" s="117"/>
      <c r="AZ118" s="117"/>
      <c r="BA118" s="117"/>
      <c r="BB118" s="117"/>
      <c r="BC118" s="117"/>
    </row>
    <row r="119">
      <c r="A119" s="115"/>
      <c r="B119" s="180"/>
      <c r="C119" s="117"/>
      <c r="D119" s="117"/>
      <c r="E119" s="117"/>
      <c r="F119" s="115"/>
      <c r="G119" s="180"/>
      <c r="H119" s="117"/>
      <c r="I119" s="117"/>
      <c r="J119" s="117"/>
      <c r="K119" s="92"/>
      <c r="L119" s="180"/>
      <c r="M119" s="117"/>
      <c r="N119" s="117"/>
      <c r="O119" s="117"/>
      <c r="P119" s="92"/>
      <c r="Q119" s="150"/>
      <c r="R119" s="117"/>
      <c r="S119" s="117"/>
      <c r="T119" s="117"/>
      <c r="U119" s="115"/>
      <c r="V119" s="180"/>
      <c r="W119" s="117"/>
      <c r="X119" s="117"/>
      <c r="Y119" s="117"/>
      <c r="Z119" s="115"/>
      <c r="AA119" s="180"/>
      <c r="AB119" s="117"/>
      <c r="AC119" s="117"/>
      <c r="AD119" s="117"/>
      <c r="AE119" s="115"/>
      <c r="AF119" s="180"/>
      <c r="AG119" s="117"/>
      <c r="AH119" s="117"/>
      <c r="AI119" s="117"/>
      <c r="AJ119" s="115"/>
      <c r="AK119" s="180"/>
      <c r="AL119" s="117"/>
      <c r="AM119" s="117"/>
      <c r="AN119" s="117"/>
      <c r="AO119" s="115"/>
      <c r="AP119" s="180"/>
      <c r="AQ119" s="117"/>
      <c r="AR119" s="117"/>
      <c r="AS119" s="117"/>
      <c r="AT119" s="117"/>
      <c r="AU119" s="117"/>
      <c r="AV119" s="117"/>
      <c r="AW119" s="117"/>
      <c r="AX119" s="117"/>
      <c r="AY119" s="117"/>
      <c r="AZ119" s="117"/>
      <c r="BA119" s="117"/>
      <c r="BB119" s="117"/>
      <c r="BC119" s="117"/>
    </row>
    <row r="120">
      <c r="A120" s="115"/>
      <c r="B120" s="180"/>
      <c r="C120" s="117"/>
      <c r="D120" s="117"/>
      <c r="E120" s="117"/>
      <c r="F120" s="115"/>
      <c r="G120" s="180"/>
      <c r="H120" s="117"/>
      <c r="I120" s="117"/>
      <c r="J120" s="117"/>
      <c r="K120" s="92"/>
      <c r="L120" s="180"/>
      <c r="M120" s="117"/>
      <c r="N120" s="117"/>
      <c r="O120" s="117"/>
      <c r="P120" s="92"/>
      <c r="Q120" s="150"/>
      <c r="R120" s="117"/>
      <c r="S120" s="117"/>
      <c r="T120" s="117"/>
      <c r="U120" s="115"/>
      <c r="V120" s="180"/>
      <c r="W120" s="117"/>
      <c r="X120" s="117"/>
      <c r="Y120" s="117"/>
      <c r="Z120" s="115"/>
      <c r="AA120" s="180"/>
      <c r="AB120" s="117"/>
      <c r="AC120" s="117"/>
      <c r="AD120" s="117"/>
      <c r="AE120" s="115"/>
      <c r="AF120" s="180"/>
      <c r="AG120" s="117"/>
      <c r="AH120" s="117"/>
      <c r="AI120" s="117"/>
      <c r="AJ120" s="115"/>
      <c r="AK120" s="180"/>
      <c r="AL120" s="117"/>
      <c r="AM120" s="117"/>
      <c r="AN120" s="117"/>
      <c r="AO120" s="115"/>
      <c r="AP120" s="180"/>
      <c r="AQ120" s="117"/>
      <c r="AR120" s="117"/>
      <c r="AS120" s="117"/>
      <c r="AT120" s="117"/>
      <c r="AU120" s="117"/>
      <c r="AV120" s="117"/>
      <c r="AW120" s="117"/>
      <c r="AX120" s="117"/>
      <c r="AY120" s="117"/>
      <c r="AZ120" s="117"/>
      <c r="BA120" s="117"/>
      <c r="BB120" s="117"/>
      <c r="BC120" s="117"/>
    </row>
    <row r="121">
      <c r="A121" s="115"/>
      <c r="B121" s="180"/>
      <c r="C121" s="117"/>
      <c r="D121" s="117"/>
      <c r="E121" s="117"/>
      <c r="F121" s="115"/>
      <c r="G121" s="180"/>
      <c r="H121" s="117"/>
      <c r="I121" s="117"/>
      <c r="J121" s="117"/>
      <c r="K121" s="92"/>
      <c r="L121" s="180"/>
      <c r="M121" s="117"/>
      <c r="N121" s="117"/>
      <c r="O121" s="117"/>
      <c r="P121" s="92"/>
      <c r="Q121" s="150"/>
      <c r="R121" s="117"/>
      <c r="S121" s="117"/>
      <c r="T121" s="117"/>
      <c r="U121" s="115"/>
      <c r="V121" s="180"/>
      <c r="W121" s="117"/>
      <c r="X121" s="117"/>
      <c r="Y121" s="117"/>
      <c r="Z121" s="115"/>
      <c r="AA121" s="180"/>
      <c r="AB121" s="117"/>
      <c r="AC121" s="117"/>
      <c r="AD121" s="117"/>
      <c r="AE121" s="115"/>
      <c r="AF121" s="180"/>
      <c r="AG121" s="117"/>
      <c r="AH121" s="117"/>
      <c r="AI121" s="117"/>
      <c r="AJ121" s="115"/>
      <c r="AK121" s="180"/>
      <c r="AL121" s="117"/>
      <c r="AM121" s="117"/>
      <c r="AN121" s="117"/>
      <c r="AO121" s="115"/>
      <c r="AP121" s="180"/>
      <c r="AQ121" s="117"/>
      <c r="AR121" s="117"/>
      <c r="AS121" s="117"/>
      <c r="AT121" s="117"/>
      <c r="AU121" s="117"/>
      <c r="AV121" s="117"/>
      <c r="AW121" s="117"/>
      <c r="AX121" s="117"/>
      <c r="AY121" s="117"/>
      <c r="AZ121" s="117"/>
      <c r="BA121" s="117"/>
      <c r="BB121" s="117"/>
      <c r="BC121" s="117"/>
    </row>
    <row r="122">
      <c r="A122" s="115"/>
      <c r="B122" s="180"/>
      <c r="C122" s="117"/>
      <c r="D122" s="117"/>
      <c r="E122" s="117"/>
      <c r="F122" s="115"/>
      <c r="G122" s="180"/>
      <c r="H122" s="117"/>
      <c r="I122" s="117"/>
      <c r="J122" s="117"/>
      <c r="K122" s="92"/>
      <c r="L122" s="180"/>
      <c r="M122" s="117"/>
      <c r="N122" s="117"/>
      <c r="O122" s="117"/>
      <c r="P122" s="92"/>
      <c r="Q122" s="150"/>
      <c r="R122" s="117"/>
      <c r="S122" s="117"/>
      <c r="T122" s="117"/>
      <c r="U122" s="115"/>
      <c r="V122" s="180"/>
      <c r="W122" s="117"/>
      <c r="X122" s="117"/>
      <c r="Y122" s="117"/>
      <c r="Z122" s="115"/>
      <c r="AA122" s="180"/>
      <c r="AB122" s="117"/>
      <c r="AC122" s="117"/>
      <c r="AD122" s="117"/>
      <c r="AE122" s="115"/>
      <c r="AF122" s="180"/>
      <c r="AG122" s="117"/>
      <c r="AH122" s="117"/>
      <c r="AI122" s="117"/>
      <c r="AJ122" s="115"/>
      <c r="AK122" s="180"/>
      <c r="AL122" s="117"/>
      <c r="AM122" s="117"/>
      <c r="AN122" s="117"/>
      <c r="AO122" s="115"/>
      <c r="AP122" s="180"/>
      <c r="AQ122" s="117"/>
      <c r="AR122" s="117"/>
      <c r="AS122" s="117"/>
      <c r="AT122" s="117"/>
      <c r="AU122" s="117"/>
      <c r="AV122" s="117"/>
      <c r="AW122" s="117"/>
      <c r="AX122" s="117"/>
      <c r="AY122" s="117"/>
      <c r="AZ122" s="117"/>
      <c r="BA122" s="117"/>
      <c r="BB122" s="117"/>
      <c r="BC122" s="117"/>
    </row>
    <row r="123">
      <c r="A123" s="115"/>
      <c r="B123" s="180"/>
      <c r="C123" s="117"/>
      <c r="D123" s="117"/>
      <c r="E123" s="117"/>
      <c r="F123" s="115"/>
      <c r="G123" s="180"/>
      <c r="H123" s="117"/>
      <c r="I123" s="117"/>
      <c r="J123" s="117"/>
      <c r="K123" s="92"/>
      <c r="L123" s="180"/>
      <c r="M123" s="117"/>
      <c r="N123" s="117"/>
      <c r="O123" s="117"/>
      <c r="P123" s="92"/>
      <c r="Q123" s="150"/>
      <c r="R123" s="117"/>
      <c r="S123" s="117"/>
      <c r="T123" s="117"/>
      <c r="U123" s="115"/>
      <c r="V123" s="180"/>
      <c r="W123" s="117"/>
      <c r="X123" s="117"/>
      <c r="Y123" s="117"/>
      <c r="Z123" s="115"/>
      <c r="AA123" s="180"/>
      <c r="AB123" s="117"/>
      <c r="AC123" s="117"/>
      <c r="AD123" s="117"/>
      <c r="AE123" s="115"/>
      <c r="AF123" s="180"/>
      <c r="AG123" s="117"/>
      <c r="AH123" s="117"/>
      <c r="AI123" s="117"/>
      <c r="AJ123" s="115"/>
      <c r="AK123" s="180"/>
      <c r="AL123" s="117"/>
      <c r="AM123" s="117"/>
      <c r="AN123" s="117"/>
      <c r="AO123" s="115"/>
      <c r="AP123" s="180"/>
      <c r="AQ123" s="117"/>
      <c r="AR123" s="117"/>
      <c r="AS123" s="117"/>
      <c r="AT123" s="117"/>
      <c r="AU123" s="117"/>
      <c r="AV123" s="117"/>
      <c r="AW123" s="117"/>
      <c r="AX123" s="117"/>
      <c r="AY123" s="117"/>
      <c r="AZ123" s="117"/>
      <c r="BA123" s="117"/>
      <c r="BB123" s="117"/>
      <c r="BC123" s="117"/>
    </row>
    <row r="124">
      <c r="A124" s="115"/>
      <c r="B124" s="180"/>
      <c r="C124" s="117"/>
      <c r="D124" s="117"/>
      <c r="E124" s="117"/>
      <c r="F124" s="115"/>
      <c r="G124" s="180"/>
      <c r="H124" s="117"/>
      <c r="I124" s="117"/>
      <c r="J124" s="117"/>
      <c r="K124" s="92"/>
      <c r="L124" s="180"/>
      <c r="M124" s="117"/>
      <c r="N124" s="117"/>
      <c r="O124" s="117"/>
      <c r="P124" s="92"/>
      <c r="Q124" s="150"/>
      <c r="R124" s="117"/>
      <c r="S124" s="117"/>
      <c r="T124" s="117"/>
      <c r="U124" s="115"/>
      <c r="V124" s="180"/>
      <c r="W124" s="117"/>
      <c r="X124" s="117"/>
      <c r="Y124" s="117"/>
      <c r="Z124" s="115"/>
      <c r="AA124" s="180"/>
      <c r="AB124" s="117"/>
      <c r="AC124" s="117"/>
      <c r="AD124" s="117"/>
      <c r="AE124" s="115"/>
      <c r="AF124" s="180"/>
      <c r="AG124" s="117"/>
      <c r="AH124" s="117"/>
      <c r="AI124" s="117"/>
      <c r="AJ124" s="115"/>
      <c r="AK124" s="180"/>
      <c r="AL124" s="117"/>
      <c r="AM124" s="117"/>
      <c r="AN124" s="117"/>
      <c r="AO124" s="115"/>
      <c r="AP124" s="180"/>
      <c r="AQ124" s="117"/>
      <c r="AR124" s="117"/>
      <c r="AS124" s="117"/>
      <c r="AT124" s="117"/>
      <c r="AU124" s="117"/>
      <c r="AV124" s="117"/>
      <c r="AW124" s="117"/>
      <c r="AX124" s="117"/>
      <c r="AY124" s="117"/>
      <c r="AZ124" s="117"/>
      <c r="BA124" s="117"/>
      <c r="BB124" s="117"/>
      <c r="BC124" s="117"/>
    </row>
    <row r="125">
      <c r="A125" s="115"/>
      <c r="B125" s="180"/>
      <c r="C125" s="117"/>
      <c r="D125" s="117"/>
      <c r="E125" s="117"/>
      <c r="F125" s="115"/>
      <c r="G125" s="180"/>
      <c r="H125" s="117"/>
      <c r="I125" s="117"/>
      <c r="J125" s="117"/>
      <c r="K125" s="92"/>
      <c r="L125" s="180"/>
      <c r="M125" s="117"/>
      <c r="N125" s="117"/>
      <c r="O125" s="117"/>
      <c r="P125" s="92"/>
      <c r="Q125" s="150"/>
      <c r="R125" s="117"/>
      <c r="S125" s="117"/>
      <c r="T125" s="117"/>
      <c r="U125" s="115"/>
      <c r="V125" s="180"/>
      <c r="W125" s="117"/>
      <c r="X125" s="117"/>
      <c r="Y125" s="117"/>
      <c r="Z125" s="115"/>
      <c r="AA125" s="180"/>
      <c r="AB125" s="117"/>
      <c r="AC125" s="117"/>
      <c r="AD125" s="117"/>
      <c r="AE125" s="115"/>
      <c r="AF125" s="180"/>
      <c r="AG125" s="117"/>
      <c r="AH125" s="117"/>
      <c r="AI125" s="117"/>
      <c r="AJ125" s="115"/>
      <c r="AK125" s="180"/>
      <c r="AL125" s="117"/>
      <c r="AM125" s="117"/>
      <c r="AN125" s="117"/>
      <c r="AO125" s="115"/>
      <c r="AP125" s="180"/>
      <c r="AQ125" s="117"/>
      <c r="AR125" s="117"/>
      <c r="AS125" s="117"/>
      <c r="AT125" s="117"/>
      <c r="AU125" s="117"/>
      <c r="AV125" s="117"/>
      <c r="AW125" s="117"/>
      <c r="AX125" s="117"/>
      <c r="AY125" s="117"/>
      <c r="AZ125" s="117"/>
      <c r="BA125" s="117"/>
      <c r="BB125" s="117"/>
      <c r="BC125" s="117"/>
    </row>
    <row r="126">
      <c r="A126" s="115"/>
      <c r="B126" s="180"/>
      <c r="C126" s="117"/>
      <c r="D126" s="117"/>
      <c r="E126" s="117"/>
      <c r="F126" s="115"/>
      <c r="G126" s="180"/>
      <c r="H126" s="117"/>
      <c r="I126" s="117"/>
      <c r="J126" s="117"/>
      <c r="K126" s="92"/>
      <c r="L126" s="180"/>
      <c r="M126" s="117"/>
      <c r="N126" s="117"/>
      <c r="O126" s="117"/>
      <c r="P126" s="92"/>
      <c r="Q126" s="150"/>
      <c r="R126" s="117"/>
      <c r="S126" s="117"/>
      <c r="T126" s="117"/>
      <c r="U126" s="115"/>
      <c r="V126" s="180"/>
      <c r="W126" s="117"/>
      <c r="X126" s="117"/>
      <c r="Y126" s="117"/>
      <c r="Z126" s="115"/>
      <c r="AA126" s="180"/>
      <c r="AB126" s="117"/>
      <c r="AC126" s="117"/>
      <c r="AD126" s="117"/>
      <c r="AE126" s="115"/>
      <c r="AF126" s="180"/>
      <c r="AG126" s="117"/>
      <c r="AH126" s="117"/>
      <c r="AI126" s="117"/>
      <c r="AJ126" s="115"/>
      <c r="AK126" s="180"/>
      <c r="AL126" s="117"/>
      <c r="AM126" s="117"/>
      <c r="AN126" s="117"/>
      <c r="AO126" s="115"/>
      <c r="AP126" s="180"/>
      <c r="AQ126" s="117"/>
      <c r="AR126" s="117"/>
      <c r="AS126" s="117"/>
      <c r="AT126" s="117"/>
      <c r="AU126" s="117"/>
      <c r="AV126" s="117"/>
      <c r="AW126" s="117"/>
      <c r="AX126" s="117"/>
      <c r="AY126" s="117"/>
      <c r="AZ126" s="117"/>
      <c r="BA126" s="117"/>
      <c r="BB126" s="117"/>
      <c r="BC126" s="117"/>
    </row>
    <row r="127">
      <c r="A127" s="115"/>
      <c r="B127" s="180"/>
      <c r="C127" s="117"/>
      <c r="D127" s="117"/>
      <c r="E127" s="117"/>
      <c r="F127" s="115"/>
      <c r="G127" s="180"/>
      <c r="H127" s="117"/>
      <c r="I127" s="117"/>
      <c r="J127" s="117"/>
      <c r="K127" s="92"/>
      <c r="L127" s="180"/>
      <c r="M127" s="117"/>
      <c r="N127" s="117"/>
      <c r="O127" s="117"/>
      <c r="P127" s="92"/>
      <c r="Q127" s="150"/>
      <c r="R127" s="117"/>
      <c r="S127" s="117"/>
      <c r="T127" s="117"/>
      <c r="U127" s="115"/>
      <c r="V127" s="180"/>
      <c r="W127" s="117"/>
      <c r="X127" s="117"/>
      <c r="Y127" s="117"/>
      <c r="Z127" s="115"/>
      <c r="AA127" s="180"/>
      <c r="AB127" s="117"/>
      <c r="AC127" s="117"/>
      <c r="AD127" s="117"/>
      <c r="AE127" s="115"/>
      <c r="AF127" s="180"/>
      <c r="AG127" s="117"/>
      <c r="AH127" s="117"/>
      <c r="AI127" s="117"/>
      <c r="AJ127" s="115"/>
      <c r="AK127" s="180"/>
      <c r="AL127" s="117"/>
      <c r="AM127" s="117"/>
      <c r="AN127" s="117"/>
      <c r="AO127" s="115"/>
      <c r="AP127" s="180"/>
      <c r="AQ127" s="117"/>
      <c r="AR127" s="117"/>
      <c r="AS127" s="117"/>
      <c r="AT127" s="117"/>
      <c r="AU127" s="117"/>
      <c r="AV127" s="117"/>
      <c r="AW127" s="117"/>
      <c r="AX127" s="117"/>
      <c r="AY127" s="117"/>
      <c r="AZ127" s="117"/>
      <c r="BA127" s="117"/>
      <c r="BB127" s="117"/>
      <c r="BC127" s="117"/>
    </row>
    <row r="128">
      <c r="A128" s="115"/>
      <c r="B128" s="180"/>
      <c r="C128" s="117"/>
      <c r="D128" s="117"/>
      <c r="E128" s="117"/>
      <c r="F128" s="115"/>
      <c r="G128" s="180"/>
      <c r="H128" s="117"/>
      <c r="I128" s="117"/>
      <c r="J128" s="117"/>
      <c r="K128" s="92"/>
      <c r="L128" s="180"/>
      <c r="M128" s="117"/>
      <c r="N128" s="117"/>
      <c r="O128" s="117"/>
      <c r="P128" s="92"/>
      <c r="Q128" s="150"/>
      <c r="R128" s="117"/>
      <c r="S128" s="117"/>
      <c r="T128" s="117"/>
      <c r="U128" s="115"/>
      <c r="V128" s="180"/>
      <c r="W128" s="117"/>
      <c r="X128" s="117"/>
      <c r="Y128" s="117"/>
      <c r="Z128" s="115"/>
      <c r="AA128" s="180"/>
      <c r="AB128" s="117"/>
      <c r="AC128" s="117"/>
      <c r="AD128" s="117"/>
      <c r="AE128" s="115"/>
      <c r="AF128" s="180"/>
      <c r="AG128" s="117"/>
      <c r="AH128" s="117"/>
      <c r="AI128" s="117"/>
      <c r="AJ128" s="115"/>
      <c r="AK128" s="180"/>
      <c r="AL128" s="117"/>
      <c r="AM128" s="117"/>
      <c r="AN128" s="117"/>
      <c r="AO128" s="115"/>
      <c r="AP128" s="180"/>
      <c r="AQ128" s="117"/>
      <c r="AR128" s="117"/>
      <c r="AS128" s="117"/>
      <c r="AT128" s="117"/>
      <c r="AU128" s="117"/>
      <c r="AV128" s="117"/>
      <c r="AW128" s="117"/>
      <c r="AX128" s="117"/>
      <c r="AY128" s="117"/>
      <c r="AZ128" s="117"/>
      <c r="BA128" s="117"/>
      <c r="BB128" s="117"/>
      <c r="BC128" s="117"/>
    </row>
    <row r="129">
      <c r="A129" s="115"/>
      <c r="B129" s="180"/>
      <c r="C129" s="117"/>
      <c r="D129" s="117"/>
      <c r="E129" s="117"/>
      <c r="F129" s="115"/>
      <c r="G129" s="180"/>
      <c r="H129" s="117"/>
      <c r="I129" s="117"/>
      <c r="J129" s="117"/>
      <c r="K129" s="92"/>
      <c r="L129" s="180"/>
      <c r="M129" s="117"/>
      <c r="N129" s="117"/>
      <c r="O129" s="117"/>
      <c r="P129" s="92"/>
      <c r="Q129" s="150"/>
      <c r="R129" s="117"/>
      <c r="S129" s="117"/>
      <c r="T129" s="117"/>
      <c r="U129" s="115"/>
      <c r="V129" s="180"/>
      <c r="W129" s="117"/>
      <c r="X129" s="117"/>
      <c r="Y129" s="117"/>
      <c r="Z129" s="115"/>
      <c r="AA129" s="180"/>
      <c r="AB129" s="117"/>
      <c r="AC129" s="117"/>
      <c r="AD129" s="117"/>
      <c r="AE129" s="115"/>
      <c r="AF129" s="180"/>
      <c r="AG129" s="117"/>
      <c r="AH129" s="117"/>
      <c r="AI129" s="117"/>
      <c r="AJ129" s="115"/>
      <c r="AK129" s="180"/>
      <c r="AL129" s="117"/>
      <c r="AM129" s="117"/>
      <c r="AN129" s="117"/>
      <c r="AO129" s="115"/>
      <c r="AP129" s="180"/>
      <c r="AQ129" s="117"/>
      <c r="AR129" s="117"/>
      <c r="AS129" s="117"/>
      <c r="AT129" s="117"/>
      <c r="AU129" s="117"/>
      <c r="AV129" s="117"/>
      <c r="AW129" s="117"/>
      <c r="AX129" s="117"/>
      <c r="AY129" s="117"/>
      <c r="AZ129" s="117"/>
      <c r="BA129" s="117"/>
      <c r="BB129" s="117"/>
      <c r="BC129" s="117"/>
    </row>
    <row r="130">
      <c r="A130" s="115"/>
      <c r="B130" s="180"/>
      <c r="C130" s="117"/>
      <c r="D130" s="117"/>
      <c r="E130" s="117"/>
      <c r="F130" s="115"/>
      <c r="G130" s="180"/>
      <c r="H130" s="117"/>
      <c r="I130" s="117"/>
      <c r="J130" s="117"/>
      <c r="K130" s="92"/>
      <c r="L130" s="180"/>
      <c r="M130" s="117"/>
      <c r="N130" s="117"/>
      <c r="O130" s="117"/>
      <c r="P130" s="92"/>
      <c r="Q130" s="150"/>
      <c r="R130" s="117"/>
      <c r="S130" s="117"/>
      <c r="T130" s="117"/>
      <c r="U130" s="115"/>
      <c r="V130" s="180"/>
      <c r="W130" s="117"/>
      <c r="X130" s="117"/>
      <c r="Y130" s="117"/>
      <c r="Z130" s="115"/>
      <c r="AA130" s="180"/>
      <c r="AB130" s="117"/>
      <c r="AC130" s="117"/>
      <c r="AD130" s="117"/>
      <c r="AE130" s="115"/>
      <c r="AF130" s="180"/>
      <c r="AG130" s="117"/>
      <c r="AH130" s="117"/>
      <c r="AI130" s="117"/>
      <c r="AJ130" s="115"/>
      <c r="AK130" s="180"/>
      <c r="AL130" s="117"/>
      <c r="AM130" s="117"/>
      <c r="AN130" s="117"/>
      <c r="AO130" s="115"/>
      <c r="AP130" s="180"/>
      <c r="AQ130" s="117"/>
      <c r="AR130" s="117"/>
      <c r="AS130" s="117"/>
      <c r="AT130" s="117"/>
      <c r="AU130" s="117"/>
      <c r="AV130" s="117"/>
      <c r="AW130" s="117"/>
      <c r="AX130" s="117"/>
      <c r="AY130" s="117"/>
      <c r="AZ130" s="117"/>
      <c r="BA130" s="117"/>
      <c r="BB130" s="117"/>
      <c r="BC130" s="117"/>
    </row>
    <row r="131">
      <c r="A131" s="115"/>
      <c r="B131" s="180"/>
      <c r="C131" s="117"/>
      <c r="D131" s="117"/>
      <c r="E131" s="117"/>
      <c r="F131" s="115"/>
      <c r="G131" s="180"/>
      <c r="H131" s="117"/>
      <c r="I131" s="117"/>
      <c r="J131" s="117"/>
      <c r="K131" s="92"/>
      <c r="L131" s="180"/>
      <c r="M131" s="117"/>
      <c r="N131" s="117"/>
      <c r="O131" s="117"/>
      <c r="P131" s="92"/>
      <c r="Q131" s="150"/>
      <c r="R131" s="117"/>
      <c r="S131" s="117"/>
      <c r="T131" s="117"/>
      <c r="U131" s="115"/>
      <c r="V131" s="180"/>
      <c r="W131" s="117"/>
      <c r="X131" s="117"/>
      <c r="Y131" s="117"/>
      <c r="Z131" s="115"/>
      <c r="AA131" s="180"/>
      <c r="AB131" s="117"/>
      <c r="AC131" s="117"/>
      <c r="AD131" s="117"/>
      <c r="AE131" s="115"/>
      <c r="AF131" s="180"/>
      <c r="AG131" s="117"/>
      <c r="AH131" s="117"/>
      <c r="AI131" s="117"/>
      <c r="AJ131" s="115"/>
      <c r="AK131" s="180"/>
      <c r="AL131" s="117"/>
      <c r="AM131" s="117"/>
      <c r="AN131" s="117"/>
      <c r="AO131" s="115"/>
      <c r="AP131" s="180"/>
      <c r="AQ131" s="117"/>
      <c r="AR131" s="117"/>
      <c r="AS131" s="117"/>
      <c r="AT131" s="117"/>
      <c r="AU131" s="117"/>
      <c r="AV131" s="117"/>
      <c r="AW131" s="117"/>
      <c r="AX131" s="117"/>
      <c r="AY131" s="117"/>
      <c r="AZ131" s="117"/>
      <c r="BA131" s="117"/>
      <c r="BB131" s="117"/>
      <c r="BC131" s="117"/>
    </row>
    <row r="132">
      <c r="A132" s="115"/>
      <c r="B132" s="180"/>
      <c r="C132" s="117"/>
      <c r="D132" s="117"/>
      <c r="E132" s="117"/>
      <c r="F132" s="115"/>
      <c r="G132" s="180"/>
      <c r="H132" s="117"/>
      <c r="I132" s="117"/>
      <c r="J132" s="117"/>
      <c r="K132" s="92"/>
      <c r="L132" s="180"/>
      <c r="M132" s="117"/>
      <c r="N132" s="117"/>
      <c r="O132" s="117"/>
      <c r="P132" s="92"/>
      <c r="Q132" s="150"/>
      <c r="R132" s="117"/>
      <c r="S132" s="117"/>
      <c r="T132" s="117"/>
      <c r="U132" s="115"/>
      <c r="V132" s="180"/>
      <c r="W132" s="117"/>
      <c r="X132" s="117"/>
      <c r="Y132" s="117"/>
      <c r="Z132" s="115"/>
      <c r="AA132" s="180"/>
      <c r="AB132" s="117"/>
      <c r="AC132" s="117"/>
      <c r="AD132" s="117"/>
      <c r="AE132" s="115"/>
      <c r="AF132" s="180"/>
      <c r="AG132" s="117"/>
      <c r="AH132" s="117"/>
      <c r="AI132" s="117"/>
      <c r="AJ132" s="115"/>
      <c r="AK132" s="180"/>
      <c r="AL132" s="117"/>
      <c r="AM132" s="117"/>
      <c r="AN132" s="117"/>
      <c r="AO132" s="115"/>
      <c r="AP132" s="180"/>
      <c r="AQ132" s="117"/>
      <c r="AR132" s="117"/>
      <c r="AS132" s="117"/>
      <c r="AT132" s="117"/>
      <c r="AU132" s="117"/>
      <c r="AV132" s="117"/>
      <c r="AW132" s="117"/>
      <c r="AX132" s="117"/>
      <c r="AY132" s="117"/>
      <c r="AZ132" s="117"/>
      <c r="BA132" s="117"/>
      <c r="BB132" s="117"/>
      <c r="BC132" s="117"/>
    </row>
    <row r="133">
      <c r="A133" s="115"/>
      <c r="B133" s="180"/>
      <c r="C133" s="117"/>
      <c r="D133" s="117"/>
      <c r="E133" s="117"/>
      <c r="F133" s="115"/>
      <c r="G133" s="180"/>
      <c r="H133" s="117"/>
      <c r="I133" s="117"/>
      <c r="J133" s="117"/>
      <c r="K133" s="92"/>
      <c r="L133" s="180"/>
      <c r="M133" s="117"/>
      <c r="N133" s="117"/>
      <c r="O133" s="117"/>
      <c r="P133" s="92"/>
      <c r="Q133" s="150"/>
      <c r="R133" s="117"/>
      <c r="S133" s="117"/>
      <c r="T133" s="117"/>
      <c r="U133" s="115"/>
      <c r="V133" s="180"/>
      <c r="W133" s="117"/>
      <c r="X133" s="117"/>
      <c r="Y133" s="117"/>
      <c r="Z133" s="115"/>
      <c r="AA133" s="180"/>
      <c r="AB133" s="117"/>
      <c r="AC133" s="117"/>
      <c r="AD133" s="117"/>
      <c r="AE133" s="115"/>
      <c r="AF133" s="180"/>
      <c r="AG133" s="117"/>
      <c r="AH133" s="117"/>
      <c r="AI133" s="117"/>
      <c r="AJ133" s="115"/>
      <c r="AK133" s="180"/>
      <c r="AL133" s="117"/>
      <c r="AM133" s="117"/>
      <c r="AN133" s="117"/>
      <c r="AO133" s="115"/>
      <c r="AP133" s="180"/>
      <c r="AQ133" s="117"/>
      <c r="AR133" s="117"/>
      <c r="AS133" s="117"/>
      <c r="AT133" s="117"/>
      <c r="AU133" s="117"/>
      <c r="AV133" s="117"/>
      <c r="AW133" s="117"/>
      <c r="AX133" s="117"/>
      <c r="AY133" s="117"/>
      <c r="AZ133" s="117"/>
      <c r="BA133" s="117"/>
      <c r="BB133" s="117"/>
      <c r="BC133" s="117"/>
    </row>
    <row r="134">
      <c r="A134" s="115"/>
      <c r="B134" s="180"/>
      <c r="C134" s="117"/>
      <c r="D134" s="117"/>
      <c r="E134" s="117"/>
      <c r="F134" s="115"/>
      <c r="G134" s="180"/>
      <c r="H134" s="117"/>
      <c r="I134" s="117"/>
      <c r="J134" s="117"/>
      <c r="K134" s="92"/>
      <c r="L134" s="180"/>
      <c r="M134" s="117"/>
      <c r="N134" s="117"/>
      <c r="O134" s="117"/>
      <c r="P134" s="92"/>
      <c r="Q134" s="150"/>
      <c r="R134" s="117"/>
      <c r="S134" s="117"/>
      <c r="T134" s="117"/>
      <c r="U134" s="115"/>
      <c r="V134" s="180"/>
      <c r="W134" s="117"/>
      <c r="X134" s="117"/>
      <c r="Y134" s="117"/>
      <c r="Z134" s="115"/>
      <c r="AA134" s="180"/>
      <c r="AB134" s="117"/>
      <c r="AC134" s="117"/>
      <c r="AD134" s="117"/>
      <c r="AE134" s="115"/>
      <c r="AF134" s="180"/>
      <c r="AG134" s="117"/>
      <c r="AH134" s="117"/>
      <c r="AI134" s="117"/>
      <c r="AJ134" s="115"/>
      <c r="AK134" s="180"/>
      <c r="AL134" s="117"/>
      <c r="AM134" s="117"/>
      <c r="AN134" s="117"/>
      <c r="AO134" s="115"/>
      <c r="AP134" s="180"/>
      <c r="AQ134" s="117"/>
      <c r="AR134" s="117"/>
      <c r="AS134" s="117"/>
      <c r="AT134" s="117"/>
      <c r="AU134" s="117"/>
      <c r="AV134" s="117"/>
      <c r="AW134" s="117"/>
      <c r="AX134" s="117"/>
      <c r="AY134" s="117"/>
      <c r="AZ134" s="117"/>
      <c r="BA134" s="117"/>
      <c r="BB134" s="117"/>
      <c r="BC134" s="117"/>
    </row>
    <row r="135">
      <c r="A135" s="115"/>
      <c r="B135" s="180"/>
      <c r="C135" s="117"/>
      <c r="D135" s="117"/>
      <c r="E135" s="117"/>
      <c r="F135" s="115"/>
      <c r="G135" s="180"/>
      <c r="H135" s="117"/>
      <c r="I135" s="117"/>
      <c r="J135" s="117"/>
      <c r="K135" s="92"/>
      <c r="L135" s="180"/>
      <c r="M135" s="117"/>
      <c r="N135" s="117"/>
      <c r="O135" s="117"/>
      <c r="P135" s="92"/>
      <c r="Q135" s="150"/>
      <c r="R135" s="117"/>
      <c r="S135" s="117"/>
      <c r="T135" s="117"/>
      <c r="U135" s="115"/>
      <c r="V135" s="180"/>
      <c r="W135" s="117"/>
      <c r="X135" s="117"/>
      <c r="Y135" s="117"/>
      <c r="Z135" s="115"/>
      <c r="AA135" s="180"/>
      <c r="AB135" s="117"/>
      <c r="AC135" s="117"/>
      <c r="AD135" s="117"/>
      <c r="AE135" s="115"/>
      <c r="AF135" s="180"/>
      <c r="AG135" s="117"/>
      <c r="AH135" s="117"/>
      <c r="AI135" s="117"/>
      <c r="AJ135" s="115"/>
      <c r="AK135" s="180"/>
      <c r="AL135" s="117"/>
      <c r="AM135" s="117"/>
      <c r="AN135" s="117"/>
      <c r="AO135" s="115"/>
      <c r="AP135" s="180"/>
      <c r="AQ135" s="117"/>
      <c r="AR135" s="117"/>
      <c r="AS135" s="117"/>
      <c r="AT135" s="117"/>
      <c r="AU135" s="117"/>
      <c r="AV135" s="117"/>
      <c r="AW135" s="117"/>
      <c r="AX135" s="117"/>
      <c r="AY135" s="117"/>
      <c r="AZ135" s="117"/>
      <c r="BA135" s="117"/>
      <c r="BB135" s="117"/>
      <c r="BC135" s="117"/>
    </row>
    <row r="136">
      <c r="A136" s="115"/>
      <c r="B136" s="180"/>
      <c r="C136" s="117"/>
      <c r="D136" s="117"/>
      <c r="E136" s="117"/>
      <c r="F136" s="115"/>
      <c r="G136" s="180"/>
      <c r="H136" s="117"/>
      <c r="I136" s="117"/>
      <c r="J136" s="117"/>
      <c r="K136" s="92"/>
      <c r="L136" s="180"/>
      <c r="M136" s="117"/>
      <c r="N136" s="117"/>
      <c r="O136" s="117"/>
      <c r="P136" s="92"/>
      <c r="Q136" s="150"/>
      <c r="R136" s="117"/>
      <c r="S136" s="117"/>
      <c r="T136" s="117"/>
      <c r="U136" s="115"/>
      <c r="V136" s="180"/>
      <c r="W136" s="117"/>
      <c r="X136" s="117"/>
      <c r="Y136" s="117"/>
      <c r="Z136" s="115"/>
      <c r="AA136" s="180"/>
      <c r="AB136" s="117"/>
      <c r="AC136" s="117"/>
      <c r="AD136" s="117"/>
      <c r="AE136" s="115"/>
      <c r="AF136" s="180"/>
      <c r="AG136" s="117"/>
      <c r="AH136" s="117"/>
      <c r="AI136" s="117"/>
      <c r="AJ136" s="115"/>
      <c r="AK136" s="180"/>
      <c r="AL136" s="117"/>
      <c r="AM136" s="117"/>
      <c r="AN136" s="117"/>
      <c r="AO136" s="115"/>
      <c r="AP136" s="180"/>
      <c r="AQ136" s="117"/>
      <c r="AR136" s="117"/>
      <c r="AS136" s="117"/>
      <c r="AT136" s="117"/>
      <c r="AU136" s="117"/>
      <c r="AV136" s="117"/>
      <c r="AW136" s="117"/>
      <c r="AX136" s="117"/>
      <c r="AY136" s="117"/>
      <c r="AZ136" s="117"/>
      <c r="BA136" s="117"/>
      <c r="BB136" s="117"/>
      <c r="BC136" s="117"/>
    </row>
    <row r="137">
      <c r="A137" s="115"/>
      <c r="B137" s="180"/>
      <c r="C137" s="117"/>
      <c r="D137" s="117"/>
      <c r="E137" s="117"/>
      <c r="F137" s="115"/>
      <c r="G137" s="180"/>
      <c r="H137" s="117"/>
      <c r="I137" s="117"/>
      <c r="J137" s="117"/>
      <c r="K137" s="92"/>
      <c r="L137" s="180"/>
      <c r="M137" s="117"/>
      <c r="N137" s="117"/>
      <c r="O137" s="117"/>
      <c r="P137" s="92"/>
      <c r="Q137" s="150"/>
      <c r="R137" s="117"/>
      <c r="S137" s="117"/>
      <c r="T137" s="117"/>
      <c r="U137" s="115"/>
      <c r="V137" s="180"/>
      <c r="W137" s="117"/>
      <c r="X137" s="117"/>
      <c r="Y137" s="117"/>
      <c r="Z137" s="115"/>
      <c r="AA137" s="180"/>
      <c r="AB137" s="117"/>
      <c r="AC137" s="117"/>
      <c r="AD137" s="117"/>
      <c r="AE137" s="115"/>
      <c r="AF137" s="180"/>
      <c r="AG137" s="117"/>
      <c r="AH137" s="117"/>
      <c r="AI137" s="117"/>
      <c r="AJ137" s="115"/>
      <c r="AK137" s="180"/>
      <c r="AL137" s="117"/>
      <c r="AM137" s="117"/>
      <c r="AN137" s="117"/>
      <c r="AO137" s="115"/>
      <c r="AP137" s="180"/>
      <c r="AQ137" s="117"/>
      <c r="AR137" s="117"/>
      <c r="AS137" s="117"/>
      <c r="AT137" s="117"/>
      <c r="AU137" s="117"/>
      <c r="AV137" s="117"/>
      <c r="AW137" s="117"/>
      <c r="AX137" s="117"/>
      <c r="AY137" s="117"/>
      <c r="AZ137" s="117"/>
      <c r="BA137" s="117"/>
      <c r="BB137" s="117"/>
      <c r="BC137" s="117"/>
    </row>
    <row r="138">
      <c r="A138" s="115"/>
      <c r="B138" s="180"/>
      <c r="C138" s="117"/>
      <c r="D138" s="117"/>
      <c r="E138" s="117"/>
      <c r="F138" s="115"/>
      <c r="G138" s="180"/>
      <c r="H138" s="117"/>
      <c r="I138" s="117"/>
      <c r="J138" s="117"/>
      <c r="K138" s="92"/>
      <c r="L138" s="180"/>
      <c r="M138" s="117"/>
      <c r="N138" s="117"/>
      <c r="O138" s="117"/>
      <c r="P138" s="92"/>
      <c r="Q138" s="150"/>
      <c r="R138" s="117"/>
      <c r="S138" s="117"/>
      <c r="T138" s="117"/>
      <c r="U138" s="115"/>
      <c r="V138" s="180"/>
      <c r="W138" s="117"/>
      <c r="X138" s="117"/>
      <c r="Y138" s="117"/>
      <c r="Z138" s="115"/>
      <c r="AA138" s="180"/>
      <c r="AB138" s="117"/>
      <c r="AC138" s="117"/>
      <c r="AD138" s="117"/>
      <c r="AE138" s="115"/>
      <c r="AF138" s="180"/>
      <c r="AG138" s="117"/>
      <c r="AH138" s="117"/>
      <c r="AI138" s="117"/>
      <c r="AJ138" s="115"/>
      <c r="AK138" s="180"/>
      <c r="AL138" s="117"/>
      <c r="AM138" s="117"/>
      <c r="AN138" s="117"/>
      <c r="AO138" s="115"/>
      <c r="AP138" s="180"/>
      <c r="AQ138" s="117"/>
      <c r="AR138" s="117"/>
      <c r="AS138" s="117"/>
      <c r="AT138" s="117"/>
      <c r="AU138" s="117"/>
      <c r="AV138" s="117"/>
      <c r="AW138" s="117"/>
      <c r="AX138" s="117"/>
      <c r="AY138" s="117"/>
      <c r="AZ138" s="117"/>
      <c r="BA138" s="117"/>
      <c r="BB138" s="117"/>
      <c r="BC138" s="117"/>
    </row>
    <row r="139">
      <c r="A139" s="115"/>
      <c r="B139" s="180"/>
      <c r="C139" s="117"/>
      <c r="D139" s="117"/>
      <c r="E139" s="117"/>
      <c r="F139" s="115"/>
      <c r="G139" s="180"/>
      <c r="H139" s="117"/>
      <c r="I139" s="117"/>
      <c r="J139" s="117"/>
      <c r="K139" s="92"/>
      <c r="L139" s="180"/>
      <c r="M139" s="117"/>
      <c r="N139" s="117"/>
      <c r="O139" s="117"/>
      <c r="P139" s="92"/>
      <c r="Q139" s="150"/>
      <c r="R139" s="117"/>
      <c r="S139" s="117"/>
      <c r="T139" s="117"/>
      <c r="U139" s="115"/>
      <c r="V139" s="180"/>
      <c r="W139" s="117"/>
      <c r="X139" s="117"/>
      <c r="Y139" s="117"/>
      <c r="Z139" s="115"/>
      <c r="AA139" s="180"/>
      <c r="AB139" s="117"/>
      <c r="AC139" s="117"/>
      <c r="AD139" s="117"/>
      <c r="AE139" s="115"/>
      <c r="AF139" s="180"/>
      <c r="AG139" s="117"/>
      <c r="AH139" s="117"/>
      <c r="AI139" s="117"/>
      <c r="AJ139" s="115"/>
      <c r="AK139" s="180"/>
      <c r="AL139" s="117"/>
      <c r="AM139" s="117"/>
      <c r="AN139" s="117"/>
      <c r="AO139" s="115"/>
      <c r="AP139" s="180"/>
      <c r="AQ139" s="117"/>
      <c r="AR139" s="117"/>
      <c r="AS139" s="117"/>
      <c r="AT139" s="117"/>
      <c r="AU139" s="117"/>
      <c r="AV139" s="117"/>
      <c r="AW139" s="117"/>
      <c r="AX139" s="117"/>
      <c r="AY139" s="117"/>
      <c r="AZ139" s="117"/>
      <c r="BA139" s="117"/>
      <c r="BB139" s="117"/>
      <c r="BC139" s="117"/>
    </row>
    <row r="140">
      <c r="A140" s="115"/>
      <c r="B140" s="180"/>
      <c r="C140" s="117"/>
      <c r="D140" s="117"/>
      <c r="E140" s="117"/>
      <c r="F140" s="115"/>
      <c r="G140" s="180"/>
      <c r="H140" s="117"/>
      <c r="I140" s="117"/>
      <c r="J140" s="117"/>
      <c r="K140" s="92"/>
      <c r="L140" s="180"/>
      <c r="M140" s="117"/>
      <c r="N140" s="117"/>
      <c r="O140" s="117"/>
      <c r="P140" s="92"/>
      <c r="Q140" s="150"/>
      <c r="R140" s="117"/>
      <c r="S140" s="117"/>
      <c r="T140" s="117"/>
      <c r="U140" s="115"/>
      <c r="V140" s="180"/>
      <c r="W140" s="117"/>
      <c r="X140" s="117"/>
      <c r="Y140" s="117"/>
      <c r="Z140" s="115"/>
      <c r="AA140" s="180"/>
      <c r="AB140" s="117"/>
      <c r="AC140" s="117"/>
      <c r="AD140" s="117"/>
      <c r="AE140" s="115"/>
      <c r="AF140" s="180"/>
      <c r="AG140" s="117"/>
      <c r="AH140" s="117"/>
      <c r="AI140" s="117"/>
      <c r="AJ140" s="115"/>
      <c r="AK140" s="180"/>
      <c r="AL140" s="117"/>
      <c r="AM140" s="117"/>
      <c r="AN140" s="117"/>
      <c r="AO140" s="115"/>
      <c r="AP140" s="180"/>
      <c r="AQ140" s="117"/>
      <c r="AR140" s="117"/>
      <c r="AS140" s="117"/>
      <c r="AT140" s="117"/>
      <c r="AU140" s="117"/>
      <c r="AV140" s="117"/>
      <c r="AW140" s="117"/>
      <c r="AX140" s="117"/>
      <c r="AY140" s="117"/>
      <c r="AZ140" s="117"/>
      <c r="BA140" s="117"/>
      <c r="BB140" s="117"/>
      <c r="BC140" s="117"/>
    </row>
    <row r="141">
      <c r="A141" s="115"/>
      <c r="B141" s="180"/>
      <c r="C141" s="117"/>
      <c r="D141" s="117"/>
      <c r="E141" s="117"/>
      <c r="F141" s="115"/>
      <c r="G141" s="180"/>
      <c r="H141" s="117"/>
      <c r="I141" s="117"/>
      <c r="J141" s="117"/>
      <c r="K141" s="92"/>
      <c r="L141" s="180"/>
      <c r="M141" s="117"/>
      <c r="N141" s="117"/>
      <c r="O141" s="117"/>
      <c r="P141" s="92"/>
      <c r="Q141" s="150"/>
      <c r="R141" s="117"/>
      <c r="S141" s="117"/>
      <c r="T141" s="117"/>
      <c r="U141" s="115"/>
      <c r="V141" s="180"/>
      <c r="W141" s="117"/>
      <c r="X141" s="117"/>
      <c r="Y141" s="117"/>
      <c r="Z141" s="115"/>
      <c r="AA141" s="180"/>
      <c r="AB141" s="117"/>
      <c r="AC141" s="117"/>
      <c r="AD141" s="117"/>
      <c r="AE141" s="115"/>
      <c r="AF141" s="180"/>
      <c r="AG141" s="117"/>
      <c r="AH141" s="117"/>
      <c r="AI141" s="117"/>
      <c r="AJ141" s="115"/>
      <c r="AK141" s="180"/>
      <c r="AL141" s="117"/>
      <c r="AM141" s="117"/>
      <c r="AN141" s="117"/>
      <c r="AO141" s="115"/>
      <c r="AP141" s="180"/>
      <c r="AQ141" s="117"/>
      <c r="AR141" s="117"/>
      <c r="AS141" s="117"/>
      <c r="AT141" s="117"/>
      <c r="AU141" s="117"/>
      <c r="AV141" s="117"/>
      <c r="AW141" s="117"/>
      <c r="AX141" s="117"/>
      <c r="AY141" s="117"/>
      <c r="AZ141" s="117"/>
      <c r="BA141" s="117"/>
      <c r="BB141" s="117"/>
      <c r="BC141" s="117"/>
    </row>
    <row r="142">
      <c r="A142" s="115"/>
      <c r="B142" s="180"/>
      <c r="C142" s="117"/>
      <c r="D142" s="117"/>
      <c r="E142" s="117"/>
      <c r="F142" s="115"/>
      <c r="G142" s="180"/>
      <c r="H142" s="117"/>
      <c r="I142" s="117"/>
      <c r="J142" s="117"/>
      <c r="K142" s="92"/>
      <c r="L142" s="180"/>
      <c r="M142" s="117"/>
      <c r="N142" s="117"/>
      <c r="O142" s="117"/>
      <c r="P142" s="92"/>
      <c r="Q142" s="150"/>
      <c r="R142" s="117"/>
      <c r="S142" s="117"/>
      <c r="T142" s="117"/>
      <c r="U142" s="115"/>
      <c r="V142" s="180"/>
      <c r="W142" s="117"/>
      <c r="X142" s="117"/>
      <c r="Y142" s="117"/>
      <c r="Z142" s="115"/>
      <c r="AA142" s="180"/>
      <c r="AB142" s="117"/>
      <c r="AC142" s="117"/>
      <c r="AD142" s="117"/>
      <c r="AE142" s="115"/>
      <c r="AF142" s="180"/>
      <c r="AG142" s="117"/>
      <c r="AH142" s="117"/>
      <c r="AI142" s="117"/>
      <c r="AJ142" s="115"/>
      <c r="AK142" s="180"/>
      <c r="AL142" s="117"/>
      <c r="AM142" s="117"/>
      <c r="AN142" s="117"/>
      <c r="AO142" s="115"/>
      <c r="AP142" s="180"/>
      <c r="AQ142" s="117"/>
      <c r="AR142" s="117"/>
      <c r="AS142" s="117"/>
      <c r="AT142" s="117"/>
      <c r="AU142" s="117"/>
      <c r="AV142" s="117"/>
      <c r="AW142" s="117"/>
      <c r="AX142" s="117"/>
      <c r="AY142" s="117"/>
      <c r="AZ142" s="117"/>
      <c r="BA142" s="117"/>
      <c r="BB142" s="117"/>
      <c r="BC142" s="117"/>
    </row>
    <row r="143">
      <c r="A143" s="115"/>
      <c r="B143" s="180"/>
      <c r="C143" s="117"/>
      <c r="D143" s="117"/>
      <c r="E143" s="117"/>
      <c r="F143" s="115"/>
      <c r="G143" s="180"/>
      <c r="H143" s="117"/>
      <c r="I143" s="117"/>
      <c r="J143" s="117"/>
      <c r="K143" s="92"/>
      <c r="L143" s="180"/>
      <c r="M143" s="117"/>
      <c r="N143" s="117"/>
      <c r="O143" s="117"/>
      <c r="P143" s="92"/>
      <c r="Q143" s="150"/>
      <c r="R143" s="117"/>
      <c r="S143" s="117"/>
      <c r="T143" s="117"/>
      <c r="U143" s="115"/>
      <c r="V143" s="180"/>
      <c r="W143" s="117"/>
      <c r="X143" s="117"/>
      <c r="Y143" s="117"/>
      <c r="Z143" s="115"/>
      <c r="AA143" s="180"/>
      <c r="AB143" s="117"/>
      <c r="AC143" s="117"/>
      <c r="AD143" s="117"/>
      <c r="AE143" s="115"/>
      <c r="AF143" s="180"/>
      <c r="AG143" s="117"/>
      <c r="AH143" s="117"/>
      <c r="AI143" s="117"/>
      <c r="AJ143" s="115"/>
      <c r="AK143" s="180"/>
      <c r="AL143" s="117"/>
      <c r="AM143" s="117"/>
      <c r="AN143" s="117"/>
      <c r="AO143" s="115"/>
      <c r="AP143" s="180"/>
      <c r="AQ143" s="117"/>
      <c r="AR143" s="117"/>
      <c r="AS143" s="117"/>
      <c r="AT143" s="117"/>
      <c r="AU143" s="117"/>
      <c r="AV143" s="117"/>
      <c r="AW143" s="117"/>
      <c r="AX143" s="117"/>
      <c r="AY143" s="117"/>
      <c r="AZ143" s="117"/>
      <c r="BA143" s="117"/>
      <c r="BB143" s="117"/>
      <c r="BC143" s="117"/>
    </row>
    <row r="144">
      <c r="A144" s="115"/>
      <c r="B144" s="180"/>
      <c r="C144" s="117"/>
      <c r="D144" s="117"/>
      <c r="E144" s="117"/>
      <c r="F144" s="115"/>
      <c r="G144" s="180"/>
      <c r="H144" s="117"/>
      <c r="I144" s="117"/>
      <c r="J144" s="117"/>
      <c r="K144" s="92"/>
      <c r="L144" s="180"/>
      <c r="M144" s="117"/>
      <c r="N144" s="117"/>
      <c r="O144" s="117"/>
      <c r="P144" s="92"/>
      <c r="Q144" s="150"/>
      <c r="R144" s="117"/>
      <c r="S144" s="117"/>
      <c r="T144" s="117"/>
      <c r="U144" s="115"/>
      <c r="V144" s="180"/>
      <c r="W144" s="117"/>
      <c r="X144" s="117"/>
      <c r="Y144" s="117"/>
      <c r="Z144" s="115"/>
      <c r="AA144" s="180"/>
      <c r="AB144" s="117"/>
      <c r="AC144" s="117"/>
      <c r="AD144" s="117"/>
      <c r="AE144" s="115"/>
      <c r="AF144" s="180"/>
      <c r="AG144" s="117"/>
      <c r="AH144" s="117"/>
      <c r="AI144" s="117"/>
      <c r="AJ144" s="115"/>
      <c r="AK144" s="180"/>
      <c r="AL144" s="117"/>
      <c r="AM144" s="117"/>
      <c r="AN144" s="117"/>
      <c r="AO144" s="115"/>
      <c r="AP144" s="180"/>
      <c r="AQ144" s="117"/>
      <c r="AR144" s="117"/>
      <c r="AS144" s="117"/>
      <c r="AT144" s="117"/>
      <c r="AU144" s="117"/>
      <c r="AV144" s="117"/>
      <c r="AW144" s="117"/>
      <c r="AX144" s="117"/>
      <c r="AY144" s="117"/>
      <c r="AZ144" s="117"/>
      <c r="BA144" s="117"/>
      <c r="BB144" s="117"/>
      <c r="BC144" s="117"/>
    </row>
    <row r="145">
      <c r="A145" s="115"/>
      <c r="B145" s="180"/>
      <c r="C145" s="117"/>
      <c r="D145" s="117"/>
      <c r="E145" s="117"/>
      <c r="F145" s="115"/>
      <c r="G145" s="180"/>
      <c r="H145" s="117"/>
      <c r="I145" s="117"/>
      <c r="J145" s="117"/>
      <c r="K145" s="92"/>
      <c r="L145" s="180"/>
      <c r="M145" s="117"/>
      <c r="N145" s="117"/>
      <c r="O145" s="117"/>
      <c r="P145" s="92"/>
      <c r="Q145" s="150"/>
      <c r="R145" s="117"/>
      <c r="S145" s="117"/>
      <c r="T145" s="117"/>
      <c r="U145" s="115"/>
      <c r="V145" s="180"/>
      <c r="W145" s="117"/>
      <c r="X145" s="117"/>
      <c r="Y145" s="117"/>
      <c r="Z145" s="115"/>
      <c r="AA145" s="180"/>
      <c r="AB145" s="117"/>
      <c r="AC145" s="117"/>
      <c r="AD145" s="117"/>
      <c r="AE145" s="115"/>
      <c r="AF145" s="180"/>
      <c r="AG145" s="117"/>
      <c r="AH145" s="117"/>
      <c r="AI145" s="117"/>
      <c r="AJ145" s="115"/>
      <c r="AK145" s="180"/>
      <c r="AL145" s="117"/>
      <c r="AM145" s="117"/>
      <c r="AN145" s="117"/>
      <c r="AO145" s="115"/>
      <c r="AP145" s="180"/>
      <c r="AQ145" s="117"/>
      <c r="AR145" s="117"/>
      <c r="AS145" s="117"/>
      <c r="AT145" s="117"/>
      <c r="AU145" s="117"/>
      <c r="AV145" s="117"/>
      <c r="AW145" s="117"/>
      <c r="AX145" s="117"/>
      <c r="AY145" s="117"/>
      <c r="AZ145" s="117"/>
      <c r="BA145" s="117"/>
      <c r="BB145" s="117"/>
      <c r="BC145" s="117"/>
    </row>
    <row r="146">
      <c r="A146" s="115"/>
      <c r="B146" s="180"/>
      <c r="C146" s="117"/>
      <c r="D146" s="117"/>
      <c r="E146" s="117"/>
      <c r="F146" s="115"/>
      <c r="G146" s="180"/>
      <c r="H146" s="117"/>
      <c r="I146" s="117"/>
      <c r="J146" s="117"/>
      <c r="K146" s="92"/>
      <c r="L146" s="180"/>
      <c r="M146" s="117"/>
      <c r="N146" s="117"/>
      <c r="O146" s="117"/>
      <c r="P146" s="92"/>
      <c r="Q146" s="150"/>
      <c r="R146" s="117"/>
      <c r="S146" s="117"/>
      <c r="T146" s="117"/>
      <c r="U146" s="115"/>
      <c r="V146" s="180"/>
      <c r="W146" s="117"/>
      <c r="X146" s="117"/>
      <c r="Y146" s="117"/>
      <c r="Z146" s="115"/>
      <c r="AA146" s="180"/>
      <c r="AB146" s="117"/>
      <c r="AC146" s="117"/>
      <c r="AD146" s="117"/>
      <c r="AE146" s="115"/>
      <c r="AF146" s="180"/>
      <c r="AG146" s="117"/>
      <c r="AH146" s="117"/>
      <c r="AI146" s="117"/>
      <c r="AJ146" s="115"/>
      <c r="AK146" s="180"/>
      <c r="AL146" s="117"/>
      <c r="AM146" s="117"/>
      <c r="AN146" s="117"/>
      <c r="AO146" s="115"/>
      <c r="AP146" s="180"/>
      <c r="AQ146" s="117"/>
      <c r="AR146" s="117"/>
      <c r="AS146" s="117"/>
      <c r="AT146" s="117"/>
      <c r="AU146" s="117"/>
      <c r="AV146" s="117"/>
      <c r="AW146" s="117"/>
      <c r="AX146" s="117"/>
      <c r="AY146" s="117"/>
      <c r="AZ146" s="117"/>
      <c r="BA146" s="117"/>
      <c r="BB146" s="117"/>
      <c r="BC146" s="117"/>
    </row>
    <row r="147">
      <c r="A147" s="115"/>
      <c r="B147" s="180"/>
      <c r="C147" s="117"/>
      <c r="D147" s="117"/>
      <c r="E147" s="117"/>
      <c r="F147" s="115"/>
      <c r="G147" s="180"/>
      <c r="H147" s="117"/>
      <c r="I147" s="117"/>
      <c r="J147" s="117"/>
      <c r="K147" s="92"/>
      <c r="L147" s="180"/>
      <c r="M147" s="117"/>
      <c r="N147" s="117"/>
      <c r="O147" s="117"/>
      <c r="P147" s="92"/>
      <c r="Q147" s="150"/>
      <c r="R147" s="117"/>
      <c r="S147" s="117"/>
      <c r="T147" s="117"/>
      <c r="U147" s="115"/>
      <c r="V147" s="180"/>
      <c r="W147" s="117"/>
      <c r="X147" s="117"/>
      <c r="Y147" s="117"/>
      <c r="Z147" s="115"/>
      <c r="AA147" s="180"/>
      <c r="AB147" s="117"/>
      <c r="AC147" s="117"/>
      <c r="AD147" s="117"/>
      <c r="AE147" s="115"/>
      <c r="AF147" s="180"/>
      <c r="AG147" s="117"/>
      <c r="AH147" s="117"/>
      <c r="AI147" s="117"/>
      <c r="AJ147" s="115"/>
      <c r="AK147" s="180"/>
      <c r="AL147" s="117"/>
      <c r="AM147" s="117"/>
      <c r="AN147" s="117"/>
      <c r="AO147" s="115"/>
      <c r="AP147" s="180"/>
      <c r="AQ147" s="117"/>
      <c r="AR147" s="117"/>
      <c r="AS147" s="117"/>
      <c r="AT147" s="117"/>
      <c r="AU147" s="117"/>
      <c r="AV147" s="117"/>
      <c r="AW147" s="117"/>
      <c r="AX147" s="117"/>
      <c r="AY147" s="117"/>
      <c r="AZ147" s="117"/>
      <c r="BA147" s="117"/>
      <c r="BB147" s="117"/>
      <c r="BC147" s="117"/>
    </row>
    <row r="148">
      <c r="A148" s="115"/>
      <c r="B148" s="180"/>
      <c r="C148" s="117"/>
      <c r="D148" s="117"/>
      <c r="E148" s="117"/>
      <c r="F148" s="115"/>
      <c r="G148" s="180"/>
      <c r="H148" s="117"/>
      <c r="I148" s="117"/>
      <c r="J148" s="117"/>
      <c r="K148" s="92"/>
      <c r="L148" s="180"/>
      <c r="M148" s="117"/>
      <c r="N148" s="117"/>
      <c r="O148" s="117"/>
      <c r="P148" s="92"/>
      <c r="Q148" s="150"/>
      <c r="R148" s="117"/>
      <c r="S148" s="117"/>
      <c r="T148" s="117"/>
      <c r="U148" s="115"/>
      <c r="V148" s="180"/>
      <c r="W148" s="117"/>
      <c r="X148" s="117"/>
      <c r="Y148" s="117"/>
      <c r="Z148" s="115"/>
      <c r="AA148" s="180"/>
      <c r="AB148" s="117"/>
      <c r="AC148" s="117"/>
      <c r="AD148" s="117"/>
      <c r="AE148" s="115"/>
      <c r="AF148" s="180"/>
      <c r="AG148" s="117"/>
      <c r="AH148" s="117"/>
      <c r="AI148" s="117"/>
      <c r="AJ148" s="115"/>
      <c r="AK148" s="180"/>
      <c r="AL148" s="117"/>
      <c r="AM148" s="117"/>
      <c r="AN148" s="117"/>
      <c r="AO148" s="115"/>
      <c r="AP148" s="180"/>
      <c r="AQ148" s="117"/>
      <c r="AR148" s="117"/>
      <c r="AS148" s="117"/>
      <c r="AT148" s="117"/>
      <c r="AU148" s="117"/>
      <c r="AV148" s="117"/>
      <c r="AW148" s="117"/>
      <c r="AX148" s="117"/>
      <c r="AY148" s="117"/>
      <c r="AZ148" s="117"/>
      <c r="BA148" s="117"/>
      <c r="BB148" s="117"/>
      <c r="BC148" s="117"/>
    </row>
    <row r="149">
      <c r="A149" s="115"/>
      <c r="B149" s="180"/>
      <c r="C149" s="117"/>
      <c r="D149" s="117"/>
      <c r="E149" s="117"/>
      <c r="F149" s="115"/>
      <c r="G149" s="180"/>
      <c r="H149" s="117"/>
      <c r="I149" s="117"/>
      <c r="J149" s="117"/>
      <c r="K149" s="92"/>
      <c r="L149" s="180"/>
      <c r="M149" s="117"/>
      <c r="N149" s="117"/>
      <c r="O149" s="117"/>
      <c r="P149" s="92"/>
      <c r="Q149" s="150"/>
      <c r="R149" s="117"/>
      <c r="S149" s="117"/>
      <c r="T149" s="117"/>
      <c r="U149" s="115"/>
      <c r="V149" s="180"/>
      <c r="W149" s="117"/>
      <c r="X149" s="117"/>
      <c r="Y149" s="117"/>
      <c r="Z149" s="115"/>
      <c r="AA149" s="180"/>
      <c r="AB149" s="117"/>
      <c r="AC149" s="117"/>
      <c r="AD149" s="117"/>
      <c r="AE149" s="115"/>
      <c r="AF149" s="180"/>
      <c r="AG149" s="117"/>
      <c r="AH149" s="117"/>
      <c r="AI149" s="117"/>
      <c r="AJ149" s="115"/>
      <c r="AK149" s="180"/>
      <c r="AL149" s="117"/>
      <c r="AM149" s="117"/>
      <c r="AN149" s="117"/>
      <c r="AO149" s="115"/>
      <c r="AP149" s="180"/>
      <c r="AQ149" s="117"/>
      <c r="AR149" s="117"/>
      <c r="AS149" s="117"/>
      <c r="AT149" s="117"/>
      <c r="AU149" s="117"/>
      <c r="AV149" s="117"/>
      <c r="AW149" s="117"/>
      <c r="AX149" s="117"/>
      <c r="AY149" s="117"/>
      <c r="AZ149" s="117"/>
      <c r="BA149" s="117"/>
      <c r="BB149" s="117"/>
      <c r="BC149" s="117"/>
    </row>
    <row r="150">
      <c r="A150" s="115"/>
      <c r="B150" s="180"/>
      <c r="C150" s="117"/>
      <c r="D150" s="117"/>
      <c r="E150" s="117"/>
      <c r="F150" s="115"/>
      <c r="G150" s="180"/>
      <c r="H150" s="117"/>
      <c r="I150" s="117"/>
      <c r="J150" s="117"/>
      <c r="K150" s="92"/>
      <c r="L150" s="180"/>
      <c r="M150" s="117"/>
      <c r="N150" s="117"/>
      <c r="O150" s="117"/>
      <c r="P150" s="92"/>
      <c r="Q150" s="150"/>
      <c r="R150" s="117"/>
      <c r="S150" s="117"/>
      <c r="T150" s="117"/>
      <c r="U150" s="115"/>
      <c r="V150" s="180"/>
      <c r="W150" s="117"/>
      <c r="X150" s="117"/>
      <c r="Y150" s="117"/>
      <c r="Z150" s="115"/>
      <c r="AA150" s="180"/>
      <c r="AB150" s="117"/>
      <c r="AC150" s="117"/>
      <c r="AD150" s="117"/>
      <c r="AE150" s="115"/>
      <c r="AF150" s="180"/>
      <c r="AG150" s="117"/>
      <c r="AH150" s="117"/>
      <c r="AI150" s="117"/>
      <c r="AJ150" s="115"/>
      <c r="AK150" s="180"/>
      <c r="AL150" s="117"/>
      <c r="AM150" s="117"/>
      <c r="AN150" s="117"/>
      <c r="AO150" s="115"/>
      <c r="AP150" s="180"/>
      <c r="AQ150" s="117"/>
      <c r="AR150" s="117"/>
      <c r="AS150" s="117"/>
      <c r="AT150" s="117"/>
      <c r="AU150" s="117"/>
      <c r="AV150" s="117"/>
      <c r="AW150" s="117"/>
      <c r="AX150" s="117"/>
      <c r="AY150" s="117"/>
      <c r="AZ150" s="117"/>
      <c r="BA150" s="117"/>
      <c r="BB150" s="117"/>
      <c r="BC150" s="117"/>
    </row>
    <row r="151">
      <c r="A151" s="115"/>
      <c r="B151" s="180"/>
      <c r="C151" s="117"/>
      <c r="D151" s="117"/>
      <c r="E151" s="117"/>
      <c r="F151" s="115"/>
      <c r="G151" s="180"/>
      <c r="H151" s="117"/>
      <c r="I151" s="117"/>
      <c r="J151" s="117"/>
      <c r="K151" s="92"/>
      <c r="L151" s="180"/>
      <c r="M151" s="117"/>
      <c r="N151" s="117"/>
      <c r="O151" s="117"/>
      <c r="P151" s="92"/>
      <c r="Q151" s="150"/>
      <c r="R151" s="117"/>
      <c r="S151" s="117"/>
      <c r="T151" s="117"/>
      <c r="U151" s="115"/>
      <c r="V151" s="180"/>
      <c r="W151" s="117"/>
      <c r="X151" s="117"/>
      <c r="Y151" s="117"/>
      <c r="Z151" s="115"/>
      <c r="AA151" s="180"/>
      <c r="AB151" s="117"/>
      <c r="AC151" s="117"/>
      <c r="AD151" s="117"/>
      <c r="AE151" s="115"/>
      <c r="AF151" s="180"/>
      <c r="AG151" s="117"/>
      <c r="AH151" s="117"/>
      <c r="AI151" s="117"/>
      <c r="AJ151" s="115"/>
      <c r="AK151" s="180"/>
      <c r="AL151" s="117"/>
      <c r="AM151" s="117"/>
      <c r="AN151" s="117"/>
      <c r="AO151" s="115"/>
      <c r="AP151" s="180"/>
      <c r="AQ151" s="117"/>
      <c r="AR151" s="117"/>
      <c r="AS151" s="117"/>
      <c r="AT151" s="117"/>
      <c r="AU151" s="117"/>
      <c r="AV151" s="117"/>
      <c r="AW151" s="117"/>
      <c r="AX151" s="117"/>
      <c r="AY151" s="117"/>
      <c r="AZ151" s="117"/>
      <c r="BA151" s="117"/>
      <c r="BB151" s="117"/>
      <c r="BC151" s="117"/>
    </row>
    <row r="152">
      <c r="A152" s="115"/>
      <c r="B152" s="180"/>
      <c r="C152" s="117"/>
      <c r="D152" s="117"/>
      <c r="E152" s="117"/>
      <c r="F152" s="115"/>
      <c r="G152" s="180"/>
      <c r="H152" s="117"/>
      <c r="I152" s="117"/>
      <c r="J152" s="117"/>
      <c r="K152" s="92"/>
      <c r="L152" s="180"/>
      <c r="M152" s="117"/>
      <c r="N152" s="117"/>
      <c r="O152" s="117"/>
      <c r="P152" s="92"/>
      <c r="Q152" s="150"/>
      <c r="R152" s="117"/>
      <c r="S152" s="117"/>
      <c r="T152" s="117"/>
      <c r="U152" s="115"/>
      <c r="V152" s="180"/>
      <c r="W152" s="117"/>
      <c r="X152" s="117"/>
      <c r="Y152" s="117"/>
      <c r="Z152" s="115"/>
      <c r="AA152" s="180"/>
      <c r="AB152" s="117"/>
      <c r="AC152" s="117"/>
      <c r="AD152" s="117"/>
      <c r="AE152" s="115"/>
      <c r="AF152" s="180"/>
      <c r="AG152" s="117"/>
      <c r="AH152" s="117"/>
      <c r="AI152" s="117"/>
      <c r="AJ152" s="115"/>
      <c r="AK152" s="180"/>
      <c r="AL152" s="117"/>
      <c r="AM152" s="117"/>
      <c r="AN152" s="117"/>
      <c r="AO152" s="115"/>
      <c r="AP152" s="180"/>
      <c r="AQ152" s="117"/>
      <c r="AR152" s="117"/>
      <c r="AS152" s="117"/>
      <c r="AT152" s="117"/>
      <c r="AU152" s="117"/>
      <c r="AV152" s="117"/>
      <c r="AW152" s="117"/>
      <c r="AX152" s="117"/>
      <c r="AY152" s="117"/>
      <c r="AZ152" s="117"/>
      <c r="BA152" s="117"/>
      <c r="BB152" s="117"/>
      <c r="BC152" s="117"/>
    </row>
    <row r="153">
      <c r="A153" s="115"/>
      <c r="B153" s="180"/>
      <c r="C153" s="117"/>
      <c r="D153" s="117"/>
      <c r="E153" s="117"/>
      <c r="F153" s="115"/>
      <c r="G153" s="180"/>
      <c r="H153" s="117"/>
      <c r="I153" s="117"/>
      <c r="J153" s="117"/>
      <c r="K153" s="92"/>
      <c r="L153" s="180"/>
      <c r="M153" s="117"/>
      <c r="N153" s="117"/>
      <c r="O153" s="117"/>
      <c r="P153" s="92"/>
      <c r="Q153" s="150"/>
      <c r="R153" s="117"/>
      <c r="S153" s="117"/>
      <c r="T153" s="117"/>
      <c r="U153" s="115"/>
      <c r="V153" s="180"/>
      <c r="W153" s="117"/>
      <c r="X153" s="117"/>
      <c r="Y153" s="117"/>
      <c r="Z153" s="115"/>
      <c r="AA153" s="180"/>
      <c r="AB153" s="117"/>
      <c r="AC153" s="117"/>
      <c r="AD153" s="117"/>
      <c r="AE153" s="115"/>
      <c r="AF153" s="180"/>
      <c r="AG153" s="117"/>
      <c r="AH153" s="117"/>
      <c r="AI153" s="117"/>
      <c r="AJ153" s="115"/>
      <c r="AK153" s="180"/>
      <c r="AL153" s="117"/>
      <c r="AM153" s="117"/>
      <c r="AN153" s="117"/>
      <c r="AO153" s="115"/>
      <c r="AP153" s="180"/>
      <c r="AQ153" s="117"/>
      <c r="AR153" s="117"/>
      <c r="AS153" s="117"/>
      <c r="AT153" s="117"/>
      <c r="AU153" s="117"/>
      <c r="AV153" s="117"/>
      <c r="AW153" s="117"/>
      <c r="AX153" s="117"/>
      <c r="AY153" s="117"/>
      <c r="AZ153" s="117"/>
      <c r="BA153" s="117"/>
      <c r="BB153" s="117"/>
      <c r="BC153" s="117"/>
    </row>
    <row r="154">
      <c r="A154" s="115"/>
      <c r="B154" s="180"/>
      <c r="C154" s="117"/>
      <c r="D154" s="117"/>
      <c r="E154" s="117"/>
      <c r="F154" s="115"/>
      <c r="G154" s="180"/>
      <c r="H154" s="117"/>
      <c r="I154" s="117"/>
      <c r="J154" s="117"/>
      <c r="K154" s="92"/>
      <c r="L154" s="180"/>
      <c r="M154" s="117"/>
      <c r="N154" s="117"/>
      <c r="O154" s="117"/>
      <c r="P154" s="92"/>
      <c r="Q154" s="150"/>
      <c r="R154" s="117"/>
      <c r="S154" s="117"/>
      <c r="T154" s="117"/>
      <c r="U154" s="115"/>
      <c r="V154" s="180"/>
      <c r="W154" s="117"/>
      <c r="X154" s="117"/>
      <c r="Y154" s="117"/>
      <c r="Z154" s="115"/>
      <c r="AA154" s="180"/>
      <c r="AB154" s="117"/>
      <c r="AC154" s="117"/>
      <c r="AD154" s="117"/>
      <c r="AE154" s="115"/>
      <c r="AF154" s="180"/>
      <c r="AG154" s="117"/>
      <c r="AH154" s="117"/>
      <c r="AI154" s="117"/>
      <c r="AJ154" s="115"/>
      <c r="AK154" s="180"/>
      <c r="AL154" s="117"/>
      <c r="AM154" s="117"/>
      <c r="AN154" s="117"/>
      <c r="AO154" s="115"/>
      <c r="AP154" s="180"/>
      <c r="AQ154" s="117"/>
      <c r="AR154" s="117"/>
      <c r="AS154" s="117"/>
      <c r="AT154" s="117"/>
      <c r="AU154" s="117"/>
      <c r="AV154" s="117"/>
      <c r="AW154" s="117"/>
      <c r="AX154" s="117"/>
      <c r="AY154" s="117"/>
      <c r="AZ154" s="117"/>
      <c r="BA154" s="117"/>
      <c r="BB154" s="117"/>
      <c r="BC154" s="117"/>
    </row>
    <row r="155">
      <c r="A155" s="115"/>
      <c r="B155" s="180"/>
      <c r="C155" s="117"/>
      <c r="D155" s="117"/>
      <c r="E155" s="117"/>
      <c r="F155" s="115"/>
      <c r="G155" s="180"/>
      <c r="H155" s="117"/>
      <c r="I155" s="117"/>
      <c r="J155" s="117"/>
      <c r="K155" s="92"/>
      <c r="L155" s="180"/>
      <c r="M155" s="117"/>
      <c r="N155" s="117"/>
      <c r="O155" s="117"/>
      <c r="P155" s="92"/>
      <c r="Q155" s="150"/>
      <c r="R155" s="117"/>
      <c r="S155" s="117"/>
      <c r="T155" s="117"/>
      <c r="U155" s="115"/>
      <c r="V155" s="180"/>
      <c r="W155" s="117"/>
      <c r="X155" s="117"/>
      <c r="Y155" s="117"/>
      <c r="Z155" s="115"/>
      <c r="AA155" s="180"/>
      <c r="AB155" s="117"/>
      <c r="AC155" s="117"/>
      <c r="AD155" s="117"/>
      <c r="AE155" s="115"/>
      <c r="AF155" s="180"/>
      <c r="AG155" s="117"/>
      <c r="AH155" s="117"/>
      <c r="AI155" s="117"/>
      <c r="AJ155" s="115"/>
      <c r="AK155" s="180"/>
      <c r="AL155" s="117"/>
      <c r="AM155" s="117"/>
      <c r="AN155" s="117"/>
      <c r="AO155" s="115"/>
      <c r="AP155" s="180"/>
      <c r="AQ155" s="117"/>
      <c r="AR155" s="117"/>
      <c r="AS155" s="117"/>
      <c r="AT155" s="117"/>
      <c r="AU155" s="117"/>
      <c r="AV155" s="117"/>
      <c r="AW155" s="117"/>
      <c r="AX155" s="117"/>
      <c r="AY155" s="117"/>
      <c r="AZ155" s="117"/>
      <c r="BA155" s="117"/>
      <c r="BB155" s="117"/>
      <c r="BC155" s="117"/>
    </row>
    <row r="156">
      <c r="A156" s="115"/>
      <c r="B156" s="180"/>
      <c r="C156" s="117"/>
      <c r="D156" s="117"/>
      <c r="E156" s="117"/>
      <c r="F156" s="115"/>
      <c r="G156" s="180"/>
      <c r="H156" s="117"/>
      <c r="I156" s="117"/>
      <c r="J156" s="117"/>
      <c r="K156" s="92"/>
      <c r="L156" s="180"/>
      <c r="M156" s="117"/>
      <c r="N156" s="117"/>
      <c r="O156" s="117"/>
      <c r="P156" s="92"/>
      <c r="Q156" s="150"/>
      <c r="R156" s="117"/>
      <c r="S156" s="117"/>
      <c r="T156" s="117"/>
      <c r="U156" s="115"/>
      <c r="V156" s="180"/>
      <c r="W156" s="117"/>
      <c r="X156" s="117"/>
      <c r="Y156" s="117"/>
      <c r="Z156" s="115"/>
      <c r="AA156" s="180"/>
      <c r="AB156" s="117"/>
      <c r="AC156" s="117"/>
      <c r="AD156" s="117"/>
      <c r="AE156" s="115"/>
      <c r="AF156" s="180"/>
      <c r="AG156" s="117"/>
      <c r="AH156" s="117"/>
      <c r="AI156" s="117"/>
      <c r="AJ156" s="115"/>
      <c r="AK156" s="180"/>
      <c r="AL156" s="117"/>
      <c r="AM156" s="117"/>
      <c r="AN156" s="117"/>
      <c r="AO156" s="115"/>
      <c r="AP156" s="180"/>
      <c r="AQ156" s="117"/>
      <c r="AR156" s="117"/>
      <c r="AS156" s="117"/>
      <c r="AT156" s="117"/>
      <c r="AU156" s="117"/>
      <c r="AV156" s="117"/>
      <c r="AW156" s="117"/>
      <c r="AX156" s="117"/>
      <c r="AY156" s="117"/>
      <c r="AZ156" s="117"/>
      <c r="BA156" s="117"/>
      <c r="BB156" s="117"/>
      <c r="BC156" s="117"/>
    </row>
    <row r="157">
      <c r="A157" s="115"/>
      <c r="B157" s="180"/>
      <c r="C157" s="117"/>
      <c r="D157" s="117"/>
      <c r="E157" s="117"/>
      <c r="F157" s="115"/>
      <c r="G157" s="180"/>
      <c r="H157" s="117"/>
      <c r="I157" s="117"/>
      <c r="J157" s="117"/>
      <c r="K157" s="92"/>
      <c r="L157" s="180"/>
      <c r="M157" s="117"/>
      <c r="N157" s="117"/>
      <c r="O157" s="117"/>
      <c r="P157" s="92"/>
      <c r="Q157" s="150"/>
      <c r="R157" s="117"/>
      <c r="S157" s="117"/>
      <c r="T157" s="117"/>
      <c r="U157" s="115"/>
      <c r="V157" s="180"/>
      <c r="W157" s="117"/>
      <c r="X157" s="117"/>
      <c r="Y157" s="117"/>
      <c r="Z157" s="115"/>
      <c r="AA157" s="180"/>
      <c r="AB157" s="117"/>
      <c r="AC157" s="117"/>
      <c r="AD157" s="117"/>
      <c r="AE157" s="115"/>
      <c r="AF157" s="180"/>
      <c r="AG157" s="117"/>
      <c r="AH157" s="117"/>
      <c r="AI157" s="117"/>
      <c r="AJ157" s="115"/>
      <c r="AK157" s="180"/>
      <c r="AL157" s="117"/>
      <c r="AM157" s="117"/>
      <c r="AN157" s="117"/>
      <c r="AO157" s="115"/>
      <c r="AP157" s="180"/>
      <c r="AQ157" s="117"/>
      <c r="AR157" s="117"/>
      <c r="AS157" s="117"/>
      <c r="AT157" s="117"/>
      <c r="AU157" s="117"/>
      <c r="AV157" s="117"/>
      <c r="AW157" s="117"/>
      <c r="AX157" s="117"/>
      <c r="AY157" s="117"/>
      <c r="AZ157" s="117"/>
      <c r="BA157" s="117"/>
      <c r="BB157" s="117"/>
      <c r="BC157" s="117"/>
    </row>
    <row r="158">
      <c r="A158" s="115"/>
      <c r="B158" s="180"/>
      <c r="C158" s="117"/>
      <c r="D158" s="117"/>
      <c r="E158" s="117"/>
      <c r="F158" s="115"/>
      <c r="G158" s="180"/>
      <c r="H158" s="117"/>
      <c r="I158" s="117"/>
      <c r="J158" s="117"/>
      <c r="K158" s="92"/>
      <c r="L158" s="180"/>
      <c r="M158" s="117"/>
      <c r="N158" s="117"/>
      <c r="O158" s="117"/>
      <c r="P158" s="92"/>
      <c r="Q158" s="150"/>
      <c r="R158" s="117"/>
      <c r="S158" s="117"/>
      <c r="T158" s="117"/>
      <c r="U158" s="115"/>
      <c r="V158" s="180"/>
      <c r="W158" s="117"/>
      <c r="X158" s="117"/>
      <c r="Y158" s="117"/>
      <c r="Z158" s="115"/>
      <c r="AA158" s="180"/>
      <c r="AB158" s="117"/>
      <c r="AC158" s="117"/>
      <c r="AD158" s="117"/>
      <c r="AE158" s="115"/>
      <c r="AF158" s="180"/>
      <c r="AG158" s="117"/>
      <c r="AH158" s="117"/>
      <c r="AI158" s="117"/>
      <c r="AJ158" s="115"/>
      <c r="AK158" s="180"/>
      <c r="AL158" s="117"/>
      <c r="AM158" s="117"/>
      <c r="AN158" s="117"/>
      <c r="AO158" s="115"/>
      <c r="AP158" s="180"/>
      <c r="AQ158" s="117"/>
      <c r="AR158" s="117"/>
      <c r="AS158" s="117"/>
      <c r="AT158" s="117"/>
      <c r="AU158" s="117"/>
      <c r="AV158" s="117"/>
      <c r="AW158" s="117"/>
      <c r="AX158" s="117"/>
      <c r="AY158" s="117"/>
      <c r="AZ158" s="117"/>
      <c r="BA158" s="117"/>
      <c r="BB158" s="117"/>
      <c r="BC158" s="117"/>
    </row>
    <row r="159">
      <c r="A159" s="115"/>
      <c r="B159" s="180"/>
      <c r="C159" s="117"/>
      <c r="D159" s="117"/>
      <c r="E159" s="117"/>
      <c r="F159" s="115"/>
      <c r="G159" s="180"/>
      <c r="H159" s="117"/>
      <c r="I159" s="117"/>
      <c r="J159" s="117"/>
      <c r="K159" s="92"/>
      <c r="L159" s="180"/>
      <c r="M159" s="117"/>
      <c r="N159" s="117"/>
      <c r="O159" s="117"/>
      <c r="P159" s="92"/>
      <c r="Q159" s="150"/>
      <c r="R159" s="117"/>
      <c r="S159" s="117"/>
      <c r="T159" s="117"/>
      <c r="U159" s="115"/>
      <c r="V159" s="180"/>
      <c r="W159" s="117"/>
      <c r="X159" s="117"/>
      <c r="Y159" s="117"/>
      <c r="Z159" s="115"/>
      <c r="AA159" s="180"/>
      <c r="AB159" s="117"/>
      <c r="AC159" s="117"/>
      <c r="AD159" s="117"/>
      <c r="AE159" s="115"/>
      <c r="AF159" s="180"/>
      <c r="AG159" s="117"/>
      <c r="AH159" s="117"/>
      <c r="AI159" s="117"/>
      <c r="AJ159" s="115"/>
      <c r="AK159" s="180"/>
      <c r="AL159" s="117"/>
      <c r="AM159" s="117"/>
      <c r="AN159" s="117"/>
      <c r="AO159" s="115"/>
      <c r="AP159" s="180"/>
      <c r="AQ159" s="117"/>
      <c r="AR159" s="117"/>
      <c r="AS159" s="117"/>
      <c r="AT159" s="117"/>
      <c r="AU159" s="117"/>
      <c r="AV159" s="117"/>
      <c r="AW159" s="117"/>
      <c r="AX159" s="117"/>
      <c r="AY159" s="117"/>
      <c r="AZ159" s="117"/>
      <c r="BA159" s="117"/>
      <c r="BB159" s="117"/>
      <c r="BC159" s="117"/>
    </row>
    <row r="160">
      <c r="A160" s="115"/>
      <c r="B160" s="180"/>
      <c r="C160" s="117"/>
      <c r="D160" s="117"/>
      <c r="E160" s="117"/>
      <c r="F160" s="115"/>
      <c r="G160" s="180"/>
      <c r="H160" s="117"/>
      <c r="I160" s="117"/>
      <c r="J160" s="117"/>
      <c r="K160" s="92"/>
      <c r="L160" s="180"/>
      <c r="M160" s="117"/>
      <c r="N160" s="117"/>
      <c r="O160" s="117"/>
      <c r="P160" s="92"/>
      <c r="Q160" s="150"/>
      <c r="R160" s="117"/>
      <c r="S160" s="117"/>
      <c r="T160" s="117"/>
      <c r="U160" s="115"/>
      <c r="V160" s="180"/>
      <c r="W160" s="117"/>
      <c r="X160" s="117"/>
      <c r="Y160" s="117"/>
      <c r="Z160" s="115"/>
      <c r="AA160" s="180"/>
      <c r="AB160" s="117"/>
      <c r="AC160" s="117"/>
      <c r="AD160" s="117"/>
      <c r="AE160" s="115"/>
      <c r="AF160" s="180"/>
      <c r="AG160" s="117"/>
      <c r="AH160" s="117"/>
      <c r="AI160" s="117"/>
      <c r="AJ160" s="115"/>
      <c r="AK160" s="180"/>
      <c r="AL160" s="117"/>
      <c r="AM160" s="117"/>
      <c r="AN160" s="117"/>
      <c r="AO160" s="115"/>
      <c r="AP160" s="180"/>
      <c r="AQ160" s="117"/>
      <c r="AR160" s="117"/>
      <c r="AS160" s="117"/>
      <c r="AT160" s="117"/>
      <c r="AU160" s="117"/>
      <c r="AV160" s="117"/>
      <c r="AW160" s="117"/>
      <c r="AX160" s="117"/>
      <c r="AY160" s="117"/>
      <c r="AZ160" s="117"/>
      <c r="BA160" s="117"/>
      <c r="BB160" s="117"/>
      <c r="BC160" s="117"/>
    </row>
    <row r="161">
      <c r="A161" s="115"/>
      <c r="B161" s="180"/>
      <c r="C161" s="117"/>
      <c r="D161" s="117"/>
      <c r="E161" s="117"/>
      <c r="F161" s="115"/>
      <c r="G161" s="180"/>
      <c r="H161" s="117"/>
      <c r="I161" s="117"/>
      <c r="J161" s="117"/>
      <c r="K161" s="92"/>
      <c r="L161" s="180"/>
      <c r="M161" s="117"/>
      <c r="N161" s="117"/>
      <c r="O161" s="117"/>
      <c r="P161" s="92"/>
      <c r="Q161" s="150"/>
      <c r="R161" s="117"/>
      <c r="S161" s="117"/>
      <c r="T161" s="117"/>
      <c r="U161" s="115"/>
      <c r="V161" s="180"/>
      <c r="W161" s="117"/>
      <c r="X161" s="117"/>
      <c r="Y161" s="117"/>
      <c r="Z161" s="115"/>
      <c r="AA161" s="180"/>
      <c r="AB161" s="117"/>
      <c r="AC161" s="117"/>
      <c r="AD161" s="117"/>
      <c r="AE161" s="115"/>
      <c r="AF161" s="180"/>
      <c r="AG161" s="117"/>
      <c r="AH161" s="117"/>
      <c r="AI161" s="117"/>
      <c r="AJ161" s="115"/>
      <c r="AK161" s="180"/>
      <c r="AL161" s="117"/>
      <c r="AM161" s="117"/>
      <c r="AN161" s="117"/>
      <c r="AO161" s="115"/>
      <c r="AP161" s="180"/>
      <c r="AQ161" s="117"/>
      <c r="AR161" s="117"/>
      <c r="AS161" s="117"/>
      <c r="AT161" s="117"/>
      <c r="AU161" s="117"/>
      <c r="AV161" s="117"/>
      <c r="AW161" s="117"/>
      <c r="AX161" s="117"/>
      <c r="AY161" s="117"/>
      <c r="AZ161" s="117"/>
      <c r="BA161" s="117"/>
      <c r="BB161" s="117"/>
      <c r="BC161" s="117"/>
    </row>
    <row r="162">
      <c r="A162" s="115"/>
      <c r="B162" s="180"/>
      <c r="C162" s="117"/>
      <c r="D162" s="117"/>
      <c r="E162" s="117"/>
      <c r="F162" s="115"/>
      <c r="G162" s="180"/>
      <c r="H162" s="117"/>
      <c r="I162" s="117"/>
      <c r="J162" s="117"/>
      <c r="K162" s="92"/>
      <c r="L162" s="180"/>
      <c r="M162" s="117"/>
      <c r="N162" s="117"/>
      <c r="O162" s="117"/>
      <c r="P162" s="92"/>
      <c r="Q162" s="150"/>
      <c r="R162" s="117"/>
      <c r="S162" s="117"/>
      <c r="T162" s="117"/>
      <c r="U162" s="115"/>
      <c r="V162" s="180"/>
      <c r="W162" s="117"/>
      <c r="X162" s="117"/>
      <c r="Y162" s="117"/>
      <c r="Z162" s="115"/>
      <c r="AA162" s="180"/>
      <c r="AB162" s="117"/>
      <c r="AC162" s="117"/>
      <c r="AD162" s="117"/>
      <c r="AE162" s="115"/>
      <c r="AF162" s="180"/>
      <c r="AG162" s="117"/>
      <c r="AH162" s="117"/>
      <c r="AI162" s="117"/>
      <c r="AJ162" s="115"/>
      <c r="AK162" s="180"/>
      <c r="AL162" s="117"/>
      <c r="AM162" s="117"/>
      <c r="AN162" s="117"/>
      <c r="AO162" s="115"/>
      <c r="AP162" s="180"/>
      <c r="AQ162" s="117"/>
      <c r="AR162" s="117"/>
      <c r="AS162" s="117"/>
      <c r="AT162" s="117"/>
      <c r="AU162" s="117"/>
      <c r="AV162" s="117"/>
      <c r="AW162" s="117"/>
      <c r="AX162" s="117"/>
      <c r="AY162" s="117"/>
      <c r="AZ162" s="117"/>
      <c r="BA162" s="117"/>
      <c r="BB162" s="117"/>
      <c r="BC162" s="117"/>
    </row>
    <row r="163">
      <c r="A163" s="115"/>
      <c r="B163" s="180"/>
      <c r="C163" s="117"/>
      <c r="D163" s="117"/>
      <c r="E163" s="117"/>
      <c r="F163" s="115"/>
      <c r="G163" s="180"/>
      <c r="H163" s="117"/>
      <c r="I163" s="117"/>
      <c r="J163" s="117"/>
      <c r="K163" s="92"/>
      <c r="L163" s="180"/>
      <c r="M163" s="117"/>
      <c r="N163" s="117"/>
      <c r="O163" s="117"/>
      <c r="P163" s="92"/>
      <c r="Q163" s="150"/>
      <c r="R163" s="117"/>
      <c r="S163" s="117"/>
      <c r="T163" s="117"/>
      <c r="U163" s="115"/>
      <c r="V163" s="180"/>
      <c r="W163" s="117"/>
      <c r="X163" s="117"/>
      <c r="Y163" s="117"/>
      <c r="Z163" s="115"/>
      <c r="AA163" s="180"/>
      <c r="AB163" s="117"/>
      <c r="AC163" s="117"/>
      <c r="AD163" s="117"/>
      <c r="AE163" s="115"/>
      <c r="AF163" s="180"/>
      <c r="AG163" s="117"/>
      <c r="AH163" s="117"/>
      <c r="AI163" s="117"/>
      <c r="AJ163" s="115"/>
      <c r="AK163" s="180"/>
      <c r="AL163" s="117"/>
      <c r="AM163" s="117"/>
      <c r="AN163" s="117"/>
      <c r="AO163" s="115"/>
      <c r="AP163" s="180"/>
      <c r="AQ163" s="117"/>
      <c r="AR163" s="117"/>
      <c r="AS163" s="117"/>
      <c r="AT163" s="117"/>
      <c r="AU163" s="117"/>
      <c r="AV163" s="117"/>
      <c r="AW163" s="117"/>
      <c r="AX163" s="117"/>
      <c r="AY163" s="117"/>
      <c r="AZ163" s="117"/>
      <c r="BA163" s="117"/>
      <c r="BB163" s="117"/>
      <c r="BC163" s="117"/>
    </row>
    <row r="164">
      <c r="A164" s="115"/>
      <c r="B164" s="180"/>
      <c r="C164" s="117"/>
      <c r="D164" s="117"/>
      <c r="E164" s="117"/>
      <c r="F164" s="115"/>
      <c r="G164" s="180"/>
      <c r="H164" s="117"/>
      <c r="I164" s="117"/>
      <c r="J164" s="117"/>
      <c r="K164" s="92"/>
      <c r="L164" s="180"/>
      <c r="M164" s="117"/>
      <c r="N164" s="117"/>
      <c r="O164" s="117"/>
      <c r="P164" s="92"/>
      <c r="Q164" s="150"/>
      <c r="R164" s="117"/>
      <c r="S164" s="117"/>
      <c r="T164" s="117"/>
      <c r="U164" s="115"/>
      <c r="V164" s="180"/>
      <c r="W164" s="117"/>
      <c r="X164" s="117"/>
      <c r="Y164" s="117"/>
      <c r="Z164" s="115"/>
      <c r="AA164" s="180"/>
      <c r="AB164" s="117"/>
      <c r="AC164" s="117"/>
      <c r="AD164" s="117"/>
      <c r="AE164" s="115"/>
      <c r="AF164" s="180"/>
      <c r="AG164" s="117"/>
      <c r="AH164" s="117"/>
      <c r="AI164" s="117"/>
      <c r="AJ164" s="115"/>
      <c r="AK164" s="180"/>
      <c r="AL164" s="117"/>
      <c r="AM164" s="117"/>
      <c r="AN164" s="117"/>
      <c r="AO164" s="115"/>
      <c r="AP164" s="180"/>
      <c r="AQ164" s="117"/>
      <c r="AR164" s="117"/>
      <c r="AS164" s="117"/>
      <c r="AT164" s="117"/>
      <c r="AU164" s="117"/>
      <c r="AV164" s="117"/>
      <c r="AW164" s="117"/>
      <c r="AX164" s="117"/>
      <c r="AY164" s="117"/>
      <c r="AZ164" s="117"/>
      <c r="BA164" s="117"/>
      <c r="BB164" s="117"/>
      <c r="BC164" s="117"/>
    </row>
    <row r="165">
      <c r="A165" s="115"/>
      <c r="B165" s="180"/>
      <c r="C165" s="117"/>
      <c r="D165" s="117"/>
      <c r="E165" s="117"/>
      <c r="F165" s="115"/>
      <c r="G165" s="180"/>
      <c r="H165" s="117"/>
      <c r="I165" s="117"/>
      <c r="J165" s="117"/>
      <c r="K165" s="92"/>
      <c r="L165" s="180"/>
      <c r="M165" s="117"/>
      <c r="N165" s="117"/>
      <c r="O165" s="117"/>
      <c r="P165" s="92"/>
      <c r="Q165" s="150"/>
      <c r="R165" s="117"/>
      <c r="S165" s="117"/>
      <c r="T165" s="117"/>
      <c r="U165" s="115"/>
      <c r="V165" s="180"/>
      <c r="W165" s="117"/>
      <c r="X165" s="117"/>
      <c r="Y165" s="117"/>
      <c r="Z165" s="115"/>
      <c r="AA165" s="180"/>
      <c r="AB165" s="117"/>
      <c r="AC165" s="117"/>
      <c r="AD165" s="117"/>
      <c r="AE165" s="115"/>
      <c r="AF165" s="180"/>
      <c r="AG165" s="117"/>
      <c r="AH165" s="117"/>
      <c r="AI165" s="117"/>
      <c r="AJ165" s="115"/>
      <c r="AK165" s="180"/>
      <c r="AL165" s="117"/>
      <c r="AM165" s="117"/>
      <c r="AN165" s="117"/>
      <c r="AO165" s="115"/>
      <c r="AP165" s="180"/>
      <c r="AQ165" s="117"/>
      <c r="AR165" s="117"/>
      <c r="AS165" s="117"/>
      <c r="AT165" s="117"/>
      <c r="AU165" s="117"/>
      <c r="AV165" s="117"/>
      <c r="AW165" s="117"/>
      <c r="AX165" s="117"/>
      <c r="AY165" s="117"/>
      <c r="AZ165" s="117"/>
      <c r="BA165" s="117"/>
      <c r="BB165" s="117"/>
      <c r="BC165" s="117"/>
    </row>
    <row r="166">
      <c r="A166" s="115"/>
      <c r="B166" s="180"/>
      <c r="C166" s="117"/>
      <c r="D166" s="117"/>
      <c r="E166" s="117"/>
      <c r="F166" s="115"/>
      <c r="G166" s="180"/>
      <c r="H166" s="117"/>
      <c r="I166" s="117"/>
      <c r="J166" s="117"/>
      <c r="K166" s="92"/>
      <c r="L166" s="180"/>
      <c r="M166" s="117"/>
      <c r="N166" s="117"/>
      <c r="O166" s="117"/>
      <c r="P166" s="92"/>
      <c r="Q166" s="150"/>
      <c r="R166" s="117"/>
      <c r="S166" s="117"/>
      <c r="T166" s="117"/>
      <c r="U166" s="115"/>
      <c r="V166" s="180"/>
      <c r="W166" s="117"/>
      <c r="X166" s="117"/>
      <c r="Y166" s="117"/>
      <c r="Z166" s="115"/>
      <c r="AA166" s="180"/>
      <c r="AB166" s="117"/>
      <c r="AC166" s="117"/>
      <c r="AD166" s="117"/>
      <c r="AE166" s="115"/>
      <c r="AF166" s="180"/>
      <c r="AG166" s="117"/>
      <c r="AH166" s="117"/>
      <c r="AI166" s="117"/>
      <c r="AJ166" s="115"/>
      <c r="AK166" s="180"/>
      <c r="AL166" s="117"/>
      <c r="AM166" s="117"/>
      <c r="AN166" s="117"/>
      <c r="AO166" s="115"/>
      <c r="AP166" s="180"/>
      <c r="AQ166" s="117"/>
      <c r="AR166" s="117"/>
      <c r="AS166" s="117"/>
      <c r="AT166" s="117"/>
      <c r="AU166" s="117"/>
      <c r="AV166" s="117"/>
      <c r="AW166" s="117"/>
      <c r="AX166" s="117"/>
      <c r="AY166" s="117"/>
      <c r="AZ166" s="117"/>
      <c r="BA166" s="117"/>
      <c r="BB166" s="117"/>
      <c r="BC166" s="117"/>
    </row>
    <row r="167">
      <c r="A167" s="115"/>
      <c r="B167" s="180"/>
      <c r="C167" s="117"/>
      <c r="D167" s="117"/>
      <c r="E167" s="117"/>
      <c r="F167" s="115"/>
      <c r="G167" s="180"/>
      <c r="H167" s="117"/>
      <c r="I167" s="117"/>
      <c r="J167" s="117"/>
      <c r="K167" s="92"/>
      <c r="L167" s="180"/>
      <c r="M167" s="117"/>
      <c r="N167" s="117"/>
      <c r="O167" s="117"/>
      <c r="P167" s="92"/>
      <c r="Q167" s="150"/>
      <c r="R167" s="117"/>
      <c r="S167" s="117"/>
      <c r="T167" s="117"/>
      <c r="U167" s="115"/>
      <c r="V167" s="180"/>
      <c r="W167" s="117"/>
      <c r="X167" s="117"/>
      <c r="Y167" s="117"/>
      <c r="Z167" s="115"/>
      <c r="AA167" s="180"/>
      <c r="AB167" s="117"/>
      <c r="AC167" s="117"/>
      <c r="AD167" s="117"/>
      <c r="AE167" s="115"/>
      <c r="AF167" s="180"/>
      <c r="AG167" s="117"/>
      <c r="AH167" s="117"/>
      <c r="AI167" s="117"/>
      <c r="AJ167" s="115"/>
      <c r="AK167" s="180"/>
      <c r="AL167" s="117"/>
      <c r="AM167" s="117"/>
      <c r="AN167" s="117"/>
      <c r="AO167" s="115"/>
      <c r="AP167" s="180"/>
      <c r="AQ167" s="117"/>
      <c r="AR167" s="117"/>
      <c r="AS167" s="117"/>
      <c r="AT167" s="117"/>
      <c r="AU167" s="117"/>
      <c r="AV167" s="117"/>
      <c r="AW167" s="117"/>
      <c r="AX167" s="117"/>
      <c r="AY167" s="117"/>
      <c r="AZ167" s="117"/>
      <c r="BA167" s="117"/>
      <c r="BB167" s="117"/>
      <c r="BC167" s="117"/>
    </row>
    <row r="168">
      <c r="A168" s="115"/>
      <c r="B168" s="180"/>
      <c r="C168" s="117"/>
      <c r="D168" s="117"/>
      <c r="E168" s="117"/>
      <c r="F168" s="115"/>
      <c r="G168" s="180"/>
      <c r="H168" s="117"/>
      <c r="I168" s="117"/>
      <c r="J168" s="117"/>
      <c r="K168" s="92"/>
      <c r="L168" s="180"/>
      <c r="M168" s="117"/>
      <c r="N168" s="117"/>
      <c r="O168" s="117"/>
      <c r="P168" s="92"/>
      <c r="Q168" s="150"/>
      <c r="R168" s="117"/>
      <c r="S168" s="117"/>
      <c r="T168" s="117"/>
      <c r="U168" s="115"/>
      <c r="V168" s="180"/>
      <c r="W168" s="117"/>
      <c r="X168" s="117"/>
      <c r="Y168" s="117"/>
      <c r="Z168" s="115"/>
      <c r="AA168" s="180"/>
      <c r="AB168" s="117"/>
      <c r="AC168" s="117"/>
      <c r="AD168" s="117"/>
      <c r="AE168" s="115"/>
      <c r="AF168" s="180"/>
      <c r="AG168" s="117"/>
      <c r="AH168" s="117"/>
      <c r="AI168" s="117"/>
      <c r="AJ168" s="115"/>
      <c r="AK168" s="180"/>
      <c r="AL168" s="117"/>
      <c r="AM168" s="117"/>
      <c r="AN168" s="117"/>
      <c r="AO168" s="115"/>
      <c r="AP168" s="180"/>
      <c r="AQ168" s="117"/>
      <c r="AR168" s="117"/>
      <c r="AS168" s="117"/>
      <c r="AT168" s="117"/>
      <c r="AU168" s="117"/>
      <c r="AV168" s="117"/>
      <c r="AW168" s="117"/>
      <c r="AX168" s="117"/>
      <c r="AY168" s="117"/>
      <c r="AZ168" s="117"/>
      <c r="BA168" s="117"/>
      <c r="BB168" s="117"/>
      <c r="BC168" s="117"/>
    </row>
    <row r="169">
      <c r="A169" s="115"/>
      <c r="B169" s="180"/>
      <c r="C169" s="117"/>
      <c r="D169" s="117"/>
      <c r="E169" s="117"/>
      <c r="F169" s="115"/>
      <c r="G169" s="180"/>
      <c r="H169" s="117"/>
      <c r="I169" s="117"/>
      <c r="J169" s="117"/>
      <c r="K169" s="92"/>
      <c r="L169" s="180"/>
      <c r="M169" s="117"/>
      <c r="N169" s="117"/>
      <c r="O169" s="117"/>
      <c r="P169" s="92"/>
      <c r="Q169" s="150"/>
      <c r="R169" s="117"/>
      <c r="S169" s="117"/>
      <c r="T169" s="117"/>
      <c r="U169" s="115"/>
      <c r="V169" s="180"/>
      <c r="W169" s="117"/>
      <c r="X169" s="117"/>
      <c r="Y169" s="117"/>
      <c r="Z169" s="115"/>
      <c r="AA169" s="180"/>
      <c r="AB169" s="117"/>
      <c r="AC169" s="117"/>
      <c r="AD169" s="117"/>
      <c r="AE169" s="115"/>
      <c r="AF169" s="180"/>
      <c r="AG169" s="117"/>
      <c r="AH169" s="117"/>
      <c r="AI169" s="117"/>
      <c r="AJ169" s="115"/>
      <c r="AK169" s="180"/>
      <c r="AL169" s="117"/>
      <c r="AM169" s="117"/>
      <c r="AN169" s="117"/>
      <c r="AO169" s="115"/>
      <c r="AP169" s="180"/>
      <c r="AQ169" s="117"/>
      <c r="AR169" s="117"/>
      <c r="AS169" s="117"/>
      <c r="AT169" s="117"/>
      <c r="AU169" s="117"/>
      <c r="AV169" s="117"/>
      <c r="AW169" s="117"/>
      <c r="AX169" s="117"/>
      <c r="AY169" s="117"/>
      <c r="AZ169" s="117"/>
      <c r="BA169" s="117"/>
      <c r="BB169" s="117"/>
      <c r="BC169" s="117"/>
    </row>
    <row r="170">
      <c r="A170" s="115"/>
      <c r="B170" s="180"/>
      <c r="C170" s="117"/>
      <c r="D170" s="117"/>
      <c r="E170" s="117"/>
      <c r="F170" s="115"/>
      <c r="G170" s="180"/>
      <c r="H170" s="117"/>
      <c r="I170" s="117"/>
      <c r="J170" s="117"/>
      <c r="K170" s="92"/>
      <c r="L170" s="180"/>
      <c r="M170" s="117"/>
      <c r="N170" s="117"/>
      <c r="O170" s="117"/>
      <c r="P170" s="92"/>
      <c r="Q170" s="150"/>
      <c r="R170" s="117"/>
      <c r="S170" s="117"/>
      <c r="T170" s="117"/>
      <c r="U170" s="115"/>
      <c r="V170" s="180"/>
      <c r="W170" s="117"/>
      <c r="X170" s="117"/>
      <c r="Y170" s="117"/>
      <c r="Z170" s="115"/>
      <c r="AA170" s="180"/>
      <c r="AB170" s="117"/>
      <c r="AC170" s="117"/>
      <c r="AD170" s="117"/>
      <c r="AE170" s="115"/>
      <c r="AF170" s="180"/>
      <c r="AG170" s="117"/>
      <c r="AH170" s="117"/>
      <c r="AI170" s="117"/>
      <c r="AJ170" s="115"/>
      <c r="AK170" s="180"/>
      <c r="AL170" s="117"/>
      <c r="AM170" s="117"/>
      <c r="AN170" s="117"/>
      <c r="AO170" s="115"/>
      <c r="AP170" s="180"/>
      <c r="AQ170" s="117"/>
      <c r="AR170" s="117"/>
      <c r="AS170" s="117"/>
      <c r="AT170" s="117"/>
      <c r="AU170" s="117"/>
      <c r="AV170" s="117"/>
      <c r="AW170" s="117"/>
      <c r="AX170" s="117"/>
      <c r="AY170" s="117"/>
      <c r="AZ170" s="117"/>
      <c r="BA170" s="117"/>
      <c r="BB170" s="117"/>
      <c r="BC170" s="117"/>
    </row>
    <row r="171">
      <c r="A171" s="115"/>
      <c r="B171" s="180"/>
      <c r="C171" s="117"/>
      <c r="D171" s="117"/>
      <c r="E171" s="117"/>
      <c r="F171" s="115"/>
      <c r="G171" s="180"/>
      <c r="H171" s="117"/>
      <c r="I171" s="117"/>
      <c r="J171" s="117"/>
      <c r="K171" s="92"/>
      <c r="L171" s="180"/>
      <c r="M171" s="117"/>
      <c r="N171" s="117"/>
      <c r="O171" s="117"/>
      <c r="P171" s="92"/>
      <c r="Q171" s="150"/>
      <c r="R171" s="117"/>
      <c r="S171" s="117"/>
      <c r="T171" s="117"/>
      <c r="U171" s="115"/>
      <c r="V171" s="180"/>
      <c r="W171" s="117"/>
      <c r="X171" s="117"/>
      <c r="Y171" s="117"/>
      <c r="Z171" s="115"/>
      <c r="AA171" s="180"/>
      <c r="AB171" s="117"/>
      <c r="AC171" s="117"/>
      <c r="AD171" s="117"/>
      <c r="AE171" s="115"/>
      <c r="AF171" s="180"/>
      <c r="AG171" s="117"/>
      <c r="AH171" s="117"/>
      <c r="AI171" s="117"/>
      <c r="AJ171" s="115"/>
      <c r="AK171" s="180"/>
      <c r="AL171" s="117"/>
      <c r="AM171" s="117"/>
      <c r="AN171" s="117"/>
      <c r="AO171" s="115"/>
      <c r="AP171" s="180"/>
      <c r="AQ171" s="117"/>
      <c r="AR171" s="117"/>
      <c r="AS171" s="117"/>
      <c r="AT171" s="117"/>
      <c r="AU171" s="117"/>
      <c r="AV171" s="117"/>
      <c r="AW171" s="117"/>
      <c r="AX171" s="117"/>
      <c r="AY171" s="117"/>
      <c r="AZ171" s="117"/>
      <c r="BA171" s="117"/>
      <c r="BB171" s="117"/>
      <c r="BC171" s="117"/>
    </row>
    <row r="172">
      <c r="A172" s="115"/>
      <c r="B172" s="180"/>
      <c r="C172" s="117"/>
      <c r="D172" s="117"/>
      <c r="E172" s="117"/>
      <c r="F172" s="115"/>
      <c r="G172" s="180"/>
      <c r="H172" s="117"/>
      <c r="I172" s="117"/>
      <c r="J172" s="117"/>
      <c r="K172" s="92"/>
      <c r="L172" s="180"/>
      <c r="M172" s="117"/>
      <c r="N172" s="117"/>
      <c r="O172" s="117"/>
      <c r="P172" s="92"/>
      <c r="Q172" s="150"/>
      <c r="R172" s="117"/>
      <c r="S172" s="117"/>
      <c r="T172" s="117"/>
      <c r="U172" s="115"/>
      <c r="V172" s="180"/>
      <c r="W172" s="117"/>
      <c r="X172" s="117"/>
      <c r="Y172" s="117"/>
      <c r="Z172" s="115"/>
      <c r="AA172" s="180"/>
      <c r="AB172" s="117"/>
      <c r="AC172" s="117"/>
      <c r="AD172" s="117"/>
      <c r="AE172" s="115"/>
      <c r="AF172" s="180"/>
      <c r="AG172" s="117"/>
      <c r="AH172" s="117"/>
      <c r="AI172" s="117"/>
      <c r="AJ172" s="115"/>
      <c r="AK172" s="180"/>
      <c r="AL172" s="117"/>
      <c r="AM172" s="117"/>
      <c r="AN172" s="117"/>
      <c r="AO172" s="115"/>
      <c r="AP172" s="180"/>
      <c r="AQ172" s="117"/>
      <c r="AR172" s="117"/>
      <c r="AS172" s="117"/>
      <c r="AT172" s="117"/>
      <c r="AU172" s="117"/>
      <c r="AV172" s="117"/>
      <c r="AW172" s="117"/>
      <c r="AX172" s="117"/>
      <c r="AY172" s="117"/>
      <c r="AZ172" s="117"/>
      <c r="BA172" s="117"/>
      <c r="BB172" s="117"/>
      <c r="BC172" s="117"/>
    </row>
    <row r="173">
      <c r="A173" s="115"/>
      <c r="B173" s="180"/>
      <c r="C173" s="117"/>
      <c r="D173" s="117"/>
      <c r="E173" s="117"/>
      <c r="F173" s="115"/>
      <c r="G173" s="180"/>
      <c r="H173" s="117"/>
      <c r="I173" s="117"/>
      <c r="J173" s="117"/>
      <c r="K173" s="92"/>
      <c r="L173" s="180"/>
      <c r="M173" s="117"/>
      <c r="N173" s="117"/>
      <c r="O173" s="117"/>
      <c r="P173" s="92"/>
      <c r="Q173" s="150"/>
      <c r="R173" s="117"/>
      <c r="S173" s="117"/>
      <c r="T173" s="117"/>
      <c r="U173" s="115"/>
      <c r="V173" s="180"/>
      <c r="W173" s="117"/>
      <c r="X173" s="117"/>
      <c r="Y173" s="117"/>
      <c r="Z173" s="115"/>
      <c r="AA173" s="180"/>
      <c r="AB173" s="117"/>
      <c r="AC173" s="117"/>
      <c r="AD173" s="117"/>
      <c r="AE173" s="115"/>
      <c r="AF173" s="180"/>
      <c r="AG173" s="117"/>
      <c r="AH173" s="117"/>
      <c r="AI173" s="117"/>
      <c r="AJ173" s="115"/>
      <c r="AK173" s="180"/>
      <c r="AL173" s="117"/>
      <c r="AM173" s="117"/>
      <c r="AN173" s="117"/>
      <c r="AO173" s="115"/>
      <c r="AP173" s="180"/>
      <c r="AQ173" s="117"/>
      <c r="AR173" s="117"/>
      <c r="AS173" s="117"/>
      <c r="AT173" s="117"/>
      <c r="AU173" s="117"/>
      <c r="AV173" s="117"/>
      <c r="AW173" s="117"/>
      <c r="AX173" s="117"/>
      <c r="AY173" s="117"/>
      <c r="AZ173" s="117"/>
      <c r="BA173" s="117"/>
      <c r="BB173" s="117"/>
      <c r="BC173" s="117"/>
    </row>
    <row r="174">
      <c r="A174" s="115"/>
      <c r="B174" s="180"/>
      <c r="C174" s="117"/>
      <c r="D174" s="117"/>
      <c r="E174" s="117"/>
      <c r="F174" s="115"/>
      <c r="G174" s="180"/>
      <c r="H174" s="117"/>
      <c r="I174" s="117"/>
      <c r="J174" s="117"/>
      <c r="K174" s="92"/>
      <c r="L174" s="180"/>
      <c r="M174" s="117"/>
      <c r="N174" s="117"/>
      <c r="O174" s="117"/>
      <c r="P174" s="92"/>
      <c r="Q174" s="150"/>
      <c r="R174" s="117"/>
      <c r="S174" s="117"/>
      <c r="T174" s="117"/>
      <c r="U174" s="115"/>
      <c r="V174" s="180"/>
      <c r="W174" s="117"/>
      <c r="X174" s="117"/>
      <c r="Y174" s="117"/>
      <c r="Z174" s="115"/>
      <c r="AA174" s="180"/>
      <c r="AB174" s="117"/>
      <c r="AC174" s="117"/>
      <c r="AD174" s="117"/>
      <c r="AE174" s="115"/>
      <c r="AF174" s="180"/>
      <c r="AG174" s="117"/>
      <c r="AH174" s="117"/>
      <c r="AI174" s="117"/>
      <c r="AJ174" s="115"/>
      <c r="AK174" s="180"/>
      <c r="AL174" s="117"/>
      <c r="AM174" s="117"/>
      <c r="AN174" s="117"/>
      <c r="AO174" s="115"/>
      <c r="AP174" s="180"/>
      <c r="AQ174" s="117"/>
      <c r="AR174" s="117"/>
      <c r="AS174" s="117"/>
      <c r="AT174" s="117"/>
      <c r="AU174" s="117"/>
      <c r="AV174" s="117"/>
      <c r="AW174" s="117"/>
      <c r="AX174" s="117"/>
      <c r="AY174" s="117"/>
      <c r="AZ174" s="117"/>
      <c r="BA174" s="117"/>
      <c r="BB174" s="117"/>
      <c r="BC174" s="117"/>
    </row>
    <row r="175">
      <c r="A175" s="115"/>
      <c r="B175" s="180"/>
      <c r="C175" s="117"/>
      <c r="D175" s="117"/>
      <c r="E175" s="117"/>
      <c r="F175" s="115"/>
      <c r="G175" s="180"/>
      <c r="H175" s="117"/>
      <c r="I175" s="117"/>
      <c r="J175" s="117"/>
      <c r="K175" s="92"/>
      <c r="L175" s="180"/>
      <c r="M175" s="117"/>
      <c r="N175" s="117"/>
      <c r="O175" s="117"/>
      <c r="P175" s="92"/>
      <c r="Q175" s="150"/>
      <c r="R175" s="117"/>
      <c r="S175" s="117"/>
      <c r="T175" s="117"/>
      <c r="U175" s="115"/>
      <c r="V175" s="180"/>
      <c r="W175" s="117"/>
      <c r="X175" s="117"/>
      <c r="Y175" s="117"/>
      <c r="Z175" s="115"/>
      <c r="AA175" s="180"/>
      <c r="AB175" s="117"/>
      <c r="AC175" s="117"/>
      <c r="AD175" s="117"/>
      <c r="AE175" s="115"/>
      <c r="AF175" s="180"/>
      <c r="AG175" s="117"/>
      <c r="AH175" s="117"/>
      <c r="AI175" s="117"/>
      <c r="AJ175" s="115"/>
      <c r="AK175" s="180"/>
      <c r="AL175" s="117"/>
      <c r="AM175" s="117"/>
      <c r="AN175" s="117"/>
      <c r="AO175" s="115"/>
      <c r="AP175" s="180"/>
      <c r="AQ175" s="117"/>
      <c r="AR175" s="117"/>
      <c r="AS175" s="117"/>
      <c r="AT175" s="117"/>
      <c r="AU175" s="117"/>
      <c r="AV175" s="117"/>
      <c r="AW175" s="117"/>
      <c r="AX175" s="117"/>
      <c r="AY175" s="117"/>
      <c r="AZ175" s="117"/>
      <c r="BA175" s="117"/>
      <c r="BB175" s="117"/>
      <c r="BC175" s="117"/>
    </row>
    <row r="176">
      <c r="A176" s="115"/>
      <c r="B176" s="180"/>
      <c r="C176" s="117"/>
      <c r="D176" s="117"/>
      <c r="E176" s="117"/>
      <c r="F176" s="115"/>
      <c r="G176" s="180"/>
      <c r="H176" s="117"/>
      <c r="I176" s="117"/>
      <c r="J176" s="117"/>
      <c r="K176" s="92"/>
      <c r="L176" s="180"/>
      <c r="M176" s="117"/>
      <c r="N176" s="117"/>
      <c r="O176" s="117"/>
      <c r="P176" s="92"/>
      <c r="Q176" s="150"/>
      <c r="R176" s="117"/>
      <c r="S176" s="117"/>
      <c r="T176" s="117"/>
      <c r="U176" s="115"/>
      <c r="V176" s="180"/>
      <c r="W176" s="117"/>
      <c r="X176" s="117"/>
      <c r="Y176" s="117"/>
      <c r="Z176" s="115"/>
      <c r="AA176" s="180"/>
      <c r="AB176" s="117"/>
      <c r="AC176" s="117"/>
      <c r="AD176" s="117"/>
      <c r="AE176" s="115"/>
      <c r="AF176" s="180"/>
      <c r="AG176" s="117"/>
      <c r="AH176" s="117"/>
      <c r="AI176" s="117"/>
      <c r="AJ176" s="115"/>
      <c r="AK176" s="180"/>
      <c r="AL176" s="117"/>
      <c r="AM176" s="117"/>
      <c r="AN176" s="117"/>
      <c r="AO176" s="115"/>
      <c r="AP176" s="180"/>
      <c r="AQ176" s="117"/>
      <c r="AR176" s="117"/>
      <c r="AS176" s="117"/>
      <c r="AT176" s="117"/>
      <c r="AU176" s="117"/>
      <c r="AV176" s="117"/>
      <c r="AW176" s="117"/>
      <c r="AX176" s="117"/>
      <c r="AY176" s="117"/>
      <c r="AZ176" s="117"/>
      <c r="BA176" s="117"/>
      <c r="BB176" s="117"/>
      <c r="BC176" s="117"/>
    </row>
    <row r="177">
      <c r="A177" s="115"/>
      <c r="B177" s="180"/>
      <c r="C177" s="117"/>
      <c r="D177" s="117"/>
      <c r="E177" s="117"/>
      <c r="F177" s="115"/>
      <c r="G177" s="180"/>
      <c r="H177" s="117"/>
      <c r="I177" s="117"/>
      <c r="J177" s="117"/>
      <c r="K177" s="92"/>
      <c r="L177" s="180"/>
      <c r="M177" s="117"/>
      <c r="N177" s="117"/>
      <c r="O177" s="117"/>
      <c r="P177" s="92"/>
      <c r="Q177" s="150"/>
      <c r="R177" s="117"/>
      <c r="S177" s="117"/>
      <c r="T177" s="117"/>
      <c r="U177" s="115"/>
      <c r="V177" s="180"/>
      <c r="W177" s="117"/>
      <c r="X177" s="117"/>
      <c r="Y177" s="117"/>
      <c r="Z177" s="115"/>
      <c r="AA177" s="180"/>
      <c r="AB177" s="117"/>
      <c r="AC177" s="117"/>
      <c r="AD177" s="117"/>
      <c r="AE177" s="115"/>
      <c r="AF177" s="180"/>
      <c r="AG177" s="117"/>
      <c r="AH177" s="117"/>
      <c r="AI177" s="117"/>
      <c r="AJ177" s="115"/>
      <c r="AK177" s="180"/>
      <c r="AL177" s="117"/>
      <c r="AM177" s="117"/>
      <c r="AN177" s="117"/>
      <c r="AO177" s="115"/>
      <c r="AP177" s="180"/>
      <c r="AQ177" s="117"/>
      <c r="AR177" s="117"/>
      <c r="AS177" s="117"/>
      <c r="AT177" s="117"/>
      <c r="AU177" s="117"/>
      <c r="AV177" s="117"/>
      <c r="AW177" s="117"/>
      <c r="AX177" s="117"/>
      <c r="AY177" s="117"/>
      <c r="AZ177" s="117"/>
      <c r="BA177" s="117"/>
      <c r="BB177" s="117"/>
      <c r="BC177" s="117"/>
    </row>
    <row r="178">
      <c r="A178" s="115"/>
      <c r="B178" s="180"/>
      <c r="C178" s="117"/>
      <c r="D178" s="117"/>
      <c r="E178" s="117"/>
      <c r="F178" s="115"/>
      <c r="G178" s="180"/>
      <c r="H178" s="117"/>
      <c r="I178" s="117"/>
      <c r="J178" s="117"/>
      <c r="K178" s="92"/>
      <c r="L178" s="180"/>
      <c r="M178" s="117"/>
      <c r="N178" s="117"/>
      <c r="O178" s="117"/>
      <c r="P178" s="92"/>
      <c r="Q178" s="150"/>
      <c r="R178" s="117"/>
      <c r="S178" s="117"/>
      <c r="T178" s="117"/>
      <c r="U178" s="115"/>
      <c r="V178" s="180"/>
      <c r="W178" s="117"/>
      <c r="X178" s="117"/>
      <c r="Y178" s="117"/>
      <c r="Z178" s="115"/>
      <c r="AA178" s="180"/>
      <c r="AB178" s="117"/>
      <c r="AC178" s="117"/>
      <c r="AD178" s="117"/>
      <c r="AE178" s="115"/>
      <c r="AF178" s="180"/>
      <c r="AG178" s="117"/>
      <c r="AH178" s="117"/>
      <c r="AI178" s="117"/>
      <c r="AJ178" s="115"/>
      <c r="AK178" s="180"/>
      <c r="AL178" s="117"/>
      <c r="AM178" s="117"/>
      <c r="AN178" s="117"/>
      <c r="AO178" s="115"/>
      <c r="AP178" s="180"/>
      <c r="AQ178" s="117"/>
      <c r="AR178" s="117"/>
      <c r="AS178" s="117"/>
      <c r="AT178" s="117"/>
      <c r="AU178" s="117"/>
      <c r="AV178" s="117"/>
      <c r="AW178" s="117"/>
      <c r="AX178" s="117"/>
      <c r="AY178" s="117"/>
      <c r="AZ178" s="117"/>
      <c r="BA178" s="117"/>
      <c r="BB178" s="117"/>
      <c r="BC178" s="117"/>
    </row>
    <row r="179">
      <c r="A179" s="115"/>
      <c r="B179" s="180"/>
      <c r="C179" s="117"/>
      <c r="D179" s="117"/>
      <c r="E179" s="117"/>
      <c r="F179" s="115"/>
      <c r="G179" s="180"/>
      <c r="H179" s="117"/>
      <c r="I179" s="117"/>
      <c r="J179" s="117"/>
      <c r="K179" s="92"/>
      <c r="L179" s="180"/>
      <c r="M179" s="117"/>
      <c r="N179" s="117"/>
      <c r="O179" s="117"/>
      <c r="P179" s="92"/>
      <c r="Q179" s="150"/>
      <c r="R179" s="117"/>
      <c r="S179" s="117"/>
      <c r="T179" s="117"/>
      <c r="U179" s="115"/>
      <c r="V179" s="180"/>
      <c r="W179" s="117"/>
      <c r="X179" s="117"/>
      <c r="Y179" s="117"/>
      <c r="Z179" s="115"/>
      <c r="AA179" s="180"/>
      <c r="AB179" s="117"/>
      <c r="AC179" s="117"/>
      <c r="AD179" s="117"/>
      <c r="AE179" s="115"/>
      <c r="AF179" s="180"/>
      <c r="AG179" s="117"/>
      <c r="AH179" s="117"/>
      <c r="AI179" s="117"/>
      <c r="AJ179" s="115"/>
      <c r="AK179" s="180"/>
      <c r="AL179" s="117"/>
      <c r="AM179" s="117"/>
      <c r="AN179" s="117"/>
      <c r="AO179" s="115"/>
      <c r="AP179" s="180"/>
      <c r="AQ179" s="117"/>
      <c r="AR179" s="117"/>
      <c r="AS179" s="117"/>
      <c r="AT179" s="117"/>
      <c r="AU179" s="117"/>
      <c r="AV179" s="117"/>
      <c r="AW179" s="117"/>
      <c r="AX179" s="117"/>
      <c r="AY179" s="117"/>
      <c r="AZ179" s="117"/>
      <c r="BA179" s="117"/>
      <c r="BB179" s="117"/>
      <c r="BC179" s="117"/>
    </row>
    <row r="180">
      <c r="A180" s="115"/>
      <c r="B180" s="180"/>
      <c r="C180" s="117"/>
      <c r="D180" s="117"/>
      <c r="E180" s="117"/>
      <c r="F180" s="115"/>
      <c r="G180" s="180"/>
      <c r="H180" s="117"/>
      <c r="I180" s="117"/>
      <c r="J180" s="117"/>
      <c r="K180" s="92"/>
      <c r="L180" s="180"/>
      <c r="M180" s="117"/>
      <c r="N180" s="117"/>
      <c r="O180" s="117"/>
      <c r="P180" s="92"/>
      <c r="Q180" s="150"/>
      <c r="R180" s="117"/>
      <c r="S180" s="117"/>
      <c r="T180" s="117"/>
      <c r="U180" s="115"/>
      <c r="V180" s="180"/>
      <c r="W180" s="117"/>
      <c r="X180" s="117"/>
      <c r="Y180" s="117"/>
      <c r="Z180" s="115"/>
      <c r="AA180" s="180"/>
      <c r="AB180" s="117"/>
      <c r="AC180" s="117"/>
      <c r="AD180" s="117"/>
      <c r="AE180" s="115"/>
      <c r="AF180" s="180"/>
      <c r="AG180" s="117"/>
      <c r="AH180" s="117"/>
      <c r="AI180" s="117"/>
      <c r="AJ180" s="115"/>
      <c r="AK180" s="180"/>
      <c r="AL180" s="117"/>
      <c r="AM180" s="117"/>
      <c r="AN180" s="117"/>
      <c r="AO180" s="115"/>
      <c r="AP180" s="180"/>
      <c r="AQ180" s="117"/>
      <c r="AR180" s="117"/>
      <c r="AS180" s="117"/>
      <c r="AT180" s="117"/>
      <c r="AU180" s="117"/>
      <c r="AV180" s="117"/>
      <c r="AW180" s="117"/>
      <c r="AX180" s="117"/>
      <c r="AY180" s="117"/>
      <c r="AZ180" s="117"/>
      <c r="BA180" s="117"/>
      <c r="BB180" s="117"/>
      <c r="BC180" s="117"/>
    </row>
    <row r="181">
      <c r="A181" s="115"/>
      <c r="B181" s="180"/>
      <c r="C181" s="117"/>
      <c r="D181" s="117"/>
      <c r="E181" s="117"/>
      <c r="F181" s="115"/>
      <c r="G181" s="180"/>
      <c r="H181" s="117"/>
      <c r="I181" s="117"/>
      <c r="J181" s="117"/>
      <c r="K181" s="92"/>
      <c r="L181" s="180"/>
      <c r="M181" s="117"/>
      <c r="N181" s="117"/>
      <c r="O181" s="117"/>
      <c r="P181" s="92"/>
      <c r="Q181" s="150"/>
      <c r="R181" s="117"/>
      <c r="S181" s="117"/>
      <c r="T181" s="117"/>
      <c r="U181" s="115"/>
      <c r="V181" s="180"/>
      <c r="W181" s="117"/>
      <c r="X181" s="117"/>
      <c r="Y181" s="117"/>
      <c r="Z181" s="115"/>
      <c r="AA181" s="180"/>
      <c r="AB181" s="117"/>
      <c r="AC181" s="117"/>
      <c r="AD181" s="117"/>
      <c r="AE181" s="115"/>
      <c r="AF181" s="180"/>
      <c r="AG181" s="117"/>
      <c r="AH181" s="117"/>
      <c r="AI181" s="117"/>
      <c r="AJ181" s="115"/>
      <c r="AK181" s="180"/>
      <c r="AL181" s="117"/>
      <c r="AM181" s="117"/>
      <c r="AN181" s="117"/>
      <c r="AO181" s="115"/>
      <c r="AP181" s="180"/>
      <c r="AQ181" s="117"/>
      <c r="AR181" s="117"/>
      <c r="AS181" s="117"/>
      <c r="AT181" s="117"/>
      <c r="AU181" s="117"/>
      <c r="AV181" s="117"/>
      <c r="AW181" s="117"/>
      <c r="AX181" s="117"/>
      <c r="AY181" s="117"/>
      <c r="AZ181" s="117"/>
      <c r="BA181" s="117"/>
      <c r="BB181" s="117"/>
      <c r="BC181" s="117"/>
    </row>
    <row r="182">
      <c r="A182" s="115"/>
      <c r="B182" s="180"/>
      <c r="C182" s="117"/>
      <c r="D182" s="117"/>
      <c r="E182" s="117"/>
      <c r="F182" s="115"/>
      <c r="G182" s="180"/>
      <c r="H182" s="117"/>
      <c r="I182" s="117"/>
      <c r="J182" s="117"/>
      <c r="K182" s="92"/>
      <c r="L182" s="180"/>
      <c r="M182" s="117"/>
      <c r="N182" s="117"/>
      <c r="O182" s="117"/>
      <c r="P182" s="92"/>
      <c r="Q182" s="150"/>
      <c r="R182" s="117"/>
      <c r="S182" s="117"/>
      <c r="T182" s="117"/>
      <c r="U182" s="115"/>
      <c r="V182" s="180"/>
      <c r="W182" s="117"/>
      <c r="X182" s="117"/>
      <c r="Y182" s="117"/>
      <c r="Z182" s="115"/>
      <c r="AA182" s="180"/>
      <c r="AB182" s="117"/>
      <c r="AC182" s="117"/>
      <c r="AD182" s="117"/>
      <c r="AE182" s="115"/>
      <c r="AF182" s="180"/>
      <c r="AG182" s="117"/>
      <c r="AH182" s="117"/>
      <c r="AI182" s="117"/>
      <c r="AJ182" s="115"/>
      <c r="AK182" s="180"/>
      <c r="AL182" s="117"/>
      <c r="AM182" s="117"/>
      <c r="AN182" s="117"/>
      <c r="AO182" s="115"/>
      <c r="AP182" s="180"/>
      <c r="AQ182" s="117"/>
      <c r="AR182" s="117"/>
      <c r="AS182" s="117"/>
      <c r="AT182" s="117"/>
      <c r="AU182" s="117"/>
      <c r="AV182" s="117"/>
      <c r="AW182" s="117"/>
      <c r="AX182" s="117"/>
      <c r="AY182" s="117"/>
      <c r="AZ182" s="117"/>
      <c r="BA182" s="117"/>
      <c r="BB182" s="117"/>
      <c r="BC182" s="117"/>
    </row>
    <row r="183">
      <c r="A183" s="115"/>
      <c r="B183" s="180"/>
      <c r="C183" s="117"/>
      <c r="D183" s="117"/>
      <c r="E183" s="117"/>
      <c r="F183" s="115"/>
      <c r="G183" s="180"/>
      <c r="H183" s="117"/>
      <c r="I183" s="117"/>
      <c r="J183" s="117"/>
      <c r="K183" s="92"/>
      <c r="L183" s="180"/>
      <c r="M183" s="117"/>
      <c r="N183" s="117"/>
      <c r="O183" s="117"/>
      <c r="P183" s="92"/>
      <c r="Q183" s="150"/>
      <c r="R183" s="117"/>
      <c r="S183" s="117"/>
      <c r="T183" s="117"/>
      <c r="U183" s="115"/>
      <c r="V183" s="180"/>
      <c r="W183" s="117"/>
      <c r="X183" s="117"/>
      <c r="Y183" s="117"/>
      <c r="Z183" s="115"/>
      <c r="AA183" s="180"/>
      <c r="AB183" s="117"/>
      <c r="AC183" s="117"/>
      <c r="AD183" s="117"/>
      <c r="AE183" s="115"/>
      <c r="AF183" s="180"/>
      <c r="AG183" s="117"/>
      <c r="AH183" s="117"/>
      <c r="AI183" s="117"/>
      <c r="AJ183" s="115"/>
      <c r="AK183" s="180"/>
      <c r="AL183" s="117"/>
      <c r="AM183" s="117"/>
      <c r="AN183" s="117"/>
      <c r="AO183" s="115"/>
      <c r="AP183" s="180"/>
      <c r="AQ183" s="117"/>
      <c r="AR183" s="117"/>
      <c r="AS183" s="117"/>
      <c r="AT183" s="117"/>
      <c r="AU183" s="117"/>
      <c r="AV183" s="117"/>
      <c r="AW183" s="117"/>
      <c r="AX183" s="117"/>
      <c r="AY183" s="117"/>
      <c r="AZ183" s="117"/>
      <c r="BA183" s="117"/>
      <c r="BB183" s="117"/>
      <c r="BC183" s="117"/>
    </row>
    <row r="184">
      <c r="A184" s="115"/>
      <c r="B184" s="180"/>
      <c r="C184" s="117"/>
      <c r="D184" s="117"/>
      <c r="E184" s="117"/>
      <c r="F184" s="115"/>
      <c r="G184" s="180"/>
      <c r="H184" s="117"/>
      <c r="I184" s="117"/>
      <c r="J184" s="117"/>
      <c r="K184" s="92"/>
      <c r="L184" s="180"/>
      <c r="M184" s="117"/>
      <c r="N184" s="117"/>
      <c r="O184" s="117"/>
      <c r="P184" s="92"/>
      <c r="Q184" s="150"/>
      <c r="R184" s="117"/>
      <c r="S184" s="117"/>
      <c r="T184" s="117"/>
      <c r="U184" s="115"/>
      <c r="V184" s="180"/>
      <c r="W184" s="117"/>
      <c r="X184" s="117"/>
      <c r="Y184" s="117"/>
      <c r="Z184" s="115"/>
      <c r="AA184" s="180"/>
      <c r="AB184" s="117"/>
      <c r="AC184" s="117"/>
      <c r="AD184" s="117"/>
      <c r="AE184" s="115"/>
      <c r="AF184" s="180"/>
      <c r="AG184" s="117"/>
      <c r="AH184" s="117"/>
      <c r="AI184" s="117"/>
      <c r="AJ184" s="115"/>
      <c r="AK184" s="180"/>
      <c r="AL184" s="117"/>
      <c r="AM184" s="117"/>
      <c r="AN184" s="117"/>
      <c r="AO184" s="115"/>
      <c r="AP184" s="180"/>
      <c r="AQ184" s="117"/>
      <c r="AR184" s="117"/>
      <c r="AS184" s="117"/>
      <c r="AT184" s="117"/>
      <c r="AU184" s="117"/>
      <c r="AV184" s="117"/>
      <c r="AW184" s="117"/>
      <c r="AX184" s="117"/>
      <c r="AY184" s="117"/>
      <c r="AZ184" s="117"/>
      <c r="BA184" s="117"/>
      <c r="BB184" s="117"/>
      <c r="BC184" s="117"/>
    </row>
    <row r="185">
      <c r="A185" s="115"/>
      <c r="B185" s="180"/>
      <c r="C185" s="117"/>
      <c r="D185" s="117"/>
      <c r="E185" s="117"/>
      <c r="F185" s="115"/>
      <c r="G185" s="180"/>
      <c r="H185" s="117"/>
      <c r="I185" s="117"/>
      <c r="J185" s="117"/>
      <c r="K185" s="92"/>
      <c r="L185" s="180"/>
      <c r="M185" s="117"/>
      <c r="N185" s="117"/>
      <c r="O185" s="117"/>
      <c r="P185" s="92"/>
      <c r="Q185" s="150"/>
      <c r="R185" s="117"/>
      <c r="S185" s="117"/>
      <c r="T185" s="117"/>
      <c r="U185" s="115"/>
      <c r="V185" s="180"/>
      <c r="W185" s="117"/>
      <c r="X185" s="117"/>
      <c r="Y185" s="117"/>
      <c r="Z185" s="115"/>
      <c r="AA185" s="180"/>
      <c r="AB185" s="117"/>
      <c r="AC185" s="117"/>
      <c r="AD185" s="117"/>
      <c r="AE185" s="115"/>
      <c r="AF185" s="180"/>
      <c r="AG185" s="117"/>
      <c r="AH185" s="117"/>
      <c r="AI185" s="117"/>
      <c r="AJ185" s="115"/>
      <c r="AK185" s="180"/>
      <c r="AL185" s="117"/>
      <c r="AM185" s="117"/>
      <c r="AN185" s="117"/>
      <c r="AO185" s="115"/>
      <c r="AP185" s="180"/>
      <c r="AQ185" s="117"/>
      <c r="AR185" s="117"/>
      <c r="AS185" s="117"/>
      <c r="AT185" s="117"/>
      <c r="AU185" s="117"/>
      <c r="AV185" s="117"/>
      <c r="AW185" s="117"/>
      <c r="AX185" s="117"/>
      <c r="AY185" s="117"/>
      <c r="AZ185" s="117"/>
      <c r="BA185" s="117"/>
      <c r="BB185" s="117"/>
      <c r="BC185" s="117"/>
    </row>
    <row r="186">
      <c r="A186" s="115"/>
      <c r="B186" s="180"/>
      <c r="C186" s="117"/>
      <c r="D186" s="117"/>
      <c r="E186" s="117"/>
      <c r="F186" s="115"/>
      <c r="G186" s="180"/>
      <c r="H186" s="117"/>
      <c r="I186" s="117"/>
      <c r="J186" s="117"/>
      <c r="K186" s="92"/>
      <c r="L186" s="180"/>
      <c r="M186" s="117"/>
      <c r="N186" s="117"/>
      <c r="O186" s="117"/>
      <c r="P186" s="92"/>
      <c r="Q186" s="150"/>
      <c r="R186" s="117"/>
      <c r="S186" s="117"/>
      <c r="T186" s="117"/>
      <c r="U186" s="115"/>
      <c r="V186" s="180"/>
      <c r="W186" s="117"/>
      <c r="X186" s="117"/>
      <c r="Y186" s="117"/>
      <c r="Z186" s="115"/>
      <c r="AA186" s="180"/>
      <c r="AB186" s="117"/>
      <c r="AC186" s="117"/>
      <c r="AD186" s="117"/>
      <c r="AE186" s="115"/>
      <c r="AF186" s="180"/>
      <c r="AG186" s="117"/>
      <c r="AH186" s="117"/>
      <c r="AI186" s="117"/>
      <c r="AJ186" s="115"/>
      <c r="AK186" s="180"/>
      <c r="AL186" s="117"/>
      <c r="AM186" s="117"/>
      <c r="AN186" s="117"/>
      <c r="AO186" s="115"/>
      <c r="AP186" s="180"/>
      <c r="AQ186" s="117"/>
      <c r="AR186" s="117"/>
      <c r="AS186" s="117"/>
      <c r="AT186" s="117"/>
      <c r="AU186" s="117"/>
      <c r="AV186" s="117"/>
      <c r="AW186" s="117"/>
      <c r="AX186" s="117"/>
      <c r="AY186" s="117"/>
      <c r="AZ186" s="117"/>
      <c r="BA186" s="117"/>
      <c r="BB186" s="117"/>
      <c r="BC186" s="117"/>
    </row>
    <row r="187">
      <c r="A187" s="115"/>
      <c r="B187" s="180"/>
      <c r="C187" s="117"/>
      <c r="D187" s="117"/>
      <c r="E187" s="117"/>
      <c r="F187" s="115"/>
      <c r="G187" s="180"/>
      <c r="H187" s="117"/>
      <c r="I187" s="117"/>
      <c r="J187" s="117"/>
      <c r="K187" s="92"/>
      <c r="L187" s="180"/>
      <c r="M187" s="117"/>
      <c r="N187" s="117"/>
      <c r="O187" s="117"/>
      <c r="P187" s="92"/>
      <c r="Q187" s="150"/>
      <c r="R187" s="117"/>
      <c r="S187" s="117"/>
      <c r="T187" s="117"/>
      <c r="U187" s="115"/>
      <c r="V187" s="180"/>
      <c r="W187" s="117"/>
      <c r="X187" s="117"/>
      <c r="Y187" s="117"/>
      <c r="Z187" s="115"/>
      <c r="AA187" s="180"/>
      <c r="AB187" s="117"/>
      <c r="AC187" s="117"/>
      <c r="AD187" s="117"/>
      <c r="AE187" s="115"/>
      <c r="AF187" s="180"/>
      <c r="AG187" s="117"/>
      <c r="AH187" s="117"/>
      <c r="AI187" s="117"/>
      <c r="AJ187" s="115"/>
      <c r="AK187" s="180"/>
      <c r="AL187" s="117"/>
      <c r="AM187" s="117"/>
      <c r="AN187" s="117"/>
      <c r="AO187" s="115"/>
      <c r="AP187" s="180"/>
      <c r="AQ187" s="117"/>
      <c r="AR187" s="117"/>
      <c r="AS187" s="117"/>
      <c r="AT187" s="117"/>
      <c r="AU187" s="117"/>
      <c r="AV187" s="117"/>
      <c r="AW187" s="117"/>
      <c r="AX187" s="117"/>
      <c r="AY187" s="117"/>
      <c r="AZ187" s="117"/>
      <c r="BA187" s="117"/>
      <c r="BB187" s="117"/>
      <c r="BC187" s="117"/>
    </row>
    <row r="188">
      <c r="A188" s="115"/>
      <c r="B188" s="180"/>
      <c r="C188" s="117"/>
      <c r="D188" s="117"/>
      <c r="E188" s="117"/>
      <c r="F188" s="115"/>
      <c r="G188" s="180"/>
      <c r="H188" s="117"/>
      <c r="I188" s="117"/>
      <c r="J188" s="117"/>
      <c r="K188" s="92"/>
      <c r="L188" s="180"/>
      <c r="M188" s="117"/>
      <c r="N188" s="117"/>
      <c r="O188" s="117"/>
      <c r="P188" s="92"/>
      <c r="Q188" s="150"/>
      <c r="R188" s="117"/>
      <c r="S188" s="117"/>
      <c r="T188" s="117"/>
      <c r="U188" s="115"/>
      <c r="V188" s="180"/>
      <c r="W188" s="117"/>
      <c r="X188" s="117"/>
      <c r="Y188" s="117"/>
      <c r="Z188" s="115"/>
      <c r="AA188" s="180"/>
      <c r="AB188" s="117"/>
      <c r="AC188" s="117"/>
      <c r="AD188" s="117"/>
      <c r="AE188" s="115"/>
      <c r="AF188" s="180"/>
      <c r="AG188" s="117"/>
      <c r="AH188" s="117"/>
      <c r="AI188" s="117"/>
      <c r="AJ188" s="115"/>
      <c r="AK188" s="180"/>
      <c r="AL188" s="117"/>
      <c r="AM188" s="117"/>
      <c r="AN188" s="117"/>
      <c r="AO188" s="115"/>
      <c r="AP188" s="180"/>
      <c r="AQ188" s="117"/>
      <c r="AR188" s="117"/>
      <c r="AS188" s="117"/>
      <c r="AT188" s="117"/>
      <c r="AU188" s="117"/>
      <c r="AV188" s="117"/>
      <c r="AW188" s="117"/>
      <c r="AX188" s="117"/>
      <c r="AY188" s="117"/>
      <c r="AZ188" s="117"/>
      <c r="BA188" s="117"/>
      <c r="BB188" s="117"/>
      <c r="BC188" s="117"/>
    </row>
    <row r="189">
      <c r="A189" s="115"/>
      <c r="B189" s="180"/>
      <c r="C189" s="117"/>
      <c r="D189" s="117"/>
      <c r="E189" s="117"/>
      <c r="F189" s="115"/>
      <c r="G189" s="180"/>
      <c r="H189" s="117"/>
      <c r="I189" s="117"/>
      <c r="J189" s="117"/>
      <c r="K189" s="92"/>
      <c r="L189" s="180"/>
      <c r="M189" s="117"/>
      <c r="N189" s="117"/>
      <c r="O189" s="117"/>
      <c r="P189" s="92"/>
      <c r="Q189" s="150"/>
      <c r="R189" s="117"/>
      <c r="S189" s="117"/>
      <c r="T189" s="117"/>
      <c r="U189" s="115"/>
      <c r="V189" s="180"/>
      <c r="W189" s="117"/>
      <c r="X189" s="117"/>
      <c r="Y189" s="117"/>
      <c r="Z189" s="115"/>
      <c r="AA189" s="180"/>
      <c r="AB189" s="117"/>
      <c r="AC189" s="117"/>
      <c r="AD189" s="117"/>
      <c r="AE189" s="115"/>
      <c r="AF189" s="180"/>
      <c r="AG189" s="117"/>
      <c r="AH189" s="117"/>
      <c r="AI189" s="117"/>
      <c r="AJ189" s="115"/>
      <c r="AK189" s="180"/>
      <c r="AL189" s="117"/>
      <c r="AM189" s="117"/>
      <c r="AN189" s="117"/>
      <c r="AO189" s="115"/>
      <c r="AP189" s="180"/>
      <c r="AQ189" s="117"/>
      <c r="AR189" s="117"/>
      <c r="AS189" s="117"/>
      <c r="AT189" s="117"/>
      <c r="AU189" s="117"/>
      <c r="AV189" s="117"/>
      <c r="AW189" s="117"/>
      <c r="AX189" s="117"/>
      <c r="AY189" s="117"/>
      <c r="AZ189" s="117"/>
      <c r="BA189" s="117"/>
      <c r="BB189" s="117"/>
      <c r="BC189" s="117"/>
    </row>
    <row r="190">
      <c r="A190" s="115"/>
      <c r="B190" s="180"/>
      <c r="C190" s="117"/>
      <c r="D190" s="117"/>
      <c r="E190" s="117"/>
      <c r="F190" s="115"/>
      <c r="G190" s="180"/>
      <c r="H190" s="117"/>
      <c r="I190" s="117"/>
      <c r="J190" s="117"/>
      <c r="K190" s="92"/>
      <c r="L190" s="180"/>
      <c r="M190" s="117"/>
      <c r="N190" s="117"/>
      <c r="O190" s="117"/>
      <c r="P190" s="92"/>
      <c r="Q190" s="150"/>
      <c r="R190" s="117"/>
      <c r="S190" s="117"/>
      <c r="T190" s="117"/>
      <c r="U190" s="115"/>
      <c r="V190" s="180"/>
      <c r="W190" s="117"/>
      <c r="X190" s="117"/>
      <c r="Y190" s="117"/>
      <c r="Z190" s="115"/>
      <c r="AA190" s="180"/>
      <c r="AB190" s="117"/>
      <c r="AC190" s="117"/>
      <c r="AD190" s="117"/>
      <c r="AE190" s="115"/>
      <c r="AF190" s="180"/>
      <c r="AG190" s="117"/>
      <c r="AH190" s="117"/>
      <c r="AI190" s="117"/>
      <c r="AJ190" s="115"/>
      <c r="AK190" s="180"/>
      <c r="AL190" s="117"/>
      <c r="AM190" s="117"/>
      <c r="AN190" s="117"/>
      <c r="AO190" s="115"/>
      <c r="AP190" s="180"/>
      <c r="AQ190" s="117"/>
      <c r="AR190" s="117"/>
      <c r="AS190" s="117"/>
      <c r="AT190" s="117"/>
      <c r="AU190" s="117"/>
      <c r="AV190" s="117"/>
      <c r="AW190" s="117"/>
      <c r="AX190" s="117"/>
      <c r="AY190" s="117"/>
      <c r="AZ190" s="117"/>
      <c r="BA190" s="117"/>
      <c r="BB190" s="117"/>
      <c r="BC190" s="117"/>
    </row>
    <row r="191">
      <c r="A191" s="115"/>
      <c r="B191" s="180"/>
      <c r="C191" s="117"/>
      <c r="D191" s="117"/>
      <c r="E191" s="117"/>
      <c r="F191" s="115"/>
      <c r="G191" s="180"/>
      <c r="H191" s="117"/>
      <c r="I191" s="117"/>
      <c r="J191" s="117"/>
      <c r="K191" s="92"/>
      <c r="L191" s="180"/>
      <c r="M191" s="117"/>
      <c r="N191" s="117"/>
      <c r="O191" s="117"/>
      <c r="P191" s="92"/>
      <c r="Q191" s="150"/>
      <c r="R191" s="117"/>
      <c r="S191" s="117"/>
      <c r="T191" s="117"/>
      <c r="U191" s="115"/>
      <c r="V191" s="180"/>
      <c r="W191" s="117"/>
      <c r="X191" s="117"/>
      <c r="Y191" s="117"/>
      <c r="Z191" s="115"/>
      <c r="AA191" s="180"/>
      <c r="AB191" s="117"/>
      <c r="AC191" s="117"/>
      <c r="AD191" s="117"/>
      <c r="AE191" s="115"/>
      <c r="AF191" s="180"/>
      <c r="AG191" s="117"/>
      <c r="AH191" s="117"/>
      <c r="AI191" s="117"/>
      <c r="AJ191" s="115"/>
      <c r="AK191" s="180"/>
      <c r="AL191" s="117"/>
      <c r="AM191" s="117"/>
      <c r="AN191" s="117"/>
      <c r="AO191" s="115"/>
      <c r="AP191" s="180"/>
      <c r="AQ191" s="117"/>
      <c r="AR191" s="117"/>
      <c r="AS191" s="117"/>
      <c r="AT191" s="117"/>
      <c r="AU191" s="117"/>
      <c r="AV191" s="117"/>
      <c r="AW191" s="117"/>
      <c r="AX191" s="117"/>
      <c r="AY191" s="117"/>
      <c r="AZ191" s="117"/>
      <c r="BA191" s="117"/>
      <c r="BB191" s="117"/>
      <c r="BC191" s="117"/>
    </row>
    <row r="192">
      <c r="A192" s="115"/>
      <c r="B192" s="180"/>
      <c r="C192" s="117"/>
      <c r="D192" s="117"/>
      <c r="E192" s="117"/>
      <c r="F192" s="115"/>
      <c r="G192" s="180"/>
      <c r="H192" s="117"/>
      <c r="I192" s="117"/>
      <c r="J192" s="117"/>
      <c r="K192" s="92"/>
      <c r="L192" s="180"/>
      <c r="M192" s="117"/>
      <c r="N192" s="117"/>
      <c r="O192" s="117"/>
      <c r="P192" s="92"/>
      <c r="Q192" s="150"/>
      <c r="R192" s="117"/>
      <c r="S192" s="117"/>
      <c r="T192" s="117"/>
      <c r="U192" s="115"/>
      <c r="V192" s="180"/>
      <c r="W192" s="117"/>
      <c r="X192" s="117"/>
      <c r="Y192" s="117"/>
      <c r="Z192" s="115"/>
      <c r="AA192" s="180"/>
      <c r="AB192" s="117"/>
      <c r="AC192" s="117"/>
      <c r="AD192" s="117"/>
      <c r="AE192" s="115"/>
      <c r="AF192" s="180"/>
      <c r="AG192" s="117"/>
      <c r="AH192" s="117"/>
      <c r="AI192" s="117"/>
      <c r="AJ192" s="115"/>
      <c r="AK192" s="180"/>
      <c r="AL192" s="117"/>
      <c r="AM192" s="117"/>
      <c r="AN192" s="117"/>
      <c r="AO192" s="115"/>
      <c r="AP192" s="180"/>
      <c r="AQ192" s="117"/>
      <c r="AR192" s="117"/>
      <c r="AS192" s="117"/>
      <c r="AT192" s="117"/>
      <c r="AU192" s="117"/>
      <c r="AV192" s="117"/>
      <c r="AW192" s="117"/>
      <c r="AX192" s="117"/>
      <c r="AY192" s="117"/>
      <c r="AZ192" s="117"/>
      <c r="BA192" s="117"/>
      <c r="BB192" s="117"/>
      <c r="BC192" s="117"/>
    </row>
    <row r="193">
      <c r="A193" s="115"/>
      <c r="B193" s="180"/>
      <c r="C193" s="117"/>
      <c r="D193" s="117"/>
      <c r="E193" s="117"/>
      <c r="F193" s="115"/>
      <c r="G193" s="180"/>
      <c r="H193" s="117"/>
      <c r="I193" s="117"/>
      <c r="J193" s="117"/>
      <c r="K193" s="92"/>
      <c r="L193" s="180"/>
      <c r="M193" s="117"/>
      <c r="N193" s="117"/>
      <c r="O193" s="117"/>
      <c r="P193" s="92"/>
      <c r="Q193" s="150"/>
      <c r="R193" s="117"/>
      <c r="S193" s="117"/>
      <c r="T193" s="117"/>
      <c r="U193" s="115"/>
      <c r="V193" s="180"/>
      <c r="W193" s="117"/>
      <c r="X193" s="117"/>
      <c r="Y193" s="117"/>
      <c r="Z193" s="115"/>
      <c r="AA193" s="180"/>
      <c r="AB193" s="117"/>
      <c r="AC193" s="117"/>
      <c r="AD193" s="117"/>
      <c r="AE193" s="115"/>
      <c r="AF193" s="180"/>
      <c r="AG193" s="117"/>
      <c r="AH193" s="117"/>
      <c r="AI193" s="117"/>
      <c r="AJ193" s="115"/>
      <c r="AK193" s="180"/>
      <c r="AL193" s="117"/>
      <c r="AM193" s="117"/>
      <c r="AN193" s="117"/>
      <c r="AO193" s="115"/>
      <c r="AP193" s="180"/>
      <c r="AQ193" s="117"/>
      <c r="AR193" s="117"/>
      <c r="AS193" s="117"/>
      <c r="AT193" s="117"/>
      <c r="AU193" s="117"/>
      <c r="AV193" s="117"/>
      <c r="AW193" s="117"/>
      <c r="AX193" s="117"/>
      <c r="AY193" s="117"/>
      <c r="AZ193" s="117"/>
      <c r="BA193" s="117"/>
      <c r="BB193" s="117"/>
      <c r="BC193" s="117"/>
    </row>
    <row r="194">
      <c r="A194" s="115"/>
      <c r="B194" s="180"/>
      <c r="C194" s="117"/>
      <c r="D194" s="117"/>
      <c r="E194" s="117"/>
      <c r="F194" s="115"/>
      <c r="G194" s="180"/>
      <c r="H194" s="117"/>
      <c r="I194" s="117"/>
      <c r="J194" s="117"/>
      <c r="K194" s="92"/>
      <c r="L194" s="180"/>
      <c r="M194" s="117"/>
      <c r="N194" s="117"/>
      <c r="O194" s="117"/>
      <c r="P194" s="92"/>
      <c r="Q194" s="150"/>
      <c r="R194" s="117"/>
      <c r="S194" s="117"/>
      <c r="T194" s="117"/>
      <c r="U194" s="115"/>
      <c r="V194" s="180"/>
      <c r="W194" s="117"/>
      <c r="X194" s="117"/>
      <c r="Y194" s="117"/>
      <c r="Z194" s="115"/>
      <c r="AA194" s="180"/>
      <c r="AB194" s="117"/>
      <c r="AC194" s="117"/>
      <c r="AD194" s="117"/>
      <c r="AE194" s="115"/>
      <c r="AF194" s="180"/>
      <c r="AG194" s="117"/>
      <c r="AH194" s="117"/>
      <c r="AI194" s="117"/>
      <c r="AJ194" s="115"/>
      <c r="AK194" s="180"/>
      <c r="AL194" s="117"/>
      <c r="AM194" s="117"/>
      <c r="AN194" s="117"/>
      <c r="AO194" s="115"/>
      <c r="AP194" s="180"/>
      <c r="AQ194" s="117"/>
      <c r="AR194" s="117"/>
      <c r="AS194" s="117"/>
      <c r="AT194" s="117"/>
      <c r="AU194" s="117"/>
      <c r="AV194" s="117"/>
      <c r="AW194" s="117"/>
      <c r="AX194" s="117"/>
      <c r="AY194" s="117"/>
      <c r="AZ194" s="117"/>
      <c r="BA194" s="117"/>
      <c r="BB194" s="117"/>
      <c r="BC194" s="117"/>
    </row>
    <row r="195">
      <c r="A195" s="115"/>
      <c r="B195" s="180"/>
      <c r="C195" s="117"/>
      <c r="D195" s="117"/>
      <c r="E195" s="117"/>
      <c r="F195" s="115"/>
      <c r="G195" s="180"/>
      <c r="H195" s="117"/>
      <c r="I195" s="117"/>
      <c r="J195" s="117"/>
      <c r="K195" s="92"/>
      <c r="L195" s="180"/>
      <c r="M195" s="117"/>
      <c r="N195" s="117"/>
      <c r="O195" s="117"/>
      <c r="P195" s="92"/>
      <c r="Q195" s="150"/>
      <c r="R195" s="117"/>
      <c r="S195" s="117"/>
      <c r="T195" s="117"/>
      <c r="U195" s="115"/>
      <c r="V195" s="180"/>
      <c r="W195" s="117"/>
      <c r="X195" s="117"/>
      <c r="Y195" s="117"/>
      <c r="Z195" s="115"/>
      <c r="AA195" s="180"/>
      <c r="AB195" s="117"/>
      <c r="AC195" s="117"/>
      <c r="AD195" s="117"/>
      <c r="AE195" s="115"/>
      <c r="AF195" s="180"/>
      <c r="AG195" s="117"/>
      <c r="AH195" s="117"/>
      <c r="AI195" s="117"/>
      <c r="AJ195" s="115"/>
      <c r="AK195" s="180"/>
      <c r="AL195" s="117"/>
      <c r="AM195" s="117"/>
      <c r="AN195" s="117"/>
      <c r="AO195" s="115"/>
      <c r="AP195" s="180"/>
      <c r="AQ195" s="117"/>
      <c r="AR195" s="117"/>
      <c r="AS195" s="117"/>
      <c r="AT195" s="117"/>
      <c r="AU195" s="117"/>
      <c r="AV195" s="117"/>
      <c r="AW195" s="117"/>
      <c r="AX195" s="117"/>
      <c r="AY195" s="117"/>
      <c r="AZ195" s="117"/>
      <c r="BA195" s="117"/>
      <c r="BB195" s="117"/>
      <c r="BC195" s="117"/>
    </row>
    <row r="196">
      <c r="A196" s="115"/>
      <c r="B196" s="180"/>
      <c r="C196" s="117"/>
      <c r="D196" s="117"/>
      <c r="E196" s="117"/>
      <c r="F196" s="115"/>
      <c r="G196" s="180"/>
      <c r="H196" s="117"/>
      <c r="I196" s="117"/>
      <c r="J196" s="117"/>
      <c r="K196" s="92"/>
      <c r="L196" s="180"/>
      <c r="M196" s="117"/>
      <c r="N196" s="117"/>
      <c r="O196" s="117"/>
      <c r="P196" s="92"/>
      <c r="Q196" s="150"/>
      <c r="R196" s="117"/>
      <c r="S196" s="117"/>
      <c r="T196" s="117"/>
      <c r="U196" s="115"/>
      <c r="V196" s="180"/>
      <c r="W196" s="117"/>
      <c r="X196" s="117"/>
      <c r="Y196" s="117"/>
      <c r="Z196" s="115"/>
      <c r="AA196" s="180"/>
      <c r="AB196" s="117"/>
      <c r="AC196" s="117"/>
      <c r="AD196" s="117"/>
      <c r="AE196" s="115"/>
      <c r="AF196" s="180"/>
      <c r="AG196" s="117"/>
      <c r="AH196" s="117"/>
      <c r="AI196" s="117"/>
      <c r="AJ196" s="115"/>
      <c r="AK196" s="180"/>
      <c r="AL196" s="117"/>
      <c r="AM196" s="117"/>
      <c r="AN196" s="117"/>
      <c r="AO196" s="115"/>
      <c r="AP196" s="180"/>
      <c r="AQ196" s="117"/>
      <c r="AR196" s="117"/>
      <c r="AS196" s="117"/>
      <c r="AT196" s="117"/>
      <c r="AU196" s="117"/>
      <c r="AV196" s="117"/>
      <c r="AW196" s="117"/>
      <c r="AX196" s="117"/>
      <c r="AY196" s="117"/>
      <c r="AZ196" s="117"/>
      <c r="BA196" s="117"/>
      <c r="BB196" s="117"/>
      <c r="BC196" s="117"/>
    </row>
    <row r="197">
      <c r="A197" s="115"/>
      <c r="B197" s="180"/>
      <c r="C197" s="117"/>
      <c r="D197" s="117"/>
      <c r="E197" s="117"/>
      <c r="F197" s="115"/>
      <c r="G197" s="180"/>
      <c r="H197" s="117"/>
      <c r="I197" s="117"/>
      <c r="J197" s="117"/>
      <c r="K197" s="92"/>
      <c r="L197" s="180"/>
      <c r="M197" s="117"/>
      <c r="N197" s="117"/>
      <c r="O197" s="117"/>
      <c r="P197" s="92"/>
      <c r="Q197" s="150"/>
      <c r="R197" s="117"/>
      <c r="S197" s="117"/>
      <c r="T197" s="117"/>
      <c r="U197" s="115"/>
      <c r="V197" s="180"/>
      <c r="W197" s="117"/>
      <c r="X197" s="117"/>
      <c r="Y197" s="117"/>
      <c r="Z197" s="115"/>
      <c r="AA197" s="180"/>
      <c r="AB197" s="117"/>
      <c r="AC197" s="117"/>
      <c r="AD197" s="117"/>
      <c r="AE197" s="115"/>
      <c r="AF197" s="180"/>
      <c r="AG197" s="117"/>
      <c r="AH197" s="117"/>
      <c r="AI197" s="117"/>
      <c r="AJ197" s="115"/>
      <c r="AK197" s="180"/>
      <c r="AL197" s="117"/>
      <c r="AM197" s="117"/>
      <c r="AN197" s="117"/>
      <c r="AO197" s="115"/>
      <c r="AP197" s="180"/>
      <c r="AQ197" s="117"/>
      <c r="AR197" s="117"/>
      <c r="AS197" s="117"/>
      <c r="AT197" s="117"/>
      <c r="AU197" s="117"/>
      <c r="AV197" s="117"/>
      <c r="AW197" s="117"/>
      <c r="AX197" s="117"/>
      <c r="AY197" s="117"/>
      <c r="AZ197" s="117"/>
      <c r="BA197" s="117"/>
      <c r="BB197" s="117"/>
      <c r="BC197" s="117"/>
    </row>
    <row r="198">
      <c r="A198" s="115"/>
      <c r="B198" s="180"/>
      <c r="C198" s="117"/>
      <c r="D198" s="117"/>
      <c r="E198" s="117"/>
      <c r="F198" s="115"/>
      <c r="G198" s="180"/>
      <c r="H198" s="117"/>
      <c r="I198" s="117"/>
      <c r="J198" s="117"/>
      <c r="K198" s="92"/>
      <c r="L198" s="180"/>
      <c r="M198" s="117"/>
      <c r="N198" s="117"/>
      <c r="O198" s="117"/>
      <c r="P198" s="92"/>
      <c r="Q198" s="150"/>
      <c r="R198" s="117"/>
      <c r="S198" s="117"/>
      <c r="T198" s="117"/>
      <c r="U198" s="115"/>
      <c r="V198" s="180"/>
      <c r="W198" s="117"/>
      <c r="X198" s="117"/>
      <c r="Y198" s="117"/>
      <c r="Z198" s="115"/>
      <c r="AA198" s="180"/>
      <c r="AB198" s="117"/>
      <c r="AC198" s="117"/>
      <c r="AD198" s="117"/>
      <c r="AE198" s="115"/>
      <c r="AF198" s="180"/>
      <c r="AG198" s="117"/>
      <c r="AH198" s="117"/>
      <c r="AI198" s="117"/>
      <c r="AJ198" s="115"/>
      <c r="AK198" s="180"/>
      <c r="AL198" s="117"/>
      <c r="AM198" s="117"/>
      <c r="AN198" s="117"/>
      <c r="AO198" s="115"/>
      <c r="AP198" s="180"/>
      <c r="AQ198" s="117"/>
      <c r="AR198" s="117"/>
      <c r="AS198" s="117"/>
      <c r="AT198" s="117"/>
      <c r="AU198" s="117"/>
      <c r="AV198" s="117"/>
      <c r="AW198" s="117"/>
      <c r="AX198" s="117"/>
      <c r="AY198" s="117"/>
      <c r="AZ198" s="117"/>
      <c r="BA198" s="117"/>
      <c r="BB198" s="117"/>
      <c r="BC198" s="117"/>
    </row>
    <row r="199">
      <c r="A199" s="115"/>
      <c r="B199" s="180"/>
      <c r="C199" s="117"/>
      <c r="D199" s="117"/>
      <c r="E199" s="117"/>
      <c r="F199" s="115"/>
      <c r="G199" s="180"/>
      <c r="H199" s="117"/>
      <c r="I199" s="117"/>
      <c r="J199" s="117"/>
      <c r="K199" s="92"/>
      <c r="L199" s="180"/>
      <c r="M199" s="117"/>
      <c r="N199" s="117"/>
      <c r="O199" s="117"/>
      <c r="P199" s="92"/>
      <c r="Q199" s="150"/>
      <c r="R199" s="117"/>
      <c r="S199" s="117"/>
      <c r="T199" s="117"/>
      <c r="U199" s="115"/>
      <c r="V199" s="180"/>
      <c r="W199" s="117"/>
      <c r="X199" s="117"/>
      <c r="Y199" s="117"/>
      <c r="Z199" s="115"/>
      <c r="AA199" s="180"/>
      <c r="AB199" s="117"/>
      <c r="AC199" s="117"/>
      <c r="AD199" s="117"/>
      <c r="AE199" s="115"/>
      <c r="AF199" s="180"/>
      <c r="AG199" s="117"/>
      <c r="AH199" s="117"/>
      <c r="AI199" s="117"/>
      <c r="AJ199" s="115"/>
      <c r="AK199" s="180"/>
      <c r="AL199" s="117"/>
      <c r="AM199" s="117"/>
      <c r="AN199" s="117"/>
      <c r="AO199" s="115"/>
      <c r="AP199" s="180"/>
      <c r="AQ199" s="117"/>
      <c r="AR199" s="117"/>
      <c r="AS199" s="117"/>
      <c r="AT199" s="117"/>
      <c r="AU199" s="117"/>
      <c r="AV199" s="117"/>
      <c r="AW199" s="117"/>
      <c r="AX199" s="117"/>
      <c r="AY199" s="117"/>
      <c r="AZ199" s="117"/>
      <c r="BA199" s="117"/>
      <c r="BB199" s="117"/>
      <c r="BC199" s="117"/>
    </row>
    <row r="200">
      <c r="A200" s="115"/>
      <c r="B200" s="180"/>
      <c r="C200" s="117"/>
      <c r="D200" s="117"/>
      <c r="E200" s="117"/>
      <c r="F200" s="115"/>
      <c r="G200" s="180"/>
      <c r="H200" s="117"/>
      <c r="I200" s="117"/>
      <c r="J200" s="117"/>
      <c r="K200" s="92"/>
      <c r="L200" s="180"/>
      <c r="M200" s="117"/>
      <c r="N200" s="117"/>
      <c r="O200" s="117"/>
      <c r="P200" s="92"/>
      <c r="Q200" s="150"/>
      <c r="R200" s="117"/>
      <c r="S200" s="117"/>
      <c r="T200" s="117"/>
      <c r="U200" s="115"/>
      <c r="V200" s="180"/>
      <c r="W200" s="117"/>
      <c r="X200" s="117"/>
      <c r="Y200" s="117"/>
      <c r="Z200" s="115"/>
      <c r="AA200" s="180"/>
      <c r="AB200" s="117"/>
      <c r="AC200" s="117"/>
      <c r="AD200" s="117"/>
      <c r="AE200" s="115"/>
      <c r="AF200" s="180"/>
      <c r="AG200" s="117"/>
      <c r="AH200" s="117"/>
      <c r="AI200" s="117"/>
      <c r="AJ200" s="115"/>
      <c r="AK200" s="180"/>
      <c r="AL200" s="117"/>
      <c r="AM200" s="117"/>
      <c r="AN200" s="117"/>
      <c r="AO200" s="115"/>
      <c r="AP200" s="180"/>
      <c r="AQ200" s="117"/>
      <c r="AR200" s="117"/>
      <c r="AS200" s="117"/>
      <c r="AT200" s="117"/>
      <c r="AU200" s="117"/>
      <c r="AV200" s="117"/>
      <c r="AW200" s="117"/>
      <c r="AX200" s="117"/>
      <c r="AY200" s="117"/>
      <c r="AZ200" s="117"/>
      <c r="BA200" s="117"/>
      <c r="BB200" s="117"/>
      <c r="BC200" s="117"/>
    </row>
    <row r="201">
      <c r="A201" s="115"/>
      <c r="B201" s="180"/>
      <c r="C201" s="117"/>
      <c r="D201" s="117"/>
      <c r="E201" s="117"/>
      <c r="F201" s="115"/>
      <c r="G201" s="180"/>
      <c r="H201" s="117"/>
      <c r="I201" s="117"/>
      <c r="J201" s="117"/>
      <c r="K201" s="92"/>
      <c r="L201" s="180"/>
      <c r="M201" s="117"/>
      <c r="N201" s="117"/>
      <c r="O201" s="117"/>
      <c r="P201" s="92"/>
      <c r="Q201" s="150"/>
      <c r="R201" s="117"/>
      <c r="S201" s="117"/>
      <c r="T201" s="117"/>
      <c r="U201" s="115"/>
      <c r="V201" s="180"/>
      <c r="W201" s="117"/>
      <c r="X201" s="117"/>
      <c r="Y201" s="117"/>
      <c r="Z201" s="115"/>
      <c r="AA201" s="180"/>
      <c r="AB201" s="117"/>
      <c r="AC201" s="117"/>
      <c r="AD201" s="117"/>
      <c r="AE201" s="115"/>
      <c r="AF201" s="180"/>
      <c r="AG201" s="117"/>
      <c r="AH201" s="117"/>
      <c r="AI201" s="117"/>
      <c r="AJ201" s="115"/>
      <c r="AK201" s="180"/>
      <c r="AL201" s="117"/>
      <c r="AM201" s="117"/>
      <c r="AN201" s="117"/>
      <c r="AO201" s="115"/>
      <c r="AP201" s="180"/>
      <c r="AQ201" s="117"/>
      <c r="AR201" s="117"/>
      <c r="AS201" s="117"/>
      <c r="AT201" s="117"/>
      <c r="AU201" s="117"/>
      <c r="AV201" s="117"/>
      <c r="AW201" s="117"/>
      <c r="AX201" s="117"/>
      <c r="AY201" s="117"/>
      <c r="AZ201" s="117"/>
      <c r="BA201" s="117"/>
      <c r="BB201" s="117"/>
      <c r="BC201" s="117"/>
    </row>
    <row r="202">
      <c r="A202" s="115"/>
      <c r="B202" s="180"/>
      <c r="C202" s="117"/>
      <c r="D202" s="117"/>
      <c r="E202" s="117"/>
      <c r="F202" s="115"/>
      <c r="G202" s="180"/>
      <c r="H202" s="117"/>
      <c r="I202" s="117"/>
      <c r="J202" s="117"/>
      <c r="K202" s="92"/>
      <c r="L202" s="180"/>
      <c r="M202" s="117"/>
      <c r="N202" s="117"/>
      <c r="O202" s="117"/>
      <c r="P202" s="92"/>
      <c r="Q202" s="150"/>
      <c r="R202" s="117"/>
      <c r="S202" s="117"/>
      <c r="T202" s="117"/>
      <c r="U202" s="115"/>
      <c r="V202" s="180"/>
      <c r="W202" s="117"/>
      <c r="X202" s="117"/>
      <c r="Y202" s="117"/>
      <c r="Z202" s="115"/>
      <c r="AA202" s="180"/>
      <c r="AB202" s="117"/>
      <c r="AC202" s="117"/>
      <c r="AD202" s="117"/>
      <c r="AE202" s="115"/>
      <c r="AF202" s="180"/>
      <c r="AG202" s="117"/>
      <c r="AH202" s="117"/>
      <c r="AI202" s="117"/>
      <c r="AJ202" s="115"/>
      <c r="AK202" s="180"/>
      <c r="AL202" s="117"/>
      <c r="AM202" s="117"/>
      <c r="AN202" s="117"/>
      <c r="AO202" s="115"/>
      <c r="AP202" s="180"/>
      <c r="AQ202" s="117"/>
      <c r="AR202" s="117"/>
      <c r="AS202" s="117"/>
      <c r="AT202" s="117"/>
      <c r="AU202" s="117"/>
      <c r="AV202" s="117"/>
      <c r="AW202" s="117"/>
      <c r="AX202" s="117"/>
      <c r="AY202" s="117"/>
      <c r="AZ202" s="117"/>
      <c r="BA202" s="117"/>
      <c r="BB202" s="117"/>
      <c r="BC202" s="117"/>
    </row>
    <row r="203">
      <c r="A203" s="115"/>
      <c r="B203" s="180"/>
      <c r="C203" s="117"/>
      <c r="D203" s="117"/>
      <c r="E203" s="117"/>
      <c r="F203" s="115"/>
      <c r="G203" s="180"/>
      <c r="H203" s="117"/>
      <c r="I203" s="117"/>
      <c r="J203" s="117"/>
      <c r="K203" s="92"/>
      <c r="L203" s="180"/>
      <c r="M203" s="117"/>
      <c r="N203" s="117"/>
      <c r="O203" s="117"/>
      <c r="P203" s="92"/>
      <c r="Q203" s="150"/>
      <c r="R203" s="117"/>
      <c r="S203" s="117"/>
      <c r="T203" s="117"/>
      <c r="U203" s="115"/>
      <c r="V203" s="180"/>
      <c r="W203" s="117"/>
      <c r="X203" s="117"/>
      <c r="Y203" s="117"/>
      <c r="Z203" s="115"/>
      <c r="AA203" s="180"/>
      <c r="AB203" s="117"/>
      <c r="AC203" s="117"/>
      <c r="AD203" s="117"/>
      <c r="AE203" s="115"/>
      <c r="AF203" s="180"/>
      <c r="AG203" s="117"/>
      <c r="AH203" s="117"/>
      <c r="AI203" s="117"/>
      <c r="AJ203" s="115"/>
      <c r="AK203" s="180"/>
      <c r="AL203" s="117"/>
      <c r="AM203" s="117"/>
      <c r="AN203" s="117"/>
      <c r="AO203" s="115"/>
      <c r="AP203" s="180"/>
      <c r="AQ203" s="117"/>
      <c r="AR203" s="117"/>
      <c r="AS203" s="117"/>
      <c r="AT203" s="117"/>
      <c r="AU203" s="117"/>
      <c r="AV203" s="117"/>
      <c r="AW203" s="117"/>
      <c r="AX203" s="117"/>
      <c r="AY203" s="117"/>
      <c r="AZ203" s="117"/>
      <c r="BA203" s="117"/>
      <c r="BB203" s="117"/>
      <c r="BC203" s="117"/>
    </row>
    <row r="204">
      <c r="A204" s="115"/>
      <c r="B204" s="180"/>
      <c r="C204" s="117"/>
      <c r="D204" s="117"/>
      <c r="E204" s="117"/>
      <c r="F204" s="115"/>
      <c r="G204" s="180"/>
      <c r="H204" s="117"/>
      <c r="I204" s="117"/>
      <c r="J204" s="117"/>
      <c r="K204" s="92"/>
      <c r="L204" s="180"/>
      <c r="M204" s="117"/>
      <c r="N204" s="117"/>
      <c r="O204" s="117"/>
      <c r="P204" s="92"/>
      <c r="Q204" s="150"/>
      <c r="R204" s="117"/>
      <c r="S204" s="117"/>
      <c r="T204" s="117"/>
      <c r="U204" s="115"/>
      <c r="V204" s="180"/>
      <c r="W204" s="117"/>
      <c r="X204" s="117"/>
      <c r="Y204" s="117"/>
      <c r="Z204" s="115"/>
      <c r="AA204" s="180"/>
      <c r="AB204" s="117"/>
      <c r="AC204" s="117"/>
      <c r="AD204" s="117"/>
      <c r="AE204" s="115"/>
      <c r="AF204" s="180"/>
      <c r="AG204" s="117"/>
      <c r="AH204" s="117"/>
      <c r="AI204" s="117"/>
      <c r="AJ204" s="115"/>
      <c r="AK204" s="180"/>
      <c r="AL204" s="117"/>
      <c r="AM204" s="117"/>
      <c r="AN204" s="117"/>
      <c r="AO204" s="115"/>
      <c r="AP204" s="180"/>
      <c r="AQ204" s="117"/>
      <c r="AR204" s="117"/>
      <c r="AS204" s="117"/>
      <c r="AT204" s="117"/>
      <c r="AU204" s="117"/>
      <c r="AV204" s="117"/>
      <c r="AW204" s="117"/>
      <c r="AX204" s="117"/>
      <c r="AY204" s="117"/>
      <c r="AZ204" s="117"/>
      <c r="BA204" s="117"/>
      <c r="BB204" s="117"/>
      <c r="BC204" s="117"/>
    </row>
    <row r="205">
      <c r="A205" s="115"/>
      <c r="B205" s="180"/>
      <c r="C205" s="117"/>
      <c r="D205" s="117"/>
      <c r="E205" s="117"/>
      <c r="F205" s="115"/>
      <c r="G205" s="180"/>
      <c r="H205" s="117"/>
      <c r="I205" s="117"/>
      <c r="J205" s="117"/>
      <c r="K205" s="92"/>
      <c r="L205" s="180"/>
      <c r="M205" s="117"/>
      <c r="N205" s="117"/>
      <c r="O205" s="117"/>
      <c r="P205" s="92"/>
      <c r="Q205" s="150"/>
      <c r="R205" s="117"/>
      <c r="S205" s="117"/>
      <c r="T205" s="117"/>
      <c r="U205" s="115"/>
      <c r="V205" s="180"/>
      <c r="W205" s="117"/>
      <c r="X205" s="117"/>
      <c r="Y205" s="117"/>
      <c r="Z205" s="115"/>
      <c r="AA205" s="180"/>
      <c r="AB205" s="117"/>
      <c r="AC205" s="117"/>
      <c r="AD205" s="117"/>
      <c r="AE205" s="115"/>
      <c r="AF205" s="180"/>
      <c r="AG205" s="117"/>
      <c r="AH205" s="117"/>
      <c r="AI205" s="117"/>
      <c r="AJ205" s="115"/>
      <c r="AK205" s="180"/>
      <c r="AL205" s="117"/>
      <c r="AM205" s="117"/>
      <c r="AN205" s="117"/>
      <c r="AO205" s="115"/>
      <c r="AP205" s="180"/>
      <c r="AQ205" s="117"/>
      <c r="AR205" s="117"/>
      <c r="AS205" s="117"/>
      <c r="AT205" s="117"/>
      <c r="AU205" s="117"/>
      <c r="AV205" s="117"/>
      <c r="AW205" s="117"/>
      <c r="AX205" s="117"/>
      <c r="AY205" s="117"/>
      <c r="AZ205" s="117"/>
      <c r="BA205" s="117"/>
      <c r="BB205" s="117"/>
      <c r="BC205" s="117"/>
    </row>
    <row r="206">
      <c r="A206" s="115"/>
      <c r="B206" s="180"/>
      <c r="C206" s="117"/>
      <c r="D206" s="117"/>
      <c r="E206" s="117"/>
      <c r="F206" s="115"/>
      <c r="G206" s="180"/>
      <c r="H206" s="117"/>
      <c r="I206" s="117"/>
      <c r="J206" s="117"/>
      <c r="K206" s="92"/>
      <c r="L206" s="180"/>
      <c r="M206" s="117"/>
      <c r="N206" s="117"/>
      <c r="O206" s="117"/>
      <c r="P206" s="92"/>
      <c r="Q206" s="150"/>
      <c r="R206" s="117"/>
      <c r="S206" s="117"/>
      <c r="T206" s="117"/>
      <c r="U206" s="115"/>
      <c r="V206" s="180"/>
      <c r="W206" s="117"/>
      <c r="X206" s="117"/>
      <c r="Y206" s="117"/>
      <c r="Z206" s="115"/>
      <c r="AA206" s="180"/>
      <c r="AB206" s="117"/>
      <c r="AC206" s="117"/>
      <c r="AD206" s="117"/>
      <c r="AE206" s="115"/>
      <c r="AF206" s="180"/>
      <c r="AG206" s="117"/>
      <c r="AH206" s="117"/>
      <c r="AI206" s="117"/>
      <c r="AJ206" s="115"/>
      <c r="AK206" s="180"/>
      <c r="AL206" s="117"/>
      <c r="AM206" s="117"/>
      <c r="AN206" s="117"/>
      <c r="AO206" s="115"/>
      <c r="AP206" s="180"/>
      <c r="AQ206" s="117"/>
      <c r="AR206" s="117"/>
      <c r="AS206" s="117"/>
      <c r="AT206" s="117"/>
      <c r="AU206" s="117"/>
      <c r="AV206" s="117"/>
      <c r="AW206" s="117"/>
      <c r="AX206" s="117"/>
      <c r="AY206" s="117"/>
      <c r="AZ206" s="117"/>
      <c r="BA206" s="117"/>
      <c r="BB206" s="117"/>
      <c r="BC206" s="117"/>
    </row>
    <row r="207">
      <c r="A207" s="115"/>
      <c r="B207" s="180"/>
      <c r="C207" s="117"/>
      <c r="D207" s="117"/>
      <c r="E207" s="117"/>
      <c r="F207" s="115"/>
      <c r="G207" s="180"/>
      <c r="H207" s="117"/>
      <c r="I207" s="117"/>
      <c r="J207" s="117"/>
      <c r="K207" s="92"/>
      <c r="L207" s="180"/>
      <c r="M207" s="117"/>
      <c r="N207" s="117"/>
      <c r="O207" s="117"/>
      <c r="P207" s="92"/>
      <c r="Q207" s="150"/>
      <c r="R207" s="117"/>
      <c r="S207" s="117"/>
      <c r="T207" s="117"/>
      <c r="U207" s="115"/>
      <c r="V207" s="180"/>
      <c r="W207" s="117"/>
      <c r="X207" s="117"/>
      <c r="Y207" s="117"/>
      <c r="Z207" s="115"/>
      <c r="AA207" s="180"/>
      <c r="AB207" s="117"/>
      <c r="AC207" s="117"/>
      <c r="AD207" s="117"/>
      <c r="AE207" s="115"/>
      <c r="AF207" s="180"/>
      <c r="AG207" s="117"/>
      <c r="AH207" s="117"/>
      <c r="AI207" s="117"/>
      <c r="AJ207" s="115"/>
      <c r="AK207" s="180"/>
      <c r="AL207" s="117"/>
      <c r="AM207" s="117"/>
      <c r="AN207" s="117"/>
      <c r="AO207" s="115"/>
      <c r="AP207" s="180"/>
      <c r="AQ207" s="117"/>
      <c r="AR207" s="117"/>
      <c r="AS207" s="117"/>
      <c r="AT207" s="117"/>
      <c r="AU207" s="117"/>
      <c r="AV207" s="117"/>
      <c r="AW207" s="117"/>
      <c r="AX207" s="117"/>
      <c r="AY207" s="117"/>
      <c r="AZ207" s="117"/>
      <c r="BA207" s="117"/>
      <c r="BB207" s="117"/>
      <c r="BC207" s="117"/>
    </row>
    <row r="208">
      <c r="A208" s="115"/>
      <c r="B208" s="180"/>
      <c r="C208" s="117"/>
      <c r="D208" s="117"/>
      <c r="E208" s="117"/>
      <c r="F208" s="115"/>
      <c r="G208" s="180"/>
      <c r="H208" s="117"/>
      <c r="I208" s="117"/>
      <c r="J208" s="117"/>
      <c r="K208" s="92"/>
      <c r="L208" s="180"/>
      <c r="M208" s="117"/>
      <c r="N208" s="117"/>
      <c r="O208" s="117"/>
      <c r="P208" s="92"/>
      <c r="Q208" s="150"/>
      <c r="R208" s="117"/>
      <c r="S208" s="117"/>
      <c r="T208" s="117"/>
      <c r="U208" s="115"/>
      <c r="V208" s="180"/>
      <c r="W208" s="117"/>
      <c r="X208" s="117"/>
      <c r="Y208" s="117"/>
      <c r="Z208" s="115"/>
      <c r="AA208" s="180"/>
      <c r="AB208" s="117"/>
      <c r="AC208" s="117"/>
      <c r="AD208" s="117"/>
      <c r="AE208" s="115"/>
      <c r="AF208" s="180"/>
      <c r="AG208" s="117"/>
      <c r="AH208" s="117"/>
      <c r="AI208" s="117"/>
      <c r="AJ208" s="115"/>
      <c r="AK208" s="180"/>
      <c r="AL208" s="117"/>
      <c r="AM208" s="117"/>
      <c r="AN208" s="117"/>
      <c r="AO208" s="115"/>
      <c r="AP208" s="180"/>
      <c r="AQ208" s="117"/>
      <c r="AR208" s="117"/>
      <c r="AS208" s="117"/>
      <c r="AT208" s="117"/>
      <c r="AU208" s="117"/>
      <c r="AV208" s="117"/>
      <c r="AW208" s="117"/>
      <c r="AX208" s="117"/>
      <c r="AY208" s="117"/>
      <c r="AZ208" s="117"/>
      <c r="BA208" s="117"/>
      <c r="BB208" s="117"/>
      <c r="BC208" s="117"/>
    </row>
    <row r="209">
      <c r="A209" s="115"/>
      <c r="B209" s="180"/>
      <c r="C209" s="117"/>
      <c r="D209" s="117"/>
      <c r="E209" s="117"/>
      <c r="F209" s="115"/>
      <c r="G209" s="180"/>
      <c r="H209" s="117"/>
      <c r="I209" s="117"/>
      <c r="J209" s="117"/>
      <c r="K209" s="92"/>
      <c r="L209" s="180"/>
      <c r="M209" s="117"/>
      <c r="N209" s="117"/>
      <c r="O209" s="117"/>
      <c r="P209" s="92"/>
      <c r="Q209" s="150"/>
      <c r="R209" s="117"/>
      <c r="S209" s="117"/>
      <c r="T209" s="117"/>
      <c r="U209" s="115"/>
      <c r="V209" s="180"/>
      <c r="W209" s="117"/>
      <c r="X209" s="117"/>
      <c r="Y209" s="117"/>
      <c r="Z209" s="115"/>
      <c r="AA209" s="180"/>
      <c r="AB209" s="117"/>
      <c r="AC209" s="117"/>
      <c r="AD209" s="117"/>
      <c r="AE209" s="115"/>
      <c r="AF209" s="180"/>
      <c r="AG209" s="117"/>
      <c r="AH209" s="117"/>
      <c r="AI209" s="117"/>
      <c r="AJ209" s="115"/>
      <c r="AK209" s="180"/>
      <c r="AL209" s="117"/>
      <c r="AM209" s="117"/>
      <c r="AN209" s="117"/>
      <c r="AO209" s="115"/>
      <c r="AP209" s="180"/>
      <c r="AQ209" s="117"/>
      <c r="AR209" s="117"/>
      <c r="AS209" s="117"/>
      <c r="AT209" s="117"/>
      <c r="AU209" s="117"/>
      <c r="AV209" s="117"/>
      <c r="AW209" s="117"/>
      <c r="AX209" s="117"/>
      <c r="AY209" s="117"/>
      <c r="AZ209" s="117"/>
      <c r="BA209" s="117"/>
      <c r="BB209" s="117"/>
      <c r="BC209" s="117"/>
    </row>
    <row r="210">
      <c r="A210" s="115"/>
      <c r="B210" s="180"/>
      <c r="C210" s="117"/>
      <c r="D210" s="117"/>
      <c r="E210" s="117"/>
      <c r="F210" s="115"/>
      <c r="G210" s="180"/>
      <c r="H210" s="117"/>
      <c r="I210" s="117"/>
      <c r="J210" s="117"/>
      <c r="K210" s="92"/>
      <c r="L210" s="180"/>
      <c r="M210" s="117"/>
      <c r="N210" s="117"/>
      <c r="O210" s="117"/>
      <c r="P210" s="92"/>
      <c r="Q210" s="150"/>
      <c r="R210" s="117"/>
      <c r="S210" s="117"/>
      <c r="T210" s="117"/>
      <c r="U210" s="115"/>
      <c r="V210" s="180"/>
      <c r="W210" s="117"/>
      <c r="X210" s="117"/>
      <c r="Y210" s="117"/>
      <c r="Z210" s="115"/>
      <c r="AA210" s="180"/>
      <c r="AB210" s="117"/>
      <c r="AC210" s="117"/>
      <c r="AD210" s="117"/>
      <c r="AE210" s="115"/>
      <c r="AF210" s="180"/>
      <c r="AG210" s="117"/>
      <c r="AH210" s="117"/>
      <c r="AI210" s="117"/>
      <c r="AJ210" s="115"/>
      <c r="AK210" s="180"/>
      <c r="AL210" s="117"/>
      <c r="AM210" s="117"/>
      <c r="AN210" s="117"/>
      <c r="AO210" s="115"/>
      <c r="AP210" s="180"/>
      <c r="AQ210" s="117"/>
      <c r="AR210" s="117"/>
      <c r="AS210" s="117"/>
      <c r="AT210" s="117"/>
      <c r="AU210" s="117"/>
      <c r="AV210" s="117"/>
      <c r="AW210" s="117"/>
      <c r="AX210" s="117"/>
      <c r="AY210" s="117"/>
      <c r="AZ210" s="117"/>
      <c r="BA210" s="117"/>
      <c r="BB210" s="117"/>
      <c r="BC210" s="117"/>
    </row>
    <row r="211">
      <c r="A211" s="115"/>
      <c r="B211" s="180"/>
      <c r="C211" s="117"/>
      <c r="D211" s="117"/>
      <c r="E211" s="117"/>
      <c r="F211" s="115"/>
      <c r="G211" s="180"/>
      <c r="H211" s="117"/>
      <c r="I211" s="117"/>
      <c r="J211" s="117"/>
      <c r="K211" s="92"/>
      <c r="L211" s="180"/>
      <c r="M211" s="117"/>
      <c r="N211" s="117"/>
      <c r="O211" s="117"/>
      <c r="P211" s="92"/>
      <c r="Q211" s="150"/>
      <c r="R211" s="117"/>
      <c r="S211" s="117"/>
      <c r="T211" s="117"/>
      <c r="U211" s="115"/>
      <c r="V211" s="180"/>
      <c r="W211" s="117"/>
      <c r="X211" s="117"/>
      <c r="Y211" s="117"/>
      <c r="Z211" s="115"/>
      <c r="AA211" s="180"/>
      <c r="AB211" s="117"/>
      <c r="AC211" s="117"/>
      <c r="AD211" s="117"/>
      <c r="AE211" s="115"/>
      <c r="AF211" s="180"/>
      <c r="AG211" s="117"/>
      <c r="AH211" s="117"/>
      <c r="AI211" s="117"/>
      <c r="AJ211" s="115"/>
      <c r="AK211" s="180"/>
      <c r="AL211" s="117"/>
      <c r="AM211" s="117"/>
      <c r="AN211" s="117"/>
      <c r="AO211" s="115"/>
      <c r="AP211" s="180"/>
      <c r="AQ211" s="117"/>
      <c r="AR211" s="117"/>
      <c r="AS211" s="117"/>
      <c r="AT211" s="117"/>
      <c r="AU211" s="117"/>
      <c r="AV211" s="117"/>
      <c r="AW211" s="117"/>
      <c r="AX211" s="117"/>
      <c r="AY211" s="117"/>
      <c r="AZ211" s="117"/>
      <c r="BA211" s="117"/>
      <c r="BB211" s="117"/>
      <c r="BC211" s="117"/>
    </row>
    <row r="212">
      <c r="A212" s="115"/>
      <c r="B212" s="180"/>
      <c r="C212" s="117"/>
      <c r="D212" s="117"/>
      <c r="E212" s="117"/>
      <c r="F212" s="115"/>
      <c r="G212" s="180"/>
      <c r="H212" s="117"/>
      <c r="I212" s="117"/>
      <c r="J212" s="117"/>
      <c r="K212" s="92"/>
      <c r="L212" s="180"/>
      <c r="M212" s="117"/>
      <c r="N212" s="117"/>
      <c r="O212" s="117"/>
      <c r="P212" s="92"/>
      <c r="Q212" s="150"/>
      <c r="R212" s="117"/>
      <c r="S212" s="117"/>
      <c r="T212" s="117"/>
      <c r="U212" s="115"/>
      <c r="V212" s="180"/>
      <c r="W212" s="117"/>
      <c r="X212" s="117"/>
      <c r="Y212" s="117"/>
      <c r="Z212" s="115"/>
      <c r="AA212" s="180"/>
      <c r="AB212" s="117"/>
      <c r="AC212" s="117"/>
      <c r="AD212" s="117"/>
      <c r="AE212" s="115"/>
      <c r="AF212" s="180"/>
      <c r="AG212" s="117"/>
      <c r="AH212" s="117"/>
      <c r="AI212" s="117"/>
      <c r="AJ212" s="115"/>
      <c r="AK212" s="180"/>
      <c r="AL212" s="117"/>
      <c r="AM212" s="117"/>
      <c r="AN212" s="117"/>
      <c r="AO212" s="115"/>
      <c r="AP212" s="180"/>
      <c r="AQ212" s="117"/>
      <c r="AR212" s="117"/>
      <c r="AS212" s="117"/>
      <c r="AT212" s="117"/>
      <c r="AU212" s="117"/>
      <c r="AV212" s="117"/>
      <c r="AW212" s="117"/>
      <c r="AX212" s="117"/>
      <c r="AY212" s="117"/>
      <c r="AZ212" s="117"/>
      <c r="BA212" s="117"/>
      <c r="BB212" s="117"/>
      <c r="BC212" s="117"/>
    </row>
    <row r="213">
      <c r="A213" s="115"/>
      <c r="B213" s="180"/>
      <c r="C213" s="117"/>
      <c r="D213" s="117"/>
      <c r="E213" s="117"/>
      <c r="F213" s="115"/>
      <c r="G213" s="180"/>
      <c r="H213" s="117"/>
      <c r="I213" s="117"/>
      <c r="J213" s="117"/>
      <c r="K213" s="92"/>
      <c r="L213" s="180"/>
      <c r="M213" s="117"/>
      <c r="N213" s="117"/>
      <c r="O213" s="117"/>
      <c r="P213" s="92"/>
      <c r="Q213" s="150"/>
      <c r="R213" s="117"/>
      <c r="S213" s="117"/>
      <c r="T213" s="117"/>
      <c r="U213" s="115"/>
      <c r="V213" s="180"/>
      <c r="W213" s="117"/>
      <c r="X213" s="117"/>
      <c r="Y213" s="117"/>
      <c r="Z213" s="115"/>
      <c r="AA213" s="180"/>
      <c r="AB213" s="117"/>
      <c r="AC213" s="117"/>
      <c r="AD213" s="117"/>
      <c r="AE213" s="115"/>
      <c r="AF213" s="180"/>
      <c r="AG213" s="117"/>
      <c r="AH213" s="117"/>
      <c r="AI213" s="117"/>
      <c r="AJ213" s="115"/>
      <c r="AK213" s="180"/>
      <c r="AL213" s="117"/>
      <c r="AM213" s="117"/>
      <c r="AN213" s="117"/>
      <c r="AO213" s="115"/>
      <c r="AP213" s="180"/>
      <c r="AQ213" s="117"/>
      <c r="AR213" s="117"/>
      <c r="AS213" s="117"/>
      <c r="AT213" s="117"/>
      <c r="AU213" s="117"/>
      <c r="AV213" s="117"/>
      <c r="AW213" s="117"/>
      <c r="AX213" s="117"/>
      <c r="AY213" s="117"/>
      <c r="AZ213" s="117"/>
      <c r="BA213" s="117"/>
      <c r="BB213" s="117"/>
      <c r="BC213" s="117"/>
    </row>
    <row r="214">
      <c r="A214" s="115"/>
      <c r="B214" s="180"/>
      <c r="C214" s="117"/>
      <c r="D214" s="117"/>
      <c r="E214" s="117"/>
      <c r="F214" s="115"/>
      <c r="G214" s="180"/>
      <c r="H214" s="117"/>
      <c r="I214" s="117"/>
      <c r="J214" s="117"/>
      <c r="K214" s="92"/>
      <c r="L214" s="180"/>
      <c r="M214" s="117"/>
      <c r="N214" s="117"/>
      <c r="O214" s="117"/>
      <c r="P214" s="92"/>
      <c r="Q214" s="150"/>
      <c r="R214" s="117"/>
      <c r="S214" s="117"/>
      <c r="T214" s="117"/>
      <c r="U214" s="115"/>
      <c r="V214" s="180"/>
      <c r="W214" s="117"/>
      <c r="X214" s="117"/>
      <c r="Y214" s="117"/>
      <c r="Z214" s="115"/>
      <c r="AA214" s="180"/>
      <c r="AB214" s="117"/>
      <c r="AC214" s="117"/>
      <c r="AD214" s="117"/>
      <c r="AE214" s="115"/>
      <c r="AF214" s="180"/>
      <c r="AG214" s="117"/>
      <c r="AH214" s="117"/>
      <c r="AI214" s="117"/>
      <c r="AJ214" s="115"/>
      <c r="AK214" s="180"/>
      <c r="AL214" s="117"/>
      <c r="AM214" s="117"/>
      <c r="AN214" s="117"/>
      <c r="AO214" s="115"/>
      <c r="AP214" s="180"/>
      <c r="AQ214" s="117"/>
      <c r="AR214" s="117"/>
      <c r="AS214" s="117"/>
      <c r="AT214" s="117"/>
      <c r="AU214" s="117"/>
      <c r="AV214" s="117"/>
      <c r="AW214" s="117"/>
      <c r="AX214" s="117"/>
      <c r="AY214" s="117"/>
      <c r="AZ214" s="117"/>
      <c r="BA214" s="117"/>
      <c r="BB214" s="117"/>
      <c r="BC214" s="117"/>
    </row>
    <row r="215">
      <c r="A215" s="115"/>
      <c r="B215" s="180"/>
      <c r="C215" s="117"/>
      <c r="D215" s="117"/>
      <c r="E215" s="117"/>
      <c r="F215" s="115"/>
      <c r="G215" s="180"/>
      <c r="H215" s="117"/>
      <c r="I215" s="117"/>
      <c r="J215" s="117"/>
      <c r="K215" s="92"/>
      <c r="L215" s="180"/>
      <c r="M215" s="117"/>
      <c r="N215" s="117"/>
      <c r="O215" s="117"/>
      <c r="P215" s="92"/>
      <c r="Q215" s="150"/>
      <c r="R215" s="117"/>
      <c r="S215" s="117"/>
      <c r="T215" s="117"/>
      <c r="U215" s="115"/>
      <c r="V215" s="180"/>
      <c r="W215" s="117"/>
      <c r="X215" s="117"/>
      <c r="Y215" s="117"/>
      <c r="Z215" s="115"/>
      <c r="AA215" s="180"/>
      <c r="AB215" s="117"/>
      <c r="AC215" s="117"/>
      <c r="AD215" s="117"/>
      <c r="AE215" s="115"/>
      <c r="AF215" s="180"/>
      <c r="AG215" s="117"/>
      <c r="AH215" s="117"/>
      <c r="AI215" s="117"/>
      <c r="AJ215" s="115"/>
      <c r="AK215" s="180"/>
      <c r="AL215" s="117"/>
      <c r="AM215" s="117"/>
      <c r="AN215" s="117"/>
      <c r="AO215" s="115"/>
      <c r="AP215" s="180"/>
      <c r="AQ215" s="117"/>
      <c r="AR215" s="117"/>
      <c r="AS215" s="117"/>
      <c r="AT215" s="117"/>
      <c r="AU215" s="117"/>
      <c r="AV215" s="117"/>
      <c r="AW215" s="117"/>
      <c r="AX215" s="117"/>
      <c r="AY215" s="117"/>
      <c r="AZ215" s="117"/>
      <c r="BA215" s="117"/>
      <c r="BB215" s="117"/>
      <c r="BC215" s="117"/>
    </row>
    <row r="216">
      <c r="A216" s="115"/>
      <c r="B216" s="180"/>
      <c r="C216" s="117"/>
      <c r="D216" s="117"/>
      <c r="E216" s="117"/>
      <c r="F216" s="115"/>
      <c r="G216" s="180"/>
      <c r="H216" s="117"/>
      <c r="I216" s="117"/>
      <c r="J216" s="117"/>
      <c r="K216" s="92"/>
      <c r="L216" s="180"/>
      <c r="M216" s="117"/>
      <c r="N216" s="117"/>
      <c r="O216" s="117"/>
      <c r="P216" s="92"/>
      <c r="Q216" s="150"/>
      <c r="R216" s="117"/>
      <c r="S216" s="117"/>
      <c r="T216" s="117"/>
      <c r="U216" s="115"/>
      <c r="V216" s="180"/>
      <c r="W216" s="117"/>
      <c r="X216" s="117"/>
      <c r="Y216" s="117"/>
      <c r="Z216" s="115"/>
      <c r="AA216" s="180"/>
      <c r="AB216" s="117"/>
      <c r="AC216" s="117"/>
      <c r="AD216" s="117"/>
      <c r="AE216" s="115"/>
      <c r="AF216" s="180"/>
      <c r="AG216" s="117"/>
      <c r="AH216" s="117"/>
      <c r="AI216" s="117"/>
      <c r="AJ216" s="115"/>
      <c r="AK216" s="180"/>
      <c r="AL216" s="117"/>
      <c r="AM216" s="117"/>
      <c r="AN216" s="117"/>
      <c r="AO216" s="115"/>
      <c r="AP216" s="180"/>
      <c r="AQ216" s="117"/>
      <c r="AR216" s="117"/>
      <c r="AS216" s="117"/>
      <c r="AT216" s="117"/>
      <c r="AU216" s="117"/>
      <c r="AV216" s="117"/>
      <c r="AW216" s="117"/>
      <c r="AX216" s="117"/>
      <c r="AY216" s="117"/>
      <c r="AZ216" s="117"/>
      <c r="BA216" s="117"/>
      <c r="BB216" s="117"/>
      <c r="BC216" s="117"/>
    </row>
    <row r="217">
      <c r="A217" s="115"/>
      <c r="B217" s="180"/>
      <c r="C217" s="117"/>
      <c r="D217" s="117"/>
      <c r="E217" s="117"/>
      <c r="F217" s="115"/>
      <c r="G217" s="180"/>
      <c r="H217" s="117"/>
      <c r="I217" s="117"/>
      <c r="J217" s="117"/>
      <c r="K217" s="92"/>
      <c r="L217" s="180"/>
      <c r="M217" s="117"/>
      <c r="N217" s="117"/>
      <c r="O217" s="117"/>
      <c r="P217" s="92"/>
      <c r="Q217" s="150"/>
      <c r="R217" s="117"/>
      <c r="S217" s="117"/>
      <c r="T217" s="117"/>
      <c r="U217" s="115"/>
      <c r="V217" s="180"/>
      <c r="W217" s="117"/>
      <c r="X217" s="117"/>
      <c r="Y217" s="117"/>
      <c r="Z217" s="115"/>
      <c r="AA217" s="180"/>
      <c r="AB217" s="117"/>
      <c r="AC217" s="117"/>
      <c r="AD217" s="117"/>
      <c r="AE217" s="115"/>
      <c r="AF217" s="180"/>
      <c r="AG217" s="117"/>
      <c r="AH217" s="117"/>
      <c r="AI217" s="117"/>
      <c r="AJ217" s="115"/>
      <c r="AK217" s="180"/>
      <c r="AL217" s="117"/>
      <c r="AM217" s="117"/>
      <c r="AN217" s="117"/>
      <c r="AO217" s="115"/>
      <c r="AP217" s="180"/>
      <c r="AQ217" s="117"/>
      <c r="AR217" s="117"/>
      <c r="AS217" s="117"/>
      <c r="AT217" s="117"/>
      <c r="AU217" s="117"/>
      <c r="AV217" s="117"/>
      <c r="AW217" s="117"/>
      <c r="AX217" s="117"/>
      <c r="AY217" s="117"/>
      <c r="AZ217" s="117"/>
      <c r="BA217" s="117"/>
      <c r="BB217" s="117"/>
      <c r="BC217" s="117"/>
    </row>
    <row r="218">
      <c r="A218" s="115"/>
      <c r="B218" s="180"/>
      <c r="C218" s="117"/>
      <c r="D218" s="117"/>
      <c r="E218" s="117"/>
      <c r="F218" s="115"/>
      <c r="G218" s="180"/>
      <c r="H218" s="117"/>
      <c r="I218" s="117"/>
      <c r="J218" s="117"/>
      <c r="K218" s="92"/>
      <c r="L218" s="180"/>
      <c r="M218" s="117"/>
      <c r="N218" s="117"/>
      <c r="O218" s="117"/>
      <c r="P218" s="92"/>
      <c r="Q218" s="150"/>
      <c r="R218" s="117"/>
      <c r="S218" s="117"/>
      <c r="T218" s="117"/>
      <c r="U218" s="115"/>
      <c r="V218" s="180"/>
      <c r="W218" s="117"/>
      <c r="X218" s="117"/>
      <c r="Y218" s="117"/>
      <c r="Z218" s="115"/>
      <c r="AA218" s="180"/>
      <c r="AB218" s="117"/>
      <c r="AC218" s="117"/>
      <c r="AD218" s="117"/>
      <c r="AE218" s="115"/>
      <c r="AF218" s="180"/>
      <c r="AG218" s="117"/>
      <c r="AH218" s="117"/>
      <c r="AI218" s="117"/>
      <c r="AJ218" s="115"/>
      <c r="AK218" s="180"/>
      <c r="AL218" s="117"/>
      <c r="AM218" s="117"/>
      <c r="AN218" s="117"/>
      <c r="AO218" s="115"/>
      <c r="AP218" s="180"/>
      <c r="AQ218" s="117"/>
      <c r="AR218" s="117"/>
      <c r="AS218" s="117"/>
      <c r="AT218" s="117"/>
      <c r="AU218" s="117"/>
      <c r="AV218" s="117"/>
      <c r="AW218" s="117"/>
      <c r="AX218" s="117"/>
      <c r="AY218" s="117"/>
      <c r="AZ218" s="117"/>
      <c r="BA218" s="117"/>
      <c r="BB218" s="117"/>
      <c r="BC218" s="117"/>
    </row>
    <row r="219">
      <c r="A219" s="115"/>
      <c r="B219" s="180"/>
      <c r="C219" s="117"/>
      <c r="D219" s="117"/>
      <c r="E219" s="117"/>
      <c r="F219" s="115"/>
      <c r="G219" s="180"/>
      <c r="H219" s="117"/>
      <c r="I219" s="117"/>
      <c r="J219" s="117"/>
      <c r="K219" s="92"/>
      <c r="L219" s="180"/>
      <c r="M219" s="117"/>
      <c r="N219" s="117"/>
      <c r="O219" s="117"/>
      <c r="P219" s="92"/>
      <c r="Q219" s="150"/>
      <c r="R219" s="117"/>
      <c r="S219" s="117"/>
      <c r="T219" s="117"/>
      <c r="U219" s="115"/>
      <c r="V219" s="180"/>
      <c r="W219" s="117"/>
      <c r="X219" s="117"/>
      <c r="Y219" s="117"/>
      <c r="Z219" s="115"/>
      <c r="AA219" s="180"/>
      <c r="AB219" s="117"/>
      <c r="AC219" s="117"/>
      <c r="AD219" s="117"/>
      <c r="AE219" s="115"/>
      <c r="AF219" s="180"/>
      <c r="AG219" s="117"/>
      <c r="AH219" s="117"/>
      <c r="AI219" s="117"/>
      <c r="AJ219" s="115"/>
      <c r="AK219" s="180"/>
      <c r="AL219" s="117"/>
      <c r="AM219" s="117"/>
      <c r="AN219" s="117"/>
      <c r="AO219" s="115"/>
      <c r="AP219" s="180"/>
      <c r="AQ219" s="117"/>
      <c r="AR219" s="117"/>
      <c r="AS219" s="117"/>
      <c r="AT219" s="117"/>
      <c r="AU219" s="117"/>
      <c r="AV219" s="117"/>
      <c r="AW219" s="117"/>
      <c r="AX219" s="117"/>
      <c r="AY219" s="117"/>
      <c r="AZ219" s="117"/>
      <c r="BA219" s="117"/>
      <c r="BB219" s="117"/>
      <c r="BC219" s="117"/>
    </row>
    <row r="220">
      <c r="A220" s="115"/>
      <c r="B220" s="180"/>
      <c r="C220" s="117"/>
      <c r="D220" s="117"/>
      <c r="E220" s="117"/>
      <c r="F220" s="115"/>
      <c r="G220" s="180"/>
      <c r="H220" s="117"/>
      <c r="I220" s="117"/>
      <c r="J220" s="117"/>
      <c r="K220" s="92"/>
      <c r="L220" s="180"/>
      <c r="M220" s="117"/>
      <c r="N220" s="117"/>
      <c r="O220" s="117"/>
      <c r="P220" s="92"/>
      <c r="Q220" s="150"/>
      <c r="R220" s="117"/>
      <c r="S220" s="117"/>
      <c r="T220" s="117"/>
      <c r="U220" s="115"/>
      <c r="V220" s="180"/>
      <c r="W220" s="117"/>
      <c r="X220" s="117"/>
      <c r="Y220" s="117"/>
      <c r="Z220" s="115"/>
      <c r="AA220" s="180"/>
      <c r="AB220" s="117"/>
      <c r="AC220" s="117"/>
      <c r="AD220" s="117"/>
      <c r="AE220" s="115"/>
      <c r="AF220" s="180"/>
      <c r="AG220" s="117"/>
      <c r="AH220" s="117"/>
      <c r="AI220" s="117"/>
      <c r="AJ220" s="115"/>
      <c r="AK220" s="180"/>
      <c r="AL220" s="117"/>
      <c r="AM220" s="117"/>
      <c r="AN220" s="117"/>
      <c r="AO220" s="115"/>
      <c r="AP220" s="180"/>
      <c r="AQ220" s="117"/>
      <c r="AR220" s="117"/>
      <c r="AS220" s="117"/>
      <c r="AT220" s="117"/>
      <c r="AU220" s="117"/>
      <c r="AV220" s="117"/>
      <c r="AW220" s="117"/>
      <c r="AX220" s="117"/>
      <c r="AY220" s="117"/>
      <c r="AZ220" s="117"/>
      <c r="BA220" s="117"/>
      <c r="BB220" s="117"/>
      <c r="BC220" s="117"/>
    </row>
    <row r="221">
      <c r="A221" s="115"/>
      <c r="B221" s="180"/>
      <c r="C221" s="117"/>
      <c r="D221" s="117"/>
      <c r="E221" s="117"/>
      <c r="F221" s="115"/>
      <c r="G221" s="180"/>
      <c r="H221" s="117"/>
      <c r="I221" s="117"/>
      <c r="J221" s="117"/>
      <c r="K221" s="92"/>
      <c r="L221" s="180"/>
      <c r="M221" s="117"/>
      <c r="N221" s="117"/>
      <c r="O221" s="117"/>
      <c r="P221" s="92"/>
      <c r="Q221" s="150"/>
      <c r="R221" s="117"/>
      <c r="S221" s="117"/>
      <c r="T221" s="117"/>
      <c r="U221" s="115"/>
      <c r="V221" s="180"/>
      <c r="W221" s="117"/>
      <c r="X221" s="117"/>
      <c r="Y221" s="117"/>
      <c r="Z221" s="115"/>
      <c r="AA221" s="180"/>
      <c r="AB221" s="117"/>
      <c r="AC221" s="117"/>
      <c r="AD221" s="117"/>
      <c r="AE221" s="115"/>
      <c r="AF221" s="180"/>
      <c r="AG221" s="117"/>
      <c r="AH221" s="117"/>
      <c r="AI221" s="117"/>
      <c r="AJ221" s="115"/>
      <c r="AK221" s="180"/>
      <c r="AL221" s="117"/>
      <c r="AM221" s="117"/>
      <c r="AN221" s="117"/>
      <c r="AO221" s="115"/>
      <c r="AP221" s="180"/>
      <c r="AQ221" s="117"/>
      <c r="AR221" s="117"/>
      <c r="AS221" s="117"/>
      <c r="AT221" s="117"/>
      <c r="AU221" s="117"/>
      <c r="AV221" s="117"/>
      <c r="AW221" s="117"/>
      <c r="AX221" s="117"/>
      <c r="AY221" s="117"/>
      <c r="AZ221" s="117"/>
      <c r="BA221" s="117"/>
      <c r="BB221" s="117"/>
      <c r="BC221" s="117"/>
    </row>
    <row r="222">
      <c r="A222" s="115"/>
      <c r="B222" s="180"/>
      <c r="C222" s="117"/>
      <c r="D222" s="117"/>
      <c r="E222" s="117"/>
      <c r="F222" s="115"/>
      <c r="G222" s="180"/>
      <c r="H222" s="117"/>
      <c r="I222" s="117"/>
      <c r="J222" s="117"/>
      <c r="K222" s="92"/>
      <c r="L222" s="180"/>
      <c r="M222" s="117"/>
      <c r="N222" s="117"/>
      <c r="O222" s="117"/>
      <c r="P222" s="92"/>
      <c r="Q222" s="150"/>
      <c r="R222" s="117"/>
      <c r="S222" s="117"/>
      <c r="T222" s="117"/>
      <c r="U222" s="115"/>
      <c r="V222" s="180"/>
      <c r="W222" s="117"/>
      <c r="X222" s="117"/>
      <c r="Y222" s="117"/>
      <c r="Z222" s="115"/>
      <c r="AA222" s="180"/>
      <c r="AB222" s="117"/>
      <c r="AC222" s="117"/>
      <c r="AD222" s="117"/>
      <c r="AE222" s="115"/>
      <c r="AF222" s="180"/>
      <c r="AG222" s="117"/>
      <c r="AH222" s="117"/>
      <c r="AI222" s="117"/>
      <c r="AJ222" s="115"/>
      <c r="AK222" s="180"/>
      <c r="AL222" s="117"/>
      <c r="AM222" s="117"/>
      <c r="AN222" s="117"/>
      <c r="AO222" s="115"/>
      <c r="AP222" s="180"/>
      <c r="AQ222" s="117"/>
      <c r="AR222" s="117"/>
      <c r="AS222" s="117"/>
      <c r="AT222" s="117"/>
      <c r="AU222" s="117"/>
      <c r="AV222" s="117"/>
      <c r="AW222" s="117"/>
      <c r="AX222" s="117"/>
      <c r="AY222" s="117"/>
      <c r="AZ222" s="117"/>
      <c r="BA222" s="117"/>
      <c r="BB222" s="117"/>
      <c r="BC222" s="117"/>
    </row>
    <row r="223">
      <c r="A223" s="115"/>
      <c r="B223" s="180"/>
      <c r="C223" s="117"/>
      <c r="D223" s="117"/>
      <c r="E223" s="117"/>
      <c r="F223" s="115"/>
      <c r="G223" s="180"/>
      <c r="H223" s="117"/>
      <c r="I223" s="117"/>
      <c r="J223" s="117"/>
      <c r="K223" s="92"/>
      <c r="L223" s="180"/>
      <c r="M223" s="117"/>
      <c r="N223" s="117"/>
      <c r="O223" s="117"/>
      <c r="P223" s="92"/>
      <c r="Q223" s="150"/>
      <c r="R223" s="117"/>
      <c r="S223" s="117"/>
      <c r="T223" s="117"/>
      <c r="U223" s="115"/>
      <c r="V223" s="180"/>
      <c r="W223" s="117"/>
      <c r="X223" s="117"/>
      <c r="Y223" s="117"/>
      <c r="Z223" s="115"/>
      <c r="AA223" s="180"/>
      <c r="AB223" s="117"/>
      <c r="AC223" s="117"/>
      <c r="AD223" s="117"/>
      <c r="AE223" s="115"/>
      <c r="AF223" s="180"/>
      <c r="AG223" s="117"/>
      <c r="AH223" s="117"/>
      <c r="AI223" s="117"/>
      <c r="AJ223" s="115"/>
      <c r="AK223" s="180"/>
      <c r="AL223" s="117"/>
      <c r="AM223" s="117"/>
      <c r="AN223" s="117"/>
      <c r="AO223" s="115"/>
      <c r="AP223" s="180"/>
      <c r="AQ223" s="117"/>
      <c r="AR223" s="117"/>
      <c r="AS223" s="117"/>
      <c r="AT223" s="117"/>
      <c r="AU223" s="117"/>
      <c r="AV223" s="117"/>
      <c r="AW223" s="117"/>
      <c r="AX223" s="117"/>
      <c r="AY223" s="117"/>
      <c r="AZ223" s="117"/>
      <c r="BA223" s="117"/>
      <c r="BB223" s="117"/>
      <c r="BC223" s="117"/>
    </row>
    <row r="224">
      <c r="A224" s="115"/>
      <c r="B224" s="180"/>
      <c r="C224" s="117"/>
      <c r="D224" s="117"/>
      <c r="E224" s="117"/>
      <c r="F224" s="115"/>
      <c r="G224" s="180"/>
      <c r="H224" s="117"/>
      <c r="I224" s="117"/>
      <c r="J224" s="117"/>
      <c r="K224" s="92"/>
      <c r="L224" s="180"/>
      <c r="M224" s="117"/>
      <c r="N224" s="117"/>
      <c r="O224" s="117"/>
      <c r="P224" s="92"/>
      <c r="Q224" s="150"/>
      <c r="R224" s="117"/>
      <c r="S224" s="117"/>
      <c r="T224" s="117"/>
      <c r="U224" s="115"/>
      <c r="V224" s="180"/>
      <c r="W224" s="117"/>
      <c r="X224" s="117"/>
      <c r="Y224" s="117"/>
      <c r="Z224" s="115"/>
      <c r="AA224" s="180"/>
      <c r="AB224" s="117"/>
      <c r="AC224" s="117"/>
      <c r="AD224" s="117"/>
      <c r="AE224" s="115"/>
      <c r="AF224" s="180"/>
      <c r="AG224" s="117"/>
      <c r="AH224" s="117"/>
      <c r="AI224" s="117"/>
      <c r="AJ224" s="115"/>
      <c r="AK224" s="180"/>
      <c r="AL224" s="117"/>
      <c r="AM224" s="117"/>
      <c r="AN224" s="117"/>
      <c r="AO224" s="115"/>
      <c r="AP224" s="180"/>
      <c r="AQ224" s="117"/>
      <c r="AR224" s="117"/>
      <c r="AS224" s="117"/>
      <c r="AT224" s="117"/>
      <c r="AU224" s="117"/>
      <c r="AV224" s="117"/>
      <c r="AW224" s="117"/>
      <c r="AX224" s="117"/>
      <c r="AY224" s="117"/>
      <c r="AZ224" s="117"/>
      <c r="BA224" s="117"/>
      <c r="BB224" s="117"/>
      <c r="BC224" s="117"/>
    </row>
    <row r="225">
      <c r="A225" s="115"/>
      <c r="B225" s="180"/>
      <c r="C225" s="117"/>
      <c r="D225" s="117"/>
      <c r="E225" s="117"/>
      <c r="F225" s="115"/>
      <c r="G225" s="180"/>
      <c r="H225" s="117"/>
      <c r="I225" s="117"/>
      <c r="J225" s="117"/>
      <c r="K225" s="92"/>
      <c r="L225" s="180"/>
      <c r="M225" s="117"/>
      <c r="N225" s="117"/>
      <c r="O225" s="117"/>
      <c r="P225" s="92"/>
      <c r="Q225" s="150"/>
      <c r="R225" s="117"/>
      <c r="S225" s="117"/>
      <c r="T225" s="117"/>
      <c r="U225" s="115"/>
      <c r="V225" s="180"/>
      <c r="W225" s="117"/>
      <c r="X225" s="117"/>
      <c r="Y225" s="117"/>
      <c r="Z225" s="115"/>
      <c r="AA225" s="180"/>
      <c r="AB225" s="117"/>
      <c r="AC225" s="117"/>
      <c r="AD225" s="117"/>
      <c r="AE225" s="115"/>
      <c r="AF225" s="180"/>
      <c r="AG225" s="117"/>
      <c r="AH225" s="117"/>
      <c r="AI225" s="117"/>
      <c r="AJ225" s="115"/>
      <c r="AK225" s="180"/>
      <c r="AL225" s="117"/>
      <c r="AM225" s="117"/>
      <c r="AN225" s="117"/>
      <c r="AO225" s="115"/>
      <c r="AP225" s="180"/>
      <c r="AQ225" s="117"/>
      <c r="AR225" s="117"/>
      <c r="AS225" s="117"/>
      <c r="AT225" s="117"/>
      <c r="AU225" s="117"/>
      <c r="AV225" s="117"/>
      <c r="AW225" s="117"/>
      <c r="AX225" s="117"/>
      <c r="AY225" s="117"/>
      <c r="AZ225" s="117"/>
      <c r="BA225" s="117"/>
      <c r="BB225" s="117"/>
      <c r="BC225" s="117"/>
    </row>
    <row r="226">
      <c r="A226" s="115"/>
      <c r="B226" s="180"/>
      <c r="C226" s="117"/>
      <c r="D226" s="117"/>
      <c r="E226" s="117"/>
      <c r="F226" s="115"/>
      <c r="G226" s="180"/>
      <c r="H226" s="117"/>
      <c r="I226" s="117"/>
      <c r="J226" s="117"/>
      <c r="K226" s="92"/>
      <c r="L226" s="180"/>
      <c r="M226" s="117"/>
      <c r="N226" s="117"/>
      <c r="O226" s="117"/>
      <c r="P226" s="92"/>
      <c r="Q226" s="150"/>
      <c r="R226" s="117"/>
      <c r="S226" s="117"/>
      <c r="T226" s="117"/>
      <c r="U226" s="115"/>
      <c r="V226" s="180"/>
      <c r="W226" s="117"/>
      <c r="X226" s="117"/>
      <c r="Y226" s="117"/>
      <c r="Z226" s="115"/>
      <c r="AA226" s="180"/>
      <c r="AB226" s="117"/>
      <c r="AC226" s="117"/>
      <c r="AD226" s="117"/>
      <c r="AE226" s="115"/>
      <c r="AF226" s="180"/>
      <c r="AG226" s="117"/>
      <c r="AH226" s="117"/>
      <c r="AI226" s="117"/>
      <c r="AJ226" s="115"/>
      <c r="AK226" s="180"/>
      <c r="AL226" s="117"/>
      <c r="AM226" s="117"/>
      <c r="AN226" s="117"/>
      <c r="AO226" s="115"/>
      <c r="AP226" s="180"/>
      <c r="AQ226" s="117"/>
      <c r="AR226" s="117"/>
      <c r="AS226" s="117"/>
      <c r="AT226" s="117"/>
      <c r="AU226" s="117"/>
      <c r="AV226" s="117"/>
      <c r="AW226" s="117"/>
      <c r="AX226" s="117"/>
      <c r="AY226" s="117"/>
      <c r="AZ226" s="117"/>
      <c r="BA226" s="117"/>
      <c r="BB226" s="117"/>
      <c r="BC226" s="117"/>
    </row>
    <row r="227">
      <c r="A227" s="115"/>
      <c r="B227" s="180"/>
      <c r="C227" s="117"/>
      <c r="D227" s="117"/>
      <c r="E227" s="117"/>
      <c r="F227" s="115"/>
      <c r="G227" s="180"/>
      <c r="H227" s="117"/>
      <c r="I227" s="117"/>
      <c r="J227" s="117"/>
      <c r="K227" s="92"/>
      <c r="L227" s="180"/>
      <c r="M227" s="117"/>
      <c r="N227" s="117"/>
      <c r="O227" s="117"/>
      <c r="P227" s="92"/>
      <c r="Q227" s="150"/>
      <c r="R227" s="117"/>
      <c r="S227" s="117"/>
      <c r="T227" s="117"/>
      <c r="U227" s="115"/>
      <c r="V227" s="180"/>
      <c r="W227" s="117"/>
      <c r="X227" s="117"/>
      <c r="Y227" s="117"/>
      <c r="Z227" s="115"/>
      <c r="AA227" s="180"/>
      <c r="AB227" s="117"/>
      <c r="AC227" s="117"/>
      <c r="AD227" s="117"/>
      <c r="AE227" s="115"/>
      <c r="AF227" s="180"/>
      <c r="AG227" s="117"/>
      <c r="AH227" s="117"/>
      <c r="AI227" s="117"/>
      <c r="AJ227" s="115"/>
      <c r="AK227" s="180"/>
      <c r="AL227" s="117"/>
      <c r="AM227" s="117"/>
      <c r="AN227" s="117"/>
      <c r="AO227" s="115"/>
      <c r="AP227" s="180"/>
      <c r="AQ227" s="117"/>
      <c r="AR227" s="117"/>
      <c r="AS227" s="117"/>
      <c r="AT227" s="117"/>
      <c r="AU227" s="117"/>
      <c r="AV227" s="117"/>
      <c r="AW227" s="117"/>
      <c r="AX227" s="117"/>
      <c r="AY227" s="117"/>
      <c r="AZ227" s="117"/>
      <c r="BA227" s="117"/>
      <c r="BB227" s="117"/>
      <c r="BC227" s="117"/>
    </row>
    <row r="228">
      <c r="A228" s="115"/>
      <c r="B228" s="180"/>
      <c r="C228" s="117"/>
      <c r="D228" s="117"/>
      <c r="E228" s="117"/>
      <c r="F228" s="115"/>
      <c r="G228" s="180"/>
      <c r="H228" s="117"/>
      <c r="I228" s="117"/>
      <c r="J228" s="117"/>
      <c r="K228" s="92"/>
      <c r="L228" s="180"/>
      <c r="M228" s="117"/>
      <c r="N228" s="117"/>
      <c r="O228" s="117"/>
      <c r="P228" s="92"/>
      <c r="Q228" s="150"/>
      <c r="R228" s="117"/>
      <c r="S228" s="117"/>
      <c r="T228" s="117"/>
      <c r="U228" s="115"/>
      <c r="V228" s="180"/>
      <c r="W228" s="117"/>
      <c r="X228" s="117"/>
      <c r="Y228" s="117"/>
      <c r="Z228" s="115"/>
      <c r="AA228" s="180"/>
      <c r="AB228" s="117"/>
      <c r="AC228" s="117"/>
      <c r="AD228" s="117"/>
      <c r="AE228" s="115"/>
      <c r="AF228" s="180"/>
      <c r="AG228" s="117"/>
      <c r="AH228" s="117"/>
      <c r="AI228" s="117"/>
      <c r="AJ228" s="115"/>
      <c r="AK228" s="180"/>
      <c r="AL228" s="117"/>
      <c r="AM228" s="117"/>
      <c r="AN228" s="117"/>
      <c r="AO228" s="115"/>
      <c r="AP228" s="180"/>
      <c r="AQ228" s="117"/>
      <c r="AR228" s="117"/>
      <c r="AS228" s="117"/>
      <c r="AT228" s="117"/>
      <c r="AU228" s="117"/>
      <c r="AV228" s="117"/>
      <c r="AW228" s="117"/>
      <c r="AX228" s="117"/>
      <c r="AY228" s="117"/>
      <c r="AZ228" s="117"/>
      <c r="BA228" s="117"/>
      <c r="BB228" s="117"/>
      <c r="BC228" s="117"/>
    </row>
    <row r="229">
      <c r="A229" s="115"/>
      <c r="B229" s="180"/>
      <c r="C229" s="117"/>
      <c r="D229" s="117"/>
      <c r="E229" s="117"/>
      <c r="F229" s="115"/>
      <c r="G229" s="180"/>
      <c r="H229" s="117"/>
      <c r="I229" s="117"/>
      <c r="J229" s="117"/>
      <c r="K229" s="92"/>
      <c r="L229" s="180"/>
      <c r="M229" s="117"/>
      <c r="N229" s="117"/>
      <c r="O229" s="117"/>
      <c r="P229" s="92"/>
      <c r="Q229" s="150"/>
      <c r="R229" s="117"/>
      <c r="S229" s="117"/>
      <c r="T229" s="117"/>
      <c r="U229" s="115"/>
      <c r="V229" s="180"/>
      <c r="W229" s="117"/>
      <c r="X229" s="117"/>
      <c r="Y229" s="117"/>
      <c r="Z229" s="115"/>
      <c r="AA229" s="180"/>
      <c r="AB229" s="117"/>
      <c r="AC229" s="117"/>
      <c r="AD229" s="117"/>
      <c r="AE229" s="115"/>
      <c r="AF229" s="180"/>
      <c r="AG229" s="117"/>
      <c r="AH229" s="117"/>
      <c r="AI229" s="117"/>
      <c r="AJ229" s="115"/>
      <c r="AK229" s="180"/>
      <c r="AL229" s="117"/>
      <c r="AM229" s="117"/>
      <c r="AN229" s="117"/>
      <c r="AO229" s="115"/>
      <c r="AP229" s="180"/>
      <c r="AQ229" s="117"/>
      <c r="AR229" s="117"/>
      <c r="AS229" s="117"/>
      <c r="AT229" s="117"/>
      <c r="AU229" s="117"/>
      <c r="AV229" s="117"/>
      <c r="AW229" s="117"/>
      <c r="AX229" s="117"/>
      <c r="AY229" s="117"/>
      <c r="AZ229" s="117"/>
      <c r="BA229" s="117"/>
      <c r="BB229" s="117"/>
      <c r="BC229" s="117"/>
    </row>
    <row r="230">
      <c r="A230" s="115"/>
      <c r="B230" s="180"/>
      <c r="C230" s="117"/>
      <c r="D230" s="117"/>
      <c r="E230" s="117"/>
      <c r="F230" s="115"/>
      <c r="G230" s="180"/>
      <c r="H230" s="117"/>
      <c r="I230" s="117"/>
      <c r="J230" s="117"/>
      <c r="K230" s="92"/>
      <c r="L230" s="180"/>
      <c r="M230" s="117"/>
      <c r="N230" s="117"/>
      <c r="O230" s="117"/>
      <c r="P230" s="92"/>
      <c r="Q230" s="150"/>
      <c r="R230" s="117"/>
      <c r="S230" s="117"/>
      <c r="T230" s="117"/>
      <c r="U230" s="115"/>
      <c r="V230" s="180"/>
      <c r="W230" s="117"/>
      <c r="X230" s="117"/>
      <c r="Y230" s="117"/>
      <c r="Z230" s="115"/>
      <c r="AA230" s="180"/>
      <c r="AB230" s="117"/>
      <c r="AC230" s="117"/>
      <c r="AD230" s="117"/>
      <c r="AE230" s="115"/>
      <c r="AF230" s="180"/>
      <c r="AG230" s="117"/>
      <c r="AH230" s="117"/>
      <c r="AI230" s="117"/>
      <c r="AJ230" s="115"/>
      <c r="AK230" s="180"/>
      <c r="AL230" s="117"/>
      <c r="AM230" s="117"/>
      <c r="AN230" s="117"/>
      <c r="AO230" s="115"/>
      <c r="AP230" s="180"/>
      <c r="AQ230" s="117"/>
      <c r="AR230" s="117"/>
      <c r="AS230" s="117"/>
      <c r="AT230" s="117"/>
      <c r="AU230" s="117"/>
      <c r="AV230" s="117"/>
      <c r="AW230" s="117"/>
      <c r="AX230" s="117"/>
      <c r="AY230" s="117"/>
      <c r="AZ230" s="117"/>
      <c r="BA230" s="117"/>
      <c r="BB230" s="117"/>
      <c r="BC230" s="117"/>
    </row>
    <row r="231">
      <c r="A231" s="115"/>
      <c r="B231" s="180"/>
      <c r="C231" s="117"/>
      <c r="D231" s="117"/>
      <c r="E231" s="117"/>
      <c r="F231" s="115"/>
      <c r="G231" s="180"/>
      <c r="H231" s="117"/>
      <c r="I231" s="117"/>
      <c r="J231" s="117"/>
      <c r="K231" s="92"/>
      <c r="L231" s="180"/>
      <c r="M231" s="117"/>
      <c r="N231" s="117"/>
      <c r="O231" s="117"/>
      <c r="P231" s="92"/>
      <c r="Q231" s="150"/>
      <c r="R231" s="117"/>
      <c r="S231" s="117"/>
      <c r="T231" s="117"/>
      <c r="U231" s="115"/>
      <c r="V231" s="180"/>
      <c r="W231" s="117"/>
      <c r="X231" s="117"/>
      <c r="Y231" s="117"/>
      <c r="Z231" s="115"/>
      <c r="AA231" s="180"/>
      <c r="AB231" s="117"/>
      <c r="AC231" s="117"/>
      <c r="AD231" s="117"/>
      <c r="AE231" s="115"/>
      <c r="AF231" s="180"/>
      <c r="AG231" s="117"/>
      <c r="AH231" s="117"/>
      <c r="AI231" s="117"/>
      <c r="AJ231" s="115"/>
      <c r="AK231" s="180"/>
      <c r="AL231" s="117"/>
      <c r="AM231" s="117"/>
      <c r="AN231" s="117"/>
      <c r="AO231" s="115"/>
      <c r="AP231" s="180"/>
      <c r="AQ231" s="117"/>
      <c r="AR231" s="117"/>
      <c r="AS231" s="117"/>
      <c r="AT231" s="117"/>
      <c r="AU231" s="117"/>
      <c r="AV231" s="117"/>
      <c r="AW231" s="117"/>
      <c r="AX231" s="117"/>
      <c r="AY231" s="117"/>
      <c r="AZ231" s="117"/>
      <c r="BA231" s="117"/>
      <c r="BB231" s="117"/>
      <c r="BC231" s="117"/>
    </row>
    <row r="232">
      <c r="A232" s="115"/>
      <c r="B232" s="180"/>
      <c r="C232" s="117"/>
      <c r="D232" s="117"/>
      <c r="E232" s="117"/>
      <c r="F232" s="115"/>
      <c r="G232" s="180"/>
      <c r="H232" s="117"/>
      <c r="I232" s="117"/>
      <c r="J232" s="117"/>
      <c r="K232" s="92"/>
      <c r="L232" s="180"/>
      <c r="M232" s="117"/>
      <c r="N232" s="117"/>
      <c r="O232" s="117"/>
      <c r="P232" s="92"/>
      <c r="Q232" s="150"/>
      <c r="R232" s="117"/>
      <c r="S232" s="117"/>
      <c r="T232" s="117"/>
      <c r="U232" s="115"/>
      <c r="V232" s="180"/>
      <c r="W232" s="117"/>
      <c r="X232" s="117"/>
      <c r="Y232" s="117"/>
      <c r="Z232" s="115"/>
      <c r="AA232" s="180"/>
      <c r="AB232" s="117"/>
      <c r="AC232" s="117"/>
      <c r="AD232" s="117"/>
      <c r="AE232" s="115"/>
      <c r="AF232" s="180"/>
      <c r="AG232" s="117"/>
      <c r="AH232" s="117"/>
      <c r="AI232" s="117"/>
      <c r="AJ232" s="115"/>
      <c r="AK232" s="180"/>
      <c r="AL232" s="117"/>
      <c r="AM232" s="117"/>
      <c r="AN232" s="117"/>
      <c r="AO232" s="115"/>
      <c r="AP232" s="180"/>
      <c r="AQ232" s="117"/>
      <c r="AR232" s="117"/>
      <c r="AS232" s="117"/>
      <c r="AT232" s="117"/>
      <c r="AU232" s="117"/>
      <c r="AV232" s="117"/>
      <c r="AW232" s="117"/>
      <c r="AX232" s="117"/>
      <c r="AY232" s="117"/>
      <c r="AZ232" s="117"/>
      <c r="BA232" s="117"/>
      <c r="BB232" s="117"/>
      <c r="BC232" s="117"/>
    </row>
    <row r="233">
      <c r="A233" s="115"/>
      <c r="B233" s="180"/>
      <c r="C233" s="117"/>
      <c r="D233" s="117"/>
      <c r="E233" s="117"/>
      <c r="F233" s="115"/>
      <c r="G233" s="180"/>
      <c r="H233" s="117"/>
      <c r="I233" s="117"/>
      <c r="J233" s="117"/>
      <c r="K233" s="92"/>
      <c r="L233" s="180"/>
      <c r="M233" s="117"/>
      <c r="N233" s="117"/>
      <c r="O233" s="117"/>
      <c r="P233" s="92"/>
      <c r="Q233" s="150"/>
      <c r="R233" s="117"/>
      <c r="S233" s="117"/>
      <c r="T233" s="117"/>
      <c r="U233" s="115"/>
      <c r="V233" s="180"/>
      <c r="W233" s="117"/>
      <c r="X233" s="117"/>
      <c r="Y233" s="117"/>
      <c r="Z233" s="115"/>
      <c r="AA233" s="180"/>
      <c r="AB233" s="117"/>
      <c r="AC233" s="117"/>
      <c r="AD233" s="117"/>
      <c r="AE233" s="115"/>
      <c r="AF233" s="180"/>
      <c r="AG233" s="117"/>
      <c r="AH233" s="117"/>
      <c r="AI233" s="117"/>
      <c r="AJ233" s="115"/>
      <c r="AK233" s="180"/>
      <c r="AL233" s="117"/>
      <c r="AM233" s="117"/>
      <c r="AN233" s="117"/>
      <c r="AO233" s="115"/>
      <c r="AP233" s="180"/>
      <c r="AQ233" s="117"/>
      <c r="AR233" s="117"/>
      <c r="AS233" s="117"/>
      <c r="AT233" s="117"/>
      <c r="AU233" s="117"/>
      <c r="AV233" s="117"/>
      <c r="AW233" s="117"/>
      <c r="AX233" s="117"/>
      <c r="AY233" s="117"/>
      <c r="AZ233" s="117"/>
      <c r="BA233" s="117"/>
      <c r="BB233" s="117"/>
      <c r="BC233" s="117"/>
    </row>
    <row r="234">
      <c r="A234" s="115"/>
      <c r="B234" s="180"/>
      <c r="C234" s="117"/>
      <c r="D234" s="117"/>
      <c r="E234" s="117"/>
      <c r="F234" s="115"/>
      <c r="G234" s="180"/>
      <c r="H234" s="117"/>
      <c r="I234" s="117"/>
      <c r="J234" s="117"/>
      <c r="K234" s="92"/>
      <c r="L234" s="180"/>
      <c r="M234" s="117"/>
      <c r="N234" s="117"/>
      <c r="O234" s="117"/>
      <c r="P234" s="92"/>
      <c r="Q234" s="150"/>
      <c r="R234" s="117"/>
      <c r="S234" s="117"/>
      <c r="T234" s="117"/>
      <c r="U234" s="115"/>
      <c r="V234" s="180"/>
      <c r="W234" s="117"/>
      <c r="X234" s="117"/>
      <c r="Y234" s="117"/>
      <c r="Z234" s="115"/>
      <c r="AA234" s="180"/>
      <c r="AB234" s="117"/>
      <c r="AC234" s="117"/>
      <c r="AD234" s="117"/>
      <c r="AE234" s="115"/>
      <c r="AF234" s="180"/>
      <c r="AG234" s="117"/>
      <c r="AH234" s="117"/>
      <c r="AI234" s="117"/>
      <c r="AJ234" s="115"/>
      <c r="AK234" s="180"/>
      <c r="AL234" s="117"/>
      <c r="AM234" s="117"/>
      <c r="AN234" s="117"/>
      <c r="AO234" s="115"/>
      <c r="AP234" s="180"/>
      <c r="AQ234" s="117"/>
      <c r="AR234" s="117"/>
      <c r="AS234" s="117"/>
      <c r="AT234" s="117"/>
      <c r="AU234" s="117"/>
      <c r="AV234" s="117"/>
      <c r="AW234" s="117"/>
      <c r="AX234" s="117"/>
      <c r="AY234" s="117"/>
      <c r="AZ234" s="117"/>
      <c r="BA234" s="117"/>
      <c r="BB234" s="117"/>
      <c r="BC234" s="117"/>
    </row>
    <row r="235">
      <c r="A235" s="115"/>
      <c r="B235" s="180"/>
      <c r="C235" s="117"/>
      <c r="D235" s="117"/>
      <c r="E235" s="117"/>
      <c r="F235" s="115"/>
      <c r="G235" s="180"/>
      <c r="H235" s="117"/>
      <c r="I235" s="117"/>
      <c r="J235" s="117"/>
      <c r="K235" s="92"/>
      <c r="L235" s="180"/>
      <c r="M235" s="117"/>
      <c r="N235" s="117"/>
      <c r="O235" s="117"/>
      <c r="P235" s="92"/>
      <c r="Q235" s="150"/>
      <c r="R235" s="117"/>
      <c r="S235" s="117"/>
      <c r="T235" s="117"/>
      <c r="U235" s="115"/>
      <c r="V235" s="180"/>
      <c r="W235" s="117"/>
      <c r="X235" s="117"/>
      <c r="Y235" s="117"/>
      <c r="Z235" s="115"/>
      <c r="AA235" s="180"/>
      <c r="AB235" s="117"/>
      <c r="AC235" s="117"/>
      <c r="AD235" s="117"/>
      <c r="AE235" s="115"/>
      <c r="AF235" s="180"/>
      <c r="AG235" s="117"/>
      <c r="AH235" s="117"/>
      <c r="AI235" s="117"/>
      <c r="AJ235" s="115"/>
      <c r="AK235" s="180"/>
      <c r="AL235" s="117"/>
      <c r="AM235" s="117"/>
      <c r="AN235" s="117"/>
      <c r="AO235" s="115"/>
      <c r="AP235" s="180"/>
      <c r="AQ235" s="117"/>
      <c r="AR235" s="117"/>
      <c r="AS235" s="117"/>
      <c r="AT235" s="117"/>
      <c r="AU235" s="117"/>
      <c r="AV235" s="117"/>
      <c r="AW235" s="117"/>
      <c r="AX235" s="117"/>
      <c r="AY235" s="117"/>
      <c r="AZ235" s="117"/>
      <c r="BA235" s="117"/>
      <c r="BB235" s="117"/>
      <c r="BC235" s="117"/>
    </row>
    <row r="236">
      <c r="A236" s="115"/>
      <c r="B236" s="180"/>
      <c r="C236" s="117"/>
      <c r="D236" s="117"/>
      <c r="E236" s="117"/>
      <c r="F236" s="115"/>
      <c r="G236" s="180"/>
      <c r="H236" s="117"/>
      <c r="I236" s="117"/>
      <c r="J236" s="117"/>
      <c r="K236" s="92"/>
      <c r="L236" s="180"/>
      <c r="M236" s="117"/>
      <c r="N236" s="117"/>
      <c r="O236" s="117"/>
      <c r="P236" s="92"/>
      <c r="Q236" s="150"/>
      <c r="R236" s="117"/>
      <c r="S236" s="117"/>
      <c r="T236" s="117"/>
      <c r="U236" s="115"/>
      <c r="V236" s="180"/>
      <c r="W236" s="117"/>
      <c r="X236" s="117"/>
      <c r="Y236" s="117"/>
      <c r="Z236" s="115"/>
      <c r="AA236" s="180"/>
      <c r="AB236" s="117"/>
      <c r="AC236" s="117"/>
      <c r="AD236" s="117"/>
      <c r="AE236" s="115"/>
      <c r="AF236" s="180"/>
      <c r="AG236" s="117"/>
      <c r="AH236" s="117"/>
      <c r="AI236" s="117"/>
      <c r="AJ236" s="115"/>
      <c r="AK236" s="180"/>
      <c r="AL236" s="117"/>
      <c r="AM236" s="117"/>
      <c r="AN236" s="117"/>
      <c r="AO236" s="115"/>
      <c r="AP236" s="180"/>
      <c r="AQ236" s="117"/>
      <c r="AR236" s="117"/>
      <c r="AS236" s="117"/>
      <c r="AT236" s="117"/>
      <c r="AU236" s="117"/>
      <c r="AV236" s="117"/>
      <c r="AW236" s="117"/>
      <c r="AX236" s="117"/>
      <c r="AY236" s="117"/>
      <c r="AZ236" s="117"/>
      <c r="BA236" s="117"/>
      <c r="BB236" s="117"/>
      <c r="BC236" s="117"/>
    </row>
    <row r="237">
      <c r="A237" s="115"/>
      <c r="B237" s="180"/>
      <c r="C237" s="117"/>
      <c r="D237" s="117"/>
      <c r="E237" s="117"/>
      <c r="F237" s="115"/>
      <c r="G237" s="180"/>
      <c r="H237" s="117"/>
      <c r="I237" s="117"/>
      <c r="J237" s="117"/>
      <c r="K237" s="92"/>
      <c r="L237" s="180"/>
      <c r="M237" s="117"/>
      <c r="N237" s="117"/>
      <c r="O237" s="117"/>
      <c r="P237" s="92"/>
      <c r="Q237" s="150"/>
      <c r="R237" s="117"/>
      <c r="S237" s="117"/>
      <c r="T237" s="117"/>
      <c r="U237" s="115"/>
      <c r="V237" s="180"/>
      <c r="W237" s="117"/>
      <c r="X237" s="117"/>
      <c r="Y237" s="117"/>
      <c r="Z237" s="115"/>
      <c r="AA237" s="180"/>
      <c r="AB237" s="117"/>
      <c r="AC237" s="117"/>
      <c r="AD237" s="117"/>
      <c r="AE237" s="115"/>
      <c r="AF237" s="180"/>
      <c r="AG237" s="117"/>
      <c r="AH237" s="117"/>
      <c r="AI237" s="117"/>
      <c r="AJ237" s="115"/>
      <c r="AK237" s="180"/>
      <c r="AL237" s="117"/>
      <c r="AM237" s="117"/>
      <c r="AN237" s="117"/>
      <c r="AO237" s="115"/>
      <c r="AP237" s="180"/>
      <c r="AQ237" s="117"/>
      <c r="AR237" s="117"/>
      <c r="AS237" s="117"/>
      <c r="AT237" s="117"/>
      <c r="AU237" s="117"/>
      <c r="AV237" s="117"/>
      <c r="AW237" s="117"/>
      <c r="AX237" s="117"/>
      <c r="AY237" s="117"/>
      <c r="AZ237" s="117"/>
      <c r="BA237" s="117"/>
      <c r="BB237" s="117"/>
      <c r="BC237" s="117"/>
    </row>
    <row r="238">
      <c r="A238" s="115"/>
      <c r="B238" s="180"/>
      <c r="C238" s="117"/>
      <c r="D238" s="117"/>
      <c r="E238" s="117"/>
      <c r="F238" s="115"/>
      <c r="G238" s="180"/>
      <c r="H238" s="117"/>
      <c r="I238" s="117"/>
      <c r="J238" s="117"/>
      <c r="K238" s="92"/>
      <c r="L238" s="180"/>
      <c r="M238" s="117"/>
      <c r="N238" s="117"/>
      <c r="O238" s="117"/>
      <c r="P238" s="92"/>
      <c r="Q238" s="150"/>
      <c r="R238" s="117"/>
      <c r="S238" s="117"/>
      <c r="T238" s="117"/>
      <c r="U238" s="115"/>
      <c r="V238" s="180"/>
      <c r="W238" s="117"/>
      <c r="X238" s="117"/>
      <c r="Y238" s="117"/>
      <c r="Z238" s="115"/>
      <c r="AA238" s="180"/>
      <c r="AB238" s="117"/>
      <c r="AC238" s="117"/>
      <c r="AD238" s="117"/>
      <c r="AE238" s="115"/>
      <c r="AF238" s="180"/>
      <c r="AG238" s="117"/>
      <c r="AH238" s="117"/>
      <c r="AI238" s="117"/>
      <c r="AJ238" s="115"/>
      <c r="AK238" s="180"/>
      <c r="AL238" s="117"/>
      <c r="AM238" s="117"/>
      <c r="AN238" s="117"/>
      <c r="AO238" s="115"/>
      <c r="AP238" s="180"/>
      <c r="AQ238" s="117"/>
      <c r="AR238" s="117"/>
      <c r="AS238" s="117"/>
      <c r="AT238" s="117"/>
      <c r="AU238" s="117"/>
      <c r="AV238" s="117"/>
      <c r="AW238" s="117"/>
      <c r="AX238" s="117"/>
      <c r="AY238" s="117"/>
      <c r="AZ238" s="117"/>
      <c r="BA238" s="117"/>
      <c r="BB238" s="117"/>
      <c r="BC238" s="117"/>
    </row>
    <row r="239">
      <c r="A239" s="115"/>
      <c r="B239" s="180"/>
      <c r="C239" s="117"/>
      <c r="D239" s="117"/>
      <c r="E239" s="117"/>
      <c r="F239" s="115"/>
      <c r="G239" s="180"/>
      <c r="H239" s="117"/>
      <c r="I239" s="117"/>
      <c r="J239" s="117"/>
      <c r="K239" s="92"/>
      <c r="L239" s="180"/>
      <c r="M239" s="117"/>
      <c r="N239" s="117"/>
      <c r="O239" s="117"/>
      <c r="P239" s="92"/>
      <c r="Q239" s="150"/>
      <c r="R239" s="117"/>
      <c r="S239" s="117"/>
      <c r="T239" s="117"/>
      <c r="U239" s="115"/>
      <c r="V239" s="180"/>
      <c r="W239" s="117"/>
      <c r="X239" s="117"/>
      <c r="Y239" s="117"/>
      <c r="Z239" s="115"/>
      <c r="AA239" s="180"/>
      <c r="AB239" s="117"/>
      <c r="AC239" s="117"/>
      <c r="AD239" s="117"/>
      <c r="AE239" s="115"/>
      <c r="AF239" s="180"/>
      <c r="AG239" s="117"/>
      <c r="AH239" s="117"/>
      <c r="AI239" s="117"/>
      <c r="AJ239" s="115"/>
      <c r="AK239" s="180"/>
      <c r="AL239" s="117"/>
      <c r="AM239" s="117"/>
      <c r="AN239" s="117"/>
      <c r="AO239" s="115"/>
      <c r="AP239" s="180"/>
      <c r="AQ239" s="117"/>
      <c r="AR239" s="117"/>
      <c r="AS239" s="117"/>
      <c r="AT239" s="117"/>
      <c r="AU239" s="117"/>
      <c r="AV239" s="117"/>
      <c r="AW239" s="117"/>
      <c r="AX239" s="117"/>
      <c r="AY239" s="117"/>
      <c r="AZ239" s="117"/>
      <c r="BA239" s="117"/>
      <c r="BB239" s="117"/>
      <c r="BC239" s="117"/>
    </row>
    <row r="240">
      <c r="A240" s="115"/>
      <c r="B240" s="180"/>
      <c r="C240" s="117"/>
      <c r="D240" s="117"/>
      <c r="E240" s="117"/>
      <c r="F240" s="115"/>
      <c r="G240" s="180"/>
      <c r="H240" s="117"/>
      <c r="I240" s="117"/>
      <c r="J240" s="117"/>
      <c r="K240" s="92"/>
      <c r="L240" s="180"/>
      <c r="M240" s="117"/>
      <c r="N240" s="117"/>
      <c r="O240" s="117"/>
      <c r="P240" s="92"/>
      <c r="Q240" s="150"/>
      <c r="R240" s="117"/>
      <c r="S240" s="117"/>
      <c r="T240" s="117"/>
      <c r="U240" s="115"/>
      <c r="V240" s="180"/>
      <c r="W240" s="117"/>
      <c r="X240" s="117"/>
      <c r="Y240" s="117"/>
      <c r="Z240" s="115"/>
      <c r="AA240" s="180"/>
      <c r="AB240" s="117"/>
      <c r="AC240" s="117"/>
      <c r="AD240" s="117"/>
      <c r="AE240" s="115"/>
      <c r="AF240" s="180"/>
      <c r="AG240" s="117"/>
      <c r="AH240" s="117"/>
      <c r="AI240" s="117"/>
      <c r="AJ240" s="115"/>
      <c r="AK240" s="180"/>
      <c r="AL240" s="117"/>
      <c r="AM240" s="117"/>
      <c r="AN240" s="117"/>
      <c r="AO240" s="115"/>
      <c r="AP240" s="180"/>
      <c r="AQ240" s="117"/>
      <c r="AR240" s="117"/>
      <c r="AS240" s="117"/>
      <c r="AT240" s="117"/>
      <c r="AU240" s="117"/>
      <c r="AV240" s="117"/>
      <c r="AW240" s="117"/>
      <c r="AX240" s="117"/>
      <c r="AY240" s="117"/>
      <c r="AZ240" s="117"/>
      <c r="BA240" s="117"/>
      <c r="BB240" s="117"/>
      <c r="BC240" s="117"/>
    </row>
    <row r="241">
      <c r="A241" s="115"/>
      <c r="B241" s="180"/>
      <c r="C241" s="117"/>
      <c r="D241" s="117"/>
      <c r="E241" s="117"/>
      <c r="F241" s="115"/>
      <c r="G241" s="180"/>
      <c r="H241" s="117"/>
      <c r="I241" s="117"/>
      <c r="J241" s="117"/>
      <c r="K241" s="92"/>
      <c r="L241" s="180"/>
      <c r="M241" s="117"/>
      <c r="N241" s="117"/>
      <c r="O241" s="117"/>
      <c r="P241" s="92"/>
      <c r="Q241" s="150"/>
      <c r="R241" s="117"/>
      <c r="S241" s="117"/>
      <c r="T241" s="117"/>
      <c r="U241" s="115"/>
      <c r="V241" s="180"/>
      <c r="W241" s="117"/>
      <c r="X241" s="117"/>
      <c r="Y241" s="117"/>
      <c r="Z241" s="115"/>
      <c r="AA241" s="180"/>
      <c r="AB241" s="117"/>
      <c r="AC241" s="117"/>
      <c r="AD241" s="117"/>
      <c r="AE241" s="115"/>
      <c r="AF241" s="180"/>
      <c r="AG241" s="117"/>
      <c r="AH241" s="117"/>
      <c r="AI241" s="117"/>
      <c r="AJ241" s="115"/>
      <c r="AK241" s="180"/>
      <c r="AL241" s="117"/>
      <c r="AM241" s="117"/>
      <c r="AN241" s="117"/>
      <c r="AO241" s="115"/>
      <c r="AP241" s="180"/>
      <c r="AQ241" s="117"/>
      <c r="AR241" s="117"/>
      <c r="AS241" s="117"/>
      <c r="AT241" s="117"/>
      <c r="AU241" s="117"/>
      <c r="AV241" s="117"/>
      <c r="AW241" s="117"/>
      <c r="AX241" s="117"/>
      <c r="AY241" s="117"/>
      <c r="AZ241" s="117"/>
      <c r="BA241" s="117"/>
      <c r="BB241" s="117"/>
      <c r="BC241" s="117"/>
    </row>
    <row r="242">
      <c r="A242" s="115"/>
      <c r="B242" s="180"/>
      <c r="C242" s="117"/>
      <c r="D242" s="117"/>
      <c r="E242" s="117"/>
      <c r="F242" s="115"/>
      <c r="G242" s="180"/>
      <c r="H242" s="117"/>
      <c r="I242" s="117"/>
      <c r="J242" s="117"/>
      <c r="K242" s="92"/>
      <c r="L242" s="180"/>
      <c r="M242" s="117"/>
      <c r="N242" s="117"/>
      <c r="O242" s="117"/>
      <c r="P242" s="92"/>
      <c r="Q242" s="150"/>
      <c r="R242" s="117"/>
      <c r="S242" s="117"/>
      <c r="T242" s="117"/>
      <c r="U242" s="115"/>
      <c r="V242" s="180"/>
      <c r="W242" s="117"/>
      <c r="X242" s="117"/>
      <c r="Y242" s="117"/>
      <c r="Z242" s="115"/>
      <c r="AA242" s="180"/>
      <c r="AB242" s="117"/>
      <c r="AC242" s="117"/>
      <c r="AD242" s="117"/>
      <c r="AE242" s="115"/>
      <c r="AF242" s="180"/>
      <c r="AG242" s="117"/>
      <c r="AH242" s="117"/>
      <c r="AI242" s="117"/>
      <c r="AJ242" s="115"/>
      <c r="AK242" s="180"/>
      <c r="AL242" s="117"/>
      <c r="AM242" s="117"/>
      <c r="AN242" s="117"/>
      <c r="AO242" s="115"/>
      <c r="AP242" s="180"/>
      <c r="AQ242" s="117"/>
      <c r="AR242" s="117"/>
      <c r="AS242" s="117"/>
      <c r="AT242" s="117"/>
      <c r="AU242" s="117"/>
      <c r="AV242" s="117"/>
      <c r="AW242" s="117"/>
      <c r="AX242" s="117"/>
      <c r="AY242" s="117"/>
      <c r="AZ242" s="117"/>
      <c r="BA242" s="117"/>
      <c r="BB242" s="117"/>
      <c r="BC242" s="117"/>
    </row>
    <row r="243">
      <c r="A243" s="115"/>
      <c r="B243" s="180"/>
      <c r="C243" s="117"/>
      <c r="D243" s="117"/>
      <c r="E243" s="117"/>
      <c r="F243" s="115"/>
      <c r="G243" s="180"/>
      <c r="H243" s="117"/>
      <c r="I243" s="117"/>
      <c r="J243" s="117"/>
      <c r="K243" s="92"/>
      <c r="L243" s="180"/>
      <c r="M243" s="117"/>
      <c r="N243" s="117"/>
      <c r="O243" s="117"/>
      <c r="P243" s="92"/>
      <c r="Q243" s="150"/>
      <c r="R243" s="117"/>
      <c r="S243" s="117"/>
      <c r="T243" s="117"/>
      <c r="U243" s="115"/>
      <c r="V243" s="180"/>
      <c r="W243" s="117"/>
      <c r="X243" s="117"/>
      <c r="Y243" s="117"/>
      <c r="Z243" s="115"/>
      <c r="AA243" s="180"/>
      <c r="AB243" s="117"/>
      <c r="AC243" s="117"/>
      <c r="AD243" s="117"/>
      <c r="AE243" s="115"/>
      <c r="AF243" s="180"/>
      <c r="AG243" s="117"/>
      <c r="AH243" s="117"/>
      <c r="AI243" s="117"/>
      <c r="AJ243" s="115"/>
      <c r="AK243" s="180"/>
      <c r="AL243" s="117"/>
      <c r="AM243" s="117"/>
      <c r="AN243" s="117"/>
      <c r="AO243" s="115"/>
      <c r="AP243" s="180"/>
      <c r="AQ243" s="117"/>
      <c r="AR243" s="117"/>
      <c r="AS243" s="117"/>
      <c r="AT243" s="117"/>
      <c r="AU243" s="117"/>
      <c r="AV243" s="117"/>
      <c r="AW243" s="117"/>
      <c r="AX243" s="117"/>
      <c r="AY243" s="117"/>
      <c r="AZ243" s="117"/>
      <c r="BA243" s="117"/>
      <c r="BB243" s="117"/>
      <c r="BC243" s="117"/>
    </row>
    <row r="244">
      <c r="A244" s="115"/>
      <c r="B244" s="180"/>
      <c r="C244" s="117"/>
      <c r="D244" s="117"/>
      <c r="E244" s="117"/>
      <c r="F244" s="115"/>
      <c r="G244" s="180"/>
      <c r="H244" s="117"/>
      <c r="I244" s="117"/>
      <c r="J244" s="117"/>
      <c r="K244" s="92"/>
      <c r="L244" s="180"/>
      <c r="M244" s="117"/>
      <c r="N244" s="117"/>
      <c r="O244" s="117"/>
      <c r="P244" s="92"/>
      <c r="Q244" s="150"/>
      <c r="R244" s="117"/>
      <c r="S244" s="117"/>
      <c r="T244" s="117"/>
      <c r="U244" s="115"/>
      <c r="V244" s="180"/>
      <c r="W244" s="117"/>
      <c r="X244" s="117"/>
      <c r="Y244" s="117"/>
      <c r="Z244" s="115"/>
      <c r="AA244" s="180"/>
      <c r="AB244" s="117"/>
      <c r="AC244" s="117"/>
      <c r="AD244" s="117"/>
      <c r="AE244" s="115"/>
      <c r="AF244" s="180"/>
      <c r="AG244" s="117"/>
      <c r="AH244" s="117"/>
      <c r="AI244" s="117"/>
      <c r="AJ244" s="115"/>
      <c r="AK244" s="180"/>
      <c r="AL244" s="117"/>
      <c r="AM244" s="117"/>
      <c r="AN244" s="117"/>
      <c r="AO244" s="115"/>
      <c r="AP244" s="180"/>
      <c r="AQ244" s="117"/>
      <c r="AR244" s="117"/>
      <c r="AS244" s="117"/>
      <c r="AT244" s="117"/>
      <c r="AU244" s="117"/>
      <c r="AV244" s="117"/>
      <c r="AW244" s="117"/>
      <c r="AX244" s="117"/>
      <c r="AY244" s="117"/>
      <c r="AZ244" s="117"/>
      <c r="BA244" s="117"/>
      <c r="BB244" s="117"/>
      <c r="BC244" s="117"/>
    </row>
    <row r="245">
      <c r="A245" s="115"/>
      <c r="B245" s="180"/>
      <c r="C245" s="117"/>
      <c r="D245" s="117"/>
      <c r="E245" s="117"/>
      <c r="F245" s="115"/>
      <c r="G245" s="180"/>
      <c r="H245" s="117"/>
      <c r="I245" s="117"/>
      <c r="J245" s="117"/>
      <c r="K245" s="92"/>
      <c r="L245" s="180"/>
      <c r="M245" s="117"/>
      <c r="N245" s="117"/>
      <c r="O245" s="117"/>
      <c r="P245" s="92"/>
      <c r="Q245" s="150"/>
      <c r="R245" s="117"/>
      <c r="S245" s="117"/>
      <c r="T245" s="117"/>
      <c r="U245" s="115"/>
      <c r="V245" s="180"/>
      <c r="W245" s="117"/>
      <c r="X245" s="117"/>
      <c r="Y245" s="117"/>
      <c r="Z245" s="115"/>
      <c r="AA245" s="180"/>
      <c r="AB245" s="117"/>
      <c r="AC245" s="117"/>
      <c r="AD245" s="117"/>
      <c r="AE245" s="115"/>
      <c r="AF245" s="180"/>
      <c r="AG245" s="117"/>
      <c r="AH245" s="117"/>
      <c r="AI245" s="117"/>
      <c r="AJ245" s="115"/>
      <c r="AK245" s="180"/>
      <c r="AL245" s="117"/>
      <c r="AM245" s="117"/>
      <c r="AN245" s="117"/>
      <c r="AO245" s="115"/>
      <c r="AP245" s="180"/>
      <c r="AQ245" s="117"/>
      <c r="AR245" s="117"/>
      <c r="AS245" s="117"/>
      <c r="AT245" s="117"/>
      <c r="AU245" s="117"/>
      <c r="AV245" s="117"/>
      <c r="AW245" s="117"/>
      <c r="AX245" s="117"/>
      <c r="AY245" s="117"/>
      <c r="AZ245" s="117"/>
      <c r="BA245" s="117"/>
      <c r="BB245" s="117"/>
      <c r="BC245" s="117"/>
    </row>
    <row r="246">
      <c r="A246" s="115"/>
      <c r="B246" s="180"/>
      <c r="C246" s="117"/>
      <c r="D246" s="117"/>
      <c r="E246" s="117"/>
      <c r="F246" s="115"/>
      <c r="G246" s="180"/>
      <c r="H246" s="117"/>
      <c r="I246" s="117"/>
      <c r="J246" s="117"/>
      <c r="K246" s="92"/>
      <c r="L246" s="180"/>
      <c r="M246" s="117"/>
      <c r="N246" s="117"/>
      <c r="O246" s="117"/>
      <c r="P246" s="92"/>
      <c r="Q246" s="150"/>
      <c r="R246" s="117"/>
      <c r="S246" s="117"/>
      <c r="T246" s="117"/>
      <c r="U246" s="115"/>
      <c r="V246" s="180"/>
      <c r="W246" s="117"/>
      <c r="X246" s="117"/>
      <c r="Y246" s="117"/>
      <c r="Z246" s="115"/>
      <c r="AA246" s="180"/>
      <c r="AB246" s="117"/>
      <c r="AC246" s="117"/>
      <c r="AD246" s="117"/>
      <c r="AE246" s="115"/>
      <c r="AF246" s="180"/>
      <c r="AG246" s="117"/>
      <c r="AH246" s="117"/>
      <c r="AI246" s="117"/>
      <c r="AJ246" s="115"/>
      <c r="AK246" s="180"/>
      <c r="AL246" s="117"/>
      <c r="AM246" s="117"/>
      <c r="AN246" s="117"/>
      <c r="AO246" s="115"/>
      <c r="AP246" s="180"/>
      <c r="AQ246" s="117"/>
      <c r="AR246" s="117"/>
      <c r="AS246" s="117"/>
      <c r="AT246" s="117"/>
      <c r="AU246" s="117"/>
      <c r="AV246" s="117"/>
      <c r="AW246" s="117"/>
      <c r="AX246" s="117"/>
      <c r="AY246" s="117"/>
      <c r="AZ246" s="117"/>
      <c r="BA246" s="117"/>
      <c r="BB246" s="117"/>
      <c r="BC246" s="117"/>
    </row>
    <row r="247">
      <c r="A247" s="115"/>
      <c r="B247" s="180"/>
      <c r="C247" s="117"/>
      <c r="D247" s="117"/>
      <c r="E247" s="117"/>
      <c r="F247" s="115"/>
      <c r="G247" s="180"/>
      <c r="H247" s="117"/>
      <c r="I247" s="117"/>
      <c r="J247" s="117"/>
      <c r="K247" s="92"/>
      <c r="L247" s="180"/>
      <c r="M247" s="117"/>
      <c r="N247" s="117"/>
      <c r="O247" s="117"/>
      <c r="P247" s="92"/>
      <c r="Q247" s="150"/>
      <c r="R247" s="117"/>
      <c r="S247" s="117"/>
      <c r="T247" s="117"/>
      <c r="U247" s="115"/>
      <c r="V247" s="180"/>
      <c r="W247" s="117"/>
      <c r="X247" s="117"/>
      <c r="Y247" s="117"/>
      <c r="Z247" s="115"/>
      <c r="AA247" s="180"/>
      <c r="AB247" s="117"/>
      <c r="AC247" s="117"/>
      <c r="AD247" s="117"/>
      <c r="AE247" s="115"/>
      <c r="AF247" s="180"/>
      <c r="AG247" s="117"/>
      <c r="AH247" s="117"/>
      <c r="AI247" s="117"/>
      <c r="AJ247" s="115"/>
      <c r="AK247" s="180"/>
      <c r="AL247" s="117"/>
      <c r="AM247" s="117"/>
      <c r="AN247" s="117"/>
      <c r="AO247" s="115"/>
      <c r="AP247" s="180"/>
      <c r="AQ247" s="117"/>
      <c r="AR247" s="117"/>
      <c r="AS247" s="117"/>
      <c r="AT247" s="117"/>
      <c r="AU247" s="117"/>
      <c r="AV247" s="117"/>
      <c r="AW247" s="117"/>
      <c r="AX247" s="117"/>
      <c r="AY247" s="117"/>
      <c r="AZ247" s="117"/>
      <c r="BA247" s="117"/>
      <c r="BB247" s="117"/>
      <c r="BC247" s="117"/>
    </row>
    <row r="248">
      <c r="A248" s="115"/>
      <c r="B248" s="180"/>
      <c r="C248" s="117"/>
      <c r="D248" s="117"/>
      <c r="E248" s="117"/>
      <c r="F248" s="115"/>
      <c r="G248" s="180"/>
      <c r="H248" s="117"/>
      <c r="I248" s="117"/>
      <c r="J248" s="117"/>
      <c r="K248" s="92"/>
      <c r="L248" s="180"/>
      <c r="M248" s="117"/>
      <c r="N248" s="117"/>
      <c r="O248" s="117"/>
      <c r="P248" s="92"/>
      <c r="Q248" s="150"/>
      <c r="R248" s="117"/>
      <c r="S248" s="117"/>
      <c r="T248" s="117"/>
      <c r="U248" s="115"/>
      <c r="V248" s="180"/>
      <c r="W248" s="117"/>
      <c r="X248" s="117"/>
      <c r="Y248" s="117"/>
      <c r="Z248" s="115"/>
      <c r="AA248" s="180"/>
      <c r="AB248" s="117"/>
      <c r="AC248" s="117"/>
      <c r="AD248" s="117"/>
      <c r="AE248" s="115"/>
      <c r="AF248" s="180"/>
      <c r="AG248" s="117"/>
      <c r="AH248" s="117"/>
      <c r="AI248" s="117"/>
      <c r="AJ248" s="115"/>
      <c r="AK248" s="180"/>
      <c r="AL248" s="117"/>
      <c r="AM248" s="117"/>
      <c r="AN248" s="117"/>
      <c r="AO248" s="115"/>
      <c r="AP248" s="180"/>
      <c r="AQ248" s="117"/>
      <c r="AR248" s="117"/>
      <c r="AS248" s="117"/>
      <c r="AT248" s="117"/>
      <c r="AU248" s="117"/>
      <c r="AV248" s="117"/>
      <c r="AW248" s="117"/>
      <c r="AX248" s="117"/>
      <c r="AY248" s="117"/>
      <c r="AZ248" s="117"/>
      <c r="BA248" s="117"/>
      <c r="BB248" s="117"/>
      <c r="BC248" s="117"/>
    </row>
    <row r="249">
      <c r="A249" s="115"/>
      <c r="B249" s="180"/>
      <c r="C249" s="117"/>
      <c r="D249" s="117"/>
      <c r="E249" s="117"/>
      <c r="F249" s="115"/>
      <c r="G249" s="180"/>
      <c r="H249" s="117"/>
      <c r="I249" s="117"/>
      <c r="J249" s="117"/>
      <c r="K249" s="92"/>
      <c r="L249" s="180"/>
      <c r="M249" s="117"/>
      <c r="N249" s="117"/>
      <c r="O249" s="117"/>
      <c r="P249" s="92"/>
      <c r="Q249" s="150"/>
      <c r="R249" s="117"/>
      <c r="S249" s="117"/>
      <c r="T249" s="117"/>
      <c r="U249" s="115"/>
      <c r="V249" s="180"/>
      <c r="W249" s="117"/>
      <c r="X249" s="117"/>
      <c r="Y249" s="117"/>
      <c r="Z249" s="115"/>
      <c r="AA249" s="180"/>
      <c r="AB249" s="117"/>
      <c r="AC249" s="117"/>
      <c r="AD249" s="117"/>
      <c r="AE249" s="115"/>
      <c r="AF249" s="180"/>
      <c r="AG249" s="117"/>
      <c r="AH249" s="117"/>
      <c r="AI249" s="117"/>
      <c r="AJ249" s="115"/>
      <c r="AK249" s="180"/>
      <c r="AL249" s="117"/>
      <c r="AM249" s="117"/>
      <c r="AN249" s="117"/>
      <c r="AO249" s="115"/>
      <c r="AP249" s="180"/>
      <c r="AQ249" s="117"/>
      <c r="AR249" s="117"/>
      <c r="AS249" s="117"/>
      <c r="AT249" s="117"/>
      <c r="AU249" s="117"/>
      <c r="AV249" s="117"/>
      <c r="AW249" s="117"/>
      <c r="AX249" s="117"/>
      <c r="AY249" s="117"/>
      <c r="AZ249" s="117"/>
      <c r="BA249" s="117"/>
      <c r="BB249" s="117"/>
      <c r="BC249" s="117"/>
    </row>
    <row r="250">
      <c r="A250" s="115"/>
      <c r="B250" s="180"/>
      <c r="C250" s="117"/>
      <c r="D250" s="117"/>
      <c r="E250" s="117"/>
      <c r="F250" s="115"/>
      <c r="G250" s="180"/>
      <c r="H250" s="117"/>
      <c r="I250" s="117"/>
      <c r="J250" s="117"/>
      <c r="K250" s="92"/>
      <c r="L250" s="180"/>
      <c r="M250" s="117"/>
      <c r="N250" s="117"/>
      <c r="O250" s="117"/>
      <c r="P250" s="92"/>
      <c r="Q250" s="150"/>
      <c r="R250" s="117"/>
      <c r="S250" s="117"/>
      <c r="T250" s="117"/>
      <c r="U250" s="115"/>
      <c r="V250" s="180"/>
      <c r="W250" s="117"/>
      <c r="X250" s="117"/>
      <c r="Y250" s="117"/>
      <c r="Z250" s="115"/>
      <c r="AA250" s="180"/>
      <c r="AB250" s="117"/>
      <c r="AC250" s="117"/>
      <c r="AD250" s="117"/>
      <c r="AE250" s="115"/>
      <c r="AF250" s="180"/>
      <c r="AG250" s="117"/>
      <c r="AH250" s="117"/>
      <c r="AI250" s="117"/>
      <c r="AJ250" s="115"/>
      <c r="AK250" s="180"/>
      <c r="AL250" s="117"/>
      <c r="AM250" s="117"/>
      <c r="AN250" s="117"/>
      <c r="AO250" s="115"/>
      <c r="AP250" s="180"/>
      <c r="AQ250" s="117"/>
      <c r="AR250" s="117"/>
      <c r="AS250" s="117"/>
      <c r="AT250" s="117"/>
      <c r="AU250" s="117"/>
      <c r="AV250" s="117"/>
      <c r="AW250" s="117"/>
      <c r="AX250" s="117"/>
      <c r="AY250" s="117"/>
      <c r="AZ250" s="117"/>
      <c r="BA250" s="117"/>
      <c r="BB250" s="117"/>
      <c r="BC250" s="117"/>
    </row>
    <row r="251">
      <c r="A251" s="115"/>
      <c r="B251" s="180"/>
      <c r="C251" s="117"/>
      <c r="D251" s="117"/>
      <c r="E251" s="117"/>
      <c r="F251" s="115"/>
      <c r="G251" s="180"/>
      <c r="H251" s="117"/>
      <c r="I251" s="117"/>
      <c r="J251" s="117"/>
      <c r="K251" s="92"/>
      <c r="L251" s="180"/>
      <c r="M251" s="117"/>
      <c r="N251" s="117"/>
      <c r="O251" s="117"/>
      <c r="P251" s="92"/>
      <c r="Q251" s="150"/>
      <c r="R251" s="117"/>
      <c r="S251" s="117"/>
      <c r="T251" s="117"/>
      <c r="U251" s="115"/>
      <c r="V251" s="180"/>
      <c r="W251" s="117"/>
      <c r="X251" s="117"/>
      <c r="Y251" s="117"/>
      <c r="Z251" s="115"/>
      <c r="AA251" s="180"/>
      <c r="AB251" s="117"/>
      <c r="AC251" s="117"/>
      <c r="AD251" s="117"/>
      <c r="AE251" s="115"/>
      <c r="AF251" s="180"/>
      <c r="AG251" s="117"/>
      <c r="AH251" s="117"/>
      <c r="AI251" s="117"/>
      <c r="AJ251" s="115"/>
      <c r="AK251" s="180"/>
      <c r="AL251" s="117"/>
      <c r="AM251" s="117"/>
      <c r="AN251" s="117"/>
      <c r="AO251" s="115"/>
      <c r="AP251" s="180"/>
      <c r="AQ251" s="117"/>
      <c r="AR251" s="117"/>
      <c r="AS251" s="117"/>
      <c r="AT251" s="117"/>
      <c r="AU251" s="117"/>
      <c r="AV251" s="117"/>
      <c r="AW251" s="117"/>
      <c r="AX251" s="117"/>
      <c r="AY251" s="117"/>
      <c r="AZ251" s="117"/>
      <c r="BA251" s="117"/>
      <c r="BB251" s="117"/>
      <c r="BC251" s="117"/>
    </row>
    <row r="252">
      <c r="A252" s="115"/>
      <c r="B252" s="180"/>
      <c r="C252" s="117"/>
      <c r="D252" s="117"/>
      <c r="E252" s="117"/>
      <c r="F252" s="115"/>
      <c r="G252" s="180"/>
      <c r="H252" s="117"/>
      <c r="I252" s="117"/>
      <c r="J252" s="117"/>
      <c r="K252" s="92"/>
      <c r="L252" s="180"/>
      <c r="M252" s="117"/>
      <c r="N252" s="117"/>
      <c r="O252" s="117"/>
      <c r="P252" s="92"/>
      <c r="Q252" s="150"/>
      <c r="R252" s="117"/>
      <c r="S252" s="117"/>
      <c r="T252" s="117"/>
      <c r="U252" s="115"/>
      <c r="V252" s="180"/>
      <c r="W252" s="117"/>
      <c r="X252" s="117"/>
      <c r="Y252" s="117"/>
      <c r="Z252" s="115"/>
      <c r="AA252" s="180"/>
      <c r="AB252" s="117"/>
      <c r="AC252" s="117"/>
      <c r="AD252" s="117"/>
      <c r="AE252" s="115"/>
      <c r="AF252" s="180"/>
      <c r="AG252" s="117"/>
      <c r="AH252" s="117"/>
      <c r="AI252" s="117"/>
      <c r="AJ252" s="115"/>
      <c r="AK252" s="180"/>
      <c r="AL252" s="117"/>
      <c r="AM252" s="117"/>
      <c r="AN252" s="117"/>
      <c r="AO252" s="115"/>
      <c r="AP252" s="180"/>
      <c r="AQ252" s="117"/>
      <c r="AR252" s="117"/>
      <c r="AS252" s="117"/>
      <c r="AT252" s="117"/>
      <c r="AU252" s="117"/>
      <c r="AV252" s="117"/>
      <c r="AW252" s="117"/>
      <c r="AX252" s="117"/>
      <c r="AY252" s="117"/>
      <c r="AZ252" s="117"/>
      <c r="BA252" s="117"/>
      <c r="BB252" s="117"/>
      <c r="BC252" s="117"/>
    </row>
    <row r="253">
      <c r="A253" s="115"/>
      <c r="B253" s="180"/>
      <c r="C253" s="117"/>
      <c r="D253" s="117"/>
      <c r="E253" s="117"/>
      <c r="F253" s="115"/>
      <c r="G253" s="180"/>
      <c r="H253" s="117"/>
      <c r="I253" s="117"/>
      <c r="J253" s="117"/>
      <c r="K253" s="92"/>
      <c r="L253" s="180"/>
      <c r="M253" s="117"/>
      <c r="N253" s="117"/>
      <c r="O253" s="117"/>
      <c r="P253" s="92"/>
      <c r="Q253" s="150"/>
      <c r="R253" s="117"/>
      <c r="S253" s="117"/>
      <c r="T253" s="117"/>
      <c r="U253" s="115"/>
      <c r="V253" s="180"/>
      <c r="W253" s="117"/>
      <c r="X253" s="117"/>
      <c r="Y253" s="117"/>
      <c r="Z253" s="115"/>
      <c r="AA253" s="180"/>
      <c r="AB253" s="117"/>
      <c r="AC253" s="117"/>
      <c r="AD253" s="117"/>
      <c r="AE253" s="115"/>
      <c r="AF253" s="180"/>
      <c r="AG253" s="117"/>
      <c r="AH253" s="117"/>
      <c r="AI253" s="117"/>
      <c r="AJ253" s="115"/>
      <c r="AK253" s="180"/>
      <c r="AL253" s="117"/>
      <c r="AM253" s="117"/>
      <c r="AN253" s="117"/>
      <c r="AO253" s="115"/>
      <c r="AP253" s="180"/>
      <c r="AQ253" s="117"/>
      <c r="AR253" s="117"/>
      <c r="AS253" s="117"/>
      <c r="AT253" s="117"/>
      <c r="AU253" s="117"/>
      <c r="AV253" s="117"/>
      <c r="AW253" s="117"/>
      <c r="AX253" s="117"/>
      <c r="AY253" s="117"/>
      <c r="AZ253" s="117"/>
      <c r="BA253" s="117"/>
      <c r="BB253" s="117"/>
      <c r="BC253" s="117"/>
    </row>
    <row r="254">
      <c r="A254" s="115"/>
      <c r="B254" s="180"/>
      <c r="C254" s="117"/>
      <c r="D254" s="117"/>
      <c r="E254" s="117"/>
      <c r="F254" s="115"/>
      <c r="G254" s="180"/>
      <c r="H254" s="117"/>
      <c r="I254" s="117"/>
      <c r="J254" s="117"/>
      <c r="K254" s="92"/>
      <c r="L254" s="180"/>
      <c r="M254" s="117"/>
      <c r="N254" s="117"/>
      <c r="O254" s="117"/>
      <c r="P254" s="92"/>
      <c r="Q254" s="150"/>
      <c r="R254" s="117"/>
      <c r="S254" s="117"/>
      <c r="T254" s="117"/>
      <c r="U254" s="115"/>
      <c r="V254" s="180"/>
      <c r="W254" s="117"/>
      <c r="X254" s="117"/>
      <c r="Y254" s="117"/>
      <c r="Z254" s="115"/>
      <c r="AA254" s="180"/>
      <c r="AB254" s="117"/>
      <c r="AC254" s="117"/>
      <c r="AD254" s="117"/>
      <c r="AE254" s="115"/>
      <c r="AF254" s="180"/>
      <c r="AG254" s="117"/>
      <c r="AH254" s="117"/>
      <c r="AI254" s="117"/>
      <c r="AJ254" s="115"/>
      <c r="AK254" s="180"/>
      <c r="AL254" s="117"/>
      <c r="AM254" s="117"/>
      <c r="AN254" s="117"/>
      <c r="AO254" s="115"/>
      <c r="AP254" s="180"/>
      <c r="AQ254" s="117"/>
      <c r="AR254" s="117"/>
      <c r="AS254" s="117"/>
      <c r="AT254" s="117"/>
      <c r="AU254" s="117"/>
      <c r="AV254" s="117"/>
      <c r="AW254" s="117"/>
      <c r="AX254" s="117"/>
      <c r="AY254" s="117"/>
      <c r="AZ254" s="117"/>
      <c r="BA254" s="117"/>
      <c r="BB254" s="117"/>
      <c r="BC254" s="117"/>
    </row>
    <row r="255">
      <c r="A255" s="115"/>
      <c r="B255" s="180"/>
      <c r="C255" s="117"/>
      <c r="D255" s="117"/>
      <c r="E255" s="117"/>
      <c r="F255" s="115"/>
      <c r="G255" s="180"/>
      <c r="H255" s="117"/>
      <c r="I255" s="117"/>
      <c r="J255" s="117"/>
      <c r="K255" s="92"/>
      <c r="L255" s="180"/>
      <c r="M255" s="117"/>
      <c r="N255" s="117"/>
      <c r="O255" s="117"/>
      <c r="P255" s="92"/>
      <c r="Q255" s="150"/>
      <c r="R255" s="117"/>
      <c r="S255" s="117"/>
      <c r="T255" s="117"/>
      <c r="U255" s="115"/>
      <c r="V255" s="180"/>
      <c r="W255" s="117"/>
      <c r="X255" s="117"/>
      <c r="Y255" s="117"/>
      <c r="Z255" s="115"/>
      <c r="AA255" s="180"/>
      <c r="AB255" s="117"/>
      <c r="AC255" s="117"/>
      <c r="AD255" s="117"/>
      <c r="AE255" s="115"/>
      <c r="AF255" s="180"/>
      <c r="AG255" s="117"/>
      <c r="AH255" s="117"/>
      <c r="AI255" s="117"/>
      <c r="AJ255" s="115"/>
      <c r="AK255" s="180"/>
      <c r="AL255" s="117"/>
      <c r="AM255" s="117"/>
      <c r="AN255" s="117"/>
      <c r="AO255" s="115"/>
      <c r="AP255" s="180"/>
      <c r="AQ255" s="117"/>
      <c r="AR255" s="117"/>
      <c r="AS255" s="117"/>
      <c r="AT255" s="117"/>
      <c r="AU255" s="117"/>
      <c r="AV255" s="117"/>
      <c r="AW255" s="117"/>
      <c r="AX255" s="117"/>
      <c r="AY255" s="117"/>
      <c r="AZ255" s="117"/>
      <c r="BA255" s="117"/>
      <c r="BB255" s="117"/>
      <c r="BC255" s="117"/>
    </row>
    <row r="256">
      <c r="A256" s="115"/>
      <c r="B256" s="180"/>
      <c r="C256" s="117"/>
      <c r="D256" s="117"/>
      <c r="E256" s="117"/>
      <c r="F256" s="115"/>
      <c r="G256" s="180"/>
      <c r="H256" s="117"/>
      <c r="I256" s="117"/>
      <c r="J256" s="117"/>
      <c r="K256" s="92"/>
      <c r="L256" s="180"/>
      <c r="M256" s="117"/>
      <c r="N256" s="117"/>
      <c r="O256" s="117"/>
      <c r="P256" s="92"/>
      <c r="Q256" s="150"/>
      <c r="R256" s="117"/>
      <c r="S256" s="117"/>
      <c r="T256" s="117"/>
      <c r="U256" s="115"/>
      <c r="V256" s="180"/>
      <c r="W256" s="117"/>
      <c r="X256" s="117"/>
      <c r="Y256" s="117"/>
      <c r="Z256" s="115"/>
      <c r="AA256" s="180"/>
      <c r="AB256" s="117"/>
      <c r="AC256" s="117"/>
      <c r="AD256" s="117"/>
      <c r="AE256" s="115"/>
      <c r="AF256" s="180"/>
      <c r="AG256" s="117"/>
      <c r="AH256" s="117"/>
      <c r="AI256" s="117"/>
      <c r="AJ256" s="115"/>
      <c r="AK256" s="180"/>
      <c r="AL256" s="117"/>
      <c r="AM256" s="117"/>
      <c r="AN256" s="117"/>
      <c r="AO256" s="115"/>
      <c r="AP256" s="180"/>
      <c r="AQ256" s="117"/>
      <c r="AR256" s="117"/>
      <c r="AS256" s="117"/>
      <c r="AT256" s="117"/>
      <c r="AU256" s="117"/>
      <c r="AV256" s="117"/>
      <c r="AW256" s="117"/>
      <c r="AX256" s="117"/>
      <c r="AY256" s="117"/>
      <c r="AZ256" s="117"/>
      <c r="BA256" s="117"/>
      <c r="BB256" s="117"/>
      <c r="BC256" s="117"/>
    </row>
    <row r="257">
      <c r="A257" s="115"/>
      <c r="B257" s="180"/>
      <c r="C257" s="117"/>
      <c r="D257" s="117"/>
      <c r="E257" s="117"/>
      <c r="F257" s="115"/>
      <c r="G257" s="180"/>
      <c r="H257" s="117"/>
      <c r="I257" s="117"/>
      <c r="J257" s="117"/>
      <c r="K257" s="92"/>
      <c r="L257" s="180"/>
      <c r="M257" s="117"/>
      <c r="N257" s="117"/>
      <c r="O257" s="117"/>
      <c r="P257" s="92"/>
      <c r="Q257" s="150"/>
      <c r="R257" s="117"/>
      <c r="S257" s="117"/>
      <c r="T257" s="117"/>
      <c r="U257" s="115"/>
      <c r="V257" s="180"/>
      <c r="W257" s="117"/>
      <c r="X257" s="117"/>
      <c r="Y257" s="117"/>
      <c r="Z257" s="115"/>
      <c r="AA257" s="180"/>
      <c r="AB257" s="117"/>
      <c r="AC257" s="117"/>
      <c r="AD257" s="117"/>
      <c r="AE257" s="115"/>
      <c r="AF257" s="180"/>
      <c r="AG257" s="117"/>
      <c r="AH257" s="117"/>
      <c r="AI257" s="117"/>
      <c r="AJ257" s="115"/>
      <c r="AK257" s="180"/>
      <c r="AL257" s="117"/>
      <c r="AM257" s="117"/>
      <c r="AN257" s="117"/>
      <c r="AO257" s="115"/>
      <c r="AP257" s="180"/>
      <c r="AQ257" s="117"/>
      <c r="AR257" s="117"/>
      <c r="AS257" s="117"/>
      <c r="AT257" s="117"/>
      <c r="AU257" s="117"/>
      <c r="AV257" s="117"/>
      <c r="AW257" s="117"/>
      <c r="AX257" s="117"/>
      <c r="AY257" s="117"/>
      <c r="AZ257" s="117"/>
      <c r="BA257" s="117"/>
      <c r="BB257" s="117"/>
      <c r="BC257" s="117"/>
    </row>
    <row r="258">
      <c r="A258" s="115"/>
      <c r="B258" s="180"/>
      <c r="C258" s="117"/>
      <c r="D258" s="117"/>
      <c r="E258" s="117"/>
      <c r="F258" s="115"/>
      <c r="G258" s="180"/>
      <c r="H258" s="117"/>
      <c r="I258" s="117"/>
      <c r="J258" s="117"/>
      <c r="K258" s="92"/>
      <c r="L258" s="180"/>
      <c r="M258" s="117"/>
      <c r="N258" s="117"/>
      <c r="O258" s="117"/>
      <c r="P258" s="92"/>
      <c r="Q258" s="150"/>
      <c r="R258" s="117"/>
      <c r="S258" s="117"/>
      <c r="T258" s="117"/>
      <c r="U258" s="115"/>
      <c r="V258" s="180"/>
      <c r="W258" s="117"/>
      <c r="X258" s="117"/>
      <c r="Y258" s="117"/>
      <c r="Z258" s="115"/>
      <c r="AA258" s="180"/>
      <c r="AB258" s="117"/>
      <c r="AC258" s="117"/>
      <c r="AD258" s="117"/>
      <c r="AE258" s="115"/>
      <c r="AF258" s="180"/>
      <c r="AG258" s="117"/>
      <c r="AH258" s="117"/>
      <c r="AI258" s="117"/>
      <c r="AJ258" s="115"/>
      <c r="AK258" s="180"/>
      <c r="AL258" s="117"/>
      <c r="AM258" s="117"/>
      <c r="AN258" s="117"/>
      <c r="AO258" s="115"/>
      <c r="AP258" s="180"/>
      <c r="AQ258" s="117"/>
      <c r="AR258" s="117"/>
      <c r="AS258" s="117"/>
      <c r="AT258" s="117"/>
      <c r="AU258" s="117"/>
      <c r="AV258" s="117"/>
      <c r="AW258" s="117"/>
      <c r="AX258" s="117"/>
      <c r="AY258" s="117"/>
      <c r="AZ258" s="117"/>
      <c r="BA258" s="117"/>
      <c r="BB258" s="117"/>
      <c r="BC258" s="117"/>
    </row>
    <row r="259">
      <c r="A259" s="115"/>
      <c r="B259" s="180"/>
      <c r="C259" s="117"/>
      <c r="D259" s="117"/>
      <c r="E259" s="117"/>
      <c r="F259" s="115"/>
      <c r="G259" s="180"/>
      <c r="H259" s="117"/>
      <c r="I259" s="117"/>
      <c r="J259" s="117"/>
      <c r="K259" s="92"/>
      <c r="L259" s="180"/>
      <c r="M259" s="117"/>
      <c r="N259" s="117"/>
      <c r="O259" s="117"/>
      <c r="P259" s="92"/>
      <c r="Q259" s="150"/>
      <c r="R259" s="117"/>
      <c r="S259" s="117"/>
      <c r="T259" s="117"/>
      <c r="U259" s="115"/>
      <c r="V259" s="180"/>
      <c r="W259" s="117"/>
      <c r="X259" s="117"/>
      <c r="Y259" s="117"/>
      <c r="Z259" s="115"/>
      <c r="AA259" s="180"/>
      <c r="AB259" s="117"/>
      <c r="AC259" s="117"/>
      <c r="AD259" s="117"/>
      <c r="AE259" s="115"/>
      <c r="AF259" s="180"/>
      <c r="AG259" s="117"/>
      <c r="AH259" s="117"/>
      <c r="AI259" s="117"/>
      <c r="AJ259" s="115"/>
      <c r="AK259" s="180"/>
      <c r="AL259" s="117"/>
      <c r="AM259" s="117"/>
      <c r="AN259" s="117"/>
      <c r="AO259" s="115"/>
      <c r="AP259" s="180"/>
      <c r="AQ259" s="117"/>
      <c r="AR259" s="117"/>
      <c r="AS259" s="117"/>
      <c r="AT259" s="117"/>
      <c r="AU259" s="117"/>
      <c r="AV259" s="117"/>
      <c r="AW259" s="117"/>
      <c r="AX259" s="117"/>
      <c r="AY259" s="117"/>
      <c r="AZ259" s="117"/>
      <c r="BA259" s="117"/>
      <c r="BB259" s="117"/>
      <c r="BC259" s="117"/>
    </row>
    <row r="260">
      <c r="A260" s="115"/>
      <c r="B260" s="180"/>
      <c r="C260" s="117"/>
      <c r="D260" s="117"/>
      <c r="E260" s="117"/>
      <c r="F260" s="115"/>
      <c r="G260" s="180"/>
      <c r="H260" s="117"/>
      <c r="I260" s="117"/>
      <c r="J260" s="117"/>
      <c r="K260" s="92"/>
      <c r="L260" s="180"/>
      <c r="M260" s="117"/>
      <c r="N260" s="117"/>
      <c r="O260" s="117"/>
      <c r="P260" s="92"/>
      <c r="Q260" s="150"/>
      <c r="R260" s="117"/>
      <c r="S260" s="117"/>
      <c r="T260" s="117"/>
      <c r="U260" s="115"/>
      <c r="V260" s="180"/>
      <c r="W260" s="117"/>
      <c r="X260" s="117"/>
      <c r="Y260" s="117"/>
      <c r="Z260" s="115"/>
      <c r="AA260" s="180"/>
      <c r="AB260" s="117"/>
      <c r="AC260" s="117"/>
      <c r="AD260" s="117"/>
      <c r="AE260" s="115"/>
      <c r="AF260" s="180"/>
      <c r="AG260" s="117"/>
      <c r="AH260" s="117"/>
      <c r="AI260" s="117"/>
      <c r="AJ260" s="115"/>
      <c r="AK260" s="180"/>
      <c r="AL260" s="117"/>
      <c r="AM260" s="117"/>
      <c r="AN260" s="117"/>
      <c r="AO260" s="115"/>
      <c r="AP260" s="180"/>
      <c r="AQ260" s="117"/>
      <c r="AR260" s="117"/>
      <c r="AS260" s="117"/>
      <c r="AT260" s="117"/>
      <c r="AU260" s="117"/>
      <c r="AV260" s="117"/>
      <c r="AW260" s="117"/>
      <c r="AX260" s="117"/>
      <c r="AY260" s="117"/>
      <c r="AZ260" s="117"/>
      <c r="BA260" s="117"/>
      <c r="BB260" s="117"/>
      <c r="BC260" s="117"/>
    </row>
    <row r="261">
      <c r="A261" s="115"/>
      <c r="B261" s="180"/>
      <c r="C261" s="117"/>
      <c r="D261" s="117"/>
      <c r="E261" s="117"/>
      <c r="F261" s="115"/>
      <c r="G261" s="180"/>
      <c r="H261" s="117"/>
      <c r="I261" s="117"/>
      <c r="J261" s="117"/>
      <c r="K261" s="92"/>
      <c r="L261" s="180"/>
      <c r="M261" s="117"/>
      <c r="N261" s="117"/>
      <c r="O261" s="117"/>
      <c r="P261" s="92"/>
      <c r="Q261" s="150"/>
      <c r="R261" s="117"/>
      <c r="S261" s="117"/>
      <c r="T261" s="117"/>
      <c r="U261" s="115"/>
      <c r="V261" s="180"/>
      <c r="W261" s="117"/>
      <c r="X261" s="117"/>
      <c r="Y261" s="117"/>
      <c r="Z261" s="115"/>
      <c r="AA261" s="180"/>
      <c r="AB261" s="117"/>
      <c r="AC261" s="117"/>
      <c r="AD261" s="117"/>
      <c r="AE261" s="115"/>
      <c r="AF261" s="180"/>
      <c r="AG261" s="117"/>
      <c r="AH261" s="117"/>
      <c r="AI261" s="117"/>
      <c r="AJ261" s="115"/>
      <c r="AK261" s="180"/>
      <c r="AL261" s="117"/>
      <c r="AM261" s="117"/>
      <c r="AN261" s="117"/>
      <c r="AO261" s="115"/>
      <c r="AP261" s="180"/>
      <c r="AQ261" s="117"/>
      <c r="AR261" s="117"/>
      <c r="AS261" s="117"/>
      <c r="AT261" s="117"/>
      <c r="AU261" s="117"/>
      <c r="AV261" s="117"/>
      <c r="AW261" s="117"/>
      <c r="AX261" s="117"/>
      <c r="AY261" s="117"/>
      <c r="AZ261" s="117"/>
      <c r="BA261" s="117"/>
      <c r="BB261" s="117"/>
      <c r="BC261" s="117"/>
    </row>
    <row r="262">
      <c r="A262" s="115"/>
      <c r="B262" s="180"/>
      <c r="C262" s="117"/>
      <c r="D262" s="117"/>
      <c r="E262" s="117"/>
      <c r="F262" s="115"/>
      <c r="G262" s="180"/>
      <c r="H262" s="117"/>
      <c r="I262" s="117"/>
      <c r="J262" s="117"/>
      <c r="K262" s="92"/>
      <c r="L262" s="180"/>
      <c r="M262" s="117"/>
      <c r="N262" s="117"/>
      <c r="O262" s="117"/>
      <c r="P262" s="92"/>
      <c r="Q262" s="150"/>
      <c r="R262" s="117"/>
      <c r="S262" s="117"/>
      <c r="T262" s="117"/>
      <c r="U262" s="115"/>
      <c r="V262" s="180"/>
      <c r="W262" s="117"/>
      <c r="X262" s="117"/>
      <c r="Y262" s="117"/>
      <c r="Z262" s="115"/>
      <c r="AA262" s="180"/>
      <c r="AB262" s="117"/>
      <c r="AC262" s="117"/>
      <c r="AD262" s="117"/>
      <c r="AE262" s="115"/>
      <c r="AF262" s="180"/>
      <c r="AG262" s="117"/>
      <c r="AH262" s="117"/>
      <c r="AI262" s="117"/>
      <c r="AJ262" s="115"/>
      <c r="AK262" s="180"/>
      <c r="AL262" s="117"/>
      <c r="AM262" s="117"/>
      <c r="AN262" s="117"/>
      <c r="AO262" s="115"/>
      <c r="AP262" s="180"/>
      <c r="AQ262" s="117"/>
      <c r="AR262" s="117"/>
      <c r="AS262" s="117"/>
      <c r="AT262" s="117"/>
      <c r="AU262" s="117"/>
      <c r="AV262" s="117"/>
      <c r="AW262" s="117"/>
      <c r="AX262" s="117"/>
      <c r="AY262" s="117"/>
      <c r="AZ262" s="117"/>
      <c r="BA262" s="117"/>
      <c r="BB262" s="117"/>
      <c r="BC262" s="117"/>
    </row>
    <row r="263">
      <c r="A263" s="115"/>
      <c r="B263" s="180"/>
      <c r="C263" s="117"/>
      <c r="D263" s="117"/>
      <c r="E263" s="117"/>
      <c r="F263" s="115"/>
      <c r="G263" s="180"/>
      <c r="H263" s="117"/>
      <c r="I263" s="117"/>
      <c r="J263" s="117"/>
      <c r="K263" s="92"/>
      <c r="L263" s="180"/>
      <c r="M263" s="117"/>
      <c r="N263" s="117"/>
      <c r="O263" s="117"/>
      <c r="P263" s="92"/>
      <c r="Q263" s="150"/>
      <c r="R263" s="117"/>
      <c r="S263" s="117"/>
      <c r="T263" s="117"/>
      <c r="U263" s="115"/>
      <c r="V263" s="180"/>
      <c r="W263" s="117"/>
      <c r="X263" s="117"/>
      <c r="Y263" s="117"/>
      <c r="Z263" s="115"/>
      <c r="AA263" s="180"/>
      <c r="AB263" s="117"/>
      <c r="AC263" s="117"/>
      <c r="AD263" s="117"/>
      <c r="AE263" s="115"/>
      <c r="AF263" s="180"/>
      <c r="AG263" s="117"/>
      <c r="AH263" s="117"/>
      <c r="AI263" s="117"/>
      <c r="AJ263" s="115"/>
      <c r="AK263" s="180"/>
      <c r="AL263" s="117"/>
      <c r="AM263" s="117"/>
      <c r="AN263" s="117"/>
      <c r="AO263" s="115"/>
      <c r="AP263" s="180"/>
      <c r="AQ263" s="117"/>
      <c r="AR263" s="117"/>
      <c r="AS263" s="117"/>
      <c r="AT263" s="117"/>
      <c r="AU263" s="117"/>
      <c r="AV263" s="117"/>
      <c r="AW263" s="117"/>
      <c r="AX263" s="117"/>
      <c r="AY263" s="117"/>
      <c r="AZ263" s="117"/>
      <c r="BA263" s="117"/>
      <c r="BB263" s="117"/>
      <c r="BC263" s="117"/>
    </row>
    <row r="264">
      <c r="A264" s="115"/>
      <c r="B264" s="180"/>
      <c r="C264" s="117"/>
      <c r="D264" s="117"/>
      <c r="E264" s="117"/>
      <c r="F264" s="115"/>
      <c r="G264" s="180"/>
      <c r="H264" s="117"/>
      <c r="I264" s="117"/>
      <c r="J264" s="117"/>
      <c r="K264" s="92"/>
      <c r="L264" s="180"/>
      <c r="M264" s="117"/>
      <c r="N264" s="117"/>
      <c r="O264" s="117"/>
      <c r="P264" s="92"/>
      <c r="Q264" s="150"/>
      <c r="R264" s="117"/>
      <c r="S264" s="117"/>
      <c r="T264" s="117"/>
      <c r="U264" s="115"/>
      <c r="V264" s="180"/>
      <c r="W264" s="117"/>
      <c r="X264" s="117"/>
      <c r="Y264" s="117"/>
      <c r="Z264" s="115"/>
      <c r="AA264" s="180"/>
      <c r="AB264" s="117"/>
      <c r="AC264" s="117"/>
      <c r="AD264" s="117"/>
      <c r="AE264" s="115"/>
      <c r="AF264" s="180"/>
      <c r="AG264" s="117"/>
      <c r="AH264" s="117"/>
      <c r="AI264" s="117"/>
      <c r="AJ264" s="115"/>
      <c r="AK264" s="180"/>
      <c r="AL264" s="117"/>
      <c r="AM264" s="117"/>
      <c r="AN264" s="117"/>
      <c r="AO264" s="115"/>
      <c r="AP264" s="180"/>
      <c r="AQ264" s="117"/>
      <c r="AR264" s="117"/>
      <c r="AS264" s="117"/>
      <c r="AT264" s="117"/>
      <c r="AU264" s="117"/>
      <c r="AV264" s="117"/>
      <c r="AW264" s="117"/>
      <c r="AX264" s="117"/>
      <c r="AY264" s="117"/>
      <c r="AZ264" s="117"/>
      <c r="BA264" s="117"/>
      <c r="BB264" s="117"/>
      <c r="BC264" s="117"/>
    </row>
    <row r="265">
      <c r="A265" s="115"/>
      <c r="B265" s="180"/>
      <c r="C265" s="117"/>
      <c r="D265" s="117"/>
      <c r="E265" s="117"/>
      <c r="F265" s="115"/>
      <c r="G265" s="180"/>
      <c r="H265" s="117"/>
      <c r="I265" s="117"/>
      <c r="J265" s="117"/>
      <c r="K265" s="92"/>
      <c r="L265" s="180"/>
      <c r="M265" s="117"/>
      <c r="N265" s="117"/>
      <c r="O265" s="117"/>
      <c r="P265" s="92"/>
      <c r="Q265" s="150"/>
      <c r="R265" s="117"/>
      <c r="S265" s="117"/>
      <c r="T265" s="117"/>
      <c r="U265" s="115"/>
      <c r="V265" s="180"/>
      <c r="W265" s="117"/>
      <c r="X265" s="117"/>
      <c r="Y265" s="117"/>
      <c r="Z265" s="115"/>
      <c r="AA265" s="180"/>
      <c r="AB265" s="117"/>
      <c r="AC265" s="117"/>
      <c r="AD265" s="117"/>
      <c r="AE265" s="115"/>
      <c r="AF265" s="180"/>
      <c r="AG265" s="117"/>
      <c r="AH265" s="117"/>
      <c r="AI265" s="117"/>
      <c r="AJ265" s="115"/>
      <c r="AK265" s="180"/>
      <c r="AL265" s="117"/>
      <c r="AM265" s="117"/>
      <c r="AN265" s="117"/>
      <c r="AO265" s="115"/>
      <c r="AP265" s="180"/>
      <c r="AQ265" s="117"/>
      <c r="AR265" s="117"/>
      <c r="AS265" s="117"/>
      <c r="AT265" s="117"/>
      <c r="AU265" s="117"/>
      <c r="AV265" s="117"/>
      <c r="AW265" s="117"/>
      <c r="AX265" s="117"/>
      <c r="AY265" s="117"/>
      <c r="AZ265" s="117"/>
      <c r="BA265" s="117"/>
      <c r="BB265" s="117"/>
      <c r="BC265" s="117"/>
    </row>
    <row r="266">
      <c r="A266" s="115"/>
      <c r="B266" s="180"/>
      <c r="C266" s="117"/>
      <c r="D266" s="117"/>
      <c r="E266" s="117"/>
      <c r="F266" s="115"/>
      <c r="G266" s="180"/>
      <c r="H266" s="117"/>
      <c r="I266" s="117"/>
      <c r="J266" s="117"/>
      <c r="K266" s="92"/>
      <c r="L266" s="180"/>
      <c r="M266" s="117"/>
      <c r="N266" s="117"/>
      <c r="O266" s="117"/>
      <c r="P266" s="92"/>
      <c r="Q266" s="150"/>
      <c r="R266" s="117"/>
      <c r="S266" s="117"/>
      <c r="T266" s="117"/>
      <c r="U266" s="115"/>
      <c r="V266" s="180"/>
      <c r="W266" s="117"/>
      <c r="X266" s="117"/>
      <c r="Y266" s="117"/>
      <c r="Z266" s="115"/>
      <c r="AA266" s="180"/>
      <c r="AB266" s="117"/>
      <c r="AC266" s="117"/>
      <c r="AD266" s="117"/>
      <c r="AE266" s="115"/>
      <c r="AF266" s="180"/>
      <c r="AG266" s="117"/>
      <c r="AH266" s="117"/>
      <c r="AI266" s="117"/>
      <c r="AJ266" s="115"/>
      <c r="AK266" s="180"/>
      <c r="AL266" s="117"/>
      <c r="AM266" s="117"/>
      <c r="AN266" s="117"/>
      <c r="AO266" s="338"/>
      <c r="AP266" s="338"/>
      <c r="AQ266" s="338"/>
      <c r="AR266" s="338"/>
      <c r="AS266" s="338"/>
      <c r="AT266" s="338"/>
      <c r="AU266" s="338"/>
      <c r="AV266" s="338"/>
      <c r="AW266" s="338"/>
      <c r="AX266" s="338"/>
      <c r="AY266" s="338"/>
      <c r="AZ266" s="338"/>
      <c r="BA266" s="338"/>
      <c r="BB266" s="338"/>
      <c r="BC266" s="338"/>
    </row>
    <row r="267">
      <c r="A267" s="115"/>
      <c r="B267" s="180"/>
      <c r="C267" s="117"/>
      <c r="D267" s="117"/>
      <c r="E267" s="117"/>
      <c r="F267" s="115"/>
      <c r="G267" s="180"/>
      <c r="H267" s="117"/>
      <c r="I267" s="117"/>
      <c r="J267" s="117"/>
      <c r="K267" s="92"/>
      <c r="L267" s="180"/>
      <c r="M267" s="117"/>
      <c r="N267" s="117"/>
      <c r="O267" s="117"/>
      <c r="P267" s="92"/>
      <c r="Q267" s="150"/>
      <c r="R267" s="117"/>
      <c r="S267" s="117"/>
      <c r="T267" s="117"/>
      <c r="U267" s="115"/>
      <c r="V267" s="180"/>
      <c r="W267" s="117"/>
      <c r="X267" s="117"/>
      <c r="Y267" s="117"/>
      <c r="Z267" s="115"/>
      <c r="AA267" s="180"/>
      <c r="AB267" s="117"/>
      <c r="AC267" s="117"/>
      <c r="AD267" s="117"/>
      <c r="AE267" s="115"/>
      <c r="AF267" s="180"/>
      <c r="AG267" s="117"/>
      <c r="AH267" s="117"/>
      <c r="AI267" s="117"/>
      <c r="AJ267" s="115"/>
      <c r="AK267" s="180"/>
      <c r="AL267" s="117"/>
      <c r="AM267" s="117"/>
      <c r="AN267" s="117"/>
      <c r="AO267" s="338"/>
      <c r="AP267" s="338"/>
      <c r="AQ267" s="338"/>
      <c r="AR267" s="338"/>
      <c r="AS267" s="338"/>
      <c r="AT267" s="338"/>
      <c r="AU267" s="338"/>
      <c r="AV267" s="338"/>
      <c r="AW267" s="338"/>
      <c r="AX267" s="338"/>
      <c r="AY267" s="338"/>
      <c r="AZ267" s="338"/>
      <c r="BA267" s="338"/>
      <c r="BB267" s="338"/>
      <c r="BC267" s="338"/>
    </row>
    <row r="268">
      <c r="A268" s="115"/>
      <c r="B268" s="180"/>
      <c r="C268" s="117"/>
      <c r="D268" s="117"/>
      <c r="E268" s="117"/>
      <c r="F268" s="115"/>
      <c r="G268" s="180"/>
      <c r="H268" s="117"/>
      <c r="I268" s="117"/>
      <c r="J268" s="117"/>
      <c r="K268" s="92"/>
      <c r="L268" s="180"/>
      <c r="M268" s="117"/>
      <c r="N268" s="117"/>
      <c r="O268" s="117"/>
      <c r="P268" s="92"/>
      <c r="Q268" s="150"/>
      <c r="R268" s="117"/>
      <c r="S268" s="117"/>
      <c r="T268" s="117"/>
      <c r="U268" s="115"/>
      <c r="V268" s="180"/>
      <c r="W268" s="117"/>
      <c r="X268" s="117"/>
      <c r="Y268" s="117"/>
      <c r="Z268" s="115"/>
      <c r="AA268" s="180"/>
      <c r="AB268" s="117"/>
      <c r="AC268" s="117"/>
      <c r="AD268" s="117"/>
      <c r="AE268" s="115"/>
      <c r="AF268" s="180"/>
      <c r="AG268" s="117"/>
      <c r="AH268" s="117"/>
      <c r="AI268" s="117"/>
      <c r="AJ268" s="115"/>
      <c r="AK268" s="180"/>
      <c r="AL268" s="117"/>
      <c r="AM268" s="117"/>
      <c r="AN268" s="117"/>
      <c r="AO268" s="338"/>
      <c r="AP268" s="338"/>
      <c r="AQ268" s="338"/>
      <c r="AR268" s="338"/>
      <c r="AS268" s="338"/>
      <c r="AT268" s="338"/>
      <c r="AU268" s="338"/>
      <c r="AV268" s="338"/>
      <c r="AW268" s="338"/>
      <c r="AX268" s="338"/>
      <c r="AY268" s="338"/>
      <c r="AZ268" s="338"/>
      <c r="BA268" s="338"/>
      <c r="BB268" s="338"/>
      <c r="BC268" s="338"/>
    </row>
    <row r="269">
      <c r="A269" s="115"/>
      <c r="B269" s="180"/>
      <c r="C269" s="117"/>
      <c r="D269" s="117"/>
      <c r="E269" s="117"/>
      <c r="F269" s="115"/>
      <c r="G269" s="180"/>
      <c r="H269" s="117"/>
      <c r="I269" s="117"/>
      <c r="J269" s="117"/>
      <c r="K269" s="92"/>
      <c r="L269" s="180"/>
      <c r="M269" s="117"/>
      <c r="N269" s="117"/>
      <c r="O269" s="117"/>
      <c r="P269" s="92"/>
      <c r="Q269" s="150"/>
      <c r="R269" s="117"/>
      <c r="S269" s="117"/>
      <c r="T269" s="117"/>
      <c r="U269" s="115"/>
      <c r="V269" s="180"/>
      <c r="W269" s="117"/>
      <c r="X269" s="117"/>
      <c r="Y269" s="117"/>
      <c r="Z269" s="115"/>
      <c r="AA269" s="180"/>
      <c r="AB269" s="117"/>
      <c r="AC269" s="117"/>
      <c r="AD269" s="117"/>
      <c r="AE269" s="115"/>
      <c r="AF269" s="180"/>
      <c r="AG269" s="117"/>
      <c r="AH269" s="117"/>
      <c r="AI269" s="117"/>
      <c r="AJ269" s="115"/>
      <c r="AK269" s="180"/>
      <c r="AL269" s="117"/>
      <c r="AM269" s="117"/>
      <c r="AN269" s="117"/>
      <c r="AO269" s="338"/>
      <c r="AP269" s="338"/>
      <c r="AQ269" s="338"/>
      <c r="AR269" s="338"/>
      <c r="AS269" s="338"/>
      <c r="AT269" s="338"/>
      <c r="AU269" s="338"/>
      <c r="AV269" s="338"/>
      <c r="AW269" s="338"/>
      <c r="AX269" s="338"/>
      <c r="AY269" s="338"/>
      <c r="AZ269" s="338"/>
      <c r="BA269" s="338"/>
      <c r="BB269" s="338"/>
      <c r="BC269" s="338"/>
    </row>
    <row r="270">
      <c r="A270" s="115"/>
      <c r="B270" s="180"/>
      <c r="C270" s="117"/>
      <c r="D270" s="117"/>
      <c r="E270" s="117"/>
      <c r="F270" s="115"/>
      <c r="G270" s="180"/>
      <c r="H270" s="117"/>
      <c r="I270" s="117"/>
      <c r="J270" s="117"/>
      <c r="K270" s="92"/>
      <c r="L270" s="180"/>
      <c r="M270" s="117"/>
      <c r="N270" s="117"/>
      <c r="O270" s="117"/>
      <c r="P270" s="92"/>
      <c r="Q270" s="150"/>
      <c r="R270" s="117"/>
      <c r="S270" s="117"/>
      <c r="T270" s="117"/>
      <c r="U270" s="115"/>
      <c r="V270" s="180"/>
      <c r="W270" s="117"/>
      <c r="X270" s="117"/>
      <c r="Y270" s="117"/>
      <c r="Z270" s="115"/>
      <c r="AA270" s="180"/>
      <c r="AB270" s="117"/>
      <c r="AC270" s="117"/>
      <c r="AD270" s="117"/>
      <c r="AE270" s="115"/>
      <c r="AF270" s="180"/>
      <c r="AG270" s="117"/>
      <c r="AH270" s="117"/>
      <c r="AI270" s="117"/>
      <c r="AJ270" s="115"/>
      <c r="AK270" s="180"/>
      <c r="AL270" s="117"/>
      <c r="AM270" s="117"/>
      <c r="AN270" s="117"/>
      <c r="AO270" s="338"/>
      <c r="AP270" s="338"/>
      <c r="AQ270" s="338"/>
      <c r="AR270" s="338"/>
      <c r="AS270" s="338"/>
      <c r="AT270" s="338"/>
      <c r="AU270" s="338"/>
      <c r="AV270" s="338"/>
      <c r="AW270" s="338"/>
      <c r="AX270" s="338"/>
      <c r="AY270" s="338"/>
      <c r="AZ270" s="338"/>
      <c r="BA270" s="338"/>
      <c r="BB270" s="338"/>
      <c r="BC270" s="338"/>
    </row>
    <row r="271">
      <c r="A271" s="115"/>
      <c r="B271" s="180"/>
      <c r="C271" s="117"/>
      <c r="D271" s="117"/>
      <c r="E271" s="117"/>
      <c r="F271" s="115"/>
      <c r="G271" s="180"/>
      <c r="H271" s="117"/>
      <c r="I271" s="117"/>
      <c r="J271" s="117"/>
      <c r="K271" s="92"/>
      <c r="L271" s="180"/>
      <c r="M271" s="117"/>
      <c r="N271" s="117"/>
      <c r="O271" s="117"/>
      <c r="P271" s="92"/>
      <c r="Q271" s="150"/>
      <c r="R271" s="117"/>
      <c r="S271" s="117"/>
      <c r="T271" s="117"/>
      <c r="U271" s="115"/>
      <c r="V271" s="180"/>
      <c r="W271" s="117"/>
      <c r="X271" s="117"/>
      <c r="Y271" s="117"/>
      <c r="Z271" s="115"/>
      <c r="AA271" s="180"/>
      <c r="AB271" s="117"/>
      <c r="AC271" s="117"/>
      <c r="AD271" s="117"/>
      <c r="AE271" s="115"/>
      <c r="AF271" s="180"/>
      <c r="AG271" s="117"/>
      <c r="AH271" s="117"/>
      <c r="AI271" s="117"/>
      <c r="AJ271" s="115"/>
      <c r="AK271" s="180"/>
      <c r="AL271" s="117"/>
      <c r="AM271" s="117"/>
      <c r="AN271" s="117"/>
      <c r="AO271" s="338"/>
      <c r="AP271" s="338"/>
      <c r="AQ271" s="338"/>
      <c r="AR271" s="338"/>
      <c r="AS271" s="338"/>
      <c r="AT271" s="338"/>
      <c r="AU271" s="338"/>
      <c r="AV271" s="338"/>
      <c r="AW271" s="338"/>
      <c r="AX271" s="338"/>
      <c r="AY271" s="338"/>
      <c r="AZ271" s="338"/>
      <c r="BA271" s="338"/>
      <c r="BB271" s="338"/>
      <c r="BC271" s="338"/>
    </row>
    <row r="272">
      <c r="A272" s="115"/>
      <c r="B272" s="180"/>
      <c r="C272" s="117"/>
      <c r="D272" s="117"/>
      <c r="E272" s="117"/>
      <c r="F272" s="115"/>
      <c r="G272" s="180"/>
      <c r="H272" s="117"/>
      <c r="I272" s="117"/>
      <c r="J272" s="117"/>
      <c r="K272" s="92"/>
      <c r="L272" s="180"/>
      <c r="M272" s="117"/>
      <c r="N272" s="117"/>
      <c r="O272" s="117"/>
      <c r="P272" s="92"/>
      <c r="Q272" s="150"/>
      <c r="R272" s="117"/>
      <c r="S272" s="117"/>
      <c r="T272" s="117"/>
      <c r="U272" s="115"/>
      <c r="V272" s="180"/>
      <c r="W272" s="117"/>
      <c r="X272" s="117"/>
      <c r="Y272" s="117"/>
      <c r="Z272" s="115"/>
      <c r="AA272" s="180"/>
      <c r="AB272" s="117"/>
      <c r="AC272" s="117"/>
      <c r="AD272" s="117"/>
      <c r="AE272" s="115"/>
      <c r="AF272" s="180"/>
      <c r="AG272" s="117"/>
      <c r="AH272" s="117"/>
      <c r="AI272" s="117"/>
      <c r="AJ272" s="115"/>
      <c r="AK272" s="180"/>
      <c r="AL272" s="117"/>
      <c r="AM272" s="117"/>
      <c r="AN272" s="117"/>
      <c r="AO272" s="338"/>
      <c r="AP272" s="338"/>
      <c r="AQ272" s="338"/>
      <c r="AR272" s="338"/>
      <c r="AS272" s="338"/>
      <c r="AT272" s="338"/>
      <c r="AU272" s="338"/>
      <c r="AV272" s="338"/>
      <c r="AW272" s="338"/>
      <c r="AX272" s="338"/>
      <c r="AY272" s="338"/>
      <c r="AZ272" s="338"/>
      <c r="BA272" s="338"/>
      <c r="BB272" s="338"/>
      <c r="BC272" s="338"/>
    </row>
    <row r="273">
      <c r="A273" s="115"/>
      <c r="B273" s="180"/>
      <c r="C273" s="117"/>
      <c r="D273" s="117"/>
      <c r="E273" s="117"/>
      <c r="F273" s="115"/>
      <c r="G273" s="180"/>
      <c r="H273" s="117"/>
      <c r="I273" s="117"/>
      <c r="J273" s="117"/>
      <c r="K273" s="92"/>
      <c r="L273" s="180"/>
      <c r="M273" s="117"/>
      <c r="N273" s="117"/>
      <c r="O273" s="117"/>
      <c r="P273" s="92"/>
      <c r="Q273" s="150"/>
      <c r="R273" s="117"/>
      <c r="S273" s="117"/>
      <c r="T273" s="117"/>
      <c r="U273" s="115"/>
      <c r="V273" s="180"/>
      <c r="W273" s="117"/>
      <c r="X273" s="117"/>
      <c r="Y273" s="117"/>
      <c r="Z273" s="115"/>
      <c r="AA273" s="180"/>
      <c r="AB273" s="117"/>
      <c r="AC273" s="117"/>
      <c r="AD273" s="117"/>
      <c r="AE273" s="115"/>
      <c r="AF273" s="180"/>
      <c r="AG273" s="117"/>
      <c r="AH273" s="117"/>
      <c r="AI273" s="117"/>
      <c r="AJ273" s="115"/>
      <c r="AK273" s="180"/>
      <c r="AL273" s="117"/>
      <c r="AM273" s="117"/>
      <c r="AN273" s="117"/>
      <c r="AO273" s="338"/>
      <c r="AP273" s="338"/>
      <c r="AQ273" s="338"/>
      <c r="AR273" s="338"/>
      <c r="AS273" s="338"/>
      <c r="AT273" s="338"/>
      <c r="AU273" s="338"/>
      <c r="AV273" s="338"/>
      <c r="AW273" s="338"/>
      <c r="AX273" s="338"/>
      <c r="AY273" s="338"/>
      <c r="AZ273" s="338"/>
      <c r="BA273" s="338"/>
      <c r="BB273" s="338"/>
      <c r="BC273" s="338"/>
    </row>
    <row r="274">
      <c r="A274" s="115"/>
      <c r="B274" s="180"/>
      <c r="C274" s="117"/>
      <c r="D274" s="117"/>
      <c r="E274" s="117"/>
      <c r="F274" s="115"/>
      <c r="G274" s="180"/>
      <c r="H274" s="117"/>
      <c r="I274" s="117"/>
      <c r="J274" s="117"/>
      <c r="K274" s="92"/>
      <c r="L274" s="180"/>
      <c r="M274" s="117"/>
      <c r="N274" s="117"/>
      <c r="O274" s="117"/>
      <c r="P274" s="92"/>
      <c r="Q274" s="150"/>
      <c r="R274" s="117"/>
      <c r="S274" s="117"/>
      <c r="T274" s="117"/>
      <c r="U274" s="115"/>
      <c r="V274" s="180"/>
      <c r="W274" s="117"/>
      <c r="X274" s="117"/>
      <c r="Y274" s="117"/>
      <c r="Z274" s="115"/>
      <c r="AA274" s="180"/>
      <c r="AB274" s="117"/>
      <c r="AC274" s="117"/>
      <c r="AD274" s="117"/>
      <c r="AE274" s="115"/>
      <c r="AF274" s="180"/>
      <c r="AG274" s="117"/>
      <c r="AH274" s="117"/>
      <c r="AI274" s="117"/>
      <c r="AJ274" s="115"/>
      <c r="AK274" s="180"/>
      <c r="AL274" s="117"/>
      <c r="AM274" s="117"/>
      <c r="AN274" s="117"/>
      <c r="AO274" s="338"/>
      <c r="AP274" s="338"/>
      <c r="AQ274" s="338"/>
      <c r="AR274" s="338"/>
      <c r="AS274" s="338"/>
      <c r="AT274" s="338"/>
      <c r="AU274" s="338"/>
      <c r="AV274" s="338"/>
      <c r="AW274" s="338"/>
      <c r="AX274" s="338"/>
      <c r="AY274" s="338"/>
      <c r="AZ274" s="338"/>
      <c r="BA274" s="338"/>
      <c r="BB274" s="338"/>
      <c r="BC274" s="338"/>
    </row>
    <row r="275">
      <c r="A275" s="115"/>
      <c r="B275" s="180"/>
      <c r="C275" s="117"/>
      <c r="D275" s="117"/>
      <c r="E275" s="117"/>
      <c r="F275" s="115"/>
      <c r="G275" s="180"/>
      <c r="H275" s="117"/>
      <c r="I275" s="117"/>
      <c r="J275" s="117"/>
      <c r="K275" s="92"/>
      <c r="L275" s="180"/>
      <c r="M275" s="117"/>
      <c r="N275" s="117"/>
      <c r="O275" s="117"/>
      <c r="P275" s="92"/>
      <c r="Q275" s="150"/>
      <c r="R275" s="117"/>
      <c r="S275" s="117"/>
      <c r="T275" s="117"/>
      <c r="U275" s="115"/>
      <c r="V275" s="180"/>
      <c r="W275" s="117"/>
      <c r="X275" s="117"/>
      <c r="Y275" s="117"/>
      <c r="Z275" s="115"/>
      <c r="AA275" s="180"/>
      <c r="AB275" s="117"/>
      <c r="AC275" s="117"/>
      <c r="AD275" s="117"/>
      <c r="AE275" s="115"/>
      <c r="AF275" s="180"/>
      <c r="AG275" s="117"/>
      <c r="AH275" s="117"/>
      <c r="AI275" s="117"/>
      <c r="AJ275" s="115"/>
      <c r="AK275" s="180"/>
      <c r="AL275" s="117"/>
      <c r="AM275" s="117"/>
      <c r="AN275" s="117"/>
      <c r="AO275" s="338"/>
      <c r="AP275" s="338"/>
      <c r="AQ275" s="338"/>
      <c r="AR275" s="338"/>
      <c r="AS275" s="338"/>
      <c r="AT275" s="338"/>
      <c r="AU275" s="338"/>
      <c r="AV275" s="338"/>
      <c r="AW275" s="338"/>
      <c r="AX275" s="338"/>
      <c r="AY275" s="338"/>
      <c r="AZ275" s="338"/>
      <c r="BA275" s="338"/>
      <c r="BB275" s="338"/>
      <c r="BC275" s="338"/>
    </row>
    <row r="276">
      <c r="A276" s="115"/>
      <c r="B276" s="180"/>
      <c r="C276" s="117"/>
      <c r="D276" s="117"/>
      <c r="E276" s="117"/>
      <c r="F276" s="115"/>
      <c r="G276" s="180"/>
      <c r="H276" s="117"/>
      <c r="I276" s="117"/>
      <c r="J276" s="117"/>
      <c r="K276" s="92"/>
      <c r="L276" s="180"/>
      <c r="M276" s="117"/>
      <c r="N276" s="117"/>
      <c r="O276" s="117"/>
      <c r="P276" s="92"/>
      <c r="Q276" s="150"/>
      <c r="R276" s="117"/>
      <c r="S276" s="117"/>
      <c r="T276" s="117"/>
      <c r="U276" s="115"/>
      <c r="V276" s="180"/>
      <c r="W276" s="117"/>
      <c r="X276" s="117"/>
      <c r="Y276" s="117"/>
      <c r="Z276" s="115"/>
      <c r="AA276" s="180"/>
      <c r="AB276" s="117"/>
      <c r="AC276" s="117"/>
      <c r="AD276" s="117"/>
      <c r="AE276" s="115"/>
      <c r="AF276" s="180"/>
      <c r="AG276" s="117"/>
      <c r="AH276" s="117"/>
      <c r="AI276" s="117"/>
      <c r="AJ276" s="115"/>
      <c r="AK276" s="180"/>
      <c r="AL276" s="117"/>
      <c r="AM276" s="117"/>
      <c r="AN276" s="117"/>
      <c r="AO276" s="338"/>
      <c r="AP276" s="338"/>
      <c r="AQ276" s="338"/>
      <c r="AR276" s="338"/>
      <c r="AS276" s="338"/>
      <c r="AT276" s="338"/>
      <c r="AU276" s="338"/>
      <c r="AV276" s="338"/>
      <c r="AW276" s="338"/>
      <c r="AX276" s="338"/>
      <c r="AY276" s="338"/>
      <c r="AZ276" s="338"/>
      <c r="BA276" s="338"/>
      <c r="BB276" s="338"/>
      <c r="BC276" s="338"/>
    </row>
    <row r="277">
      <c r="A277" s="115"/>
      <c r="B277" s="180"/>
      <c r="C277" s="117"/>
      <c r="D277" s="117"/>
      <c r="E277" s="117"/>
      <c r="F277" s="115"/>
      <c r="G277" s="180"/>
      <c r="H277" s="117"/>
      <c r="I277" s="117"/>
      <c r="J277" s="117"/>
      <c r="K277" s="92"/>
      <c r="L277" s="180"/>
      <c r="M277" s="117"/>
      <c r="N277" s="117"/>
      <c r="O277" s="117"/>
      <c r="P277" s="92"/>
      <c r="Q277" s="150"/>
      <c r="R277" s="117"/>
      <c r="S277" s="117"/>
      <c r="T277" s="117"/>
      <c r="U277" s="115"/>
      <c r="V277" s="180"/>
      <c r="W277" s="117"/>
      <c r="X277" s="117"/>
      <c r="Y277" s="117"/>
      <c r="Z277" s="115"/>
      <c r="AA277" s="180"/>
      <c r="AB277" s="117"/>
      <c r="AC277" s="117"/>
      <c r="AD277" s="117"/>
      <c r="AE277" s="115"/>
      <c r="AF277" s="180"/>
      <c r="AG277" s="117"/>
      <c r="AH277" s="117"/>
      <c r="AI277" s="117"/>
      <c r="AJ277" s="115"/>
      <c r="AK277" s="180"/>
      <c r="AL277" s="117"/>
      <c r="AM277" s="117"/>
      <c r="AN277" s="117"/>
      <c r="AO277" s="338"/>
      <c r="AP277" s="338"/>
      <c r="AQ277" s="338"/>
      <c r="AR277" s="338"/>
      <c r="AS277" s="338"/>
      <c r="AT277" s="338"/>
      <c r="AU277" s="338"/>
      <c r="AV277" s="338"/>
      <c r="AW277" s="338"/>
      <c r="AX277" s="338"/>
      <c r="AY277" s="338"/>
      <c r="AZ277" s="338"/>
      <c r="BA277" s="338"/>
      <c r="BB277" s="338"/>
      <c r="BC277" s="338"/>
    </row>
    <row r="278">
      <c r="A278" s="115"/>
      <c r="B278" s="180"/>
      <c r="C278" s="117"/>
      <c r="D278" s="117"/>
      <c r="E278" s="117"/>
      <c r="F278" s="115"/>
      <c r="G278" s="180"/>
      <c r="H278" s="117"/>
      <c r="I278" s="117"/>
      <c r="J278" s="117"/>
      <c r="K278" s="92"/>
      <c r="L278" s="180"/>
      <c r="M278" s="117"/>
      <c r="N278" s="117"/>
      <c r="O278" s="117"/>
      <c r="P278" s="92"/>
      <c r="Q278" s="150"/>
      <c r="R278" s="117"/>
      <c r="S278" s="117"/>
      <c r="T278" s="117"/>
      <c r="U278" s="115"/>
      <c r="V278" s="180"/>
      <c r="W278" s="117"/>
      <c r="X278" s="117"/>
      <c r="Y278" s="117"/>
      <c r="Z278" s="115"/>
      <c r="AA278" s="180"/>
      <c r="AB278" s="117"/>
      <c r="AC278" s="117"/>
      <c r="AD278" s="117"/>
      <c r="AE278" s="115"/>
      <c r="AF278" s="180"/>
      <c r="AG278" s="117"/>
      <c r="AH278" s="117"/>
      <c r="AI278" s="117"/>
      <c r="AJ278" s="115"/>
      <c r="AK278" s="180"/>
      <c r="AL278" s="117"/>
      <c r="AM278" s="117"/>
      <c r="AN278" s="117"/>
      <c r="AO278" s="338"/>
      <c r="AP278" s="338"/>
      <c r="AQ278" s="338"/>
      <c r="AR278" s="338"/>
      <c r="AS278" s="338"/>
      <c r="AT278" s="338"/>
      <c r="AU278" s="338"/>
      <c r="AV278" s="338"/>
      <c r="AW278" s="338"/>
      <c r="AX278" s="338"/>
      <c r="AY278" s="338"/>
      <c r="AZ278" s="338"/>
      <c r="BA278" s="338"/>
      <c r="BB278" s="338"/>
      <c r="BC278" s="338"/>
    </row>
    <row r="279">
      <c r="A279" s="115"/>
      <c r="B279" s="180"/>
      <c r="C279" s="117"/>
      <c r="D279" s="117"/>
      <c r="E279" s="117"/>
      <c r="F279" s="115"/>
      <c r="G279" s="180"/>
      <c r="H279" s="117"/>
      <c r="I279" s="117"/>
      <c r="J279" s="117"/>
      <c r="K279" s="92"/>
      <c r="L279" s="180"/>
      <c r="M279" s="117"/>
      <c r="N279" s="117"/>
      <c r="O279" s="117"/>
      <c r="P279" s="92"/>
      <c r="Q279" s="150"/>
      <c r="R279" s="117"/>
      <c r="S279" s="117"/>
      <c r="T279" s="117"/>
      <c r="U279" s="115"/>
      <c r="V279" s="180"/>
      <c r="W279" s="117"/>
      <c r="X279" s="117"/>
      <c r="Y279" s="117"/>
      <c r="Z279" s="115"/>
      <c r="AA279" s="180"/>
      <c r="AB279" s="117"/>
      <c r="AC279" s="117"/>
      <c r="AD279" s="117"/>
      <c r="AE279" s="115"/>
      <c r="AF279" s="180"/>
      <c r="AG279" s="117"/>
      <c r="AH279" s="117"/>
      <c r="AI279" s="117"/>
      <c r="AJ279" s="115"/>
      <c r="AK279" s="180"/>
      <c r="AL279" s="117"/>
      <c r="AM279" s="117"/>
      <c r="AN279" s="117"/>
      <c r="AO279" s="338"/>
      <c r="AP279" s="338"/>
      <c r="AQ279" s="338"/>
      <c r="AR279" s="338"/>
      <c r="AS279" s="338"/>
      <c r="AT279" s="338"/>
      <c r="AU279" s="338"/>
      <c r="AV279" s="338"/>
      <c r="AW279" s="338"/>
      <c r="AX279" s="338"/>
      <c r="AY279" s="338"/>
      <c r="AZ279" s="338"/>
      <c r="BA279" s="338"/>
      <c r="BB279" s="338"/>
      <c r="BC279" s="338"/>
    </row>
    <row r="280">
      <c r="A280" s="115"/>
      <c r="B280" s="180"/>
      <c r="C280" s="117"/>
      <c r="D280" s="117"/>
      <c r="E280" s="117"/>
      <c r="F280" s="115"/>
      <c r="G280" s="180"/>
      <c r="H280" s="117"/>
      <c r="I280" s="117"/>
      <c r="J280" s="117"/>
      <c r="K280" s="92"/>
      <c r="L280" s="180"/>
      <c r="M280" s="117"/>
      <c r="N280" s="117"/>
      <c r="O280" s="117"/>
      <c r="P280" s="92"/>
      <c r="Q280" s="150"/>
      <c r="R280" s="117"/>
      <c r="S280" s="117"/>
      <c r="T280" s="117"/>
      <c r="U280" s="115"/>
      <c r="V280" s="180"/>
      <c r="W280" s="117"/>
      <c r="X280" s="117"/>
      <c r="Y280" s="117"/>
      <c r="Z280" s="115"/>
      <c r="AA280" s="180"/>
      <c r="AB280" s="117"/>
      <c r="AC280" s="117"/>
      <c r="AD280" s="117"/>
      <c r="AE280" s="115"/>
      <c r="AF280" s="180"/>
      <c r="AG280" s="117"/>
      <c r="AH280" s="117"/>
      <c r="AI280" s="117"/>
      <c r="AJ280" s="115"/>
      <c r="AK280" s="180"/>
      <c r="AL280" s="117"/>
      <c r="AM280" s="117"/>
      <c r="AN280" s="117"/>
      <c r="AO280" s="338"/>
      <c r="AP280" s="338"/>
      <c r="AQ280" s="338"/>
      <c r="AR280" s="338"/>
      <c r="AS280" s="338"/>
      <c r="AT280" s="338"/>
      <c r="AU280" s="338"/>
      <c r="AV280" s="338"/>
      <c r="AW280" s="338"/>
      <c r="AX280" s="338"/>
      <c r="AY280" s="338"/>
      <c r="AZ280" s="338"/>
      <c r="BA280" s="338"/>
      <c r="BB280" s="338"/>
      <c r="BC280" s="338"/>
    </row>
    <row r="281">
      <c r="A281" s="115"/>
      <c r="B281" s="180"/>
      <c r="C281" s="117"/>
      <c r="D281" s="117"/>
      <c r="E281" s="117"/>
      <c r="F281" s="115"/>
      <c r="G281" s="180"/>
      <c r="H281" s="117"/>
      <c r="I281" s="117"/>
      <c r="J281" s="117"/>
      <c r="K281" s="92"/>
      <c r="L281" s="180"/>
      <c r="M281" s="117"/>
      <c r="N281" s="117"/>
      <c r="O281" s="117"/>
      <c r="P281" s="92"/>
      <c r="Q281" s="150"/>
      <c r="R281" s="117"/>
      <c r="S281" s="117"/>
      <c r="T281" s="117"/>
      <c r="U281" s="115"/>
      <c r="V281" s="180"/>
      <c r="W281" s="117"/>
      <c r="X281" s="117"/>
      <c r="Y281" s="117"/>
      <c r="Z281" s="115"/>
      <c r="AA281" s="180"/>
      <c r="AB281" s="117"/>
      <c r="AC281" s="117"/>
      <c r="AD281" s="117"/>
      <c r="AE281" s="115"/>
      <c r="AF281" s="180"/>
      <c r="AG281" s="117"/>
      <c r="AH281" s="117"/>
      <c r="AI281" s="117"/>
      <c r="AJ281" s="115"/>
      <c r="AK281" s="180"/>
      <c r="AL281" s="117"/>
      <c r="AM281" s="117"/>
      <c r="AN281" s="117"/>
      <c r="AO281" s="338"/>
      <c r="AP281" s="338"/>
      <c r="AQ281" s="338"/>
      <c r="AR281" s="338"/>
      <c r="AS281" s="338"/>
      <c r="AT281" s="338"/>
      <c r="AU281" s="338"/>
      <c r="AV281" s="338"/>
      <c r="AW281" s="338"/>
      <c r="AX281" s="338"/>
      <c r="AY281" s="338"/>
      <c r="AZ281" s="338"/>
      <c r="BA281" s="338"/>
      <c r="BB281" s="338"/>
      <c r="BC281" s="338"/>
    </row>
    <row r="282">
      <c r="A282" s="115"/>
      <c r="B282" s="180"/>
      <c r="C282" s="117"/>
      <c r="D282" s="117"/>
      <c r="E282" s="117"/>
      <c r="F282" s="115"/>
      <c r="G282" s="180"/>
      <c r="H282" s="117"/>
      <c r="I282" s="117"/>
      <c r="J282" s="117"/>
      <c r="K282" s="92"/>
      <c r="L282" s="180"/>
      <c r="M282" s="117"/>
      <c r="N282" s="117"/>
      <c r="O282" s="117"/>
      <c r="P282" s="92"/>
      <c r="Q282" s="150"/>
      <c r="R282" s="117"/>
      <c r="S282" s="117"/>
      <c r="T282" s="117"/>
      <c r="U282" s="115"/>
      <c r="V282" s="180"/>
      <c r="W282" s="117"/>
      <c r="X282" s="117"/>
      <c r="Y282" s="117"/>
      <c r="Z282" s="115"/>
      <c r="AA282" s="180"/>
      <c r="AB282" s="117"/>
      <c r="AC282" s="117"/>
      <c r="AD282" s="117"/>
      <c r="AE282" s="115"/>
      <c r="AF282" s="180"/>
      <c r="AG282" s="117"/>
      <c r="AH282" s="117"/>
      <c r="AI282" s="117"/>
      <c r="AJ282" s="115"/>
      <c r="AK282" s="180"/>
      <c r="AL282" s="117"/>
      <c r="AM282" s="117"/>
      <c r="AN282" s="117"/>
      <c r="AO282" s="338"/>
      <c r="AP282" s="338"/>
      <c r="AQ282" s="338"/>
      <c r="AR282" s="338"/>
      <c r="AS282" s="338"/>
      <c r="AT282" s="338"/>
      <c r="AU282" s="338"/>
      <c r="AV282" s="338"/>
      <c r="AW282" s="338"/>
      <c r="AX282" s="338"/>
      <c r="AY282" s="338"/>
      <c r="AZ282" s="338"/>
      <c r="BA282" s="338"/>
      <c r="BB282" s="338"/>
      <c r="BC282" s="338"/>
    </row>
    <row r="283">
      <c r="A283" s="115"/>
      <c r="B283" s="180"/>
      <c r="C283" s="117"/>
      <c r="D283" s="117"/>
      <c r="E283" s="117"/>
      <c r="F283" s="115"/>
      <c r="G283" s="180"/>
      <c r="H283" s="117"/>
      <c r="I283" s="117"/>
      <c r="J283" s="117"/>
      <c r="K283" s="92"/>
      <c r="L283" s="180"/>
      <c r="M283" s="117"/>
      <c r="N283" s="117"/>
      <c r="O283" s="117"/>
      <c r="P283" s="92"/>
      <c r="Q283" s="150"/>
      <c r="R283" s="117"/>
      <c r="S283" s="117"/>
      <c r="T283" s="117"/>
      <c r="U283" s="115"/>
      <c r="V283" s="180"/>
      <c r="W283" s="117"/>
      <c r="X283" s="117"/>
      <c r="Y283" s="117"/>
      <c r="Z283" s="115"/>
      <c r="AA283" s="180"/>
      <c r="AB283" s="117"/>
      <c r="AC283" s="117"/>
      <c r="AD283" s="117"/>
      <c r="AE283" s="115"/>
      <c r="AF283" s="180"/>
      <c r="AG283" s="117"/>
      <c r="AH283" s="117"/>
      <c r="AI283" s="117"/>
      <c r="AJ283" s="115"/>
      <c r="AK283" s="180"/>
      <c r="AL283" s="117"/>
      <c r="AM283" s="117"/>
      <c r="AN283" s="117"/>
      <c r="AO283" s="338"/>
      <c r="AP283" s="338"/>
      <c r="AQ283" s="338"/>
      <c r="AR283" s="338"/>
      <c r="AS283" s="338"/>
      <c r="AT283" s="338"/>
      <c r="AU283" s="338"/>
      <c r="AV283" s="338"/>
      <c r="AW283" s="338"/>
      <c r="AX283" s="338"/>
      <c r="AY283" s="338"/>
      <c r="AZ283" s="338"/>
      <c r="BA283" s="338"/>
      <c r="BB283" s="338"/>
      <c r="BC283" s="338"/>
    </row>
    <row r="284">
      <c r="A284" s="115"/>
      <c r="B284" s="180"/>
      <c r="C284" s="117"/>
      <c r="D284" s="117"/>
      <c r="E284" s="117"/>
      <c r="F284" s="115"/>
      <c r="G284" s="180"/>
      <c r="H284" s="117"/>
      <c r="I284" s="117"/>
      <c r="J284" s="117"/>
      <c r="K284" s="92"/>
      <c r="L284" s="180"/>
      <c r="M284" s="117"/>
      <c r="N284" s="117"/>
      <c r="O284" s="117"/>
      <c r="P284" s="92"/>
      <c r="Q284" s="150"/>
      <c r="R284" s="117"/>
      <c r="S284" s="117"/>
      <c r="T284" s="117"/>
      <c r="U284" s="115"/>
      <c r="V284" s="180"/>
      <c r="W284" s="117"/>
      <c r="X284" s="117"/>
      <c r="Y284" s="117"/>
      <c r="Z284" s="115"/>
      <c r="AA284" s="180"/>
      <c r="AB284" s="117"/>
      <c r="AC284" s="117"/>
      <c r="AD284" s="117"/>
      <c r="AE284" s="115"/>
      <c r="AF284" s="180"/>
      <c r="AG284" s="117"/>
      <c r="AH284" s="117"/>
      <c r="AI284" s="117"/>
      <c r="AJ284" s="115"/>
      <c r="AK284" s="180"/>
      <c r="AL284" s="117"/>
      <c r="AM284" s="117"/>
      <c r="AN284" s="117"/>
      <c r="AO284" s="338"/>
      <c r="AP284" s="338"/>
      <c r="AQ284" s="338"/>
      <c r="AR284" s="338"/>
      <c r="AS284" s="338"/>
      <c r="AT284" s="338"/>
      <c r="AU284" s="338"/>
      <c r="AV284" s="338"/>
      <c r="AW284" s="338"/>
      <c r="AX284" s="338"/>
      <c r="AY284" s="338"/>
      <c r="AZ284" s="338"/>
      <c r="BA284" s="338"/>
      <c r="BB284" s="338"/>
      <c r="BC284" s="338"/>
    </row>
    <row r="285">
      <c r="A285" s="115"/>
      <c r="B285" s="180"/>
      <c r="C285" s="117"/>
      <c r="D285" s="117"/>
      <c r="E285" s="117"/>
      <c r="F285" s="115"/>
      <c r="G285" s="180"/>
      <c r="H285" s="117"/>
      <c r="I285" s="117"/>
      <c r="J285" s="117"/>
      <c r="K285" s="92"/>
      <c r="L285" s="180"/>
      <c r="M285" s="117"/>
      <c r="N285" s="117"/>
      <c r="O285" s="117"/>
      <c r="P285" s="92"/>
      <c r="Q285" s="150"/>
      <c r="R285" s="117"/>
      <c r="S285" s="117"/>
      <c r="T285" s="117"/>
      <c r="U285" s="115"/>
      <c r="V285" s="180"/>
      <c r="W285" s="117"/>
      <c r="X285" s="117"/>
      <c r="Y285" s="117"/>
      <c r="Z285" s="115"/>
      <c r="AA285" s="180"/>
      <c r="AB285" s="117"/>
      <c r="AC285" s="117"/>
      <c r="AD285" s="117"/>
      <c r="AE285" s="115"/>
      <c r="AF285" s="180"/>
      <c r="AG285" s="117"/>
      <c r="AH285" s="117"/>
      <c r="AI285" s="117"/>
      <c r="AJ285" s="115"/>
      <c r="AK285" s="180"/>
      <c r="AL285" s="117"/>
      <c r="AM285" s="117"/>
      <c r="AN285" s="117"/>
      <c r="AO285" s="338"/>
      <c r="AP285" s="338"/>
      <c r="AQ285" s="338"/>
      <c r="AR285" s="338"/>
      <c r="AS285" s="338"/>
      <c r="AT285" s="338"/>
      <c r="AU285" s="338"/>
      <c r="AV285" s="338"/>
      <c r="AW285" s="338"/>
      <c r="AX285" s="338"/>
      <c r="AY285" s="338"/>
      <c r="AZ285" s="338"/>
      <c r="BA285" s="338"/>
      <c r="BB285" s="338"/>
      <c r="BC285" s="338"/>
    </row>
    <row r="286">
      <c r="A286" s="115"/>
      <c r="B286" s="180"/>
      <c r="C286" s="117"/>
      <c r="D286" s="117"/>
      <c r="E286" s="117"/>
      <c r="F286" s="115"/>
      <c r="G286" s="180"/>
      <c r="H286" s="117"/>
      <c r="I286" s="117"/>
      <c r="J286" s="117"/>
      <c r="K286" s="92"/>
      <c r="L286" s="180"/>
      <c r="M286" s="117"/>
      <c r="N286" s="117"/>
      <c r="O286" s="117"/>
      <c r="P286" s="92"/>
      <c r="Q286" s="150"/>
      <c r="R286" s="117"/>
      <c r="S286" s="117"/>
      <c r="T286" s="117"/>
      <c r="U286" s="115"/>
      <c r="V286" s="180"/>
      <c r="W286" s="117"/>
      <c r="X286" s="117"/>
      <c r="Y286" s="117"/>
      <c r="Z286" s="115"/>
      <c r="AA286" s="180"/>
      <c r="AB286" s="117"/>
      <c r="AC286" s="117"/>
      <c r="AD286" s="117"/>
      <c r="AE286" s="115"/>
      <c r="AF286" s="180"/>
      <c r="AG286" s="117"/>
      <c r="AH286" s="117"/>
      <c r="AI286" s="117"/>
      <c r="AJ286" s="115"/>
      <c r="AK286" s="180"/>
      <c r="AL286" s="117"/>
      <c r="AM286" s="117"/>
      <c r="AN286" s="117"/>
      <c r="AO286" s="338"/>
      <c r="AP286" s="338"/>
      <c r="AQ286" s="338"/>
      <c r="AR286" s="338"/>
      <c r="AS286" s="338"/>
      <c r="AT286" s="338"/>
      <c r="AU286" s="338"/>
      <c r="AV286" s="338"/>
      <c r="AW286" s="338"/>
      <c r="AX286" s="338"/>
      <c r="AY286" s="338"/>
      <c r="AZ286" s="338"/>
      <c r="BA286" s="338"/>
      <c r="BB286" s="338"/>
      <c r="BC286" s="338"/>
    </row>
    <row r="287">
      <c r="A287" s="115"/>
      <c r="B287" s="180"/>
      <c r="C287" s="117"/>
      <c r="D287" s="117"/>
      <c r="E287" s="117"/>
      <c r="F287" s="115"/>
      <c r="G287" s="180"/>
      <c r="H287" s="117"/>
      <c r="I287" s="117"/>
      <c r="J287" s="117"/>
      <c r="K287" s="92"/>
      <c r="L287" s="180"/>
      <c r="M287" s="117"/>
      <c r="N287" s="117"/>
      <c r="O287" s="117"/>
      <c r="P287" s="92"/>
      <c r="Q287" s="150"/>
      <c r="R287" s="117"/>
      <c r="S287" s="117"/>
      <c r="T287" s="117"/>
      <c r="U287" s="115"/>
      <c r="V287" s="180"/>
      <c r="W287" s="117"/>
      <c r="X287" s="117"/>
      <c r="Y287" s="117"/>
      <c r="Z287" s="115"/>
      <c r="AA287" s="180"/>
      <c r="AB287" s="117"/>
      <c r="AC287" s="117"/>
      <c r="AD287" s="117"/>
      <c r="AE287" s="115"/>
      <c r="AF287" s="180"/>
      <c r="AG287" s="117"/>
      <c r="AH287" s="117"/>
      <c r="AI287" s="117"/>
      <c r="AJ287" s="115"/>
      <c r="AK287" s="180"/>
      <c r="AL287" s="117"/>
      <c r="AM287" s="117"/>
      <c r="AN287" s="117"/>
      <c r="AO287" s="338"/>
      <c r="AP287" s="338"/>
      <c r="AQ287" s="338"/>
      <c r="AR287" s="338"/>
      <c r="AS287" s="338"/>
      <c r="AT287" s="338"/>
      <c r="AU287" s="338"/>
      <c r="AV287" s="338"/>
      <c r="AW287" s="338"/>
      <c r="AX287" s="338"/>
      <c r="AY287" s="338"/>
      <c r="AZ287" s="338"/>
      <c r="BA287" s="338"/>
      <c r="BB287" s="338"/>
      <c r="BC287" s="338"/>
    </row>
    <row r="288">
      <c r="A288" s="115"/>
      <c r="B288" s="180"/>
      <c r="C288" s="117"/>
      <c r="D288" s="117"/>
      <c r="E288" s="117"/>
      <c r="F288" s="115"/>
      <c r="G288" s="180"/>
      <c r="H288" s="117"/>
      <c r="I288" s="117"/>
      <c r="J288" s="117"/>
      <c r="K288" s="92"/>
      <c r="L288" s="180"/>
      <c r="M288" s="117"/>
      <c r="N288" s="117"/>
      <c r="O288" s="117"/>
      <c r="P288" s="92"/>
      <c r="Q288" s="150"/>
      <c r="R288" s="117"/>
      <c r="S288" s="117"/>
      <c r="T288" s="117"/>
      <c r="U288" s="115"/>
      <c r="V288" s="180"/>
      <c r="W288" s="117"/>
      <c r="X288" s="117"/>
      <c r="Y288" s="117"/>
      <c r="Z288" s="115"/>
      <c r="AA288" s="180"/>
      <c r="AB288" s="117"/>
      <c r="AC288" s="117"/>
      <c r="AD288" s="117"/>
      <c r="AE288" s="115"/>
      <c r="AF288" s="180"/>
      <c r="AG288" s="117"/>
      <c r="AH288" s="117"/>
      <c r="AI288" s="117"/>
      <c r="AJ288" s="115"/>
      <c r="AK288" s="180"/>
      <c r="AL288" s="117"/>
      <c r="AM288" s="117"/>
      <c r="AN288" s="117"/>
      <c r="AO288" s="338"/>
      <c r="AP288" s="338"/>
      <c r="AQ288" s="338"/>
      <c r="AR288" s="338"/>
      <c r="AS288" s="338"/>
      <c r="AT288" s="338"/>
      <c r="AU288" s="338"/>
      <c r="AV288" s="338"/>
      <c r="AW288" s="338"/>
      <c r="AX288" s="338"/>
      <c r="AY288" s="338"/>
      <c r="AZ288" s="338"/>
      <c r="BA288" s="338"/>
      <c r="BB288" s="338"/>
      <c r="BC288" s="338"/>
    </row>
    <row r="289">
      <c r="A289" s="115"/>
      <c r="B289" s="180"/>
      <c r="C289" s="117"/>
      <c r="D289" s="117"/>
      <c r="E289" s="117"/>
      <c r="F289" s="115"/>
      <c r="G289" s="180"/>
      <c r="H289" s="117"/>
      <c r="I289" s="117"/>
      <c r="J289" s="117"/>
      <c r="K289" s="92"/>
      <c r="L289" s="180"/>
      <c r="M289" s="117"/>
      <c r="N289" s="117"/>
      <c r="O289" s="117"/>
      <c r="P289" s="92"/>
      <c r="Q289" s="150"/>
      <c r="R289" s="117"/>
      <c r="S289" s="117"/>
      <c r="T289" s="117"/>
      <c r="U289" s="115"/>
      <c r="V289" s="180"/>
      <c r="W289" s="117"/>
      <c r="X289" s="117"/>
      <c r="Y289" s="117"/>
      <c r="Z289" s="115"/>
      <c r="AA289" s="180"/>
      <c r="AB289" s="117"/>
      <c r="AC289" s="117"/>
      <c r="AD289" s="117"/>
      <c r="AE289" s="115"/>
      <c r="AF289" s="180"/>
      <c r="AG289" s="117"/>
      <c r="AH289" s="117"/>
      <c r="AI289" s="117"/>
      <c r="AJ289" s="115"/>
      <c r="AK289" s="180"/>
      <c r="AL289" s="117"/>
      <c r="AM289" s="117"/>
      <c r="AN289" s="117"/>
      <c r="AO289" s="338"/>
      <c r="AP289" s="338"/>
      <c r="AQ289" s="338"/>
      <c r="AR289" s="338"/>
      <c r="AS289" s="338"/>
      <c r="AT289" s="338"/>
      <c r="AU289" s="338"/>
      <c r="AV289" s="338"/>
      <c r="AW289" s="338"/>
      <c r="AX289" s="338"/>
      <c r="AY289" s="338"/>
      <c r="AZ289" s="338"/>
      <c r="BA289" s="338"/>
      <c r="BB289" s="338"/>
      <c r="BC289" s="338"/>
    </row>
    <row r="290">
      <c r="A290" s="115"/>
      <c r="B290" s="180"/>
      <c r="C290" s="117"/>
      <c r="D290" s="117"/>
      <c r="E290" s="117"/>
      <c r="F290" s="115"/>
      <c r="G290" s="180"/>
      <c r="H290" s="117"/>
      <c r="I290" s="117"/>
      <c r="J290" s="117"/>
      <c r="K290" s="92"/>
      <c r="L290" s="180"/>
      <c r="M290" s="117"/>
      <c r="N290" s="117"/>
      <c r="O290" s="117"/>
      <c r="P290" s="92"/>
      <c r="Q290" s="150"/>
      <c r="R290" s="117"/>
      <c r="S290" s="117"/>
      <c r="T290" s="117"/>
      <c r="U290" s="115"/>
      <c r="V290" s="180"/>
      <c r="W290" s="117"/>
      <c r="X290" s="117"/>
      <c r="Y290" s="117"/>
      <c r="Z290" s="115"/>
      <c r="AA290" s="180"/>
      <c r="AB290" s="117"/>
      <c r="AC290" s="117"/>
      <c r="AD290" s="117"/>
      <c r="AE290" s="115"/>
      <c r="AF290" s="180"/>
      <c r="AG290" s="117"/>
      <c r="AH290" s="117"/>
      <c r="AI290" s="117"/>
      <c r="AJ290" s="115"/>
      <c r="AK290" s="180"/>
      <c r="AL290" s="117"/>
      <c r="AM290" s="117"/>
      <c r="AN290" s="117"/>
      <c r="AO290" s="338"/>
      <c r="AP290" s="338"/>
      <c r="AQ290" s="338"/>
      <c r="AR290" s="338"/>
      <c r="AS290" s="338"/>
      <c r="AT290" s="338"/>
      <c r="AU290" s="338"/>
      <c r="AV290" s="338"/>
      <c r="AW290" s="338"/>
      <c r="AX290" s="338"/>
      <c r="AY290" s="338"/>
      <c r="AZ290" s="338"/>
      <c r="BA290" s="338"/>
      <c r="BB290" s="338"/>
      <c r="BC290" s="338"/>
    </row>
    <row r="291">
      <c r="A291" s="115"/>
      <c r="B291" s="180"/>
      <c r="C291" s="117"/>
      <c r="D291" s="117"/>
      <c r="E291" s="117"/>
      <c r="F291" s="115"/>
      <c r="G291" s="180"/>
      <c r="H291" s="117"/>
      <c r="I291" s="117"/>
      <c r="J291" s="117"/>
      <c r="K291" s="92"/>
      <c r="L291" s="180"/>
      <c r="M291" s="117"/>
      <c r="N291" s="117"/>
      <c r="O291" s="117"/>
      <c r="P291" s="92"/>
      <c r="Q291" s="150"/>
      <c r="R291" s="117"/>
      <c r="S291" s="117"/>
      <c r="T291" s="117"/>
      <c r="U291" s="115"/>
      <c r="V291" s="180"/>
      <c r="W291" s="117"/>
      <c r="X291" s="117"/>
      <c r="Y291" s="117"/>
      <c r="Z291" s="115"/>
      <c r="AA291" s="180"/>
      <c r="AB291" s="117"/>
      <c r="AC291" s="117"/>
      <c r="AD291" s="117"/>
      <c r="AE291" s="115"/>
      <c r="AF291" s="180"/>
      <c r="AG291" s="117"/>
      <c r="AH291" s="117"/>
      <c r="AI291" s="117"/>
      <c r="AJ291" s="115"/>
      <c r="AK291" s="180"/>
      <c r="AL291" s="117"/>
      <c r="AM291" s="117"/>
      <c r="AN291" s="117"/>
      <c r="AO291" s="338"/>
      <c r="AP291" s="338"/>
      <c r="AQ291" s="338"/>
      <c r="AR291" s="338"/>
      <c r="AS291" s="338"/>
      <c r="AT291" s="338"/>
      <c r="AU291" s="338"/>
      <c r="AV291" s="338"/>
      <c r="AW291" s="338"/>
      <c r="AX291" s="338"/>
      <c r="AY291" s="338"/>
      <c r="AZ291" s="338"/>
      <c r="BA291" s="338"/>
      <c r="BB291" s="338"/>
      <c r="BC291" s="338"/>
    </row>
    <row r="292">
      <c r="A292" s="115"/>
      <c r="B292" s="180"/>
      <c r="C292" s="117"/>
      <c r="D292" s="117"/>
      <c r="E292" s="117"/>
      <c r="F292" s="115"/>
      <c r="G292" s="180"/>
      <c r="H292" s="117"/>
      <c r="I292" s="117"/>
      <c r="J292" s="117"/>
      <c r="K292" s="92"/>
      <c r="L292" s="180"/>
      <c r="M292" s="117"/>
      <c r="N292" s="117"/>
      <c r="O292" s="117"/>
      <c r="P292" s="92"/>
      <c r="Q292" s="150"/>
      <c r="R292" s="117"/>
      <c r="S292" s="117"/>
      <c r="T292" s="117"/>
      <c r="U292" s="115"/>
      <c r="V292" s="180"/>
      <c r="W292" s="117"/>
      <c r="X292" s="117"/>
      <c r="Y292" s="117"/>
      <c r="Z292" s="115"/>
      <c r="AA292" s="180"/>
      <c r="AB292" s="117"/>
      <c r="AC292" s="117"/>
      <c r="AD292" s="117"/>
      <c r="AE292" s="115"/>
      <c r="AF292" s="180"/>
      <c r="AG292" s="117"/>
      <c r="AH292" s="117"/>
      <c r="AI292" s="117"/>
      <c r="AJ292" s="115"/>
      <c r="AK292" s="180"/>
      <c r="AL292" s="117"/>
      <c r="AM292" s="117"/>
      <c r="AN292" s="117"/>
      <c r="AO292" s="338"/>
      <c r="AP292" s="338"/>
      <c r="AQ292" s="338"/>
      <c r="AR292" s="338"/>
      <c r="AS292" s="338"/>
      <c r="AT292" s="338"/>
      <c r="AU292" s="338"/>
      <c r="AV292" s="338"/>
      <c r="AW292" s="338"/>
      <c r="AX292" s="338"/>
      <c r="AY292" s="338"/>
      <c r="AZ292" s="338"/>
      <c r="BA292" s="338"/>
      <c r="BB292" s="338"/>
      <c r="BC292" s="338"/>
    </row>
    <row r="293">
      <c r="A293" s="115"/>
      <c r="B293" s="180"/>
      <c r="C293" s="117"/>
      <c r="D293" s="117"/>
      <c r="E293" s="117"/>
      <c r="F293" s="115"/>
      <c r="G293" s="180"/>
      <c r="H293" s="117"/>
      <c r="I293" s="117"/>
      <c r="J293" s="117"/>
      <c r="K293" s="92"/>
      <c r="L293" s="180"/>
      <c r="M293" s="117"/>
      <c r="N293" s="117"/>
      <c r="O293" s="117"/>
      <c r="P293" s="92"/>
      <c r="Q293" s="150"/>
      <c r="R293" s="117"/>
      <c r="S293" s="117"/>
      <c r="T293" s="117"/>
      <c r="U293" s="115"/>
      <c r="V293" s="180"/>
      <c r="W293" s="117"/>
      <c r="X293" s="117"/>
      <c r="Y293" s="117"/>
      <c r="Z293" s="115"/>
      <c r="AA293" s="180"/>
      <c r="AB293" s="117"/>
      <c r="AC293" s="117"/>
      <c r="AD293" s="117"/>
      <c r="AE293" s="115"/>
      <c r="AF293" s="180"/>
      <c r="AG293" s="117"/>
      <c r="AH293" s="117"/>
      <c r="AI293" s="117"/>
      <c r="AJ293" s="115"/>
      <c r="AK293" s="180"/>
      <c r="AL293" s="117"/>
      <c r="AM293" s="117"/>
      <c r="AN293" s="117"/>
      <c r="AO293" s="338"/>
      <c r="AP293" s="338"/>
      <c r="AQ293" s="338"/>
      <c r="AR293" s="338"/>
      <c r="AS293" s="338"/>
      <c r="AT293" s="338"/>
      <c r="AU293" s="338"/>
      <c r="AV293" s="338"/>
      <c r="AW293" s="338"/>
      <c r="AX293" s="338"/>
      <c r="AY293" s="338"/>
      <c r="AZ293" s="338"/>
      <c r="BA293" s="338"/>
      <c r="BB293" s="338"/>
      <c r="BC293" s="338"/>
    </row>
    <row r="294">
      <c r="A294" s="115"/>
      <c r="B294" s="180"/>
      <c r="C294" s="117"/>
      <c r="D294" s="117"/>
      <c r="E294" s="117"/>
      <c r="F294" s="115"/>
      <c r="G294" s="180"/>
      <c r="H294" s="117"/>
      <c r="I294" s="117"/>
      <c r="J294" s="117"/>
      <c r="K294" s="92"/>
      <c r="L294" s="180"/>
      <c r="M294" s="117"/>
      <c r="N294" s="117"/>
      <c r="O294" s="117"/>
      <c r="P294" s="92"/>
      <c r="Q294" s="150"/>
      <c r="R294" s="117"/>
      <c r="S294" s="117"/>
      <c r="T294" s="117"/>
      <c r="U294" s="115"/>
      <c r="V294" s="180"/>
      <c r="W294" s="117"/>
      <c r="X294" s="117"/>
      <c r="Y294" s="117"/>
      <c r="Z294" s="115"/>
      <c r="AA294" s="180"/>
      <c r="AB294" s="117"/>
      <c r="AC294" s="117"/>
      <c r="AD294" s="117"/>
      <c r="AE294" s="115"/>
      <c r="AF294" s="180"/>
      <c r="AG294" s="117"/>
      <c r="AH294" s="117"/>
      <c r="AI294" s="117"/>
      <c r="AJ294" s="115"/>
      <c r="AK294" s="180"/>
      <c r="AL294" s="117"/>
      <c r="AM294" s="117"/>
      <c r="AN294" s="117"/>
      <c r="AO294" s="338"/>
      <c r="AP294" s="338"/>
      <c r="AQ294" s="338"/>
      <c r="AR294" s="338"/>
      <c r="AS294" s="338"/>
      <c r="AT294" s="338"/>
      <c r="AU294" s="338"/>
      <c r="AV294" s="338"/>
      <c r="AW294" s="338"/>
      <c r="AX294" s="338"/>
      <c r="AY294" s="338"/>
      <c r="AZ294" s="338"/>
      <c r="BA294" s="338"/>
      <c r="BB294" s="338"/>
      <c r="BC294" s="338"/>
    </row>
    <row r="295">
      <c r="A295" s="115"/>
      <c r="B295" s="180"/>
      <c r="C295" s="117"/>
      <c r="D295" s="117"/>
      <c r="E295" s="117"/>
      <c r="F295" s="115"/>
      <c r="G295" s="180"/>
      <c r="H295" s="117"/>
      <c r="I295" s="117"/>
      <c r="J295" s="117"/>
      <c r="K295" s="92"/>
      <c r="L295" s="180"/>
      <c r="M295" s="117"/>
      <c r="N295" s="117"/>
      <c r="O295" s="117"/>
      <c r="P295" s="92"/>
      <c r="Q295" s="150"/>
      <c r="R295" s="117"/>
      <c r="S295" s="117"/>
      <c r="T295" s="117"/>
      <c r="U295" s="115"/>
      <c r="V295" s="180"/>
      <c r="W295" s="117"/>
      <c r="X295" s="117"/>
      <c r="Y295" s="117"/>
      <c r="Z295" s="115"/>
      <c r="AA295" s="180"/>
      <c r="AB295" s="117"/>
      <c r="AC295" s="117"/>
      <c r="AD295" s="117"/>
      <c r="AE295" s="115"/>
      <c r="AF295" s="180"/>
      <c r="AG295" s="117"/>
      <c r="AH295" s="117"/>
      <c r="AI295" s="117"/>
      <c r="AJ295" s="115"/>
      <c r="AK295" s="180"/>
      <c r="AL295" s="117"/>
      <c r="AM295" s="117"/>
      <c r="AN295" s="117"/>
      <c r="AO295" s="338"/>
      <c r="AP295" s="338"/>
      <c r="AQ295" s="338"/>
      <c r="AR295" s="338"/>
      <c r="AS295" s="338"/>
      <c r="AT295" s="338"/>
      <c r="AU295" s="338"/>
      <c r="AV295" s="338"/>
      <c r="AW295" s="338"/>
      <c r="AX295" s="338"/>
      <c r="AY295" s="338"/>
      <c r="AZ295" s="338"/>
      <c r="BA295" s="338"/>
      <c r="BB295" s="338"/>
      <c r="BC295" s="338"/>
    </row>
    <row r="296">
      <c r="A296" s="115"/>
      <c r="B296" s="180"/>
      <c r="C296" s="117"/>
      <c r="D296" s="117"/>
      <c r="E296" s="117"/>
      <c r="F296" s="115"/>
      <c r="G296" s="180"/>
      <c r="H296" s="117"/>
      <c r="I296" s="117"/>
      <c r="J296" s="117"/>
      <c r="K296" s="92"/>
      <c r="L296" s="180"/>
      <c r="M296" s="117"/>
      <c r="N296" s="117"/>
      <c r="O296" s="117"/>
      <c r="P296" s="92"/>
      <c r="Q296" s="150"/>
      <c r="R296" s="117"/>
      <c r="S296" s="117"/>
      <c r="T296" s="117"/>
      <c r="U296" s="115"/>
      <c r="V296" s="180"/>
      <c r="W296" s="117"/>
      <c r="X296" s="117"/>
      <c r="Y296" s="117"/>
      <c r="Z296" s="115"/>
      <c r="AA296" s="180"/>
      <c r="AB296" s="117"/>
      <c r="AC296" s="117"/>
      <c r="AD296" s="117"/>
      <c r="AE296" s="115"/>
      <c r="AF296" s="180"/>
      <c r="AG296" s="117"/>
      <c r="AH296" s="117"/>
      <c r="AI296" s="117"/>
      <c r="AJ296" s="115"/>
      <c r="AK296" s="180"/>
      <c r="AL296" s="117"/>
      <c r="AM296" s="117"/>
      <c r="AN296" s="117"/>
      <c r="AO296" s="338"/>
      <c r="AP296" s="338"/>
      <c r="AQ296" s="338"/>
      <c r="AR296" s="338"/>
      <c r="AS296" s="338"/>
      <c r="AT296" s="338"/>
      <c r="AU296" s="338"/>
      <c r="AV296" s="338"/>
      <c r="AW296" s="338"/>
      <c r="AX296" s="338"/>
      <c r="AY296" s="338"/>
      <c r="AZ296" s="338"/>
      <c r="BA296" s="338"/>
      <c r="BB296" s="338"/>
      <c r="BC296" s="338"/>
    </row>
    <row r="297">
      <c r="A297" s="115"/>
      <c r="B297" s="180"/>
      <c r="C297" s="117"/>
      <c r="D297" s="117"/>
      <c r="E297" s="117"/>
      <c r="F297" s="115"/>
      <c r="G297" s="180"/>
      <c r="H297" s="117"/>
      <c r="I297" s="117"/>
      <c r="J297" s="117"/>
      <c r="K297" s="92"/>
      <c r="L297" s="180"/>
      <c r="M297" s="117"/>
      <c r="N297" s="117"/>
      <c r="O297" s="117"/>
      <c r="P297" s="92"/>
      <c r="Q297" s="150"/>
      <c r="R297" s="117"/>
      <c r="S297" s="117"/>
      <c r="T297" s="117"/>
      <c r="U297" s="115"/>
      <c r="V297" s="180"/>
      <c r="W297" s="117"/>
      <c r="X297" s="117"/>
      <c r="Y297" s="117"/>
      <c r="Z297" s="115"/>
      <c r="AA297" s="180"/>
      <c r="AB297" s="117"/>
      <c r="AC297" s="117"/>
      <c r="AD297" s="117"/>
      <c r="AE297" s="115"/>
      <c r="AF297" s="180"/>
      <c r="AG297" s="117"/>
      <c r="AH297" s="117"/>
      <c r="AI297" s="117"/>
      <c r="AJ297" s="115"/>
      <c r="AK297" s="180"/>
      <c r="AL297" s="117"/>
      <c r="AM297" s="117"/>
      <c r="AN297" s="117"/>
      <c r="AO297" s="338"/>
      <c r="AP297" s="338"/>
      <c r="AQ297" s="338"/>
      <c r="AR297" s="338"/>
      <c r="AS297" s="338"/>
      <c r="AT297" s="338"/>
      <c r="AU297" s="338"/>
      <c r="AV297" s="338"/>
      <c r="AW297" s="338"/>
      <c r="AX297" s="338"/>
      <c r="AY297" s="338"/>
      <c r="AZ297" s="338"/>
      <c r="BA297" s="338"/>
      <c r="BB297" s="338"/>
      <c r="BC297" s="338"/>
    </row>
    <row r="298">
      <c r="A298" s="115"/>
      <c r="B298" s="180"/>
      <c r="C298" s="117"/>
      <c r="D298" s="117"/>
      <c r="E298" s="117"/>
      <c r="F298" s="115"/>
      <c r="G298" s="180"/>
      <c r="H298" s="117"/>
      <c r="I298" s="117"/>
      <c r="J298" s="117"/>
      <c r="K298" s="92"/>
      <c r="L298" s="180"/>
      <c r="M298" s="117"/>
      <c r="N298" s="117"/>
      <c r="O298" s="117"/>
      <c r="P298" s="92"/>
      <c r="Q298" s="150"/>
      <c r="R298" s="117"/>
      <c r="S298" s="117"/>
      <c r="T298" s="117"/>
      <c r="U298" s="115"/>
      <c r="V298" s="180"/>
      <c r="W298" s="117"/>
      <c r="X298" s="117"/>
      <c r="Y298" s="117"/>
      <c r="Z298" s="115"/>
      <c r="AA298" s="180"/>
      <c r="AB298" s="117"/>
      <c r="AC298" s="117"/>
      <c r="AD298" s="117"/>
      <c r="AE298" s="115"/>
      <c r="AF298" s="180"/>
      <c r="AG298" s="117"/>
      <c r="AH298" s="117"/>
      <c r="AI298" s="117"/>
      <c r="AJ298" s="115"/>
      <c r="AK298" s="180"/>
      <c r="AL298" s="117"/>
      <c r="AM298" s="117"/>
      <c r="AN298" s="117"/>
      <c r="AO298" s="338"/>
      <c r="AP298" s="338"/>
      <c r="AQ298" s="338"/>
      <c r="AR298" s="338"/>
      <c r="AS298" s="338"/>
      <c r="AT298" s="338"/>
      <c r="AU298" s="338"/>
      <c r="AV298" s="338"/>
      <c r="AW298" s="338"/>
      <c r="AX298" s="338"/>
      <c r="AY298" s="338"/>
      <c r="AZ298" s="338"/>
      <c r="BA298" s="338"/>
      <c r="BB298" s="338"/>
      <c r="BC298" s="338"/>
    </row>
    <row r="299">
      <c r="A299" s="115"/>
      <c r="B299" s="180"/>
      <c r="C299" s="117"/>
      <c r="D299" s="117"/>
      <c r="E299" s="117"/>
      <c r="F299" s="115"/>
      <c r="G299" s="180"/>
      <c r="H299" s="117"/>
      <c r="I299" s="117"/>
      <c r="J299" s="117"/>
      <c r="K299" s="92"/>
      <c r="L299" s="180"/>
      <c r="M299" s="117"/>
      <c r="N299" s="117"/>
      <c r="O299" s="117"/>
      <c r="P299" s="92"/>
      <c r="Q299" s="150"/>
      <c r="R299" s="117"/>
      <c r="S299" s="117"/>
      <c r="T299" s="117"/>
      <c r="U299" s="115"/>
      <c r="V299" s="180"/>
      <c r="W299" s="117"/>
      <c r="X299" s="117"/>
      <c r="Y299" s="117"/>
      <c r="Z299" s="115"/>
      <c r="AA299" s="180"/>
      <c r="AB299" s="117"/>
      <c r="AC299" s="117"/>
      <c r="AD299" s="117"/>
      <c r="AE299" s="115"/>
      <c r="AF299" s="180"/>
      <c r="AG299" s="117"/>
      <c r="AH299" s="117"/>
      <c r="AI299" s="117"/>
      <c r="AJ299" s="115"/>
      <c r="AK299" s="180"/>
      <c r="AL299" s="117"/>
      <c r="AM299" s="117"/>
      <c r="AN299" s="117"/>
      <c r="AO299" s="338"/>
      <c r="AP299" s="338"/>
      <c r="AQ299" s="338"/>
      <c r="AR299" s="338"/>
      <c r="AS299" s="338"/>
      <c r="AT299" s="338"/>
      <c r="AU299" s="338"/>
      <c r="AV299" s="338"/>
      <c r="AW299" s="338"/>
      <c r="AX299" s="338"/>
      <c r="AY299" s="338"/>
      <c r="AZ299" s="338"/>
      <c r="BA299" s="338"/>
      <c r="BB299" s="338"/>
      <c r="BC299" s="338"/>
    </row>
    <row r="300">
      <c r="A300" s="115"/>
      <c r="B300" s="180"/>
      <c r="C300" s="117"/>
      <c r="D300" s="117"/>
      <c r="E300" s="117"/>
      <c r="F300" s="115"/>
      <c r="G300" s="180"/>
      <c r="H300" s="117"/>
      <c r="I300" s="117"/>
      <c r="J300" s="117"/>
      <c r="K300" s="92"/>
      <c r="L300" s="180"/>
      <c r="M300" s="117"/>
      <c r="N300" s="117"/>
      <c r="O300" s="117"/>
      <c r="P300" s="92"/>
      <c r="Q300" s="150"/>
      <c r="R300" s="117"/>
      <c r="S300" s="117"/>
      <c r="T300" s="117"/>
      <c r="U300" s="115"/>
      <c r="V300" s="180"/>
      <c r="W300" s="117"/>
      <c r="X300" s="117"/>
      <c r="Y300" s="117"/>
      <c r="Z300" s="115"/>
      <c r="AA300" s="180"/>
      <c r="AB300" s="117"/>
      <c r="AC300" s="117"/>
      <c r="AD300" s="117"/>
      <c r="AE300" s="115"/>
      <c r="AF300" s="180"/>
      <c r="AG300" s="117"/>
      <c r="AH300" s="117"/>
      <c r="AI300" s="117"/>
      <c r="AJ300" s="115"/>
      <c r="AK300" s="180"/>
      <c r="AL300" s="117"/>
      <c r="AM300" s="117"/>
      <c r="AN300" s="117"/>
      <c r="AO300" s="338"/>
      <c r="AP300" s="338"/>
      <c r="AQ300" s="338"/>
      <c r="AR300" s="338"/>
      <c r="AS300" s="338"/>
      <c r="AT300" s="338"/>
      <c r="AU300" s="338"/>
      <c r="AV300" s="338"/>
      <c r="AW300" s="338"/>
      <c r="AX300" s="338"/>
      <c r="AY300" s="338"/>
      <c r="AZ300" s="338"/>
      <c r="BA300" s="338"/>
      <c r="BB300" s="338"/>
      <c r="BC300" s="338"/>
    </row>
    <row r="301">
      <c r="A301" s="115"/>
      <c r="B301" s="180"/>
      <c r="C301" s="117"/>
      <c r="D301" s="117"/>
      <c r="E301" s="117"/>
      <c r="F301" s="115"/>
      <c r="G301" s="180"/>
      <c r="H301" s="117"/>
      <c r="I301" s="117"/>
      <c r="J301" s="117"/>
      <c r="K301" s="92"/>
      <c r="L301" s="180"/>
      <c r="M301" s="117"/>
      <c r="N301" s="117"/>
      <c r="O301" s="117"/>
      <c r="P301" s="92"/>
      <c r="Q301" s="150"/>
      <c r="R301" s="117"/>
      <c r="S301" s="117"/>
      <c r="T301" s="117"/>
      <c r="U301" s="115"/>
      <c r="V301" s="180"/>
      <c r="W301" s="117"/>
      <c r="X301" s="117"/>
      <c r="Y301" s="117"/>
      <c r="Z301" s="115"/>
      <c r="AA301" s="180"/>
      <c r="AB301" s="117"/>
      <c r="AC301" s="117"/>
      <c r="AD301" s="117"/>
      <c r="AE301" s="115"/>
      <c r="AF301" s="180"/>
      <c r="AG301" s="117"/>
      <c r="AH301" s="117"/>
      <c r="AI301" s="117"/>
      <c r="AJ301" s="115"/>
      <c r="AK301" s="180"/>
      <c r="AL301" s="117"/>
      <c r="AM301" s="117"/>
      <c r="AN301" s="117"/>
      <c r="AO301" s="338"/>
      <c r="AP301" s="338"/>
      <c r="AQ301" s="338"/>
      <c r="AR301" s="338"/>
      <c r="AS301" s="338"/>
      <c r="AT301" s="338"/>
      <c r="AU301" s="338"/>
      <c r="AV301" s="338"/>
      <c r="AW301" s="338"/>
      <c r="AX301" s="338"/>
      <c r="AY301" s="338"/>
      <c r="AZ301" s="338"/>
      <c r="BA301" s="338"/>
      <c r="BB301" s="338"/>
      <c r="BC301" s="338"/>
    </row>
    <row r="302">
      <c r="A302" s="115"/>
      <c r="B302" s="180"/>
      <c r="C302" s="117"/>
      <c r="D302" s="117"/>
      <c r="E302" s="117"/>
      <c r="F302" s="115"/>
      <c r="G302" s="180"/>
      <c r="H302" s="117"/>
      <c r="I302" s="117"/>
      <c r="J302" s="117"/>
      <c r="K302" s="92"/>
      <c r="L302" s="180"/>
      <c r="M302" s="117"/>
      <c r="N302" s="117"/>
      <c r="O302" s="117"/>
      <c r="P302" s="92"/>
      <c r="Q302" s="150"/>
      <c r="R302" s="117"/>
      <c r="S302" s="117"/>
      <c r="T302" s="117"/>
      <c r="U302" s="115"/>
      <c r="V302" s="180"/>
      <c r="W302" s="117"/>
      <c r="X302" s="117"/>
      <c r="Y302" s="117"/>
      <c r="Z302" s="115"/>
      <c r="AA302" s="180"/>
      <c r="AB302" s="117"/>
      <c r="AC302" s="117"/>
      <c r="AD302" s="117"/>
      <c r="AE302" s="115"/>
      <c r="AF302" s="180"/>
      <c r="AG302" s="117"/>
      <c r="AH302" s="117"/>
      <c r="AI302" s="117"/>
      <c r="AJ302" s="115"/>
      <c r="AK302" s="180"/>
      <c r="AL302" s="117"/>
      <c r="AM302" s="117"/>
      <c r="AN302" s="117"/>
      <c r="AO302" s="338"/>
      <c r="AP302" s="338"/>
      <c r="AQ302" s="338"/>
      <c r="AR302" s="338"/>
      <c r="AS302" s="338"/>
      <c r="AT302" s="338"/>
      <c r="AU302" s="338"/>
      <c r="AV302" s="338"/>
      <c r="AW302" s="338"/>
      <c r="AX302" s="338"/>
      <c r="AY302" s="338"/>
      <c r="AZ302" s="338"/>
      <c r="BA302" s="338"/>
      <c r="BB302" s="338"/>
      <c r="BC302" s="338"/>
    </row>
    <row r="303">
      <c r="A303" s="115"/>
      <c r="B303" s="180"/>
      <c r="C303" s="117"/>
      <c r="D303" s="117"/>
      <c r="E303" s="117"/>
      <c r="F303" s="115"/>
      <c r="G303" s="180"/>
      <c r="H303" s="117"/>
      <c r="I303" s="117"/>
      <c r="J303" s="117"/>
      <c r="K303" s="92"/>
      <c r="L303" s="180"/>
      <c r="M303" s="117"/>
      <c r="N303" s="117"/>
      <c r="O303" s="117"/>
      <c r="P303" s="92"/>
      <c r="Q303" s="150"/>
      <c r="R303" s="117"/>
      <c r="S303" s="117"/>
      <c r="T303" s="117"/>
      <c r="U303" s="115"/>
      <c r="V303" s="180"/>
      <c r="W303" s="117"/>
      <c r="X303" s="117"/>
      <c r="Y303" s="117"/>
      <c r="Z303" s="115"/>
      <c r="AA303" s="180"/>
      <c r="AB303" s="117"/>
      <c r="AC303" s="117"/>
      <c r="AD303" s="117"/>
      <c r="AE303" s="115"/>
      <c r="AF303" s="180"/>
      <c r="AG303" s="117"/>
      <c r="AH303" s="117"/>
      <c r="AI303" s="117"/>
      <c r="AJ303" s="115"/>
      <c r="AK303" s="180"/>
      <c r="AL303" s="117"/>
      <c r="AM303" s="117"/>
      <c r="AN303" s="117"/>
      <c r="AO303" s="338"/>
      <c r="AP303" s="338"/>
      <c r="AQ303" s="338"/>
      <c r="AR303" s="338"/>
      <c r="AS303" s="338"/>
      <c r="AT303" s="338"/>
      <c r="AU303" s="338"/>
      <c r="AV303" s="338"/>
      <c r="AW303" s="338"/>
      <c r="AX303" s="338"/>
      <c r="AY303" s="338"/>
      <c r="AZ303" s="338"/>
      <c r="BA303" s="338"/>
      <c r="BB303" s="338"/>
      <c r="BC303" s="338"/>
    </row>
    <row r="304">
      <c r="A304" s="115"/>
      <c r="B304" s="180"/>
      <c r="C304" s="117"/>
      <c r="D304" s="117"/>
      <c r="E304" s="117"/>
      <c r="F304" s="115"/>
      <c r="G304" s="180"/>
      <c r="H304" s="117"/>
      <c r="I304" s="117"/>
      <c r="J304" s="117"/>
      <c r="K304" s="92"/>
      <c r="L304" s="180"/>
      <c r="M304" s="117"/>
      <c r="N304" s="117"/>
      <c r="O304" s="117"/>
      <c r="P304" s="92"/>
      <c r="Q304" s="150"/>
      <c r="R304" s="117"/>
      <c r="S304" s="117"/>
      <c r="T304" s="117"/>
      <c r="U304" s="115"/>
      <c r="V304" s="180"/>
      <c r="W304" s="117"/>
      <c r="X304" s="117"/>
      <c r="Y304" s="117"/>
      <c r="Z304" s="115"/>
      <c r="AA304" s="180"/>
      <c r="AB304" s="117"/>
      <c r="AC304" s="117"/>
      <c r="AD304" s="117"/>
      <c r="AE304" s="115"/>
      <c r="AF304" s="180"/>
      <c r="AG304" s="117"/>
      <c r="AH304" s="117"/>
      <c r="AI304" s="117"/>
      <c r="AJ304" s="115"/>
      <c r="AK304" s="180"/>
      <c r="AL304" s="117"/>
      <c r="AM304" s="117"/>
      <c r="AN304" s="117"/>
      <c r="AO304" s="338"/>
      <c r="AP304" s="338"/>
      <c r="AQ304" s="338"/>
      <c r="AR304" s="338"/>
      <c r="AS304" s="338"/>
      <c r="AT304" s="338"/>
      <c r="AU304" s="338"/>
      <c r="AV304" s="338"/>
      <c r="AW304" s="338"/>
      <c r="AX304" s="338"/>
      <c r="AY304" s="338"/>
      <c r="AZ304" s="338"/>
      <c r="BA304" s="338"/>
      <c r="BB304" s="338"/>
      <c r="BC304" s="338"/>
    </row>
    <row r="305">
      <c r="A305" s="115"/>
      <c r="B305" s="180"/>
      <c r="C305" s="117"/>
      <c r="D305" s="117"/>
      <c r="E305" s="117"/>
      <c r="F305" s="115"/>
      <c r="G305" s="180"/>
      <c r="H305" s="117"/>
      <c r="I305" s="117"/>
      <c r="J305" s="117"/>
      <c r="K305" s="92"/>
      <c r="L305" s="180"/>
      <c r="M305" s="117"/>
      <c r="N305" s="117"/>
      <c r="O305" s="117"/>
      <c r="P305" s="92"/>
      <c r="Q305" s="150"/>
      <c r="R305" s="117"/>
      <c r="S305" s="117"/>
      <c r="T305" s="117"/>
      <c r="U305" s="115"/>
      <c r="V305" s="180"/>
      <c r="W305" s="117"/>
      <c r="X305" s="117"/>
      <c r="Y305" s="117"/>
      <c r="Z305" s="115"/>
      <c r="AA305" s="180"/>
      <c r="AB305" s="117"/>
      <c r="AC305" s="117"/>
      <c r="AD305" s="117"/>
      <c r="AE305" s="115"/>
      <c r="AF305" s="180"/>
      <c r="AG305" s="117"/>
      <c r="AH305" s="117"/>
      <c r="AI305" s="117"/>
      <c r="AJ305" s="115"/>
      <c r="AK305" s="180"/>
      <c r="AL305" s="117"/>
      <c r="AM305" s="117"/>
      <c r="AN305" s="117"/>
      <c r="AO305" s="338"/>
      <c r="AP305" s="338"/>
      <c r="AQ305" s="338"/>
      <c r="AR305" s="338"/>
      <c r="AS305" s="338"/>
      <c r="AT305" s="338"/>
      <c r="AU305" s="338"/>
      <c r="AV305" s="338"/>
      <c r="AW305" s="338"/>
      <c r="AX305" s="338"/>
      <c r="AY305" s="338"/>
      <c r="AZ305" s="338"/>
      <c r="BA305" s="338"/>
      <c r="BB305" s="338"/>
      <c r="BC305" s="338"/>
    </row>
    <row r="306">
      <c r="A306" s="115"/>
      <c r="B306" s="180"/>
      <c r="C306" s="117"/>
      <c r="D306" s="117"/>
      <c r="E306" s="117"/>
      <c r="F306" s="115"/>
      <c r="G306" s="180"/>
      <c r="H306" s="117"/>
      <c r="I306" s="117"/>
      <c r="J306" s="117"/>
      <c r="K306" s="92"/>
      <c r="L306" s="180"/>
      <c r="M306" s="117"/>
      <c r="N306" s="117"/>
      <c r="O306" s="117"/>
      <c r="P306" s="92"/>
      <c r="Q306" s="150"/>
      <c r="R306" s="117"/>
      <c r="S306" s="117"/>
      <c r="T306" s="117"/>
      <c r="U306" s="115"/>
      <c r="V306" s="180"/>
      <c r="W306" s="117"/>
      <c r="X306" s="117"/>
      <c r="Y306" s="117"/>
      <c r="Z306" s="115"/>
      <c r="AA306" s="180"/>
      <c r="AB306" s="117"/>
      <c r="AC306" s="117"/>
      <c r="AD306" s="117"/>
      <c r="AE306" s="115"/>
      <c r="AF306" s="180"/>
      <c r="AG306" s="117"/>
      <c r="AH306" s="117"/>
      <c r="AI306" s="117"/>
      <c r="AJ306" s="115"/>
      <c r="AK306" s="180"/>
      <c r="AL306" s="117"/>
      <c r="AM306" s="117"/>
      <c r="AN306" s="117"/>
      <c r="AO306" s="338"/>
      <c r="AP306" s="338"/>
      <c r="AQ306" s="338"/>
      <c r="AR306" s="338"/>
      <c r="AS306" s="338"/>
      <c r="AT306" s="338"/>
      <c r="AU306" s="338"/>
      <c r="AV306" s="338"/>
      <c r="AW306" s="338"/>
      <c r="AX306" s="338"/>
      <c r="AY306" s="338"/>
      <c r="AZ306" s="338"/>
      <c r="BA306" s="338"/>
      <c r="BB306" s="338"/>
      <c r="BC306" s="338"/>
    </row>
    <row r="307">
      <c r="A307" s="115"/>
      <c r="B307" s="180"/>
      <c r="C307" s="117"/>
      <c r="D307" s="117"/>
      <c r="E307" s="117"/>
      <c r="F307" s="115"/>
      <c r="G307" s="180"/>
      <c r="H307" s="117"/>
      <c r="I307" s="117"/>
      <c r="J307" s="117"/>
      <c r="K307" s="92"/>
      <c r="L307" s="180"/>
      <c r="M307" s="117"/>
      <c r="N307" s="117"/>
      <c r="O307" s="117"/>
      <c r="P307" s="92"/>
      <c r="Q307" s="150"/>
      <c r="R307" s="117"/>
      <c r="S307" s="117"/>
      <c r="T307" s="117"/>
      <c r="U307" s="115"/>
      <c r="V307" s="180"/>
      <c r="W307" s="117"/>
      <c r="X307" s="117"/>
      <c r="Y307" s="117"/>
      <c r="Z307" s="115"/>
      <c r="AA307" s="180"/>
      <c r="AB307" s="117"/>
      <c r="AC307" s="117"/>
      <c r="AD307" s="117"/>
      <c r="AE307" s="115"/>
      <c r="AF307" s="180"/>
      <c r="AG307" s="117"/>
      <c r="AH307" s="117"/>
      <c r="AI307" s="117"/>
      <c r="AJ307" s="115"/>
      <c r="AK307" s="180"/>
      <c r="AL307" s="117"/>
      <c r="AM307" s="117"/>
      <c r="AN307" s="117"/>
      <c r="AO307" s="338"/>
      <c r="AP307" s="338"/>
      <c r="AQ307" s="338"/>
      <c r="AR307" s="338"/>
      <c r="AS307" s="338"/>
      <c r="AT307" s="338"/>
      <c r="AU307" s="338"/>
      <c r="AV307" s="338"/>
      <c r="AW307" s="338"/>
      <c r="AX307" s="338"/>
      <c r="AY307" s="338"/>
      <c r="AZ307" s="338"/>
      <c r="BA307" s="338"/>
      <c r="BB307" s="338"/>
      <c r="BC307" s="338"/>
    </row>
    <row r="308">
      <c r="A308" s="115"/>
      <c r="B308" s="180"/>
      <c r="C308" s="117"/>
      <c r="D308" s="117"/>
      <c r="E308" s="117"/>
      <c r="F308" s="115"/>
      <c r="G308" s="180"/>
      <c r="H308" s="117"/>
      <c r="I308" s="117"/>
      <c r="J308" s="117"/>
      <c r="K308" s="92"/>
      <c r="L308" s="180"/>
      <c r="M308" s="117"/>
      <c r="N308" s="117"/>
      <c r="O308" s="117"/>
      <c r="P308" s="92"/>
      <c r="Q308" s="150"/>
      <c r="R308" s="117"/>
      <c r="S308" s="117"/>
      <c r="T308" s="117"/>
      <c r="U308" s="115"/>
      <c r="V308" s="180"/>
      <c r="W308" s="117"/>
      <c r="X308" s="117"/>
      <c r="Y308" s="117"/>
      <c r="Z308" s="115"/>
      <c r="AA308" s="180"/>
      <c r="AB308" s="117"/>
      <c r="AC308" s="117"/>
      <c r="AD308" s="117"/>
      <c r="AE308" s="115"/>
      <c r="AF308" s="180"/>
      <c r="AG308" s="117"/>
      <c r="AH308" s="117"/>
      <c r="AI308" s="117"/>
      <c r="AJ308" s="115"/>
      <c r="AK308" s="180"/>
      <c r="AL308" s="117"/>
      <c r="AM308" s="117"/>
      <c r="AN308" s="117"/>
      <c r="AO308" s="338"/>
      <c r="AP308" s="338"/>
      <c r="AQ308" s="338"/>
      <c r="AR308" s="338"/>
      <c r="AS308" s="338"/>
      <c r="AT308" s="338"/>
      <c r="AU308" s="338"/>
      <c r="AV308" s="338"/>
      <c r="AW308" s="338"/>
      <c r="AX308" s="338"/>
      <c r="AY308" s="338"/>
      <c r="AZ308" s="338"/>
      <c r="BA308" s="338"/>
      <c r="BB308" s="338"/>
      <c r="BC308" s="338"/>
    </row>
    <row r="309">
      <c r="A309" s="115"/>
      <c r="B309" s="180"/>
      <c r="C309" s="117"/>
      <c r="D309" s="117"/>
      <c r="E309" s="117"/>
      <c r="F309" s="115"/>
      <c r="G309" s="180"/>
      <c r="H309" s="117"/>
      <c r="I309" s="117"/>
      <c r="J309" s="117"/>
      <c r="K309" s="92"/>
      <c r="L309" s="180"/>
      <c r="M309" s="117"/>
      <c r="N309" s="117"/>
      <c r="O309" s="117"/>
      <c r="P309" s="92"/>
      <c r="Q309" s="150"/>
      <c r="R309" s="117"/>
      <c r="S309" s="117"/>
      <c r="T309" s="117"/>
      <c r="U309" s="115"/>
      <c r="V309" s="180"/>
      <c r="W309" s="117"/>
      <c r="X309" s="117"/>
      <c r="Y309" s="117"/>
      <c r="Z309" s="115"/>
      <c r="AA309" s="180"/>
      <c r="AB309" s="117"/>
      <c r="AC309" s="117"/>
      <c r="AD309" s="117"/>
      <c r="AE309" s="115"/>
      <c r="AF309" s="180"/>
      <c r="AG309" s="117"/>
      <c r="AH309" s="117"/>
      <c r="AI309" s="117"/>
      <c r="AJ309" s="115"/>
      <c r="AK309" s="180"/>
      <c r="AL309" s="117"/>
      <c r="AM309" s="117"/>
      <c r="AN309" s="117"/>
      <c r="AO309" s="338"/>
      <c r="AP309" s="338"/>
      <c r="AQ309" s="338"/>
      <c r="AR309" s="338"/>
      <c r="AS309" s="338"/>
      <c r="AT309" s="338"/>
      <c r="AU309" s="338"/>
      <c r="AV309" s="338"/>
      <c r="AW309" s="338"/>
      <c r="AX309" s="338"/>
      <c r="AY309" s="338"/>
      <c r="AZ309" s="338"/>
      <c r="BA309" s="338"/>
      <c r="BB309" s="338"/>
      <c r="BC309" s="338"/>
    </row>
    <row r="310">
      <c r="A310" s="115"/>
      <c r="B310" s="180"/>
      <c r="C310" s="117"/>
      <c r="D310" s="117"/>
      <c r="E310" s="117"/>
      <c r="F310" s="115"/>
      <c r="G310" s="180"/>
      <c r="H310" s="117"/>
      <c r="I310" s="117"/>
      <c r="J310" s="117"/>
      <c r="K310" s="92"/>
      <c r="L310" s="180"/>
      <c r="M310" s="117"/>
      <c r="N310" s="117"/>
      <c r="O310" s="117"/>
      <c r="P310" s="92"/>
      <c r="Q310" s="150"/>
      <c r="R310" s="117"/>
      <c r="S310" s="117"/>
      <c r="T310" s="117"/>
      <c r="U310" s="115"/>
      <c r="V310" s="180"/>
      <c r="W310" s="117"/>
      <c r="X310" s="117"/>
      <c r="Y310" s="117"/>
      <c r="Z310" s="115"/>
      <c r="AA310" s="180"/>
      <c r="AB310" s="117"/>
      <c r="AC310" s="117"/>
      <c r="AD310" s="117"/>
      <c r="AE310" s="115"/>
      <c r="AF310" s="180"/>
      <c r="AG310" s="117"/>
      <c r="AH310" s="117"/>
      <c r="AI310" s="117"/>
      <c r="AJ310" s="115"/>
      <c r="AK310" s="180"/>
      <c r="AL310" s="117"/>
      <c r="AM310" s="117"/>
      <c r="AN310" s="117"/>
      <c r="AO310" s="338"/>
      <c r="AP310" s="338"/>
      <c r="AQ310" s="338"/>
      <c r="AR310" s="338"/>
      <c r="AS310" s="338"/>
      <c r="AT310" s="338"/>
      <c r="AU310" s="338"/>
      <c r="AV310" s="338"/>
      <c r="AW310" s="338"/>
      <c r="AX310" s="338"/>
      <c r="AY310" s="338"/>
      <c r="AZ310" s="338"/>
      <c r="BA310" s="338"/>
      <c r="BB310" s="338"/>
      <c r="BC310" s="338"/>
    </row>
    <row r="311">
      <c r="A311" s="115"/>
      <c r="B311" s="180"/>
      <c r="C311" s="117"/>
      <c r="D311" s="117"/>
      <c r="E311" s="117"/>
      <c r="F311" s="115"/>
      <c r="G311" s="180"/>
      <c r="H311" s="117"/>
      <c r="I311" s="117"/>
      <c r="J311" s="117"/>
      <c r="K311" s="92"/>
      <c r="L311" s="180"/>
      <c r="M311" s="117"/>
      <c r="N311" s="117"/>
      <c r="O311" s="117"/>
      <c r="P311" s="92"/>
      <c r="Q311" s="150"/>
      <c r="R311" s="117"/>
      <c r="S311" s="117"/>
      <c r="T311" s="117"/>
      <c r="U311" s="115"/>
      <c r="V311" s="180"/>
      <c r="W311" s="117"/>
      <c r="X311" s="117"/>
      <c r="Y311" s="117"/>
      <c r="Z311" s="115"/>
      <c r="AA311" s="180"/>
      <c r="AB311" s="117"/>
      <c r="AC311" s="117"/>
      <c r="AD311" s="117"/>
      <c r="AE311" s="115"/>
      <c r="AF311" s="180"/>
      <c r="AG311" s="117"/>
      <c r="AH311" s="117"/>
      <c r="AI311" s="117"/>
      <c r="AJ311" s="115"/>
      <c r="AK311" s="180"/>
      <c r="AL311" s="117"/>
      <c r="AM311" s="117"/>
      <c r="AN311" s="117"/>
      <c r="AO311" s="338"/>
      <c r="AP311" s="338"/>
      <c r="AQ311" s="338"/>
      <c r="AR311" s="338"/>
      <c r="AS311" s="338"/>
      <c r="AT311" s="338"/>
      <c r="AU311" s="338"/>
      <c r="AV311" s="338"/>
      <c r="AW311" s="338"/>
      <c r="AX311" s="338"/>
      <c r="AY311" s="338"/>
      <c r="AZ311" s="338"/>
      <c r="BA311" s="338"/>
      <c r="BB311" s="338"/>
      <c r="BC311" s="338"/>
    </row>
    <row r="312">
      <c r="A312" s="115"/>
      <c r="B312" s="180"/>
      <c r="C312" s="117"/>
      <c r="D312" s="117"/>
      <c r="E312" s="117"/>
      <c r="F312" s="115"/>
      <c r="G312" s="180"/>
      <c r="H312" s="117"/>
      <c r="I312" s="117"/>
      <c r="J312" s="117"/>
      <c r="K312" s="92"/>
      <c r="L312" s="180"/>
      <c r="M312" s="117"/>
      <c r="N312" s="117"/>
      <c r="O312" s="117"/>
      <c r="P312" s="92"/>
      <c r="Q312" s="150"/>
      <c r="R312" s="117"/>
      <c r="S312" s="117"/>
      <c r="T312" s="117"/>
      <c r="U312" s="115"/>
      <c r="V312" s="180"/>
      <c r="W312" s="117"/>
      <c r="X312" s="117"/>
      <c r="Y312" s="117"/>
      <c r="Z312" s="115"/>
      <c r="AA312" s="180"/>
      <c r="AB312" s="117"/>
      <c r="AC312" s="117"/>
      <c r="AD312" s="117"/>
      <c r="AE312" s="115"/>
      <c r="AF312" s="180"/>
      <c r="AG312" s="117"/>
      <c r="AH312" s="117"/>
      <c r="AI312" s="117"/>
      <c r="AJ312" s="115"/>
      <c r="AK312" s="180"/>
      <c r="AL312" s="117"/>
      <c r="AM312" s="117"/>
      <c r="AN312" s="117"/>
      <c r="AO312" s="338"/>
      <c r="AP312" s="338"/>
      <c r="AQ312" s="338"/>
      <c r="AR312" s="338"/>
      <c r="AS312" s="338"/>
      <c r="AT312" s="338"/>
      <c r="AU312" s="338"/>
      <c r="AV312" s="338"/>
      <c r="AW312" s="338"/>
      <c r="AX312" s="338"/>
      <c r="AY312" s="338"/>
      <c r="AZ312" s="338"/>
      <c r="BA312" s="338"/>
      <c r="BB312" s="338"/>
      <c r="BC312" s="338"/>
    </row>
    <row r="313">
      <c r="A313" s="115"/>
      <c r="B313" s="180"/>
      <c r="C313" s="117"/>
      <c r="D313" s="117"/>
      <c r="E313" s="117"/>
      <c r="F313" s="115"/>
      <c r="G313" s="180"/>
      <c r="H313" s="117"/>
      <c r="I313" s="117"/>
      <c r="J313" s="117"/>
      <c r="K313" s="92"/>
      <c r="L313" s="180"/>
      <c r="M313" s="117"/>
      <c r="N313" s="117"/>
      <c r="O313" s="117"/>
      <c r="P313" s="92"/>
      <c r="Q313" s="150"/>
      <c r="R313" s="117"/>
      <c r="S313" s="117"/>
      <c r="T313" s="117"/>
      <c r="U313" s="115"/>
      <c r="V313" s="180"/>
      <c r="W313" s="117"/>
      <c r="X313" s="117"/>
      <c r="Y313" s="117"/>
      <c r="Z313" s="115"/>
      <c r="AA313" s="180"/>
      <c r="AB313" s="117"/>
      <c r="AC313" s="117"/>
      <c r="AD313" s="117"/>
      <c r="AE313" s="115"/>
      <c r="AF313" s="180"/>
      <c r="AG313" s="117"/>
      <c r="AH313" s="117"/>
      <c r="AI313" s="117"/>
      <c r="AJ313" s="115"/>
      <c r="AK313" s="180"/>
      <c r="AL313" s="117"/>
      <c r="AM313" s="117"/>
      <c r="AN313" s="117"/>
      <c r="AO313" s="338"/>
      <c r="AP313" s="338"/>
      <c r="AQ313" s="338"/>
      <c r="AR313" s="338"/>
      <c r="AS313" s="338"/>
      <c r="AT313" s="338"/>
      <c r="AU313" s="338"/>
      <c r="AV313" s="338"/>
      <c r="AW313" s="338"/>
      <c r="AX313" s="338"/>
      <c r="AY313" s="338"/>
      <c r="AZ313" s="338"/>
      <c r="BA313" s="338"/>
      <c r="BB313" s="338"/>
      <c r="BC313" s="338"/>
    </row>
    <row r="314">
      <c r="A314" s="115"/>
      <c r="B314" s="180"/>
      <c r="C314" s="117"/>
      <c r="D314" s="117"/>
      <c r="E314" s="117"/>
      <c r="F314" s="115"/>
      <c r="G314" s="180"/>
      <c r="H314" s="117"/>
      <c r="I314" s="117"/>
      <c r="J314" s="117"/>
      <c r="K314" s="92"/>
      <c r="L314" s="180"/>
      <c r="M314" s="117"/>
      <c r="N314" s="117"/>
      <c r="O314" s="117"/>
      <c r="P314" s="92"/>
      <c r="Q314" s="150"/>
      <c r="R314" s="117"/>
      <c r="S314" s="117"/>
      <c r="T314" s="117"/>
      <c r="U314" s="115"/>
      <c r="V314" s="180"/>
      <c r="W314" s="117"/>
      <c r="X314" s="117"/>
      <c r="Y314" s="117"/>
      <c r="Z314" s="115"/>
      <c r="AA314" s="180"/>
      <c r="AB314" s="117"/>
      <c r="AC314" s="117"/>
      <c r="AD314" s="117"/>
      <c r="AE314" s="115"/>
      <c r="AF314" s="180"/>
      <c r="AG314" s="117"/>
      <c r="AH314" s="117"/>
      <c r="AI314" s="117"/>
      <c r="AJ314" s="115"/>
      <c r="AK314" s="180"/>
      <c r="AL314" s="117"/>
      <c r="AM314" s="117"/>
      <c r="AN314" s="117"/>
      <c r="AO314" s="338"/>
      <c r="AP314" s="338"/>
      <c r="AQ314" s="338"/>
      <c r="AR314" s="338"/>
      <c r="AS314" s="338"/>
      <c r="AT314" s="338"/>
      <c r="AU314" s="338"/>
      <c r="AV314" s="338"/>
      <c r="AW314" s="338"/>
      <c r="AX314" s="338"/>
      <c r="AY314" s="338"/>
      <c r="AZ314" s="338"/>
      <c r="BA314" s="338"/>
      <c r="BB314" s="338"/>
      <c r="BC314" s="338"/>
    </row>
    <row r="315">
      <c r="A315" s="115"/>
      <c r="B315" s="180"/>
      <c r="C315" s="117"/>
      <c r="D315" s="117"/>
      <c r="E315" s="117"/>
      <c r="F315" s="115"/>
      <c r="G315" s="180"/>
      <c r="H315" s="117"/>
      <c r="I315" s="117"/>
      <c r="J315" s="117"/>
      <c r="K315" s="92"/>
      <c r="L315" s="180"/>
      <c r="M315" s="117"/>
      <c r="N315" s="117"/>
      <c r="O315" s="117"/>
      <c r="P315" s="92"/>
      <c r="Q315" s="150"/>
      <c r="R315" s="117"/>
      <c r="S315" s="117"/>
      <c r="T315" s="117"/>
      <c r="U315" s="115"/>
      <c r="V315" s="180"/>
      <c r="W315" s="117"/>
      <c r="X315" s="117"/>
      <c r="Y315" s="117"/>
      <c r="Z315" s="115"/>
      <c r="AA315" s="180"/>
      <c r="AB315" s="117"/>
      <c r="AC315" s="117"/>
      <c r="AD315" s="117"/>
      <c r="AE315" s="115"/>
      <c r="AF315" s="180"/>
      <c r="AG315" s="117"/>
      <c r="AH315" s="117"/>
      <c r="AI315" s="117"/>
      <c r="AJ315" s="115"/>
      <c r="AK315" s="180"/>
      <c r="AL315" s="117"/>
      <c r="AM315" s="117"/>
      <c r="AN315" s="117"/>
      <c r="AO315" s="338"/>
      <c r="AP315" s="338"/>
      <c r="AQ315" s="338"/>
      <c r="AR315" s="338"/>
      <c r="AS315" s="338"/>
      <c r="AT315" s="338"/>
      <c r="AU315" s="338"/>
      <c r="AV315" s="338"/>
      <c r="AW315" s="338"/>
      <c r="AX315" s="338"/>
      <c r="AY315" s="338"/>
      <c r="AZ315" s="338"/>
      <c r="BA315" s="338"/>
      <c r="BB315" s="338"/>
      <c r="BC315" s="338"/>
    </row>
    <row r="316">
      <c r="A316" s="115"/>
      <c r="B316" s="180"/>
      <c r="C316" s="117"/>
      <c r="D316" s="117"/>
      <c r="E316" s="117"/>
      <c r="F316" s="115"/>
      <c r="G316" s="180"/>
      <c r="H316" s="117"/>
      <c r="I316" s="117"/>
      <c r="J316" s="117"/>
      <c r="K316" s="92"/>
      <c r="L316" s="180"/>
      <c r="M316" s="117"/>
      <c r="N316" s="117"/>
      <c r="O316" s="117"/>
      <c r="P316" s="92"/>
      <c r="Q316" s="150"/>
      <c r="R316" s="117"/>
      <c r="S316" s="117"/>
      <c r="T316" s="117"/>
      <c r="U316" s="115"/>
      <c r="V316" s="180"/>
      <c r="W316" s="117"/>
      <c r="X316" s="117"/>
      <c r="Y316" s="117"/>
      <c r="Z316" s="115"/>
      <c r="AA316" s="180"/>
      <c r="AB316" s="117"/>
      <c r="AC316" s="117"/>
      <c r="AD316" s="117"/>
      <c r="AE316" s="115"/>
      <c r="AF316" s="180"/>
      <c r="AG316" s="117"/>
      <c r="AH316" s="117"/>
      <c r="AI316" s="117"/>
      <c r="AJ316" s="115"/>
      <c r="AK316" s="180"/>
      <c r="AL316" s="117"/>
      <c r="AM316" s="117"/>
      <c r="AN316" s="117"/>
      <c r="AO316" s="338"/>
      <c r="AP316" s="338"/>
      <c r="AQ316" s="338"/>
      <c r="AR316" s="338"/>
      <c r="AS316" s="338"/>
      <c r="AT316" s="338"/>
      <c r="AU316" s="338"/>
      <c r="AV316" s="338"/>
      <c r="AW316" s="338"/>
      <c r="AX316" s="338"/>
      <c r="AY316" s="338"/>
      <c r="AZ316" s="338"/>
      <c r="BA316" s="338"/>
      <c r="BB316" s="338"/>
      <c r="BC316" s="338"/>
    </row>
    <row r="317">
      <c r="A317" s="115"/>
      <c r="B317" s="180"/>
      <c r="C317" s="117"/>
      <c r="D317" s="117"/>
      <c r="E317" s="117"/>
      <c r="F317" s="115"/>
      <c r="G317" s="180"/>
      <c r="H317" s="117"/>
      <c r="I317" s="117"/>
      <c r="J317" s="117"/>
      <c r="K317" s="92"/>
      <c r="L317" s="180"/>
      <c r="M317" s="117"/>
      <c r="N317" s="117"/>
      <c r="O317" s="117"/>
      <c r="P317" s="92"/>
      <c r="Q317" s="150"/>
      <c r="R317" s="117"/>
      <c r="S317" s="117"/>
      <c r="T317" s="117"/>
      <c r="U317" s="115"/>
      <c r="V317" s="180"/>
      <c r="W317" s="117"/>
      <c r="X317" s="117"/>
      <c r="Y317" s="117"/>
      <c r="Z317" s="115"/>
      <c r="AA317" s="180"/>
      <c r="AB317" s="117"/>
      <c r="AC317" s="117"/>
      <c r="AD317" s="117"/>
      <c r="AE317" s="115"/>
      <c r="AF317" s="180"/>
      <c r="AG317" s="117"/>
      <c r="AH317" s="117"/>
      <c r="AI317" s="117"/>
      <c r="AJ317" s="115"/>
      <c r="AK317" s="180"/>
      <c r="AL317" s="117"/>
      <c r="AM317" s="117"/>
      <c r="AN317" s="117"/>
      <c r="AO317" s="338"/>
      <c r="AP317" s="338"/>
      <c r="AQ317" s="338"/>
      <c r="AR317" s="338"/>
      <c r="AS317" s="338"/>
      <c r="AT317" s="338"/>
      <c r="AU317" s="338"/>
      <c r="AV317" s="338"/>
      <c r="AW317" s="338"/>
      <c r="AX317" s="338"/>
      <c r="AY317" s="338"/>
      <c r="AZ317" s="338"/>
      <c r="BA317" s="338"/>
      <c r="BB317" s="338"/>
      <c r="BC317" s="338"/>
    </row>
    <row r="318">
      <c r="A318" s="115"/>
      <c r="B318" s="180"/>
      <c r="C318" s="117"/>
      <c r="D318" s="117"/>
      <c r="E318" s="117"/>
      <c r="F318" s="115"/>
      <c r="G318" s="180"/>
      <c r="H318" s="117"/>
      <c r="I318" s="117"/>
      <c r="J318" s="117"/>
      <c r="K318" s="92"/>
      <c r="L318" s="180"/>
      <c r="M318" s="117"/>
      <c r="N318" s="117"/>
      <c r="O318" s="117"/>
      <c r="P318" s="92"/>
      <c r="Q318" s="150"/>
      <c r="R318" s="117"/>
      <c r="S318" s="117"/>
      <c r="T318" s="117"/>
      <c r="U318" s="115"/>
      <c r="V318" s="180"/>
      <c r="W318" s="117"/>
      <c r="X318" s="117"/>
      <c r="Y318" s="117"/>
      <c r="Z318" s="115"/>
      <c r="AA318" s="180"/>
      <c r="AB318" s="117"/>
      <c r="AC318" s="117"/>
      <c r="AD318" s="117"/>
      <c r="AE318" s="115"/>
      <c r="AF318" s="180"/>
      <c r="AG318" s="117"/>
      <c r="AH318" s="117"/>
      <c r="AI318" s="117"/>
      <c r="AJ318" s="115"/>
      <c r="AK318" s="180"/>
      <c r="AL318" s="117"/>
      <c r="AM318" s="117"/>
      <c r="AN318" s="117"/>
      <c r="AO318" s="338"/>
      <c r="AP318" s="338"/>
      <c r="AQ318" s="338"/>
      <c r="AR318" s="338"/>
      <c r="AS318" s="338"/>
      <c r="AT318" s="338"/>
      <c r="AU318" s="338"/>
      <c r="AV318" s="338"/>
      <c r="AW318" s="338"/>
      <c r="AX318" s="338"/>
      <c r="AY318" s="338"/>
      <c r="AZ318" s="338"/>
      <c r="BA318" s="338"/>
      <c r="BB318" s="338"/>
      <c r="BC318" s="338"/>
    </row>
    <row r="319">
      <c r="A319" s="115"/>
      <c r="B319" s="180"/>
      <c r="C319" s="117"/>
      <c r="D319" s="117"/>
      <c r="E319" s="117"/>
      <c r="F319" s="115"/>
      <c r="G319" s="180"/>
      <c r="H319" s="117"/>
      <c r="I319" s="117"/>
      <c r="J319" s="117"/>
      <c r="K319" s="92"/>
      <c r="L319" s="180"/>
      <c r="M319" s="117"/>
      <c r="N319" s="117"/>
      <c r="O319" s="117"/>
      <c r="P319" s="92"/>
      <c r="Q319" s="150"/>
      <c r="R319" s="117"/>
      <c r="S319" s="117"/>
      <c r="T319" s="117"/>
      <c r="U319" s="115"/>
      <c r="V319" s="180"/>
      <c r="W319" s="117"/>
      <c r="X319" s="117"/>
      <c r="Y319" s="117"/>
      <c r="Z319" s="115"/>
      <c r="AA319" s="180"/>
      <c r="AB319" s="117"/>
      <c r="AC319" s="117"/>
      <c r="AD319" s="117"/>
      <c r="AE319" s="115"/>
      <c r="AF319" s="180"/>
      <c r="AG319" s="117"/>
      <c r="AH319" s="117"/>
      <c r="AI319" s="117"/>
      <c r="AJ319" s="115"/>
      <c r="AK319" s="180"/>
      <c r="AL319" s="117"/>
      <c r="AM319" s="117"/>
      <c r="AN319" s="117"/>
      <c r="AO319" s="338"/>
      <c r="AP319" s="338"/>
      <c r="AQ319" s="338"/>
      <c r="AR319" s="338"/>
      <c r="AS319" s="338"/>
      <c r="AT319" s="338"/>
      <c r="AU319" s="338"/>
      <c r="AV319" s="338"/>
      <c r="AW319" s="338"/>
      <c r="AX319" s="338"/>
      <c r="AY319" s="338"/>
      <c r="AZ319" s="338"/>
      <c r="BA319" s="338"/>
      <c r="BB319" s="338"/>
      <c r="BC319" s="338"/>
    </row>
    <row r="320">
      <c r="A320" s="115"/>
      <c r="B320" s="180"/>
      <c r="C320" s="117"/>
      <c r="D320" s="117"/>
      <c r="E320" s="117"/>
      <c r="F320" s="115"/>
      <c r="G320" s="180"/>
      <c r="H320" s="117"/>
      <c r="I320" s="117"/>
      <c r="J320" s="117"/>
      <c r="K320" s="92"/>
      <c r="L320" s="180"/>
      <c r="M320" s="117"/>
      <c r="N320" s="117"/>
      <c r="O320" s="117"/>
      <c r="P320" s="92"/>
      <c r="Q320" s="150"/>
      <c r="R320" s="117"/>
      <c r="S320" s="117"/>
      <c r="T320" s="117"/>
      <c r="U320" s="115"/>
      <c r="V320" s="180"/>
      <c r="W320" s="117"/>
      <c r="X320" s="117"/>
      <c r="Y320" s="117"/>
      <c r="Z320" s="115"/>
      <c r="AA320" s="180"/>
      <c r="AB320" s="117"/>
      <c r="AC320" s="117"/>
      <c r="AD320" s="117"/>
      <c r="AE320" s="115"/>
      <c r="AF320" s="180"/>
      <c r="AG320" s="117"/>
      <c r="AH320" s="117"/>
      <c r="AI320" s="117"/>
      <c r="AJ320" s="115"/>
      <c r="AK320" s="180"/>
      <c r="AL320" s="117"/>
      <c r="AM320" s="117"/>
      <c r="AN320" s="117"/>
      <c r="AO320" s="338"/>
      <c r="AP320" s="338"/>
      <c r="AQ320" s="338"/>
      <c r="AR320" s="338"/>
      <c r="AS320" s="338"/>
      <c r="AT320" s="338"/>
      <c r="AU320" s="338"/>
      <c r="AV320" s="338"/>
      <c r="AW320" s="338"/>
      <c r="AX320" s="338"/>
      <c r="AY320" s="338"/>
      <c r="AZ320" s="338"/>
      <c r="BA320" s="338"/>
      <c r="BB320" s="338"/>
      <c r="BC320" s="338"/>
    </row>
    <row r="321">
      <c r="A321" s="115"/>
      <c r="B321" s="180"/>
      <c r="C321" s="117"/>
      <c r="D321" s="117"/>
      <c r="E321" s="117"/>
      <c r="F321" s="115"/>
      <c r="G321" s="180"/>
      <c r="H321" s="117"/>
      <c r="I321" s="117"/>
      <c r="J321" s="117"/>
      <c r="K321" s="92"/>
      <c r="L321" s="180"/>
      <c r="M321" s="117"/>
      <c r="N321" s="117"/>
      <c r="O321" s="117"/>
      <c r="P321" s="92"/>
      <c r="Q321" s="150"/>
      <c r="R321" s="117"/>
      <c r="S321" s="117"/>
      <c r="T321" s="117"/>
      <c r="U321" s="115"/>
      <c r="V321" s="180"/>
      <c r="W321" s="117"/>
      <c r="X321" s="117"/>
      <c r="Y321" s="117"/>
      <c r="Z321" s="115"/>
      <c r="AA321" s="180"/>
      <c r="AB321" s="117"/>
      <c r="AC321" s="117"/>
      <c r="AD321" s="117"/>
      <c r="AE321" s="115"/>
      <c r="AF321" s="180"/>
      <c r="AG321" s="117"/>
      <c r="AH321" s="117"/>
      <c r="AI321" s="117"/>
      <c r="AJ321" s="115"/>
      <c r="AK321" s="180"/>
      <c r="AL321" s="117"/>
      <c r="AM321" s="117"/>
      <c r="AN321" s="117"/>
      <c r="AO321" s="338"/>
      <c r="AP321" s="338"/>
      <c r="AQ321" s="338"/>
      <c r="AR321" s="338"/>
      <c r="AS321" s="338"/>
      <c r="AT321" s="338"/>
      <c r="AU321" s="338"/>
      <c r="AV321" s="338"/>
      <c r="AW321" s="338"/>
      <c r="AX321" s="338"/>
      <c r="AY321" s="338"/>
      <c r="AZ321" s="338"/>
      <c r="BA321" s="338"/>
      <c r="BB321" s="338"/>
      <c r="BC321" s="338"/>
    </row>
    <row r="322">
      <c r="A322" s="115"/>
      <c r="B322" s="180"/>
      <c r="C322" s="117"/>
      <c r="D322" s="117"/>
      <c r="E322" s="117"/>
      <c r="F322" s="115"/>
      <c r="G322" s="180"/>
      <c r="H322" s="117"/>
      <c r="I322" s="117"/>
      <c r="J322" s="117"/>
      <c r="K322" s="92"/>
      <c r="L322" s="180"/>
      <c r="M322" s="117"/>
      <c r="N322" s="117"/>
      <c r="O322" s="117"/>
      <c r="P322" s="92"/>
      <c r="Q322" s="150"/>
      <c r="R322" s="117"/>
      <c r="S322" s="117"/>
      <c r="T322" s="117"/>
      <c r="U322" s="115"/>
      <c r="V322" s="180"/>
      <c r="W322" s="117"/>
      <c r="X322" s="117"/>
      <c r="Y322" s="117"/>
      <c r="Z322" s="115"/>
      <c r="AA322" s="180"/>
      <c r="AB322" s="117"/>
      <c r="AC322" s="117"/>
      <c r="AD322" s="117"/>
      <c r="AE322" s="115"/>
      <c r="AF322" s="180"/>
      <c r="AG322" s="117"/>
      <c r="AH322" s="117"/>
      <c r="AI322" s="117"/>
      <c r="AJ322" s="115"/>
      <c r="AK322" s="180"/>
      <c r="AL322" s="117"/>
      <c r="AM322" s="117"/>
      <c r="AN322" s="117"/>
      <c r="AO322" s="338"/>
      <c r="AP322" s="338"/>
      <c r="AQ322" s="338"/>
      <c r="AR322" s="338"/>
      <c r="AS322" s="338"/>
      <c r="AT322" s="338"/>
      <c r="AU322" s="338"/>
      <c r="AV322" s="338"/>
      <c r="AW322" s="338"/>
      <c r="AX322" s="338"/>
      <c r="AY322" s="338"/>
      <c r="AZ322" s="338"/>
      <c r="BA322" s="338"/>
      <c r="BB322" s="338"/>
      <c r="BC322" s="338"/>
    </row>
    <row r="323">
      <c r="A323" s="115"/>
      <c r="B323" s="180"/>
      <c r="C323" s="117"/>
      <c r="D323" s="117"/>
      <c r="E323" s="117"/>
      <c r="F323" s="115"/>
      <c r="G323" s="180"/>
      <c r="H323" s="117"/>
      <c r="I323" s="117"/>
      <c r="J323" s="117"/>
      <c r="K323" s="92"/>
      <c r="L323" s="180"/>
      <c r="M323" s="117"/>
      <c r="N323" s="117"/>
      <c r="O323" s="117"/>
      <c r="P323" s="92"/>
      <c r="Q323" s="150"/>
      <c r="R323" s="117"/>
      <c r="S323" s="117"/>
      <c r="T323" s="117"/>
      <c r="U323" s="115"/>
      <c r="V323" s="180"/>
      <c r="W323" s="117"/>
      <c r="X323" s="117"/>
      <c r="Y323" s="117"/>
      <c r="Z323" s="115"/>
      <c r="AA323" s="180"/>
      <c r="AB323" s="117"/>
      <c r="AC323" s="117"/>
      <c r="AD323" s="117"/>
      <c r="AE323" s="115"/>
      <c r="AF323" s="180"/>
      <c r="AG323" s="117"/>
      <c r="AH323" s="117"/>
      <c r="AI323" s="117"/>
      <c r="AJ323" s="115"/>
      <c r="AK323" s="180"/>
      <c r="AL323" s="117"/>
      <c r="AM323" s="117"/>
      <c r="AN323" s="117"/>
      <c r="AO323" s="338"/>
      <c r="AP323" s="338"/>
      <c r="AQ323" s="338"/>
      <c r="AR323" s="338"/>
      <c r="AS323" s="338"/>
      <c r="AT323" s="338"/>
      <c r="AU323" s="338"/>
      <c r="AV323" s="338"/>
      <c r="AW323" s="338"/>
      <c r="AX323" s="338"/>
      <c r="AY323" s="338"/>
      <c r="AZ323" s="338"/>
      <c r="BA323" s="338"/>
      <c r="BB323" s="338"/>
      <c r="BC323" s="338"/>
    </row>
    <row r="324">
      <c r="A324" s="115"/>
      <c r="B324" s="180"/>
      <c r="C324" s="117"/>
      <c r="D324" s="117"/>
      <c r="E324" s="117"/>
      <c r="F324" s="115"/>
      <c r="G324" s="180"/>
      <c r="H324" s="117"/>
      <c r="I324" s="117"/>
      <c r="J324" s="117"/>
      <c r="K324" s="92"/>
      <c r="L324" s="180"/>
      <c r="M324" s="117"/>
      <c r="N324" s="117"/>
      <c r="O324" s="117"/>
      <c r="P324" s="92"/>
      <c r="Q324" s="150"/>
      <c r="R324" s="117"/>
      <c r="S324" s="117"/>
      <c r="T324" s="117"/>
      <c r="U324" s="115"/>
      <c r="V324" s="180"/>
      <c r="W324" s="117"/>
      <c r="X324" s="117"/>
      <c r="Y324" s="117"/>
      <c r="Z324" s="115"/>
      <c r="AA324" s="180"/>
      <c r="AB324" s="117"/>
      <c r="AC324" s="117"/>
      <c r="AD324" s="117"/>
      <c r="AE324" s="115"/>
      <c r="AF324" s="180"/>
      <c r="AG324" s="117"/>
      <c r="AH324" s="117"/>
      <c r="AI324" s="117"/>
      <c r="AJ324" s="115"/>
      <c r="AK324" s="180"/>
      <c r="AL324" s="117"/>
      <c r="AM324" s="117"/>
      <c r="AN324" s="117"/>
      <c r="AO324" s="338"/>
      <c r="AP324" s="338"/>
      <c r="AQ324" s="338"/>
      <c r="AR324" s="338"/>
      <c r="AS324" s="338"/>
      <c r="AT324" s="338"/>
      <c r="AU324" s="338"/>
      <c r="AV324" s="338"/>
      <c r="AW324" s="338"/>
      <c r="AX324" s="338"/>
      <c r="AY324" s="338"/>
      <c r="AZ324" s="338"/>
      <c r="BA324" s="338"/>
      <c r="BB324" s="338"/>
      <c r="BC324" s="338"/>
    </row>
    <row r="325">
      <c r="A325" s="115"/>
      <c r="B325" s="180"/>
      <c r="C325" s="117"/>
      <c r="D325" s="117"/>
      <c r="E325" s="117"/>
      <c r="F325" s="115"/>
      <c r="G325" s="180"/>
      <c r="H325" s="117"/>
      <c r="I325" s="117"/>
      <c r="J325" s="117"/>
      <c r="K325" s="92"/>
      <c r="L325" s="180"/>
      <c r="M325" s="117"/>
      <c r="N325" s="117"/>
      <c r="O325" s="117"/>
      <c r="P325" s="92"/>
      <c r="Q325" s="150"/>
      <c r="R325" s="117"/>
      <c r="S325" s="117"/>
      <c r="T325" s="117"/>
      <c r="U325" s="115"/>
      <c r="V325" s="180"/>
      <c r="W325" s="117"/>
      <c r="X325" s="117"/>
      <c r="Y325" s="117"/>
      <c r="Z325" s="115"/>
      <c r="AA325" s="180"/>
      <c r="AB325" s="117"/>
      <c r="AC325" s="117"/>
      <c r="AD325" s="117"/>
      <c r="AE325" s="115"/>
      <c r="AF325" s="180"/>
      <c r="AG325" s="117"/>
      <c r="AH325" s="117"/>
      <c r="AI325" s="117"/>
      <c r="AJ325" s="115"/>
      <c r="AK325" s="180"/>
      <c r="AL325" s="117"/>
      <c r="AM325" s="117"/>
      <c r="AN325" s="117"/>
      <c r="AO325" s="338"/>
      <c r="AP325" s="338"/>
      <c r="AQ325" s="338"/>
      <c r="AR325" s="338"/>
      <c r="AS325" s="338"/>
      <c r="AT325" s="338"/>
      <c r="AU325" s="338"/>
      <c r="AV325" s="338"/>
      <c r="AW325" s="338"/>
      <c r="AX325" s="338"/>
      <c r="AY325" s="338"/>
      <c r="AZ325" s="338"/>
      <c r="BA325" s="338"/>
      <c r="BB325" s="338"/>
      <c r="BC325" s="338"/>
    </row>
    <row r="326">
      <c r="A326" s="115"/>
      <c r="B326" s="180"/>
      <c r="C326" s="117"/>
      <c r="D326" s="117"/>
      <c r="E326" s="117"/>
      <c r="F326" s="115"/>
      <c r="G326" s="180"/>
      <c r="H326" s="117"/>
      <c r="I326" s="117"/>
      <c r="J326" s="117"/>
      <c r="K326" s="92"/>
      <c r="L326" s="180"/>
      <c r="M326" s="117"/>
      <c r="N326" s="117"/>
      <c r="O326" s="117"/>
      <c r="P326" s="92"/>
      <c r="Q326" s="150"/>
      <c r="R326" s="117"/>
      <c r="S326" s="117"/>
      <c r="T326" s="117"/>
      <c r="U326" s="115"/>
      <c r="V326" s="180"/>
      <c r="W326" s="117"/>
      <c r="X326" s="117"/>
      <c r="Y326" s="117"/>
      <c r="Z326" s="115"/>
      <c r="AA326" s="180"/>
      <c r="AB326" s="117"/>
      <c r="AC326" s="117"/>
      <c r="AD326" s="117"/>
      <c r="AE326" s="115"/>
      <c r="AF326" s="180"/>
      <c r="AG326" s="117"/>
      <c r="AH326" s="117"/>
      <c r="AI326" s="117"/>
      <c r="AJ326" s="115"/>
      <c r="AK326" s="180"/>
      <c r="AL326" s="117"/>
      <c r="AM326" s="117"/>
      <c r="AN326" s="117"/>
      <c r="AO326" s="338"/>
      <c r="AP326" s="338"/>
      <c r="AQ326" s="338"/>
      <c r="AR326" s="338"/>
      <c r="AS326" s="338"/>
      <c r="AT326" s="338"/>
      <c r="AU326" s="338"/>
      <c r="AV326" s="338"/>
      <c r="AW326" s="338"/>
      <c r="AX326" s="338"/>
      <c r="AY326" s="338"/>
      <c r="AZ326" s="338"/>
      <c r="BA326" s="338"/>
      <c r="BB326" s="338"/>
      <c r="BC326" s="338"/>
    </row>
    <row r="327">
      <c r="A327" s="115"/>
      <c r="B327" s="180"/>
      <c r="C327" s="117"/>
      <c r="D327" s="117"/>
      <c r="E327" s="117"/>
      <c r="F327" s="115"/>
      <c r="G327" s="180"/>
      <c r="H327" s="117"/>
      <c r="I327" s="117"/>
      <c r="J327" s="117"/>
      <c r="K327" s="92"/>
      <c r="L327" s="180"/>
      <c r="M327" s="117"/>
      <c r="N327" s="117"/>
      <c r="O327" s="117"/>
      <c r="P327" s="92"/>
      <c r="Q327" s="150"/>
      <c r="R327" s="117"/>
      <c r="S327" s="117"/>
      <c r="T327" s="117"/>
      <c r="U327" s="115"/>
      <c r="V327" s="180"/>
      <c r="W327" s="117"/>
      <c r="X327" s="117"/>
      <c r="Y327" s="117"/>
      <c r="Z327" s="115"/>
      <c r="AA327" s="180"/>
      <c r="AB327" s="117"/>
      <c r="AC327" s="117"/>
      <c r="AD327" s="117"/>
      <c r="AE327" s="115"/>
      <c r="AF327" s="180"/>
      <c r="AG327" s="117"/>
      <c r="AH327" s="117"/>
      <c r="AI327" s="117"/>
      <c r="AJ327" s="115"/>
      <c r="AK327" s="180"/>
      <c r="AL327" s="117"/>
      <c r="AM327" s="117"/>
      <c r="AN327" s="117"/>
      <c r="AO327" s="338"/>
      <c r="AP327" s="338"/>
      <c r="AQ327" s="338"/>
      <c r="AR327" s="338"/>
      <c r="AS327" s="338"/>
      <c r="AT327" s="338"/>
      <c r="AU327" s="338"/>
      <c r="AV327" s="338"/>
      <c r="AW327" s="338"/>
      <c r="AX327" s="338"/>
      <c r="AY327" s="338"/>
      <c r="AZ327" s="338"/>
      <c r="BA327" s="338"/>
      <c r="BB327" s="338"/>
      <c r="BC327" s="338"/>
    </row>
    <row r="328">
      <c r="A328" s="115"/>
      <c r="B328" s="180"/>
      <c r="C328" s="117"/>
      <c r="D328" s="117"/>
      <c r="E328" s="117"/>
      <c r="F328" s="115"/>
      <c r="G328" s="180"/>
      <c r="H328" s="117"/>
      <c r="I328" s="117"/>
      <c r="J328" s="117"/>
      <c r="K328" s="92"/>
      <c r="L328" s="180"/>
      <c r="M328" s="117"/>
      <c r="N328" s="117"/>
      <c r="O328" s="117"/>
      <c r="P328" s="92"/>
      <c r="Q328" s="150"/>
      <c r="R328" s="117"/>
      <c r="S328" s="117"/>
      <c r="T328" s="117"/>
      <c r="U328" s="115"/>
      <c r="V328" s="180"/>
      <c r="W328" s="117"/>
      <c r="X328" s="117"/>
      <c r="Y328" s="117"/>
      <c r="Z328" s="115"/>
      <c r="AA328" s="180"/>
      <c r="AB328" s="117"/>
      <c r="AC328" s="117"/>
      <c r="AD328" s="117"/>
      <c r="AE328" s="115"/>
      <c r="AF328" s="180"/>
      <c r="AG328" s="117"/>
      <c r="AH328" s="117"/>
      <c r="AI328" s="117"/>
      <c r="AJ328" s="115"/>
      <c r="AK328" s="180"/>
      <c r="AL328" s="117"/>
      <c r="AM328" s="117"/>
      <c r="AN328" s="117"/>
      <c r="AO328" s="338"/>
      <c r="AP328" s="338"/>
      <c r="AQ328" s="338"/>
      <c r="AR328" s="338"/>
      <c r="AS328" s="338"/>
      <c r="AT328" s="338"/>
      <c r="AU328" s="338"/>
      <c r="AV328" s="338"/>
      <c r="AW328" s="338"/>
      <c r="AX328" s="338"/>
      <c r="AY328" s="338"/>
      <c r="AZ328" s="338"/>
      <c r="BA328" s="338"/>
      <c r="BB328" s="338"/>
      <c r="BC328" s="338"/>
    </row>
    <row r="329">
      <c r="A329" s="115"/>
      <c r="B329" s="180"/>
      <c r="C329" s="117"/>
      <c r="D329" s="117"/>
      <c r="E329" s="117"/>
      <c r="F329" s="115"/>
      <c r="G329" s="180"/>
      <c r="H329" s="117"/>
      <c r="I329" s="117"/>
      <c r="J329" s="117"/>
      <c r="K329" s="92"/>
      <c r="L329" s="180"/>
      <c r="M329" s="117"/>
      <c r="N329" s="117"/>
      <c r="O329" s="117"/>
      <c r="P329" s="92"/>
      <c r="Q329" s="150"/>
      <c r="R329" s="117"/>
      <c r="S329" s="117"/>
      <c r="T329" s="117"/>
      <c r="U329" s="115"/>
      <c r="V329" s="180"/>
      <c r="W329" s="117"/>
      <c r="X329" s="117"/>
      <c r="Y329" s="117"/>
      <c r="Z329" s="115"/>
      <c r="AA329" s="180"/>
      <c r="AB329" s="117"/>
      <c r="AC329" s="117"/>
      <c r="AD329" s="117"/>
      <c r="AE329" s="115"/>
      <c r="AF329" s="180"/>
      <c r="AG329" s="117"/>
      <c r="AH329" s="117"/>
      <c r="AI329" s="117"/>
      <c r="AJ329" s="115"/>
      <c r="AK329" s="180"/>
      <c r="AL329" s="117"/>
      <c r="AM329" s="117"/>
      <c r="AN329" s="117"/>
      <c r="AO329" s="338"/>
      <c r="AP329" s="338"/>
      <c r="AQ329" s="338"/>
      <c r="AR329" s="338"/>
      <c r="AS329" s="338"/>
      <c r="AT329" s="338"/>
      <c r="AU329" s="338"/>
      <c r="AV329" s="338"/>
      <c r="AW329" s="338"/>
      <c r="AX329" s="338"/>
      <c r="AY329" s="338"/>
      <c r="AZ329" s="338"/>
      <c r="BA329" s="338"/>
      <c r="BB329" s="338"/>
      <c r="BC329" s="338"/>
    </row>
    <row r="330">
      <c r="A330" s="115"/>
      <c r="B330" s="180"/>
      <c r="C330" s="117"/>
      <c r="D330" s="117"/>
      <c r="E330" s="117"/>
      <c r="F330" s="115"/>
      <c r="G330" s="180"/>
      <c r="H330" s="117"/>
      <c r="I330" s="117"/>
      <c r="J330" s="117"/>
      <c r="K330" s="92"/>
      <c r="L330" s="180"/>
      <c r="M330" s="117"/>
      <c r="N330" s="117"/>
      <c r="O330" s="117"/>
      <c r="P330" s="92"/>
      <c r="Q330" s="150"/>
      <c r="R330" s="117"/>
      <c r="S330" s="117"/>
      <c r="T330" s="117"/>
      <c r="U330" s="115"/>
      <c r="V330" s="180"/>
      <c r="W330" s="117"/>
      <c r="X330" s="117"/>
      <c r="Y330" s="117"/>
      <c r="Z330" s="115"/>
      <c r="AA330" s="180"/>
      <c r="AB330" s="117"/>
      <c r="AC330" s="117"/>
      <c r="AD330" s="117"/>
      <c r="AE330" s="115"/>
      <c r="AF330" s="180"/>
      <c r="AG330" s="117"/>
      <c r="AH330" s="117"/>
      <c r="AI330" s="117"/>
      <c r="AJ330" s="115"/>
      <c r="AK330" s="180"/>
      <c r="AL330" s="117"/>
      <c r="AM330" s="117"/>
      <c r="AN330" s="117"/>
      <c r="AO330" s="338"/>
      <c r="AP330" s="338"/>
      <c r="AQ330" s="338"/>
      <c r="AR330" s="338"/>
      <c r="AS330" s="338"/>
      <c r="AT330" s="338"/>
      <c r="AU330" s="338"/>
      <c r="AV330" s="338"/>
      <c r="AW330" s="338"/>
      <c r="AX330" s="338"/>
      <c r="AY330" s="338"/>
      <c r="AZ330" s="338"/>
      <c r="BA330" s="338"/>
      <c r="BB330" s="338"/>
      <c r="BC330" s="338"/>
    </row>
    <row r="331">
      <c r="A331" s="115"/>
      <c r="B331" s="180"/>
      <c r="C331" s="117"/>
      <c r="D331" s="117"/>
      <c r="E331" s="117"/>
      <c r="F331" s="115"/>
      <c r="G331" s="180"/>
      <c r="H331" s="117"/>
      <c r="I331" s="117"/>
      <c r="J331" s="117"/>
      <c r="K331" s="92"/>
      <c r="L331" s="180"/>
      <c r="M331" s="117"/>
      <c r="N331" s="117"/>
      <c r="O331" s="117"/>
      <c r="P331" s="92"/>
      <c r="Q331" s="150"/>
      <c r="R331" s="117"/>
      <c r="S331" s="117"/>
      <c r="T331" s="117"/>
      <c r="U331" s="115"/>
      <c r="V331" s="180"/>
      <c r="W331" s="117"/>
      <c r="X331" s="117"/>
      <c r="Y331" s="117"/>
      <c r="Z331" s="115"/>
      <c r="AA331" s="180"/>
      <c r="AB331" s="117"/>
      <c r="AC331" s="117"/>
      <c r="AD331" s="117"/>
      <c r="AE331" s="115"/>
      <c r="AF331" s="180"/>
      <c r="AG331" s="117"/>
      <c r="AH331" s="117"/>
      <c r="AI331" s="117"/>
      <c r="AJ331" s="115"/>
      <c r="AK331" s="180"/>
      <c r="AL331" s="117"/>
      <c r="AM331" s="117"/>
      <c r="AN331" s="117"/>
      <c r="AO331" s="338"/>
      <c r="AP331" s="338"/>
      <c r="AQ331" s="338"/>
      <c r="AR331" s="338"/>
      <c r="AS331" s="338"/>
      <c r="AT331" s="338"/>
      <c r="AU331" s="338"/>
      <c r="AV331" s="338"/>
      <c r="AW331" s="338"/>
      <c r="AX331" s="338"/>
      <c r="AY331" s="338"/>
      <c r="AZ331" s="338"/>
      <c r="BA331" s="338"/>
      <c r="BB331" s="338"/>
      <c r="BC331" s="338"/>
    </row>
    <row r="332">
      <c r="A332" s="115"/>
      <c r="B332" s="180"/>
      <c r="C332" s="117"/>
      <c r="D332" s="117"/>
      <c r="E332" s="117"/>
      <c r="F332" s="115"/>
      <c r="G332" s="180"/>
      <c r="H332" s="117"/>
      <c r="I332" s="117"/>
      <c r="J332" s="117"/>
      <c r="K332" s="92"/>
      <c r="L332" s="180"/>
      <c r="M332" s="117"/>
      <c r="N332" s="117"/>
      <c r="O332" s="117"/>
      <c r="P332" s="92"/>
      <c r="Q332" s="150"/>
      <c r="R332" s="117"/>
      <c r="S332" s="117"/>
      <c r="T332" s="117"/>
      <c r="U332" s="115"/>
      <c r="V332" s="180"/>
      <c r="W332" s="117"/>
      <c r="X332" s="117"/>
      <c r="Y332" s="117"/>
      <c r="Z332" s="115"/>
      <c r="AA332" s="180"/>
      <c r="AB332" s="117"/>
      <c r="AC332" s="117"/>
      <c r="AD332" s="117"/>
      <c r="AE332" s="115"/>
      <c r="AF332" s="180"/>
      <c r="AG332" s="117"/>
      <c r="AH332" s="117"/>
      <c r="AI332" s="117"/>
      <c r="AJ332" s="115"/>
      <c r="AK332" s="180"/>
      <c r="AL332" s="117"/>
      <c r="AM332" s="117"/>
      <c r="AN332" s="117"/>
      <c r="AO332" s="338"/>
      <c r="AP332" s="338"/>
      <c r="AQ332" s="338"/>
      <c r="AR332" s="338"/>
      <c r="AS332" s="338"/>
      <c r="AT332" s="338"/>
      <c r="AU332" s="338"/>
      <c r="AV332" s="338"/>
      <c r="AW332" s="338"/>
      <c r="AX332" s="338"/>
      <c r="AY332" s="338"/>
      <c r="AZ332" s="338"/>
      <c r="BA332" s="338"/>
      <c r="BB332" s="338"/>
      <c r="BC332" s="338"/>
    </row>
    <row r="333">
      <c r="A333" s="115"/>
      <c r="B333" s="180"/>
      <c r="C333" s="117"/>
      <c r="D333" s="117"/>
      <c r="E333" s="117"/>
      <c r="F333" s="115"/>
      <c r="G333" s="180"/>
      <c r="H333" s="117"/>
      <c r="I333" s="117"/>
      <c r="J333" s="117"/>
      <c r="K333" s="92"/>
      <c r="L333" s="180"/>
      <c r="M333" s="117"/>
      <c r="N333" s="117"/>
      <c r="O333" s="117"/>
      <c r="P333" s="92"/>
      <c r="Q333" s="150"/>
      <c r="R333" s="117"/>
      <c r="S333" s="117"/>
      <c r="T333" s="117"/>
      <c r="U333" s="115"/>
      <c r="V333" s="180"/>
      <c r="W333" s="117"/>
      <c r="X333" s="117"/>
      <c r="Y333" s="117"/>
      <c r="Z333" s="115"/>
      <c r="AA333" s="180"/>
      <c r="AB333" s="117"/>
      <c r="AC333" s="117"/>
      <c r="AD333" s="117"/>
      <c r="AE333" s="115"/>
      <c r="AF333" s="180"/>
      <c r="AG333" s="117"/>
      <c r="AH333" s="117"/>
      <c r="AI333" s="117"/>
      <c r="AJ333" s="115"/>
      <c r="AK333" s="180"/>
      <c r="AL333" s="117"/>
      <c r="AM333" s="117"/>
      <c r="AN333" s="117"/>
      <c r="AO333" s="338"/>
      <c r="AP333" s="338"/>
      <c r="AQ333" s="338"/>
      <c r="AR333" s="338"/>
      <c r="AS333" s="338"/>
      <c r="AT333" s="338"/>
      <c r="AU333" s="338"/>
      <c r="AV333" s="338"/>
      <c r="AW333" s="338"/>
      <c r="AX333" s="338"/>
      <c r="AY333" s="338"/>
      <c r="AZ333" s="338"/>
      <c r="BA333" s="338"/>
      <c r="BB333" s="338"/>
      <c r="BC333" s="338"/>
    </row>
    <row r="334">
      <c r="A334" s="115"/>
      <c r="B334" s="180"/>
      <c r="C334" s="117"/>
      <c r="D334" s="117"/>
      <c r="E334" s="117"/>
      <c r="F334" s="115"/>
      <c r="G334" s="180"/>
      <c r="H334" s="117"/>
      <c r="I334" s="117"/>
      <c r="J334" s="117"/>
      <c r="K334" s="92"/>
      <c r="L334" s="180"/>
      <c r="M334" s="117"/>
      <c r="N334" s="117"/>
      <c r="O334" s="117"/>
      <c r="P334" s="92"/>
      <c r="Q334" s="150"/>
      <c r="R334" s="117"/>
      <c r="S334" s="117"/>
      <c r="T334" s="117"/>
      <c r="U334" s="115"/>
      <c r="V334" s="180"/>
      <c r="W334" s="117"/>
      <c r="X334" s="117"/>
      <c r="Y334" s="117"/>
      <c r="Z334" s="115"/>
      <c r="AA334" s="180"/>
      <c r="AB334" s="117"/>
      <c r="AC334" s="117"/>
      <c r="AD334" s="117"/>
      <c r="AE334" s="115"/>
      <c r="AF334" s="180"/>
      <c r="AG334" s="117"/>
      <c r="AH334" s="117"/>
      <c r="AI334" s="117"/>
      <c r="AJ334" s="115"/>
      <c r="AK334" s="180"/>
      <c r="AL334" s="117"/>
      <c r="AM334" s="117"/>
      <c r="AN334" s="117"/>
      <c r="AO334" s="338"/>
      <c r="AP334" s="338"/>
      <c r="AQ334" s="338"/>
      <c r="AR334" s="338"/>
      <c r="AS334" s="338"/>
      <c r="AT334" s="338"/>
      <c r="AU334" s="338"/>
      <c r="AV334" s="338"/>
      <c r="AW334" s="338"/>
      <c r="AX334" s="338"/>
      <c r="AY334" s="338"/>
      <c r="AZ334" s="338"/>
      <c r="BA334" s="338"/>
      <c r="BB334" s="338"/>
      <c r="BC334" s="338"/>
    </row>
    <row r="335">
      <c r="A335" s="115"/>
      <c r="B335" s="180"/>
      <c r="C335" s="117"/>
      <c r="D335" s="117"/>
      <c r="E335" s="117"/>
      <c r="F335" s="115"/>
      <c r="G335" s="180"/>
      <c r="H335" s="117"/>
      <c r="I335" s="117"/>
      <c r="J335" s="117"/>
      <c r="K335" s="92"/>
      <c r="L335" s="180"/>
      <c r="M335" s="117"/>
      <c r="N335" s="117"/>
      <c r="O335" s="117"/>
      <c r="P335" s="92"/>
      <c r="Q335" s="150"/>
      <c r="R335" s="117"/>
      <c r="S335" s="117"/>
      <c r="T335" s="117"/>
      <c r="U335" s="115"/>
      <c r="V335" s="180"/>
      <c r="W335" s="117"/>
      <c r="X335" s="117"/>
      <c r="Y335" s="117"/>
      <c r="Z335" s="115"/>
      <c r="AA335" s="180"/>
      <c r="AB335" s="117"/>
      <c r="AC335" s="117"/>
      <c r="AD335" s="117"/>
      <c r="AE335" s="115"/>
      <c r="AF335" s="180"/>
      <c r="AG335" s="117"/>
      <c r="AH335" s="117"/>
      <c r="AI335" s="117"/>
      <c r="AJ335" s="115"/>
      <c r="AK335" s="180"/>
      <c r="AL335" s="117"/>
      <c r="AM335" s="117"/>
      <c r="AN335" s="117"/>
      <c r="AO335" s="338"/>
      <c r="AP335" s="338"/>
      <c r="AQ335" s="338"/>
      <c r="AR335" s="338"/>
      <c r="AS335" s="338"/>
      <c r="AT335" s="338"/>
      <c r="AU335" s="338"/>
      <c r="AV335" s="338"/>
      <c r="AW335" s="338"/>
      <c r="AX335" s="338"/>
      <c r="AY335" s="338"/>
      <c r="AZ335" s="338"/>
      <c r="BA335" s="338"/>
      <c r="BB335" s="338"/>
      <c r="BC335" s="338"/>
    </row>
    <row r="336">
      <c r="A336" s="115"/>
      <c r="B336" s="180"/>
      <c r="C336" s="117"/>
      <c r="D336" s="117"/>
      <c r="E336" s="117"/>
      <c r="F336" s="115"/>
      <c r="G336" s="180"/>
      <c r="H336" s="117"/>
      <c r="I336" s="117"/>
      <c r="J336" s="117"/>
      <c r="K336" s="92"/>
      <c r="L336" s="180"/>
      <c r="M336" s="117"/>
      <c r="N336" s="117"/>
      <c r="O336" s="117"/>
      <c r="P336" s="92"/>
      <c r="Q336" s="150"/>
      <c r="R336" s="117"/>
      <c r="S336" s="117"/>
      <c r="T336" s="117"/>
      <c r="U336" s="115"/>
      <c r="V336" s="180"/>
      <c r="W336" s="117"/>
      <c r="X336" s="117"/>
      <c r="Y336" s="117"/>
      <c r="Z336" s="115"/>
      <c r="AA336" s="180"/>
      <c r="AB336" s="117"/>
      <c r="AC336" s="117"/>
      <c r="AD336" s="117"/>
      <c r="AE336" s="115"/>
      <c r="AF336" s="180"/>
      <c r="AG336" s="117"/>
      <c r="AH336" s="117"/>
      <c r="AI336" s="117"/>
      <c r="AJ336" s="115"/>
      <c r="AK336" s="180"/>
      <c r="AL336" s="117"/>
      <c r="AM336" s="117"/>
      <c r="AN336" s="117"/>
      <c r="AO336" s="338"/>
      <c r="AP336" s="338"/>
      <c r="AQ336" s="338"/>
      <c r="AR336" s="338"/>
      <c r="AS336" s="338"/>
      <c r="AT336" s="338"/>
      <c r="AU336" s="338"/>
      <c r="AV336" s="338"/>
      <c r="AW336" s="338"/>
      <c r="AX336" s="338"/>
      <c r="AY336" s="338"/>
      <c r="AZ336" s="338"/>
      <c r="BA336" s="338"/>
      <c r="BB336" s="338"/>
      <c r="BC336" s="338"/>
    </row>
    <row r="337">
      <c r="A337" s="115"/>
      <c r="B337" s="180"/>
      <c r="C337" s="117"/>
      <c r="D337" s="117"/>
      <c r="E337" s="117"/>
      <c r="F337" s="115"/>
      <c r="G337" s="180"/>
      <c r="H337" s="117"/>
      <c r="I337" s="117"/>
      <c r="J337" s="117"/>
      <c r="K337" s="92"/>
      <c r="L337" s="180"/>
      <c r="M337" s="117"/>
      <c r="N337" s="117"/>
      <c r="O337" s="117"/>
      <c r="P337" s="92"/>
      <c r="Q337" s="150"/>
      <c r="R337" s="117"/>
      <c r="S337" s="117"/>
      <c r="T337" s="117"/>
      <c r="U337" s="115"/>
      <c r="V337" s="180"/>
      <c r="W337" s="117"/>
      <c r="X337" s="117"/>
      <c r="Y337" s="117"/>
      <c r="Z337" s="115"/>
      <c r="AA337" s="180"/>
      <c r="AB337" s="117"/>
      <c r="AC337" s="117"/>
      <c r="AD337" s="117"/>
      <c r="AE337" s="115"/>
      <c r="AF337" s="180"/>
      <c r="AG337" s="117"/>
      <c r="AH337" s="117"/>
      <c r="AI337" s="117"/>
      <c r="AJ337" s="115"/>
      <c r="AK337" s="180"/>
      <c r="AL337" s="117"/>
      <c r="AM337" s="117"/>
      <c r="AN337" s="117"/>
      <c r="AO337" s="338"/>
      <c r="AP337" s="338"/>
      <c r="AQ337" s="338"/>
      <c r="AR337" s="338"/>
      <c r="AS337" s="338"/>
      <c r="AT337" s="338"/>
      <c r="AU337" s="338"/>
      <c r="AV337" s="338"/>
      <c r="AW337" s="338"/>
      <c r="AX337" s="338"/>
      <c r="AY337" s="338"/>
      <c r="AZ337" s="338"/>
      <c r="BA337" s="338"/>
      <c r="BB337" s="338"/>
      <c r="BC337" s="338"/>
    </row>
    <row r="338">
      <c r="A338" s="115"/>
      <c r="B338" s="180"/>
      <c r="C338" s="117"/>
      <c r="D338" s="117"/>
      <c r="E338" s="117"/>
      <c r="F338" s="115"/>
      <c r="G338" s="180"/>
      <c r="H338" s="117"/>
      <c r="I338" s="117"/>
      <c r="J338" s="117"/>
      <c r="K338" s="92"/>
      <c r="L338" s="180"/>
      <c r="M338" s="117"/>
      <c r="N338" s="117"/>
      <c r="O338" s="117"/>
      <c r="P338" s="92"/>
      <c r="Q338" s="150"/>
      <c r="R338" s="117"/>
      <c r="S338" s="117"/>
      <c r="T338" s="117"/>
      <c r="U338" s="115"/>
      <c r="V338" s="180"/>
      <c r="W338" s="117"/>
      <c r="X338" s="117"/>
      <c r="Y338" s="117"/>
      <c r="Z338" s="115"/>
      <c r="AA338" s="180"/>
      <c r="AB338" s="117"/>
      <c r="AC338" s="117"/>
      <c r="AD338" s="117"/>
      <c r="AE338" s="115"/>
      <c r="AF338" s="180"/>
      <c r="AG338" s="117"/>
      <c r="AH338" s="117"/>
      <c r="AI338" s="117"/>
      <c r="AJ338" s="115"/>
      <c r="AK338" s="180"/>
      <c r="AL338" s="117"/>
      <c r="AM338" s="117"/>
      <c r="AN338" s="117"/>
      <c r="AO338" s="338"/>
      <c r="AP338" s="338"/>
      <c r="AQ338" s="338"/>
      <c r="AR338" s="338"/>
      <c r="AS338" s="338"/>
      <c r="AT338" s="338"/>
      <c r="AU338" s="338"/>
      <c r="AV338" s="338"/>
      <c r="AW338" s="338"/>
      <c r="AX338" s="338"/>
      <c r="AY338" s="338"/>
      <c r="AZ338" s="338"/>
      <c r="BA338" s="338"/>
      <c r="BB338" s="338"/>
      <c r="BC338" s="338"/>
    </row>
    <row r="339">
      <c r="A339" s="115"/>
      <c r="B339" s="180"/>
      <c r="C339" s="117"/>
      <c r="D339" s="117"/>
      <c r="E339" s="117"/>
      <c r="F339" s="115"/>
      <c r="G339" s="180"/>
      <c r="H339" s="117"/>
      <c r="I339" s="117"/>
      <c r="J339" s="117"/>
      <c r="K339" s="92"/>
      <c r="L339" s="180"/>
      <c r="M339" s="117"/>
      <c r="N339" s="117"/>
      <c r="O339" s="117"/>
      <c r="P339" s="92"/>
      <c r="Q339" s="150"/>
      <c r="R339" s="117"/>
      <c r="S339" s="117"/>
      <c r="T339" s="117"/>
      <c r="U339" s="115"/>
      <c r="V339" s="180"/>
      <c r="W339" s="117"/>
      <c r="X339" s="117"/>
      <c r="Y339" s="117"/>
      <c r="Z339" s="115"/>
      <c r="AA339" s="180"/>
      <c r="AB339" s="117"/>
      <c r="AC339" s="117"/>
      <c r="AD339" s="117"/>
      <c r="AE339" s="115"/>
      <c r="AF339" s="180"/>
      <c r="AG339" s="117"/>
      <c r="AH339" s="117"/>
      <c r="AI339" s="117"/>
      <c r="AJ339" s="115"/>
      <c r="AK339" s="180"/>
      <c r="AL339" s="117"/>
      <c r="AM339" s="117"/>
      <c r="AN339" s="117"/>
      <c r="AO339" s="338"/>
      <c r="AP339" s="338"/>
      <c r="AQ339" s="338"/>
      <c r="AR339" s="338"/>
      <c r="AS339" s="338"/>
      <c r="AT339" s="338"/>
      <c r="AU339" s="338"/>
      <c r="AV339" s="338"/>
      <c r="AW339" s="338"/>
      <c r="AX339" s="338"/>
      <c r="AY339" s="338"/>
      <c r="AZ339" s="338"/>
      <c r="BA339" s="338"/>
      <c r="BB339" s="338"/>
      <c r="BC339" s="338"/>
    </row>
    <row r="340">
      <c r="A340" s="115"/>
      <c r="B340" s="180"/>
      <c r="C340" s="117"/>
      <c r="D340" s="117"/>
      <c r="E340" s="117"/>
      <c r="F340" s="115"/>
      <c r="G340" s="180"/>
      <c r="H340" s="117"/>
      <c r="I340" s="117"/>
      <c r="J340" s="117"/>
      <c r="K340" s="92"/>
      <c r="L340" s="180"/>
      <c r="M340" s="117"/>
      <c r="N340" s="117"/>
      <c r="O340" s="117"/>
      <c r="P340" s="92"/>
      <c r="Q340" s="150"/>
      <c r="R340" s="117"/>
      <c r="S340" s="117"/>
      <c r="T340" s="117"/>
      <c r="U340" s="115"/>
      <c r="V340" s="180"/>
      <c r="W340" s="117"/>
      <c r="X340" s="117"/>
      <c r="Y340" s="117"/>
      <c r="Z340" s="115"/>
      <c r="AA340" s="180"/>
      <c r="AB340" s="117"/>
      <c r="AC340" s="117"/>
      <c r="AD340" s="117"/>
      <c r="AE340" s="115"/>
      <c r="AF340" s="180"/>
      <c r="AG340" s="117"/>
      <c r="AH340" s="117"/>
      <c r="AI340" s="117"/>
      <c r="AJ340" s="115"/>
      <c r="AK340" s="180"/>
      <c r="AL340" s="117"/>
      <c r="AM340" s="117"/>
      <c r="AN340" s="117"/>
      <c r="AO340" s="338"/>
      <c r="AP340" s="338"/>
      <c r="AQ340" s="338"/>
      <c r="AR340" s="338"/>
      <c r="AS340" s="338"/>
      <c r="AT340" s="338"/>
      <c r="AU340" s="338"/>
      <c r="AV340" s="338"/>
      <c r="AW340" s="338"/>
      <c r="AX340" s="338"/>
      <c r="AY340" s="338"/>
      <c r="AZ340" s="338"/>
      <c r="BA340" s="338"/>
      <c r="BB340" s="338"/>
      <c r="BC340" s="338"/>
    </row>
    <row r="341">
      <c r="A341" s="115"/>
      <c r="B341" s="180"/>
      <c r="C341" s="117"/>
      <c r="D341" s="117"/>
      <c r="E341" s="117"/>
      <c r="F341" s="115"/>
      <c r="G341" s="180"/>
      <c r="H341" s="117"/>
      <c r="I341" s="117"/>
      <c r="J341" s="117"/>
      <c r="K341" s="92"/>
      <c r="L341" s="180"/>
      <c r="M341" s="117"/>
      <c r="N341" s="117"/>
      <c r="O341" s="117"/>
      <c r="P341" s="92"/>
      <c r="Q341" s="150"/>
      <c r="R341" s="117"/>
      <c r="S341" s="117"/>
      <c r="T341" s="117"/>
      <c r="U341" s="115"/>
      <c r="V341" s="180"/>
      <c r="W341" s="117"/>
      <c r="X341" s="117"/>
      <c r="Y341" s="117"/>
      <c r="Z341" s="115"/>
      <c r="AA341" s="180"/>
      <c r="AB341" s="117"/>
      <c r="AC341" s="117"/>
      <c r="AD341" s="117"/>
      <c r="AE341" s="115"/>
      <c r="AF341" s="180"/>
      <c r="AG341" s="117"/>
      <c r="AH341" s="117"/>
      <c r="AI341" s="117"/>
      <c r="AJ341" s="115"/>
      <c r="AK341" s="180"/>
      <c r="AL341" s="117"/>
      <c r="AM341" s="117"/>
      <c r="AN341" s="117"/>
      <c r="AO341" s="338"/>
      <c r="AP341" s="338"/>
      <c r="AQ341" s="338"/>
      <c r="AR341" s="338"/>
      <c r="AS341" s="338"/>
      <c r="AT341" s="338"/>
      <c r="AU341" s="338"/>
      <c r="AV341" s="338"/>
      <c r="AW341" s="338"/>
      <c r="AX341" s="338"/>
      <c r="AY341" s="338"/>
      <c r="AZ341" s="338"/>
      <c r="BA341" s="338"/>
      <c r="BB341" s="338"/>
      <c r="BC341" s="338"/>
    </row>
    <row r="342">
      <c r="A342" s="115"/>
      <c r="B342" s="180"/>
      <c r="C342" s="117"/>
      <c r="D342" s="117"/>
      <c r="E342" s="117"/>
      <c r="F342" s="115"/>
      <c r="G342" s="180"/>
      <c r="H342" s="117"/>
      <c r="I342" s="117"/>
      <c r="J342" s="117"/>
      <c r="K342" s="92"/>
      <c r="L342" s="180"/>
      <c r="M342" s="117"/>
      <c r="N342" s="117"/>
      <c r="O342" s="117"/>
      <c r="P342" s="92"/>
      <c r="Q342" s="150"/>
      <c r="R342" s="117"/>
      <c r="S342" s="117"/>
      <c r="T342" s="117"/>
      <c r="U342" s="115"/>
      <c r="V342" s="180"/>
      <c r="W342" s="117"/>
      <c r="X342" s="117"/>
      <c r="Y342" s="117"/>
      <c r="Z342" s="115"/>
      <c r="AA342" s="180"/>
      <c r="AB342" s="117"/>
      <c r="AC342" s="117"/>
      <c r="AD342" s="117"/>
      <c r="AE342" s="115"/>
      <c r="AF342" s="180"/>
      <c r="AG342" s="117"/>
      <c r="AH342" s="117"/>
      <c r="AI342" s="117"/>
      <c r="AJ342" s="115"/>
      <c r="AK342" s="180"/>
      <c r="AL342" s="117"/>
      <c r="AM342" s="117"/>
      <c r="AN342" s="117"/>
      <c r="AO342" s="338"/>
      <c r="AP342" s="338"/>
      <c r="AQ342" s="338"/>
      <c r="AR342" s="338"/>
      <c r="AS342" s="338"/>
      <c r="AT342" s="338"/>
      <c r="AU342" s="338"/>
      <c r="AV342" s="338"/>
      <c r="AW342" s="338"/>
      <c r="AX342" s="338"/>
      <c r="AY342" s="338"/>
      <c r="AZ342" s="338"/>
      <c r="BA342" s="338"/>
      <c r="BB342" s="338"/>
      <c r="BC342" s="338"/>
    </row>
    <row r="343">
      <c r="A343" s="115"/>
      <c r="B343" s="180"/>
      <c r="C343" s="117"/>
      <c r="D343" s="117"/>
      <c r="E343" s="117"/>
      <c r="F343" s="115"/>
      <c r="G343" s="180"/>
      <c r="H343" s="117"/>
      <c r="I343" s="117"/>
      <c r="J343" s="117"/>
      <c r="K343" s="92"/>
      <c r="L343" s="180"/>
      <c r="M343" s="117"/>
      <c r="N343" s="117"/>
      <c r="O343" s="117"/>
      <c r="P343" s="92"/>
      <c r="Q343" s="150"/>
      <c r="R343" s="117"/>
      <c r="S343" s="117"/>
      <c r="T343" s="117"/>
      <c r="U343" s="115"/>
      <c r="V343" s="180"/>
      <c r="W343" s="117"/>
      <c r="X343" s="117"/>
      <c r="Y343" s="117"/>
      <c r="Z343" s="115"/>
      <c r="AA343" s="180"/>
      <c r="AB343" s="117"/>
      <c r="AC343" s="117"/>
      <c r="AD343" s="117"/>
      <c r="AE343" s="115"/>
      <c r="AF343" s="180"/>
      <c r="AG343" s="117"/>
      <c r="AH343" s="117"/>
      <c r="AI343" s="117"/>
      <c r="AJ343" s="115"/>
      <c r="AK343" s="180"/>
      <c r="AL343" s="117"/>
      <c r="AM343" s="117"/>
      <c r="AN343" s="117"/>
      <c r="AO343" s="338"/>
      <c r="AP343" s="338"/>
      <c r="AQ343" s="338"/>
      <c r="AR343" s="338"/>
      <c r="AS343" s="338"/>
      <c r="AT343" s="338"/>
      <c r="AU343" s="338"/>
      <c r="AV343" s="338"/>
      <c r="AW343" s="338"/>
      <c r="AX343" s="338"/>
      <c r="AY343" s="338"/>
      <c r="AZ343" s="338"/>
      <c r="BA343" s="338"/>
      <c r="BB343" s="338"/>
      <c r="BC343" s="338"/>
    </row>
    <row r="344">
      <c r="A344" s="115"/>
      <c r="B344" s="180"/>
      <c r="C344" s="117"/>
      <c r="D344" s="117"/>
      <c r="E344" s="117"/>
      <c r="F344" s="115"/>
      <c r="G344" s="180"/>
      <c r="H344" s="117"/>
      <c r="I344" s="117"/>
      <c r="J344" s="117"/>
      <c r="K344" s="92"/>
      <c r="L344" s="180"/>
      <c r="M344" s="117"/>
      <c r="N344" s="117"/>
      <c r="O344" s="117"/>
      <c r="P344" s="92"/>
      <c r="Q344" s="150"/>
      <c r="R344" s="117"/>
      <c r="S344" s="117"/>
      <c r="T344" s="117"/>
      <c r="U344" s="115"/>
      <c r="V344" s="180"/>
      <c r="W344" s="117"/>
      <c r="X344" s="117"/>
      <c r="Y344" s="117"/>
      <c r="Z344" s="115"/>
      <c r="AA344" s="180"/>
      <c r="AB344" s="117"/>
      <c r="AC344" s="117"/>
      <c r="AD344" s="117"/>
      <c r="AE344" s="115"/>
      <c r="AF344" s="180"/>
      <c r="AG344" s="117"/>
      <c r="AH344" s="117"/>
      <c r="AI344" s="117"/>
      <c r="AJ344" s="115"/>
      <c r="AK344" s="180"/>
      <c r="AL344" s="117"/>
      <c r="AM344" s="117"/>
      <c r="AN344" s="117"/>
      <c r="AO344" s="338"/>
      <c r="AP344" s="338"/>
      <c r="AQ344" s="338"/>
      <c r="AR344" s="338"/>
      <c r="AS344" s="338"/>
      <c r="AT344" s="338"/>
      <c r="AU344" s="338"/>
      <c r="AV344" s="338"/>
      <c r="AW344" s="338"/>
      <c r="AX344" s="338"/>
      <c r="AY344" s="338"/>
      <c r="AZ344" s="338"/>
      <c r="BA344" s="338"/>
      <c r="BB344" s="338"/>
      <c r="BC344" s="338"/>
    </row>
    <row r="345">
      <c r="A345" s="115"/>
      <c r="B345" s="180"/>
      <c r="C345" s="117"/>
      <c r="D345" s="117"/>
      <c r="E345" s="117"/>
      <c r="F345" s="115"/>
      <c r="G345" s="180"/>
      <c r="H345" s="117"/>
      <c r="I345" s="117"/>
      <c r="J345" s="117"/>
      <c r="K345" s="92"/>
      <c r="L345" s="180"/>
      <c r="M345" s="117"/>
      <c r="N345" s="117"/>
      <c r="O345" s="117"/>
      <c r="P345" s="92"/>
      <c r="Q345" s="150"/>
      <c r="R345" s="117"/>
      <c r="S345" s="117"/>
      <c r="T345" s="117"/>
      <c r="U345" s="115"/>
      <c r="V345" s="180"/>
      <c r="W345" s="117"/>
      <c r="X345" s="117"/>
      <c r="Y345" s="117"/>
      <c r="Z345" s="115"/>
      <c r="AA345" s="180"/>
      <c r="AB345" s="117"/>
      <c r="AC345" s="117"/>
      <c r="AD345" s="117"/>
      <c r="AE345" s="115"/>
      <c r="AF345" s="180"/>
      <c r="AG345" s="117"/>
      <c r="AH345" s="117"/>
      <c r="AI345" s="117"/>
      <c r="AJ345" s="115"/>
      <c r="AK345" s="180"/>
      <c r="AL345" s="117"/>
      <c r="AM345" s="117"/>
      <c r="AN345" s="117"/>
      <c r="AO345" s="338"/>
      <c r="AP345" s="338"/>
      <c r="AQ345" s="338"/>
      <c r="AR345" s="338"/>
      <c r="AS345" s="338"/>
      <c r="AT345" s="338"/>
      <c r="AU345" s="338"/>
      <c r="AV345" s="338"/>
      <c r="AW345" s="338"/>
      <c r="AX345" s="338"/>
      <c r="AY345" s="338"/>
      <c r="AZ345" s="338"/>
      <c r="BA345" s="338"/>
      <c r="BB345" s="338"/>
      <c r="BC345" s="338"/>
    </row>
    <row r="346">
      <c r="A346" s="115"/>
      <c r="B346" s="180"/>
      <c r="C346" s="117"/>
      <c r="D346" s="117"/>
      <c r="E346" s="117"/>
      <c r="F346" s="115"/>
      <c r="G346" s="180"/>
      <c r="H346" s="117"/>
      <c r="I346" s="117"/>
      <c r="J346" s="117"/>
      <c r="K346" s="92"/>
      <c r="L346" s="180"/>
      <c r="M346" s="117"/>
      <c r="N346" s="117"/>
      <c r="O346" s="117"/>
      <c r="P346" s="92"/>
      <c r="Q346" s="150"/>
      <c r="R346" s="117"/>
      <c r="S346" s="117"/>
      <c r="T346" s="117"/>
      <c r="U346" s="115"/>
      <c r="V346" s="180"/>
      <c r="W346" s="117"/>
      <c r="X346" s="117"/>
      <c r="Y346" s="117"/>
      <c r="Z346" s="115"/>
      <c r="AA346" s="180"/>
      <c r="AB346" s="117"/>
      <c r="AC346" s="117"/>
      <c r="AD346" s="117"/>
      <c r="AE346" s="115"/>
      <c r="AF346" s="180"/>
      <c r="AG346" s="117"/>
      <c r="AH346" s="117"/>
      <c r="AI346" s="117"/>
      <c r="AJ346" s="115"/>
      <c r="AK346" s="180"/>
      <c r="AL346" s="117"/>
      <c r="AM346" s="117"/>
      <c r="AN346" s="117"/>
      <c r="AO346" s="338"/>
      <c r="AP346" s="338"/>
      <c r="AQ346" s="338"/>
      <c r="AR346" s="338"/>
      <c r="AS346" s="338"/>
      <c r="AT346" s="338"/>
      <c r="AU346" s="338"/>
      <c r="AV346" s="338"/>
      <c r="AW346" s="338"/>
      <c r="AX346" s="338"/>
      <c r="AY346" s="338"/>
      <c r="AZ346" s="338"/>
      <c r="BA346" s="338"/>
      <c r="BB346" s="338"/>
      <c r="BC346" s="338"/>
    </row>
    <row r="347">
      <c r="A347" s="115"/>
      <c r="B347" s="180"/>
      <c r="C347" s="117"/>
      <c r="D347" s="117"/>
      <c r="E347" s="117"/>
      <c r="F347" s="115"/>
      <c r="G347" s="180"/>
      <c r="H347" s="117"/>
      <c r="I347" s="117"/>
      <c r="J347" s="117"/>
      <c r="K347" s="92"/>
      <c r="L347" s="180"/>
      <c r="M347" s="117"/>
      <c r="N347" s="117"/>
      <c r="O347" s="117"/>
      <c r="P347" s="92"/>
      <c r="Q347" s="150"/>
      <c r="R347" s="117"/>
      <c r="S347" s="117"/>
      <c r="T347" s="117"/>
      <c r="U347" s="115"/>
      <c r="V347" s="180"/>
      <c r="W347" s="117"/>
      <c r="X347" s="117"/>
      <c r="Y347" s="117"/>
      <c r="Z347" s="115"/>
      <c r="AA347" s="180"/>
      <c r="AB347" s="117"/>
      <c r="AC347" s="117"/>
      <c r="AD347" s="117"/>
      <c r="AE347" s="115"/>
      <c r="AF347" s="180"/>
      <c r="AG347" s="117"/>
      <c r="AH347" s="117"/>
      <c r="AI347" s="117"/>
      <c r="AJ347" s="115"/>
      <c r="AK347" s="180"/>
      <c r="AL347" s="117"/>
      <c r="AM347" s="117"/>
      <c r="AN347" s="117"/>
      <c r="AO347" s="338"/>
      <c r="AP347" s="338"/>
      <c r="AQ347" s="338"/>
      <c r="AR347" s="338"/>
      <c r="AS347" s="338"/>
      <c r="AT347" s="338"/>
      <c r="AU347" s="338"/>
      <c r="AV347" s="338"/>
      <c r="AW347" s="338"/>
      <c r="AX347" s="338"/>
      <c r="AY347" s="338"/>
      <c r="AZ347" s="338"/>
      <c r="BA347" s="338"/>
      <c r="BB347" s="338"/>
      <c r="BC347" s="338"/>
    </row>
    <row r="348">
      <c r="A348" s="115"/>
      <c r="B348" s="180"/>
      <c r="C348" s="117"/>
      <c r="D348" s="117"/>
      <c r="E348" s="117"/>
      <c r="F348" s="115"/>
      <c r="G348" s="180"/>
      <c r="H348" s="117"/>
      <c r="I348" s="117"/>
      <c r="J348" s="117"/>
      <c r="K348" s="92"/>
      <c r="L348" s="180"/>
      <c r="M348" s="117"/>
      <c r="N348" s="117"/>
      <c r="O348" s="117"/>
      <c r="P348" s="92"/>
      <c r="Q348" s="150"/>
      <c r="R348" s="117"/>
      <c r="S348" s="117"/>
      <c r="T348" s="117"/>
      <c r="U348" s="115"/>
      <c r="V348" s="180"/>
      <c r="W348" s="117"/>
      <c r="X348" s="117"/>
      <c r="Y348" s="117"/>
      <c r="Z348" s="115"/>
      <c r="AA348" s="180"/>
      <c r="AB348" s="117"/>
      <c r="AC348" s="117"/>
      <c r="AD348" s="117"/>
      <c r="AE348" s="115"/>
      <c r="AF348" s="180"/>
      <c r="AG348" s="117"/>
      <c r="AH348" s="117"/>
      <c r="AI348" s="117"/>
      <c r="AJ348" s="115"/>
      <c r="AK348" s="180"/>
      <c r="AL348" s="117"/>
      <c r="AM348" s="117"/>
      <c r="AN348" s="117"/>
      <c r="AO348" s="338"/>
      <c r="AP348" s="338"/>
      <c r="AQ348" s="338"/>
      <c r="AR348" s="338"/>
      <c r="AS348" s="338"/>
      <c r="AT348" s="338"/>
      <c r="AU348" s="338"/>
      <c r="AV348" s="338"/>
      <c r="AW348" s="338"/>
      <c r="AX348" s="338"/>
      <c r="AY348" s="338"/>
      <c r="AZ348" s="338"/>
      <c r="BA348" s="338"/>
      <c r="BB348" s="338"/>
      <c r="BC348" s="338"/>
    </row>
    <row r="349">
      <c r="A349" s="115"/>
      <c r="B349" s="180"/>
      <c r="C349" s="117"/>
      <c r="D349" s="117"/>
      <c r="E349" s="117"/>
      <c r="F349" s="115"/>
      <c r="G349" s="180"/>
      <c r="H349" s="117"/>
      <c r="I349" s="117"/>
      <c r="J349" s="117"/>
      <c r="K349" s="92"/>
      <c r="L349" s="180"/>
      <c r="M349" s="117"/>
      <c r="N349" s="117"/>
      <c r="O349" s="117"/>
      <c r="P349" s="92"/>
      <c r="Q349" s="150"/>
      <c r="R349" s="117"/>
      <c r="S349" s="117"/>
      <c r="T349" s="117"/>
      <c r="U349" s="115"/>
      <c r="V349" s="180"/>
      <c r="W349" s="117"/>
      <c r="X349" s="117"/>
      <c r="Y349" s="117"/>
      <c r="Z349" s="115"/>
      <c r="AA349" s="180"/>
      <c r="AB349" s="117"/>
      <c r="AC349" s="117"/>
      <c r="AD349" s="117"/>
      <c r="AE349" s="115"/>
      <c r="AF349" s="180"/>
      <c r="AG349" s="117"/>
      <c r="AH349" s="117"/>
      <c r="AI349" s="117"/>
      <c r="AJ349" s="115"/>
      <c r="AK349" s="180"/>
      <c r="AL349" s="117"/>
      <c r="AM349" s="117"/>
      <c r="AN349" s="117"/>
      <c r="AO349" s="338"/>
      <c r="AP349" s="338"/>
      <c r="AQ349" s="338"/>
      <c r="AR349" s="338"/>
      <c r="AS349" s="338"/>
      <c r="AT349" s="338"/>
      <c r="AU349" s="338"/>
      <c r="AV349" s="338"/>
      <c r="AW349" s="338"/>
      <c r="AX349" s="338"/>
      <c r="AY349" s="338"/>
      <c r="AZ349" s="338"/>
      <c r="BA349" s="338"/>
      <c r="BB349" s="338"/>
      <c r="BC349" s="338"/>
    </row>
    <row r="350">
      <c r="A350" s="115"/>
      <c r="B350" s="180"/>
      <c r="C350" s="117"/>
      <c r="D350" s="117"/>
      <c r="E350" s="117"/>
      <c r="F350" s="115"/>
      <c r="G350" s="180"/>
      <c r="H350" s="117"/>
      <c r="I350" s="117"/>
      <c r="J350" s="117"/>
      <c r="K350" s="92"/>
      <c r="L350" s="180"/>
      <c r="M350" s="117"/>
      <c r="N350" s="117"/>
      <c r="O350" s="117"/>
      <c r="P350" s="92"/>
      <c r="Q350" s="150"/>
      <c r="R350" s="117"/>
      <c r="S350" s="117"/>
      <c r="T350" s="117"/>
      <c r="U350" s="115"/>
      <c r="V350" s="180"/>
      <c r="W350" s="117"/>
      <c r="X350" s="117"/>
      <c r="Y350" s="117"/>
      <c r="Z350" s="115"/>
      <c r="AA350" s="180"/>
      <c r="AB350" s="117"/>
      <c r="AC350" s="117"/>
      <c r="AD350" s="117"/>
      <c r="AE350" s="115"/>
      <c r="AF350" s="180"/>
      <c r="AG350" s="117"/>
      <c r="AH350" s="117"/>
      <c r="AI350" s="117"/>
      <c r="AJ350" s="115"/>
      <c r="AK350" s="180"/>
      <c r="AL350" s="117"/>
      <c r="AM350" s="117"/>
      <c r="AN350" s="117"/>
      <c r="AO350" s="338"/>
      <c r="AP350" s="338"/>
      <c r="AQ350" s="338"/>
      <c r="AR350" s="338"/>
      <c r="AS350" s="338"/>
      <c r="AT350" s="338"/>
      <c r="AU350" s="338"/>
      <c r="AV350" s="338"/>
      <c r="AW350" s="338"/>
      <c r="AX350" s="338"/>
      <c r="AY350" s="338"/>
      <c r="AZ350" s="338"/>
      <c r="BA350" s="338"/>
      <c r="BB350" s="338"/>
      <c r="BC350" s="338"/>
    </row>
    <row r="351">
      <c r="A351" s="115"/>
      <c r="B351" s="180"/>
      <c r="C351" s="117"/>
      <c r="D351" s="117"/>
      <c r="E351" s="117"/>
      <c r="F351" s="115"/>
      <c r="G351" s="180"/>
      <c r="H351" s="117"/>
      <c r="I351" s="117"/>
      <c r="J351" s="117"/>
      <c r="K351" s="92"/>
      <c r="L351" s="180"/>
      <c r="M351" s="117"/>
      <c r="N351" s="117"/>
      <c r="O351" s="117"/>
      <c r="P351" s="92"/>
      <c r="Q351" s="150"/>
      <c r="R351" s="117"/>
      <c r="S351" s="117"/>
      <c r="T351" s="117"/>
      <c r="U351" s="115"/>
      <c r="V351" s="180"/>
      <c r="W351" s="117"/>
      <c r="X351" s="117"/>
      <c r="Y351" s="117"/>
      <c r="Z351" s="115"/>
      <c r="AA351" s="180"/>
      <c r="AB351" s="117"/>
      <c r="AC351" s="117"/>
      <c r="AD351" s="117"/>
      <c r="AE351" s="115"/>
      <c r="AF351" s="180"/>
      <c r="AG351" s="117"/>
      <c r="AH351" s="117"/>
      <c r="AI351" s="117"/>
      <c r="AJ351" s="115"/>
      <c r="AK351" s="180"/>
      <c r="AL351" s="117"/>
      <c r="AM351" s="117"/>
      <c r="AN351" s="117"/>
      <c r="AO351" s="338"/>
      <c r="AP351" s="338"/>
      <c r="AQ351" s="338"/>
      <c r="AR351" s="338"/>
      <c r="AS351" s="338"/>
      <c r="AT351" s="338"/>
      <c r="AU351" s="338"/>
      <c r="AV351" s="338"/>
      <c r="AW351" s="338"/>
      <c r="AX351" s="338"/>
      <c r="AY351" s="338"/>
      <c r="AZ351" s="338"/>
      <c r="BA351" s="338"/>
      <c r="BB351" s="338"/>
      <c r="BC351" s="338"/>
    </row>
    <row r="352">
      <c r="A352" s="115"/>
      <c r="B352" s="180"/>
      <c r="C352" s="117"/>
      <c r="D352" s="117"/>
      <c r="E352" s="117"/>
      <c r="F352" s="115"/>
      <c r="G352" s="180"/>
      <c r="H352" s="117"/>
      <c r="I352" s="117"/>
      <c r="J352" s="117"/>
      <c r="K352" s="92"/>
      <c r="L352" s="180"/>
      <c r="M352" s="117"/>
      <c r="N352" s="117"/>
      <c r="O352" s="117"/>
      <c r="P352" s="92"/>
      <c r="Q352" s="150"/>
      <c r="R352" s="117"/>
      <c r="S352" s="117"/>
      <c r="T352" s="117"/>
      <c r="U352" s="115"/>
      <c r="V352" s="180"/>
      <c r="W352" s="117"/>
      <c r="X352" s="117"/>
      <c r="Y352" s="117"/>
      <c r="Z352" s="115"/>
      <c r="AA352" s="180"/>
      <c r="AB352" s="117"/>
      <c r="AC352" s="117"/>
      <c r="AD352" s="117"/>
      <c r="AE352" s="115"/>
      <c r="AF352" s="180"/>
      <c r="AG352" s="117"/>
      <c r="AH352" s="117"/>
      <c r="AI352" s="117"/>
      <c r="AJ352" s="115"/>
      <c r="AK352" s="180"/>
      <c r="AL352" s="117"/>
      <c r="AM352" s="117"/>
      <c r="AN352" s="117"/>
      <c r="AO352" s="338"/>
      <c r="AP352" s="338"/>
      <c r="AQ352" s="338"/>
      <c r="AR352" s="338"/>
      <c r="AS352" s="338"/>
      <c r="AT352" s="338"/>
      <c r="AU352" s="338"/>
      <c r="AV352" s="338"/>
      <c r="AW352" s="338"/>
      <c r="AX352" s="338"/>
      <c r="AY352" s="338"/>
      <c r="AZ352" s="338"/>
      <c r="BA352" s="338"/>
      <c r="BB352" s="338"/>
      <c r="BC352" s="338"/>
    </row>
    <row r="353">
      <c r="A353" s="115"/>
      <c r="B353" s="180"/>
      <c r="C353" s="117"/>
      <c r="D353" s="117"/>
      <c r="E353" s="117"/>
      <c r="F353" s="115"/>
      <c r="G353" s="180"/>
      <c r="H353" s="117"/>
      <c r="I353" s="117"/>
      <c r="J353" s="117"/>
      <c r="K353" s="92"/>
      <c r="L353" s="180"/>
      <c r="M353" s="117"/>
      <c r="N353" s="117"/>
      <c r="O353" s="117"/>
      <c r="P353" s="92"/>
      <c r="Q353" s="150"/>
      <c r="R353" s="117"/>
      <c r="S353" s="117"/>
      <c r="T353" s="117"/>
      <c r="U353" s="115"/>
      <c r="V353" s="180"/>
      <c r="W353" s="117"/>
      <c r="X353" s="117"/>
      <c r="Y353" s="117"/>
      <c r="Z353" s="115"/>
      <c r="AA353" s="180"/>
      <c r="AB353" s="117"/>
      <c r="AC353" s="117"/>
      <c r="AD353" s="117"/>
      <c r="AE353" s="115"/>
      <c r="AF353" s="180"/>
      <c r="AG353" s="117"/>
      <c r="AH353" s="117"/>
      <c r="AI353" s="117"/>
      <c r="AJ353" s="115"/>
      <c r="AK353" s="180"/>
      <c r="AL353" s="117"/>
      <c r="AM353" s="117"/>
      <c r="AN353" s="117"/>
      <c r="AO353" s="338"/>
      <c r="AP353" s="338"/>
      <c r="AQ353" s="338"/>
      <c r="AR353" s="338"/>
      <c r="AS353" s="338"/>
      <c r="AT353" s="338"/>
      <c r="AU353" s="338"/>
      <c r="AV353" s="338"/>
      <c r="AW353" s="338"/>
      <c r="AX353" s="338"/>
      <c r="AY353" s="338"/>
      <c r="AZ353" s="338"/>
      <c r="BA353" s="338"/>
      <c r="BB353" s="338"/>
      <c r="BC353" s="338"/>
    </row>
    <row r="354">
      <c r="A354" s="115"/>
      <c r="B354" s="180"/>
      <c r="C354" s="117"/>
      <c r="D354" s="117"/>
      <c r="E354" s="117"/>
      <c r="F354" s="115"/>
      <c r="G354" s="180"/>
      <c r="H354" s="117"/>
      <c r="I354" s="117"/>
      <c r="J354" s="117"/>
      <c r="K354" s="92"/>
      <c r="L354" s="180"/>
      <c r="M354" s="117"/>
      <c r="N354" s="117"/>
      <c r="O354" s="117"/>
      <c r="P354" s="92"/>
      <c r="Q354" s="150"/>
      <c r="R354" s="117"/>
      <c r="S354" s="117"/>
      <c r="T354" s="117"/>
      <c r="U354" s="115"/>
      <c r="V354" s="180"/>
      <c r="W354" s="117"/>
      <c r="X354" s="117"/>
      <c r="Y354" s="117"/>
      <c r="Z354" s="115"/>
      <c r="AA354" s="180"/>
      <c r="AB354" s="117"/>
      <c r="AC354" s="117"/>
      <c r="AD354" s="117"/>
      <c r="AE354" s="115"/>
      <c r="AF354" s="180"/>
      <c r="AG354" s="117"/>
      <c r="AH354" s="117"/>
      <c r="AI354" s="117"/>
      <c r="AJ354" s="115"/>
      <c r="AK354" s="180"/>
      <c r="AL354" s="117"/>
      <c r="AM354" s="117"/>
      <c r="AN354" s="117"/>
      <c r="AO354" s="338"/>
      <c r="AP354" s="338"/>
      <c r="AQ354" s="338"/>
      <c r="AR354" s="338"/>
      <c r="AS354" s="338"/>
      <c r="AT354" s="338"/>
      <c r="AU354" s="338"/>
      <c r="AV354" s="338"/>
      <c r="AW354" s="338"/>
      <c r="AX354" s="338"/>
      <c r="AY354" s="338"/>
      <c r="AZ354" s="338"/>
      <c r="BA354" s="338"/>
      <c r="BB354" s="338"/>
      <c r="BC354" s="338"/>
    </row>
    <row r="355">
      <c r="A355" s="115"/>
      <c r="B355" s="180"/>
      <c r="C355" s="117"/>
      <c r="D355" s="117"/>
      <c r="E355" s="117"/>
      <c r="F355" s="115"/>
      <c r="G355" s="180"/>
      <c r="H355" s="117"/>
      <c r="I355" s="117"/>
      <c r="J355" s="117"/>
      <c r="K355" s="92"/>
      <c r="L355" s="180"/>
      <c r="M355" s="117"/>
      <c r="N355" s="117"/>
      <c r="O355" s="117"/>
      <c r="P355" s="92"/>
      <c r="Q355" s="150"/>
      <c r="R355" s="117"/>
      <c r="S355" s="117"/>
      <c r="T355" s="117"/>
      <c r="U355" s="115"/>
      <c r="V355" s="180"/>
      <c r="W355" s="117"/>
      <c r="X355" s="117"/>
      <c r="Y355" s="117"/>
      <c r="Z355" s="115"/>
      <c r="AA355" s="180"/>
      <c r="AB355" s="117"/>
      <c r="AC355" s="117"/>
      <c r="AD355" s="117"/>
      <c r="AE355" s="115"/>
      <c r="AF355" s="180"/>
      <c r="AG355" s="117"/>
      <c r="AH355" s="117"/>
      <c r="AI355" s="117"/>
      <c r="AJ355" s="115"/>
      <c r="AK355" s="180"/>
      <c r="AL355" s="117"/>
      <c r="AM355" s="117"/>
      <c r="AN355" s="117"/>
      <c r="AO355" s="338"/>
      <c r="AP355" s="338"/>
      <c r="AQ355" s="338"/>
      <c r="AR355" s="338"/>
      <c r="AS355" s="338"/>
      <c r="AT355" s="338"/>
      <c r="AU355" s="338"/>
      <c r="AV355" s="338"/>
      <c r="AW355" s="338"/>
      <c r="AX355" s="338"/>
      <c r="AY355" s="338"/>
      <c r="AZ355" s="338"/>
      <c r="BA355" s="338"/>
      <c r="BB355" s="338"/>
      <c r="BC355" s="338"/>
    </row>
    <row r="356">
      <c r="A356" s="115"/>
      <c r="B356" s="180"/>
      <c r="C356" s="117"/>
      <c r="D356" s="117"/>
      <c r="E356" s="117"/>
      <c r="F356" s="115"/>
      <c r="G356" s="180"/>
      <c r="H356" s="117"/>
      <c r="I356" s="117"/>
      <c r="J356" s="117"/>
      <c r="K356" s="92"/>
      <c r="L356" s="180"/>
      <c r="M356" s="117"/>
      <c r="N356" s="117"/>
      <c r="O356" s="117"/>
      <c r="P356" s="92"/>
      <c r="Q356" s="150"/>
      <c r="R356" s="117"/>
      <c r="S356" s="117"/>
      <c r="T356" s="117"/>
      <c r="U356" s="115"/>
      <c r="V356" s="180"/>
      <c r="W356" s="117"/>
      <c r="X356" s="117"/>
      <c r="Y356" s="117"/>
      <c r="Z356" s="115"/>
      <c r="AA356" s="180"/>
      <c r="AB356" s="117"/>
      <c r="AC356" s="117"/>
      <c r="AD356" s="117"/>
      <c r="AE356" s="115"/>
      <c r="AF356" s="180"/>
      <c r="AG356" s="117"/>
      <c r="AH356" s="117"/>
      <c r="AI356" s="117"/>
      <c r="AJ356" s="115"/>
      <c r="AK356" s="180"/>
      <c r="AL356" s="117"/>
      <c r="AM356" s="117"/>
      <c r="AN356" s="117"/>
      <c r="AO356" s="338"/>
      <c r="AP356" s="338"/>
      <c r="AQ356" s="338"/>
      <c r="AR356" s="338"/>
      <c r="AS356" s="338"/>
      <c r="AT356" s="338"/>
      <c r="AU356" s="338"/>
      <c r="AV356" s="338"/>
      <c r="AW356" s="338"/>
      <c r="AX356" s="338"/>
      <c r="AY356" s="338"/>
      <c r="AZ356" s="338"/>
      <c r="BA356" s="338"/>
      <c r="BB356" s="338"/>
      <c r="BC356" s="338"/>
    </row>
    <row r="357">
      <c r="A357" s="115"/>
      <c r="B357" s="180"/>
      <c r="C357" s="117"/>
      <c r="D357" s="117"/>
      <c r="E357" s="117"/>
      <c r="F357" s="115"/>
      <c r="G357" s="180"/>
      <c r="H357" s="117"/>
      <c r="I357" s="117"/>
      <c r="J357" s="117"/>
      <c r="K357" s="92"/>
      <c r="L357" s="180"/>
      <c r="M357" s="117"/>
      <c r="N357" s="117"/>
      <c r="O357" s="117"/>
      <c r="P357" s="92"/>
      <c r="Q357" s="150"/>
      <c r="R357" s="117"/>
      <c r="S357" s="117"/>
      <c r="T357" s="117"/>
      <c r="U357" s="115"/>
      <c r="V357" s="180"/>
      <c r="W357" s="117"/>
      <c r="X357" s="117"/>
      <c r="Y357" s="117"/>
      <c r="Z357" s="115"/>
      <c r="AA357" s="180"/>
      <c r="AB357" s="117"/>
      <c r="AC357" s="117"/>
      <c r="AD357" s="117"/>
      <c r="AE357" s="115"/>
      <c r="AF357" s="180"/>
      <c r="AG357" s="117"/>
      <c r="AH357" s="117"/>
      <c r="AI357" s="117"/>
      <c r="AJ357" s="115"/>
      <c r="AK357" s="180"/>
      <c r="AL357" s="117"/>
      <c r="AM357" s="117"/>
      <c r="AN357" s="117"/>
      <c r="AO357" s="338"/>
      <c r="AP357" s="338"/>
      <c r="AQ357" s="338"/>
      <c r="AR357" s="338"/>
      <c r="AS357" s="338"/>
      <c r="AT357" s="338"/>
      <c r="AU357" s="338"/>
      <c r="AV357" s="338"/>
      <c r="AW357" s="338"/>
      <c r="AX357" s="338"/>
      <c r="AY357" s="338"/>
      <c r="AZ357" s="338"/>
      <c r="BA357" s="338"/>
      <c r="BB357" s="338"/>
      <c r="BC357" s="338"/>
    </row>
    <row r="358">
      <c r="A358" s="115"/>
      <c r="B358" s="180"/>
      <c r="C358" s="117"/>
      <c r="D358" s="117"/>
      <c r="E358" s="117"/>
      <c r="F358" s="115"/>
      <c r="G358" s="180"/>
      <c r="H358" s="117"/>
      <c r="I358" s="117"/>
      <c r="J358" s="117"/>
      <c r="K358" s="92"/>
      <c r="L358" s="180"/>
      <c r="M358" s="117"/>
      <c r="N358" s="117"/>
      <c r="O358" s="117"/>
      <c r="P358" s="92"/>
      <c r="Q358" s="150"/>
      <c r="R358" s="117"/>
      <c r="S358" s="117"/>
      <c r="T358" s="117"/>
      <c r="U358" s="115"/>
      <c r="V358" s="180"/>
      <c r="W358" s="117"/>
      <c r="X358" s="117"/>
      <c r="Y358" s="117"/>
      <c r="Z358" s="115"/>
      <c r="AA358" s="180"/>
      <c r="AB358" s="117"/>
      <c r="AC358" s="117"/>
      <c r="AD358" s="117"/>
      <c r="AE358" s="115"/>
      <c r="AF358" s="180"/>
      <c r="AG358" s="117"/>
      <c r="AH358" s="117"/>
      <c r="AI358" s="117"/>
      <c r="AJ358" s="115"/>
      <c r="AK358" s="180"/>
      <c r="AL358" s="117"/>
      <c r="AM358" s="117"/>
      <c r="AN358" s="117"/>
      <c r="AO358" s="338"/>
      <c r="AP358" s="338"/>
      <c r="AQ358" s="338"/>
      <c r="AR358" s="338"/>
      <c r="AS358" s="338"/>
      <c r="AT358" s="338"/>
      <c r="AU358" s="338"/>
      <c r="AV358" s="338"/>
      <c r="AW358" s="338"/>
      <c r="AX358" s="338"/>
      <c r="AY358" s="338"/>
      <c r="AZ358" s="338"/>
      <c r="BA358" s="338"/>
      <c r="BB358" s="338"/>
      <c r="BC358" s="338"/>
    </row>
    <row r="359">
      <c r="A359" s="115"/>
      <c r="B359" s="180"/>
      <c r="C359" s="117"/>
      <c r="D359" s="117"/>
      <c r="E359" s="117"/>
      <c r="F359" s="115"/>
      <c r="G359" s="180"/>
      <c r="H359" s="117"/>
      <c r="I359" s="117"/>
      <c r="J359" s="117"/>
      <c r="K359" s="92"/>
      <c r="L359" s="180"/>
      <c r="M359" s="117"/>
      <c r="N359" s="117"/>
      <c r="O359" s="117"/>
      <c r="P359" s="92"/>
      <c r="Q359" s="150"/>
      <c r="R359" s="117"/>
      <c r="S359" s="117"/>
      <c r="T359" s="117"/>
      <c r="U359" s="115"/>
      <c r="V359" s="180"/>
      <c r="W359" s="117"/>
      <c r="X359" s="117"/>
      <c r="Y359" s="117"/>
      <c r="Z359" s="115"/>
      <c r="AA359" s="180"/>
      <c r="AB359" s="117"/>
      <c r="AC359" s="117"/>
      <c r="AD359" s="117"/>
      <c r="AE359" s="115"/>
      <c r="AF359" s="180"/>
      <c r="AG359" s="117"/>
      <c r="AH359" s="117"/>
      <c r="AI359" s="117"/>
      <c r="AJ359" s="115"/>
      <c r="AK359" s="180"/>
      <c r="AL359" s="117"/>
      <c r="AM359" s="117"/>
      <c r="AN359" s="117"/>
      <c r="AO359" s="338"/>
      <c r="AP359" s="338"/>
      <c r="AQ359" s="338"/>
      <c r="AR359" s="338"/>
      <c r="AS359" s="338"/>
      <c r="AT359" s="338"/>
      <c r="AU359" s="338"/>
      <c r="AV359" s="338"/>
      <c r="AW359" s="338"/>
      <c r="AX359" s="338"/>
      <c r="AY359" s="338"/>
      <c r="AZ359" s="338"/>
      <c r="BA359" s="338"/>
      <c r="BB359" s="338"/>
      <c r="BC359" s="338"/>
    </row>
    <row r="360">
      <c r="A360" s="115"/>
      <c r="B360" s="180"/>
      <c r="C360" s="117"/>
      <c r="D360" s="117"/>
      <c r="E360" s="117"/>
      <c r="F360" s="115"/>
      <c r="G360" s="180"/>
      <c r="H360" s="117"/>
      <c r="I360" s="117"/>
      <c r="J360" s="117"/>
      <c r="K360" s="92"/>
      <c r="L360" s="180"/>
      <c r="M360" s="117"/>
      <c r="N360" s="117"/>
      <c r="O360" s="117"/>
      <c r="P360" s="92"/>
      <c r="Q360" s="150"/>
      <c r="R360" s="117"/>
      <c r="S360" s="117"/>
      <c r="T360" s="117"/>
      <c r="U360" s="115"/>
      <c r="V360" s="180"/>
      <c r="W360" s="117"/>
      <c r="X360" s="117"/>
      <c r="Y360" s="117"/>
      <c r="Z360" s="115"/>
      <c r="AA360" s="180"/>
      <c r="AB360" s="117"/>
      <c r="AC360" s="117"/>
      <c r="AD360" s="117"/>
      <c r="AE360" s="115"/>
      <c r="AF360" s="180"/>
      <c r="AG360" s="117"/>
      <c r="AH360" s="117"/>
      <c r="AI360" s="117"/>
      <c r="AJ360" s="115"/>
      <c r="AK360" s="180"/>
      <c r="AL360" s="117"/>
      <c r="AM360" s="117"/>
      <c r="AN360" s="117"/>
      <c r="AO360" s="338"/>
      <c r="AP360" s="338"/>
      <c r="AQ360" s="338"/>
      <c r="AR360" s="338"/>
      <c r="AS360" s="338"/>
      <c r="AT360" s="338"/>
      <c r="AU360" s="338"/>
      <c r="AV360" s="338"/>
      <c r="AW360" s="338"/>
      <c r="AX360" s="338"/>
      <c r="AY360" s="338"/>
      <c r="AZ360" s="338"/>
      <c r="BA360" s="338"/>
      <c r="BB360" s="338"/>
      <c r="BC360" s="338"/>
    </row>
    <row r="361">
      <c r="A361" s="115"/>
      <c r="B361" s="180"/>
      <c r="C361" s="117"/>
      <c r="D361" s="117"/>
      <c r="E361" s="117"/>
      <c r="F361" s="115"/>
      <c r="G361" s="180"/>
      <c r="H361" s="117"/>
      <c r="I361" s="117"/>
      <c r="J361" s="117"/>
      <c r="K361" s="92"/>
      <c r="L361" s="180"/>
      <c r="M361" s="117"/>
      <c r="N361" s="117"/>
      <c r="O361" s="117"/>
      <c r="P361" s="92"/>
      <c r="Q361" s="150"/>
      <c r="R361" s="117"/>
      <c r="S361" s="117"/>
      <c r="T361" s="117"/>
      <c r="U361" s="115"/>
      <c r="V361" s="180"/>
      <c r="W361" s="117"/>
      <c r="X361" s="117"/>
      <c r="Y361" s="117"/>
      <c r="Z361" s="115"/>
      <c r="AA361" s="180"/>
      <c r="AB361" s="117"/>
      <c r="AC361" s="117"/>
      <c r="AD361" s="117"/>
      <c r="AE361" s="115"/>
      <c r="AF361" s="180"/>
      <c r="AG361" s="117"/>
      <c r="AH361" s="117"/>
      <c r="AI361" s="117"/>
      <c r="AJ361" s="115"/>
      <c r="AK361" s="180"/>
      <c r="AL361" s="117"/>
      <c r="AM361" s="117"/>
      <c r="AN361" s="117"/>
      <c r="AO361" s="338"/>
      <c r="AP361" s="338"/>
      <c r="AQ361" s="338"/>
      <c r="AR361" s="338"/>
      <c r="AS361" s="338"/>
      <c r="AT361" s="338"/>
      <c r="AU361" s="338"/>
      <c r="AV361" s="338"/>
      <c r="AW361" s="338"/>
      <c r="AX361" s="338"/>
      <c r="AY361" s="338"/>
      <c r="AZ361" s="338"/>
      <c r="BA361" s="338"/>
      <c r="BB361" s="338"/>
      <c r="BC361" s="338"/>
    </row>
    <row r="362">
      <c r="A362" s="115"/>
      <c r="B362" s="180"/>
      <c r="C362" s="117"/>
      <c r="D362" s="117"/>
      <c r="E362" s="117"/>
      <c r="F362" s="115"/>
      <c r="G362" s="180"/>
      <c r="H362" s="117"/>
      <c r="I362" s="117"/>
      <c r="J362" s="117"/>
      <c r="K362" s="92"/>
      <c r="L362" s="180"/>
      <c r="M362" s="117"/>
      <c r="N362" s="117"/>
      <c r="O362" s="117"/>
      <c r="P362" s="92"/>
      <c r="Q362" s="150"/>
      <c r="R362" s="117"/>
      <c r="S362" s="117"/>
      <c r="T362" s="117"/>
      <c r="U362" s="115"/>
      <c r="V362" s="180"/>
      <c r="W362" s="117"/>
      <c r="X362" s="117"/>
      <c r="Y362" s="117"/>
      <c r="Z362" s="115"/>
      <c r="AA362" s="180"/>
      <c r="AB362" s="117"/>
      <c r="AC362" s="117"/>
      <c r="AD362" s="117"/>
      <c r="AE362" s="115"/>
      <c r="AF362" s="180"/>
      <c r="AG362" s="117"/>
      <c r="AH362" s="117"/>
      <c r="AI362" s="117"/>
      <c r="AJ362" s="115"/>
      <c r="AK362" s="180"/>
      <c r="AL362" s="117"/>
      <c r="AM362" s="117"/>
      <c r="AN362" s="117"/>
      <c r="AO362" s="338"/>
      <c r="AP362" s="338"/>
      <c r="AQ362" s="338"/>
      <c r="AR362" s="338"/>
      <c r="AS362" s="338"/>
      <c r="AT362" s="338"/>
      <c r="AU362" s="338"/>
      <c r="AV362" s="338"/>
      <c r="AW362" s="338"/>
      <c r="AX362" s="338"/>
      <c r="AY362" s="338"/>
      <c r="AZ362" s="338"/>
      <c r="BA362" s="338"/>
      <c r="BB362" s="338"/>
      <c r="BC362" s="338"/>
    </row>
    <row r="363">
      <c r="A363" s="115"/>
      <c r="B363" s="180"/>
      <c r="C363" s="117"/>
      <c r="D363" s="117"/>
      <c r="E363" s="117"/>
      <c r="F363" s="115"/>
      <c r="G363" s="180"/>
      <c r="H363" s="117"/>
      <c r="I363" s="117"/>
      <c r="J363" s="117"/>
      <c r="K363" s="92"/>
      <c r="L363" s="180"/>
      <c r="M363" s="117"/>
      <c r="N363" s="117"/>
      <c r="O363" s="117"/>
      <c r="P363" s="92"/>
      <c r="Q363" s="150"/>
      <c r="R363" s="117"/>
      <c r="S363" s="117"/>
      <c r="T363" s="117"/>
      <c r="U363" s="115"/>
      <c r="V363" s="180"/>
      <c r="W363" s="117"/>
      <c r="X363" s="117"/>
      <c r="Y363" s="117"/>
      <c r="Z363" s="115"/>
      <c r="AA363" s="180"/>
      <c r="AB363" s="117"/>
      <c r="AC363" s="117"/>
      <c r="AD363" s="117"/>
      <c r="AE363" s="115"/>
      <c r="AF363" s="180"/>
      <c r="AG363" s="117"/>
      <c r="AH363" s="117"/>
      <c r="AI363" s="117"/>
      <c r="AJ363" s="115"/>
      <c r="AK363" s="180"/>
      <c r="AL363" s="117"/>
      <c r="AM363" s="117"/>
      <c r="AN363" s="117"/>
      <c r="AO363" s="338"/>
      <c r="AP363" s="338"/>
      <c r="AQ363" s="338"/>
      <c r="AR363" s="338"/>
      <c r="AS363" s="338"/>
      <c r="AT363" s="338"/>
      <c r="AU363" s="338"/>
      <c r="AV363" s="338"/>
      <c r="AW363" s="338"/>
      <c r="AX363" s="338"/>
      <c r="AY363" s="338"/>
      <c r="AZ363" s="338"/>
      <c r="BA363" s="338"/>
      <c r="BB363" s="338"/>
      <c r="BC363" s="338"/>
    </row>
    <row r="364">
      <c r="A364" s="115"/>
      <c r="B364" s="180"/>
      <c r="C364" s="117"/>
      <c r="D364" s="117"/>
      <c r="E364" s="117"/>
      <c r="F364" s="115"/>
      <c r="G364" s="180"/>
      <c r="H364" s="117"/>
      <c r="I364" s="117"/>
      <c r="J364" s="117"/>
      <c r="K364" s="92"/>
      <c r="L364" s="180"/>
      <c r="M364" s="117"/>
      <c r="N364" s="117"/>
      <c r="O364" s="117"/>
      <c r="P364" s="92"/>
      <c r="Q364" s="150"/>
      <c r="R364" s="117"/>
      <c r="S364" s="117"/>
      <c r="T364" s="117"/>
      <c r="U364" s="115"/>
      <c r="V364" s="180"/>
      <c r="W364" s="117"/>
      <c r="X364" s="117"/>
      <c r="Y364" s="117"/>
      <c r="Z364" s="115"/>
      <c r="AA364" s="180"/>
      <c r="AB364" s="117"/>
      <c r="AC364" s="117"/>
      <c r="AD364" s="117"/>
      <c r="AE364" s="115"/>
      <c r="AF364" s="180"/>
      <c r="AG364" s="117"/>
      <c r="AH364" s="117"/>
      <c r="AI364" s="117"/>
      <c r="AJ364" s="115"/>
      <c r="AK364" s="180"/>
      <c r="AL364" s="117"/>
      <c r="AM364" s="117"/>
      <c r="AN364" s="117"/>
      <c r="AO364" s="338"/>
      <c r="AP364" s="338"/>
      <c r="AQ364" s="338"/>
      <c r="AR364" s="338"/>
      <c r="AS364" s="338"/>
      <c r="AT364" s="338"/>
      <c r="AU364" s="338"/>
      <c r="AV364" s="338"/>
      <c r="AW364" s="338"/>
      <c r="AX364" s="338"/>
      <c r="AY364" s="338"/>
      <c r="AZ364" s="338"/>
      <c r="BA364" s="338"/>
      <c r="BB364" s="338"/>
      <c r="BC364" s="338"/>
    </row>
    <row r="365">
      <c r="A365" s="115"/>
      <c r="B365" s="180"/>
      <c r="C365" s="117"/>
      <c r="D365" s="117"/>
      <c r="E365" s="117"/>
      <c r="F365" s="115"/>
      <c r="G365" s="180"/>
      <c r="H365" s="117"/>
      <c r="I365" s="117"/>
      <c r="J365" s="117"/>
      <c r="K365" s="92"/>
      <c r="L365" s="180"/>
      <c r="M365" s="117"/>
      <c r="N365" s="117"/>
      <c r="O365" s="117"/>
      <c r="P365" s="92"/>
      <c r="Q365" s="150"/>
      <c r="R365" s="117"/>
      <c r="S365" s="117"/>
      <c r="T365" s="117"/>
      <c r="U365" s="115"/>
      <c r="V365" s="180"/>
      <c r="W365" s="117"/>
      <c r="X365" s="117"/>
      <c r="Y365" s="117"/>
      <c r="Z365" s="115"/>
      <c r="AA365" s="180"/>
      <c r="AB365" s="117"/>
      <c r="AC365" s="117"/>
      <c r="AD365" s="117"/>
      <c r="AE365" s="115"/>
      <c r="AF365" s="180"/>
      <c r="AG365" s="117"/>
      <c r="AH365" s="117"/>
      <c r="AI365" s="117"/>
      <c r="AJ365" s="115"/>
      <c r="AK365" s="180"/>
      <c r="AL365" s="117"/>
      <c r="AM365" s="117"/>
      <c r="AN365" s="117"/>
      <c r="AO365" s="338"/>
      <c r="AP365" s="338"/>
      <c r="AQ365" s="338"/>
      <c r="AR365" s="338"/>
      <c r="AS365" s="338"/>
      <c r="AT365" s="338"/>
      <c r="AU365" s="338"/>
      <c r="AV365" s="338"/>
      <c r="AW365" s="338"/>
      <c r="AX365" s="338"/>
      <c r="AY365" s="338"/>
      <c r="AZ365" s="338"/>
      <c r="BA365" s="338"/>
      <c r="BB365" s="338"/>
      <c r="BC365" s="338"/>
    </row>
    <row r="366">
      <c r="A366" s="115"/>
      <c r="B366" s="180"/>
      <c r="C366" s="117"/>
      <c r="D366" s="117"/>
      <c r="E366" s="117"/>
      <c r="F366" s="115"/>
      <c r="G366" s="180"/>
      <c r="H366" s="117"/>
      <c r="I366" s="117"/>
      <c r="J366" s="117"/>
      <c r="K366" s="92"/>
      <c r="L366" s="180"/>
      <c r="M366" s="117"/>
      <c r="N366" s="117"/>
      <c r="O366" s="117"/>
      <c r="P366" s="92"/>
      <c r="Q366" s="150"/>
      <c r="R366" s="117"/>
      <c r="S366" s="117"/>
      <c r="T366" s="117"/>
      <c r="U366" s="115"/>
      <c r="V366" s="180"/>
      <c r="W366" s="117"/>
      <c r="X366" s="117"/>
      <c r="Y366" s="117"/>
      <c r="Z366" s="115"/>
      <c r="AA366" s="180"/>
      <c r="AB366" s="117"/>
      <c r="AC366" s="117"/>
      <c r="AD366" s="117"/>
      <c r="AE366" s="115"/>
      <c r="AF366" s="180"/>
      <c r="AG366" s="117"/>
      <c r="AH366" s="117"/>
      <c r="AI366" s="117"/>
      <c r="AJ366" s="115"/>
      <c r="AK366" s="180"/>
      <c r="AL366" s="117"/>
      <c r="AM366" s="117"/>
      <c r="AN366" s="117"/>
      <c r="AO366" s="338"/>
      <c r="AP366" s="338"/>
      <c r="AQ366" s="338"/>
      <c r="AR366" s="338"/>
      <c r="AS366" s="338"/>
      <c r="AT366" s="338"/>
      <c r="AU366" s="338"/>
      <c r="AV366" s="338"/>
      <c r="AW366" s="338"/>
      <c r="AX366" s="338"/>
      <c r="AY366" s="338"/>
      <c r="AZ366" s="338"/>
      <c r="BA366" s="338"/>
      <c r="BB366" s="338"/>
      <c r="BC366" s="338"/>
    </row>
    <row r="367">
      <c r="A367" s="115"/>
      <c r="B367" s="180"/>
      <c r="C367" s="117"/>
      <c r="D367" s="117"/>
      <c r="E367" s="117"/>
      <c r="F367" s="115"/>
      <c r="G367" s="180"/>
      <c r="H367" s="117"/>
      <c r="I367" s="117"/>
      <c r="J367" s="117"/>
      <c r="K367" s="92"/>
      <c r="L367" s="180"/>
      <c r="M367" s="117"/>
      <c r="N367" s="117"/>
      <c r="O367" s="117"/>
      <c r="P367" s="92"/>
      <c r="Q367" s="150"/>
      <c r="R367" s="117"/>
      <c r="S367" s="117"/>
      <c r="T367" s="117"/>
      <c r="U367" s="115"/>
      <c r="V367" s="180"/>
      <c r="W367" s="117"/>
      <c r="X367" s="117"/>
      <c r="Y367" s="117"/>
      <c r="Z367" s="115"/>
      <c r="AA367" s="180"/>
      <c r="AB367" s="117"/>
      <c r="AC367" s="117"/>
      <c r="AD367" s="117"/>
      <c r="AE367" s="115"/>
      <c r="AF367" s="180"/>
      <c r="AG367" s="117"/>
      <c r="AH367" s="117"/>
      <c r="AI367" s="117"/>
      <c r="AJ367" s="115"/>
      <c r="AK367" s="180"/>
      <c r="AL367" s="117"/>
      <c r="AM367" s="117"/>
      <c r="AN367" s="117"/>
      <c r="AO367" s="338"/>
      <c r="AP367" s="338"/>
      <c r="AQ367" s="338"/>
      <c r="AR367" s="338"/>
      <c r="AS367" s="338"/>
      <c r="AT367" s="338"/>
      <c r="AU367" s="338"/>
      <c r="AV367" s="338"/>
      <c r="AW367" s="338"/>
      <c r="AX367" s="338"/>
      <c r="AY367" s="338"/>
      <c r="AZ367" s="338"/>
      <c r="BA367" s="338"/>
      <c r="BB367" s="338"/>
      <c r="BC367" s="338"/>
    </row>
    <row r="368">
      <c r="A368" s="115"/>
      <c r="B368" s="180"/>
      <c r="C368" s="117"/>
      <c r="D368" s="117"/>
      <c r="E368" s="117"/>
      <c r="F368" s="115"/>
      <c r="G368" s="180"/>
      <c r="H368" s="117"/>
      <c r="I368" s="117"/>
      <c r="J368" s="117"/>
      <c r="K368" s="92"/>
      <c r="L368" s="180"/>
      <c r="M368" s="117"/>
      <c r="N368" s="117"/>
      <c r="O368" s="117"/>
      <c r="P368" s="92"/>
      <c r="Q368" s="150"/>
      <c r="R368" s="117"/>
      <c r="S368" s="117"/>
      <c r="T368" s="117"/>
      <c r="U368" s="115"/>
      <c r="V368" s="180"/>
      <c r="W368" s="117"/>
      <c r="X368" s="117"/>
      <c r="Y368" s="117"/>
      <c r="Z368" s="115"/>
      <c r="AA368" s="180"/>
      <c r="AB368" s="117"/>
      <c r="AC368" s="117"/>
      <c r="AD368" s="117"/>
      <c r="AE368" s="115"/>
      <c r="AF368" s="180"/>
      <c r="AG368" s="117"/>
      <c r="AH368" s="117"/>
      <c r="AI368" s="117"/>
      <c r="AJ368" s="115"/>
      <c r="AK368" s="180"/>
      <c r="AL368" s="117"/>
      <c r="AM368" s="117"/>
      <c r="AN368" s="117"/>
      <c r="AO368" s="338"/>
      <c r="AP368" s="338"/>
      <c r="AQ368" s="338"/>
      <c r="AR368" s="338"/>
      <c r="AS368" s="338"/>
      <c r="AT368" s="338"/>
      <c r="AU368" s="338"/>
      <c r="AV368" s="338"/>
      <c r="AW368" s="338"/>
      <c r="AX368" s="338"/>
      <c r="AY368" s="338"/>
      <c r="AZ368" s="338"/>
      <c r="BA368" s="338"/>
      <c r="BB368" s="338"/>
      <c r="BC368" s="338"/>
    </row>
    <row r="369">
      <c r="A369" s="115"/>
      <c r="B369" s="180"/>
      <c r="C369" s="117"/>
      <c r="D369" s="117"/>
      <c r="E369" s="117"/>
      <c r="F369" s="115"/>
      <c r="G369" s="180"/>
      <c r="H369" s="117"/>
      <c r="I369" s="117"/>
      <c r="J369" s="117"/>
      <c r="K369" s="92"/>
      <c r="L369" s="180"/>
      <c r="M369" s="117"/>
      <c r="N369" s="117"/>
      <c r="O369" s="117"/>
      <c r="P369" s="92"/>
      <c r="Q369" s="150"/>
      <c r="R369" s="117"/>
      <c r="S369" s="117"/>
      <c r="T369" s="117"/>
      <c r="U369" s="115"/>
      <c r="V369" s="180"/>
      <c r="W369" s="117"/>
      <c r="X369" s="117"/>
      <c r="Y369" s="117"/>
      <c r="Z369" s="115"/>
      <c r="AA369" s="180"/>
      <c r="AB369" s="117"/>
      <c r="AC369" s="117"/>
      <c r="AD369" s="117"/>
      <c r="AE369" s="115"/>
      <c r="AF369" s="180"/>
      <c r="AG369" s="117"/>
      <c r="AH369" s="117"/>
      <c r="AI369" s="117"/>
      <c r="AJ369" s="115"/>
      <c r="AK369" s="180"/>
      <c r="AL369" s="117"/>
      <c r="AM369" s="117"/>
      <c r="AN369" s="117"/>
      <c r="AO369" s="338"/>
      <c r="AP369" s="338"/>
      <c r="AQ369" s="338"/>
      <c r="AR369" s="338"/>
      <c r="AS369" s="338"/>
      <c r="AT369" s="338"/>
      <c r="AU369" s="338"/>
      <c r="AV369" s="338"/>
      <c r="AW369" s="338"/>
      <c r="AX369" s="338"/>
      <c r="AY369" s="338"/>
      <c r="AZ369" s="338"/>
      <c r="BA369" s="338"/>
      <c r="BB369" s="338"/>
      <c r="BC369" s="338"/>
    </row>
    <row r="370">
      <c r="A370" s="115"/>
      <c r="B370" s="180"/>
      <c r="C370" s="117"/>
      <c r="D370" s="117"/>
      <c r="E370" s="117"/>
      <c r="F370" s="115"/>
      <c r="G370" s="180"/>
      <c r="H370" s="117"/>
      <c r="I370" s="117"/>
      <c r="J370" s="117"/>
      <c r="K370" s="92"/>
      <c r="L370" s="180"/>
      <c r="M370" s="117"/>
      <c r="N370" s="117"/>
      <c r="O370" s="117"/>
      <c r="P370" s="92"/>
      <c r="Q370" s="150"/>
      <c r="R370" s="117"/>
      <c r="S370" s="117"/>
      <c r="T370" s="117"/>
      <c r="U370" s="115"/>
      <c r="V370" s="180"/>
      <c r="W370" s="117"/>
      <c r="X370" s="117"/>
      <c r="Y370" s="117"/>
      <c r="Z370" s="115"/>
      <c r="AA370" s="180"/>
      <c r="AB370" s="117"/>
      <c r="AC370" s="117"/>
      <c r="AD370" s="117"/>
      <c r="AE370" s="115"/>
      <c r="AF370" s="180"/>
      <c r="AG370" s="117"/>
      <c r="AH370" s="117"/>
      <c r="AI370" s="117"/>
      <c r="AJ370" s="115"/>
      <c r="AK370" s="180"/>
      <c r="AL370" s="117"/>
      <c r="AM370" s="117"/>
      <c r="AN370" s="117"/>
      <c r="AO370" s="338"/>
      <c r="AP370" s="338"/>
      <c r="AQ370" s="338"/>
      <c r="AR370" s="338"/>
      <c r="AS370" s="338"/>
      <c r="AT370" s="338"/>
      <c r="AU370" s="338"/>
      <c r="AV370" s="338"/>
      <c r="AW370" s="338"/>
      <c r="AX370" s="338"/>
      <c r="AY370" s="338"/>
      <c r="AZ370" s="338"/>
      <c r="BA370" s="338"/>
      <c r="BB370" s="338"/>
      <c r="BC370" s="338"/>
    </row>
    <row r="371">
      <c r="A371" s="115"/>
      <c r="B371" s="180"/>
      <c r="C371" s="117"/>
      <c r="D371" s="117"/>
      <c r="E371" s="117"/>
      <c r="F371" s="115"/>
      <c r="G371" s="180"/>
      <c r="H371" s="117"/>
      <c r="I371" s="117"/>
      <c r="J371" s="117"/>
      <c r="K371" s="92"/>
      <c r="L371" s="180"/>
      <c r="M371" s="117"/>
      <c r="N371" s="117"/>
      <c r="O371" s="117"/>
      <c r="P371" s="92"/>
      <c r="Q371" s="150"/>
      <c r="R371" s="117"/>
      <c r="S371" s="117"/>
      <c r="T371" s="117"/>
      <c r="U371" s="115"/>
      <c r="V371" s="180"/>
      <c r="W371" s="117"/>
      <c r="X371" s="117"/>
      <c r="Y371" s="117"/>
      <c r="Z371" s="115"/>
      <c r="AA371" s="180"/>
      <c r="AB371" s="117"/>
      <c r="AC371" s="117"/>
      <c r="AD371" s="117"/>
      <c r="AE371" s="115"/>
      <c r="AF371" s="180"/>
      <c r="AG371" s="117"/>
      <c r="AH371" s="117"/>
      <c r="AI371" s="117"/>
      <c r="AJ371" s="115"/>
      <c r="AK371" s="180"/>
      <c r="AL371" s="117"/>
      <c r="AM371" s="117"/>
      <c r="AN371" s="117"/>
      <c r="AO371" s="338"/>
      <c r="AP371" s="338"/>
      <c r="AQ371" s="338"/>
      <c r="AR371" s="338"/>
      <c r="AS371" s="338"/>
      <c r="AT371" s="338"/>
      <c r="AU371" s="338"/>
      <c r="AV371" s="338"/>
      <c r="AW371" s="338"/>
      <c r="AX371" s="338"/>
      <c r="AY371" s="338"/>
      <c r="AZ371" s="338"/>
      <c r="BA371" s="338"/>
      <c r="BB371" s="338"/>
      <c r="BC371" s="338"/>
    </row>
    <row r="372">
      <c r="A372" s="115"/>
      <c r="B372" s="180"/>
      <c r="C372" s="117"/>
      <c r="D372" s="117"/>
      <c r="E372" s="117"/>
      <c r="F372" s="115"/>
      <c r="G372" s="180"/>
      <c r="H372" s="117"/>
      <c r="I372" s="117"/>
      <c r="J372" s="117"/>
      <c r="K372" s="92"/>
      <c r="L372" s="180"/>
      <c r="M372" s="117"/>
      <c r="N372" s="117"/>
      <c r="O372" s="117"/>
      <c r="P372" s="92"/>
      <c r="Q372" s="150"/>
      <c r="R372" s="117"/>
      <c r="S372" s="117"/>
      <c r="T372" s="117"/>
      <c r="U372" s="115"/>
      <c r="V372" s="180"/>
      <c r="W372" s="117"/>
      <c r="X372" s="117"/>
      <c r="Y372" s="117"/>
      <c r="Z372" s="115"/>
      <c r="AA372" s="180"/>
      <c r="AB372" s="117"/>
      <c r="AC372" s="117"/>
      <c r="AD372" s="117"/>
      <c r="AE372" s="115"/>
      <c r="AF372" s="180"/>
      <c r="AG372" s="117"/>
      <c r="AH372" s="117"/>
      <c r="AI372" s="117"/>
      <c r="AJ372" s="115"/>
      <c r="AK372" s="180"/>
      <c r="AL372" s="117"/>
      <c r="AM372" s="117"/>
      <c r="AN372" s="117"/>
      <c r="AO372" s="338"/>
      <c r="AP372" s="338"/>
      <c r="AQ372" s="338"/>
      <c r="AR372" s="338"/>
      <c r="AS372" s="338"/>
      <c r="AT372" s="338"/>
      <c r="AU372" s="338"/>
      <c r="AV372" s="338"/>
      <c r="AW372" s="338"/>
      <c r="AX372" s="338"/>
      <c r="AY372" s="338"/>
      <c r="AZ372" s="338"/>
      <c r="BA372" s="338"/>
      <c r="BB372" s="338"/>
      <c r="BC372" s="338"/>
    </row>
    <row r="373">
      <c r="A373" s="115"/>
      <c r="B373" s="180"/>
      <c r="C373" s="117"/>
      <c r="D373" s="117"/>
      <c r="E373" s="117"/>
      <c r="F373" s="115"/>
      <c r="G373" s="180"/>
      <c r="H373" s="117"/>
      <c r="I373" s="117"/>
      <c r="J373" s="117"/>
      <c r="K373" s="92"/>
      <c r="L373" s="180"/>
      <c r="M373" s="117"/>
      <c r="N373" s="117"/>
      <c r="O373" s="117"/>
      <c r="P373" s="92"/>
      <c r="Q373" s="150"/>
      <c r="R373" s="117"/>
      <c r="S373" s="117"/>
      <c r="T373" s="117"/>
      <c r="U373" s="115"/>
      <c r="V373" s="180"/>
      <c r="W373" s="117"/>
      <c r="X373" s="117"/>
      <c r="Y373" s="117"/>
      <c r="Z373" s="115"/>
      <c r="AA373" s="180"/>
      <c r="AB373" s="117"/>
      <c r="AC373" s="117"/>
      <c r="AD373" s="117"/>
      <c r="AE373" s="115"/>
      <c r="AF373" s="180"/>
      <c r="AG373" s="117"/>
      <c r="AH373" s="117"/>
      <c r="AI373" s="117"/>
      <c r="AJ373" s="115"/>
      <c r="AK373" s="180"/>
      <c r="AL373" s="117"/>
      <c r="AM373" s="117"/>
      <c r="AN373" s="117"/>
      <c r="AO373" s="338"/>
      <c r="AP373" s="338"/>
      <c r="AQ373" s="338"/>
      <c r="AR373" s="338"/>
      <c r="AS373" s="338"/>
      <c r="AT373" s="338"/>
      <c r="AU373" s="338"/>
      <c r="AV373" s="338"/>
      <c r="AW373" s="338"/>
      <c r="AX373" s="338"/>
      <c r="AY373" s="338"/>
      <c r="AZ373" s="338"/>
      <c r="BA373" s="338"/>
      <c r="BB373" s="338"/>
      <c r="BC373" s="338"/>
    </row>
    <row r="374">
      <c r="A374" s="115"/>
      <c r="B374" s="180"/>
      <c r="C374" s="117"/>
      <c r="D374" s="117"/>
      <c r="E374" s="117"/>
      <c r="F374" s="115"/>
      <c r="G374" s="180"/>
      <c r="H374" s="117"/>
      <c r="I374" s="117"/>
      <c r="J374" s="117"/>
      <c r="K374" s="92"/>
      <c r="L374" s="180"/>
      <c r="M374" s="117"/>
      <c r="N374" s="117"/>
      <c r="O374" s="117"/>
      <c r="P374" s="92"/>
      <c r="Q374" s="150"/>
      <c r="R374" s="117"/>
      <c r="S374" s="117"/>
      <c r="T374" s="117"/>
      <c r="U374" s="115"/>
      <c r="V374" s="180"/>
      <c r="W374" s="117"/>
      <c r="X374" s="117"/>
      <c r="Y374" s="117"/>
      <c r="Z374" s="115"/>
      <c r="AA374" s="180"/>
      <c r="AB374" s="117"/>
      <c r="AC374" s="117"/>
      <c r="AD374" s="117"/>
      <c r="AE374" s="115"/>
      <c r="AF374" s="180"/>
      <c r="AG374" s="117"/>
      <c r="AH374" s="117"/>
      <c r="AI374" s="117"/>
      <c r="AJ374" s="115"/>
      <c r="AK374" s="180"/>
      <c r="AL374" s="117"/>
      <c r="AM374" s="117"/>
      <c r="AN374" s="117"/>
      <c r="AO374" s="338"/>
      <c r="AP374" s="338"/>
      <c r="AQ374" s="338"/>
      <c r="AR374" s="338"/>
      <c r="AS374" s="338"/>
      <c r="AT374" s="338"/>
      <c r="AU374" s="338"/>
      <c r="AV374" s="338"/>
      <c r="AW374" s="338"/>
      <c r="AX374" s="338"/>
      <c r="AY374" s="338"/>
      <c r="AZ374" s="338"/>
      <c r="BA374" s="338"/>
      <c r="BB374" s="338"/>
      <c r="BC374" s="338"/>
    </row>
    <row r="375">
      <c r="A375" s="115"/>
      <c r="B375" s="180"/>
      <c r="C375" s="117"/>
      <c r="D375" s="117"/>
      <c r="E375" s="117"/>
      <c r="F375" s="115"/>
      <c r="G375" s="180"/>
      <c r="H375" s="117"/>
      <c r="I375" s="117"/>
      <c r="J375" s="117"/>
      <c r="K375" s="92"/>
      <c r="L375" s="180"/>
      <c r="M375" s="117"/>
      <c r="N375" s="117"/>
      <c r="O375" s="117"/>
      <c r="P375" s="92"/>
      <c r="Q375" s="150"/>
      <c r="R375" s="117"/>
      <c r="S375" s="117"/>
      <c r="T375" s="117"/>
      <c r="U375" s="115"/>
      <c r="V375" s="180"/>
      <c r="W375" s="117"/>
      <c r="X375" s="117"/>
      <c r="Y375" s="117"/>
      <c r="Z375" s="115"/>
      <c r="AA375" s="180"/>
      <c r="AB375" s="117"/>
      <c r="AC375" s="117"/>
      <c r="AD375" s="117"/>
      <c r="AE375" s="115"/>
      <c r="AF375" s="180"/>
      <c r="AG375" s="117"/>
      <c r="AH375" s="117"/>
      <c r="AI375" s="117"/>
      <c r="AJ375" s="115"/>
      <c r="AK375" s="180"/>
      <c r="AL375" s="117"/>
      <c r="AM375" s="117"/>
      <c r="AN375" s="117"/>
      <c r="AO375" s="338"/>
      <c r="AP375" s="338"/>
      <c r="AQ375" s="338"/>
      <c r="AR375" s="338"/>
      <c r="AS375" s="338"/>
      <c r="AT375" s="338"/>
      <c r="AU375" s="338"/>
      <c r="AV375" s="338"/>
      <c r="AW375" s="338"/>
      <c r="AX375" s="338"/>
      <c r="AY375" s="338"/>
      <c r="AZ375" s="338"/>
      <c r="BA375" s="338"/>
      <c r="BB375" s="338"/>
      <c r="BC375" s="338"/>
    </row>
    <row r="376">
      <c r="A376" s="115"/>
      <c r="B376" s="180"/>
      <c r="C376" s="117"/>
      <c r="D376" s="117"/>
      <c r="E376" s="117"/>
      <c r="F376" s="115"/>
      <c r="G376" s="180"/>
      <c r="H376" s="117"/>
      <c r="I376" s="117"/>
      <c r="J376" s="117"/>
      <c r="K376" s="92"/>
      <c r="L376" s="180"/>
      <c r="M376" s="117"/>
      <c r="N376" s="117"/>
      <c r="O376" s="117"/>
      <c r="P376" s="92"/>
      <c r="Q376" s="150"/>
      <c r="R376" s="117"/>
      <c r="S376" s="117"/>
      <c r="T376" s="117"/>
      <c r="U376" s="115"/>
      <c r="V376" s="180"/>
      <c r="W376" s="117"/>
      <c r="X376" s="117"/>
      <c r="Y376" s="117"/>
      <c r="Z376" s="115"/>
      <c r="AA376" s="180"/>
      <c r="AB376" s="117"/>
      <c r="AC376" s="117"/>
      <c r="AD376" s="117"/>
      <c r="AE376" s="115"/>
      <c r="AF376" s="180"/>
      <c r="AG376" s="117"/>
      <c r="AH376" s="117"/>
      <c r="AI376" s="117"/>
      <c r="AJ376" s="115"/>
      <c r="AK376" s="180"/>
      <c r="AL376" s="117"/>
      <c r="AM376" s="117"/>
      <c r="AN376" s="117"/>
      <c r="AO376" s="338"/>
      <c r="AP376" s="338"/>
      <c r="AQ376" s="338"/>
      <c r="AR376" s="338"/>
      <c r="AS376" s="338"/>
      <c r="AT376" s="338"/>
      <c r="AU376" s="338"/>
      <c r="AV376" s="338"/>
      <c r="AW376" s="338"/>
      <c r="AX376" s="338"/>
      <c r="AY376" s="338"/>
      <c r="AZ376" s="338"/>
      <c r="BA376" s="338"/>
      <c r="BB376" s="338"/>
      <c r="BC376" s="338"/>
    </row>
    <row r="377">
      <c r="A377" s="115"/>
      <c r="B377" s="180"/>
      <c r="C377" s="117"/>
      <c r="D377" s="117"/>
      <c r="E377" s="117"/>
      <c r="F377" s="115"/>
      <c r="G377" s="180"/>
      <c r="H377" s="117"/>
      <c r="I377" s="117"/>
      <c r="J377" s="117"/>
      <c r="K377" s="92"/>
      <c r="L377" s="180"/>
      <c r="M377" s="117"/>
      <c r="N377" s="117"/>
      <c r="O377" s="117"/>
      <c r="P377" s="92"/>
      <c r="Q377" s="150"/>
      <c r="R377" s="117"/>
      <c r="S377" s="117"/>
      <c r="T377" s="117"/>
      <c r="U377" s="115"/>
      <c r="V377" s="180"/>
      <c r="W377" s="117"/>
      <c r="X377" s="117"/>
      <c r="Y377" s="117"/>
      <c r="Z377" s="115"/>
      <c r="AA377" s="180"/>
      <c r="AB377" s="117"/>
      <c r="AC377" s="117"/>
      <c r="AD377" s="117"/>
      <c r="AE377" s="115"/>
      <c r="AF377" s="180"/>
      <c r="AG377" s="117"/>
      <c r="AH377" s="117"/>
      <c r="AI377" s="117"/>
      <c r="AJ377" s="115"/>
      <c r="AK377" s="180"/>
      <c r="AL377" s="117"/>
      <c r="AM377" s="117"/>
      <c r="AN377" s="117"/>
      <c r="AO377" s="338"/>
      <c r="AP377" s="338"/>
      <c r="AQ377" s="338"/>
      <c r="AR377" s="338"/>
      <c r="AS377" s="338"/>
      <c r="AT377" s="338"/>
      <c r="AU377" s="338"/>
      <c r="AV377" s="338"/>
      <c r="AW377" s="338"/>
      <c r="AX377" s="338"/>
      <c r="AY377" s="338"/>
      <c r="AZ377" s="338"/>
      <c r="BA377" s="338"/>
      <c r="BB377" s="338"/>
      <c r="BC377" s="338"/>
    </row>
    <row r="378">
      <c r="A378" s="115"/>
      <c r="B378" s="180"/>
      <c r="C378" s="117"/>
      <c r="D378" s="117"/>
      <c r="E378" s="117"/>
      <c r="F378" s="115"/>
      <c r="G378" s="180"/>
      <c r="H378" s="117"/>
      <c r="I378" s="117"/>
      <c r="J378" s="117"/>
      <c r="K378" s="92"/>
      <c r="L378" s="180"/>
      <c r="M378" s="117"/>
      <c r="N378" s="117"/>
      <c r="O378" s="117"/>
      <c r="P378" s="92"/>
      <c r="Q378" s="150"/>
      <c r="R378" s="117"/>
      <c r="S378" s="117"/>
      <c r="T378" s="117"/>
      <c r="U378" s="115"/>
      <c r="V378" s="180"/>
      <c r="W378" s="117"/>
      <c r="X378" s="117"/>
      <c r="Y378" s="117"/>
      <c r="Z378" s="115"/>
      <c r="AA378" s="180"/>
      <c r="AB378" s="117"/>
      <c r="AC378" s="117"/>
      <c r="AD378" s="117"/>
      <c r="AE378" s="115"/>
      <c r="AF378" s="180"/>
      <c r="AG378" s="117"/>
      <c r="AH378" s="117"/>
      <c r="AI378" s="117"/>
      <c r="AJ378" s="115"/>
      <c r="AK378" s="180"/>
      <c r="AL378" s="117"/>
      <c r="AM378" s="117"/>
      <c r="AN378" s="117"/>
      <c r="AO378" s="338"/>
      <c r="AP378" s="338"/>
      <c r="AQ378" s="338"/>
      <c r="AR378" s="338"/>
      <c r="AS378" s="338"/>
      <c r="AT378" s="338"/>
      <c r="AU378" s="338"/>
      <c r="AV378" s="338"/>
      <c r="AW378" s="338"/>
      <c r="AX378" s="338"/>
      <c r="AY378" s="338"/>
      <c r="AZ378" s="338"/>
      <c r="BA378" s="338"/>
      <c r="BB378" s="338"/>
      <c r="BC378" s="338"/>
    </row>
    <row r="379">
      <c r="A379" s="115"/>
      <c r="B379" s="180"/>
      <c r="C379" s="117"/>
      <c r="D379" s="117"/>
      <c r="E379" s="117"/>
      <c r="F379" s="115"/>
      <c r="G379" s="180"/>
      <c r="H379" s="117"/>
      <c r="I379" s="117"/>
      <c r="J379" s="117"/>
      <c r="K379" s="92"/>
      <c r="L379" s="180"/>
      <c r="M379" s="117"/>
      <c r="N379" s="117"/>
      <c r="O379" s="117"/>
      <c r="P379" s="92"/>
      <c r="Q379" s="150"/>
      <c r="R379" s="117"/>
      <c r="S379" s="117"/>
      <c r="T379" s="117"/>
      <c r="U379" s="115"/>
      <c r="V379" s="180"/>
      <c r="W379" s="117"/>
      <c r="X379" s="117"/>
      <c r="Y379" s="117"/>
      <c r="Z379" s="115"/>
      <c r="AA379" s="180"/>
      <c r="AB379" s="117"/>
      <c r="AC379" s="117"/>
      <c r="AD379" s="117"/>
      <c r="AE379" s="115"/>
      <c r="AF379" s="180"/>
      <c r="AG379" s="117"/>
      <c r="AH379" s="117"/>
      <c r="AI379" s="117"/>
      <c r="AJ379" s="115"/>
      <c r="AK379" s="180"/>
      <c r="AL379" s="117"/>
      <c r="AM379" s="117"/>
      <c r="AN379" s="117"/>
      <c r="AO379" s="338"/>
      <c r="AP379" s="338"/>
      <c r="AQ379" s="338"/>
      <c r="AR379" s="338"/>
      <c r="AS379" s="338"/>
      <c r="AT379" s="338"/>
      <c r="AU379" s="338"/>
      <c r="AV379" s="338"/>
      <c r="AW379" s="338"/>
      <c r="AX379" s="338"/>
      <c r="AY379" s="338"/>
      <c r="AZ379" s="338"/>
      <c r="BA379" s="338"/>
      <c r="BB379" s="338"/>
      <c r="BC379" s="338"/>
    </row>
    <row r="380">
      <c r="A380" s="115"/>
      <c r="B380" s="180"/>
      <c r="C380" s="117"/>
      <c r="D380" s="117"/>
      <c r="E380" s="117"/>
      <c r="F380" s="115"/>
      <c r="G380" s="180"/>
      <c r="H380" s="117"/>
      <c r="I380" s="117"/>
      <c r="J380" s="117"/>
      <c r="K380" s="92"/>
      <c r="L380" s="180"/>
      <c r="M380" s="117"/>
      <c r="N380" s="117"/>
      <c r="O380" s="117"/>
      <c r="P380" s="92"/>
      <c r="Q380" s="150"/>
      <c r="R380" s="117"/>
      <c r="S380" s="117"/>
      <c r="T380" s="117"/>
      <c r="U380" s="115"/>
      <c r="V380" s="180"/>
      <c r="W380" s="117"/>
      <c r="X380" s="117"/>
      <c r="Y380" s="117"/>
      <c r="Z380" s="115"/>
      <c r="AA380" s="180"/>
      <c r="AB380" s="117"/>
      <c r="AC380" s="117"/>
      <c r="AD380" s="117"/>
      <c r="AE380" s="115"/>
      <c r="AF380" s="180"/>
      <c r="AG380" s="117"/>
      <c r="AH380" s="117"/>
      <c r="AI380" s="117"/>
      <c r="AJ380" s="115"/>
      <c r="AK380" s="180"/>
      <c r="AL380" s="117"/>
      <c r="AM380" s="117"/>
      <c r="AN380" s="117"/>
      <c r="AO380" s="338"/>
      <c r="AP380" s="338"/>
      <c r="AQ380" s="338"/>
      <c r="AR380" s="338"/>
      <c r="AS380" s="338"/>
      <c r="AT380" s="338"/>
      <c r="AU380" s="338"/>
      <c r="AV380" s="338"/>
      <c r="AW380" s="338"/>
      <c r="AX380" s="338"/>
      <c r="AY380" s="338"/>
      <c r="AZ380" s="338"/>
      <c r="BA380" s="338"/>
      <c r="BB380" s="338"/>
      <c r="BC380" s="338"/>
    </row>
    <row r="381">
      <c r="A381" s="115"/>
      <c r="B381" s="180"/>
      <c r="C381" s="117"/>
      <c r="D381" s="117"/>
      <c r="E381" s="117"/>
      <c r="F381" s="115"/>
      <c r="G381" s="180"/>
      <c r="H381" s="117"/>
      <c r="I381" s="117"/>
      <c r="J381" s="117"/>
      <c r="K381" s="92"/>
      <c r="L381" s="180"/>
      <c r="M381" s="117"/>
      <c r="N381" s="117"/>
      <c r="O381" s="117"/>
      <c r="P381" s="92"/>
      <c r="Q381" s="150"/>
      <c r="R381" s="117"/>
      <c r="S381" s="117"/>
      <c r="T381" s="117"/>
      <c r="U381" s="115"/>
      <c r="V381" s="180"/>
      <c r="W381" s="117"/>
      <c r="X381" s="117"/>
      <c r="Y381" s="117"/>
      <c r="Z381" s="115"/>
      <c r="AA381" s="180"/>
      <c r="AB381" s="117"/>
      <c r="AC381" s="117"/>
      <c r="AD381" s="117"/>
      <c r="AE381" s="115"/>
      <c r="AF381" s="180"/>
      <c r="AG381" s="117"/>
      <c r="AH381" s="117"/>
      <c r="AI381" s="117"/>
      <c r="AJ381" s="115"/>
      <c r="AK381" s="180"/>
      <c r="AL381" s="117"/>
      <c r="AM381" s="117"/>
      <c r="AN381" s="117"/>
      <c r="AO381" s="338"/>
      <c r="AP381" s="338"/>
      <c r="AQ381" s="338"/>
      <c r="AR381" s="338"/>
      <c r="AS381" s="338"/>
      <c r="AT381" s="338"/>
      <c r="AU381" s="338"/>
      <c r="AV381" s="338"/>
      <c r="AW381" s="338"/>
      <c r="AX381" s="338"/>
      <c r="AY381" s="338"/>
      <c r="AZ381" s="338"/>
      <c r="BA381" s="338"/>
      <c r="BB381" s="338"/>
      <c r="BC381" s="338"/>
    </row>
    <row r="382">
      <c r="A382" s="115"/>
      <c r="B382" s="180"/>
      <c r="C382" s="117"/>
      <c r="D382" s="117"/>
      <c r="E382" s="117"/>
      <c r="F382" s="115"/>
      <c r="G382" s="180"/>
      <c r="H382" s="117"/>
      <c r="I382" s="117"/>
      <c r="J382" s="117"/>
      <c r="K382" s="92"/>
      <c r="L382" s="180"/>
      <c r="M382" s="117"/>
      <c r="N382" s="117"/>
      <c r="O382" s="117"/>
      <c r="P382" s="92"/>
      <c r="Q382" s="150"/>
      <c r="R382" s="117"/>
      <c r="S382" s="117"/>
      <c r="T382" s="117"/>
      <c r="U382" s="115"/>
      <c r="V382" s="180"/>
      <c r="W382" s="117"/>
      <c r="X382" s="117"/>
      <c r="Y382" s="117"/>
      <c r="Z382" s="115"/>
      <c r="AA382" s="180"/>
      <c r="AB382" s="117"/>
      <c r="AC382" s="117"/>
      <c r="AD382" s="117"/>
      <c r="AE382" s="115"/>
      <c r="AF382" s="180"/>
      <c r="AG382" s="117"/>
      <c r="AH382" s="117"/>
      <c r="AI382" s="117"/>
      <c r="AJ382" s="115"/>
      <c r="AK382" s="180"/>
      <c r="AL382" s="117"/>
      <c r="AM382" s="117"/>
      <c r="AN382" s="117"/>
      <c r="AO382" s="338"/>
      <c r="AP382" s="338"/>
      <c r="AQ382" s="338"/>
      <c r="AR382" s="338"/>
      <c r="AS382" s="338"/>
      <c r="AT382" s="338"/>
      <c r="AU382" s="338"/>
      <c r="AV382" s="338"/>
      <c r="AW382" s="338"/>
      <c r="AX382" s="338"/>
      <c r="AY382" s="338"/>
      <c r="AZ382" s="338"/>
      <c r="BA382" s="338"/>
      <c r="BB382" s="338"/>
      <c r="BC382" s="338"/>
    </row>
    <row r="383">
      <c r="A383" s="115"/>
      <c r="B383" s="180"/>
      <c r="C383" s="117"/>
      <c r="D383" s="117"/>
      <c r="E383" s="117"/>
      <c r="F383" s="115"/>
      <c r="G383" s="180"/>
      <c r="H383" s="117"/>
      <c r="I383" s="117"/>
      <c r="J383" s="117"/>
      <c r="K383" s="92"/>
      <c r="L383" s="180"/>
      <c r="M383" s="117"/>
      <c r="N383" s="117"/>
      <c r="O383" s="117"/>
      <c r="P383" s="92"/>
      <c r="Q383" s="150"/>
      <c r="R383" s="117"/>
      <c r="S383" s="117"/>
      <c r="T383" s="117"/>
      <c r="U383" s="115"/>
      <c r="V383" s="180"/>
      <c r="W383" s="117"/>
      <c r="X383" s="117"/>
      <c r="Y383" s="117"/>
      <c r="Z383" s="115"/>
      <c r="AA383" s="180"/>
      <c r="AB383" s="117"/>
      <c r="AC383" s="117"/>
      <c r="AD383" s="117"/>
      <c r="AE383" s="115"/>
      <c r="AF383" s="180"/>
      <c r="AG383" s="117"/>
      <c r="AH383" s="117"/>
      <c r="AI383" s="117"/>
      <c r="AJ383" s="115"/>
      <c r="AK383" s="180"/>
      <c r="AL383" s="117"/>
      <c r="AM383" s="117"/>
      <c r="AN383" s="117"/>
      <c r="AO383" s="338"/>
      <c r="AP383" s="338"/>
      <c r="AQ383" s="338"/>
      <c r="AR383" s="338"/>
      <c r="AS383" s="338"/>
      <c r="AT383" s="338"/>
      <c r="AU383" s="338"/>
      <c r="AV383" s="338"/>
      <c r="AW383" s="338"/>
      <c r="AX383" s="338"/>
      <c r="AY383" s="338"/>
      <c r="AZ383" s="338"/>
      <c r="BA383" s="338"/>
      <c r="BB383" s="338"/>
      <c r="BC383" s="338"/>
    </row>
    <row r="384">
      <c r="A384" s="115"/>
      <c r="B384" s="180"/>
      <c r="C384" s="117"/>
      <c r="D384" s="117"/>
      <c r="E384" s="117"/>
      <c r="F384" s="115"/>
      <c r="G384" s="180"/>
      <c r="H384" s="117"/>
      <c r="I384" s="117"/>
      <c r="J384" s="117"/>
      <c r="K384" s="92"/>
      <c r="L384" s="180"/>
      <c r="M384" s="117"/>
      <c r="N384" s="117"/>
      <c r="O384" s="117"/>
      <c r="P384" s="92"/>
      <c r="Q384" s="150"/>
      <c r="R384" s="117"/>
      <c r="S384" s="117"/>
      <c r="T384" s="117"/>
      <c r="U384" s="115"/>
      <c r="V384" s="180"/>
      <c r="W384" s="117"/>
      <c r="X384" s="117"/>
      <c r="Y384" s="117"/>
      <c r="Z384" s="115"/>
      <c r="AA384" s="180"/>
      <c r="AB384" s="117"/>
      <c r="AC384" s="117"/>
      <c r="AD384" s="117"/>
      <c r="AE384" s="115"/>
      <c r="AF384" s="180"/>
      <c r="AG384" s="117"/>
      <c r="AH384" s="117"/>
      <c r="AI384" s="117"/>
      <c r="AJ384" s="115"/>
      <c r="AK384" s="180"/>
      <c r="AL384" s="117"/>
      <c r="AM384" s="117"/>
      <c r="AN384" s="117"/>
      <c r="AO384" s="338"/>
      <c r="AP384" s="338"/>
      <c r="AQ384" s="338"/>
      <c r="AR384" s="338"/>
      <c r="AS384" s="338"/>
      <c r="AT384" s="338"/>
      <c r="AU384" s="338"/>
      <c r="AV384" s="338"/>
      <c r="AW384" s="338"/>
      <c r="AX384" s="338"/>
      <c r="AY384" s="338"/>
      <c r="AZ384" s="338"/>
      <c r="BA384" s="338"/>
      <c r="BB384" s="338"/>
      <c r="BC384" s="338"/>
    </row>
    <row r="385">
      <c r="A385" s="115"/>
      <c r="B385" s="180"/>
      <c r="C385" s="117"/>
      <c r="D385" s="117"/>
      <c r="E385" s="117"/>
      <c r="F385" s="115"/>
      <c r="G385" s="180"/>
      <c r="H385" s="117"/>
      <c r="I385" s="117"/>
      <c r="J385" s="117"/>
      <c r="K385" s="92"/>
      <c r="L385" s="180"/>
      <c r="M385" s="117"/>
      <c r="N385" s="117"/>
      <c r="O385" s="117"/>
      <c r="P385" s="92"/>
      <c r="Q385" s="150"/>
      <c r="R385" s="117"/>
      <c r="S385" s="117"/>
      <c r="T385" s="117"/>
      <c r="U385" s="115"/>
      <c r="V385" s="180"/>
      <c r="W385" s="117"/>
      <c r="X385" s="117"/>
      <c r="Y385" s="117"/>
      <c r="Z385" s="115"/>
      <c r="AA385" s="180"/>
      <c r="AB385" s="117"/>
      <c r="AC385" s="117"/>
      <c r="AD385" s="117"/>
      <c r="AE385" s="115"/>
      <c r="AF385" s="180"/>
      <c r="AG385" s="117"/>
      <c r="AH385" s="117"/>
      <c r="AI385" s="117"/>
      <c r="AJ385" s="115"/>
      <c r="AK385" s="180"/>
      <c r="AL385" s="117"/>
      <c r="AM385" s="117"/>
      <c r="AN385" s="117"/>
      <c r="AO385" s="338"/>
      <c r="AP385" s="338"/>
      <c r="AQ385" s="338"/>
      <c r="AR385" s="338"/>
      <c r="AS385" s="338"/>
      <c r="AT385" s="338"/>
      <c r="AU385" s="338"/>
      <c r="AV385" s="338"/>
      <c r="AW385" s="338"/>
      <c r="AX385" s="338"/>
      <c r="AY385" s="338"/>
      <c r="AZ385" s="338"/>
      <c r="BA385" s="338"/>
      <c r="BB385" s="338"/>
      <c r="BC385" s="338"/>
    </row>
    <row r="386">
      <c r="A386" s="115"/>
      <c r="B386" s="180"/>
      <c r="C386" s="117"/>
      <c r="D386" s="117"/>
      <c r="E386" s="117"/>
      <c r="F386" s="115"/>
      <c r="G386" s="180"/>
      <c r="H386" s="117"/>
      <c r="I386" s="117"/>
      <c r="J386" s="117"/>
      <c r="K386" s="92"/>
      <c r="L386" s="180"/>
      <c r="M386" s="117"/>
      <c r="N386" s="117"/>
      <c r="O386" s="117"/>
      <c r="P386" s="92"/>
      <c r="Q386" s="150"/>
      <c r="R386" s="117"/>
      <c r="S386" s="117"/>
      <c r="T386" s="117"/>
      <c r="U386" s="115"/>
      <c r="V386" s="180"/>
      <c r="W386" s="117"/>
      <c r="X386" s="117"/>
      <c r="Y386" s="117"/>
      <c r="Z386" s="115"/>
      <c r="AA386" s="180"/>
      <c r="AB386" s="117"/>
      <c r="AC386" s="117"/>
      <c r="AD386" s="117"/>
      <c r="AE386" s="115"/>
      <c r="AF386" s="180"/>
      <c r="AG386" s="117"/>
      <c r="AH386" s="117"/>
      <c r="AI386" s="117"/>
      <c r="AJ386" s="115"/>
      <c r="AK386" s="180"/>
      <c r="AL386" s="117"/>
      <c r="AM386" s="117"/>
      <c r="AN386" s="117"/>
      <c r="AO386" s="338"/>
      <c r="AP386" s="338"/>
      <c r="AQ386" s="338"/>
      <c r="AR386" s="338"/>
      <c r="AS386" s="338"/>
      <c r="AT386" s="338"/>
      <c r="AU386" s="338"/>
      <c r="AV386" s="338"/>
      <c r="AW386" s="338"/>
      <c r="AX386" s="338"/>
      <c r="AY386" s="338"/>
      <c r="AZ386" s="338"/>
      <c r="BA386" s="338"/>
      <c r="BB386" s="338"/>
      <c r="BC386" s="338"/>
    </row>
    <row r="387">
      <c r="A387" s="115"/>
      <c r="B387" s="180"/>
      <c r="C387" s="117"/>
      <c r="D387" s="117"/>
      <c r="E387" s="117"/>
      <c r="F387" s="115"/>
      <c r="G387" s="180"/>
      <c r="H387" s="117"/>
      <c r="I387" s="117"/>
      <c r="J387" s="117"/>
      <c r="K387" s="92"/>
      <c r="L387" s="180"/>
      <c r="M387" s="117"/>
      <c r="N387" s="117"/>
      <c r="O387" s="117"/>
      <c r="P387" s="92"/>
      <c r="Q387" s="150"/>
      <c r="R387" s="117"/>
      <c r="S387" s="117"/>
      <c r="T387" s="117"/>
      <c r="U387" s="115"/>
      <c r="V387" s="180"/>
      <c r="W387" s="117"/>
      <c r="X387" s="117"/>
      <c r="Y387" s="117"/>
      <c r="Z387" s="115"/>
      <c r="AA387" s="180"/>
      <c r="AB387" s="117"/>
      <c r="AC387" s="117"/>
      <c r="AD387" s="117"/>
      <c r="AE387" s="115"/>
      <c r="AF387" s="180"/>
      <c r="AG387" s="117"/>
      <c r="AH387" s="117"/>
      <c r="AI387" s="117"/>
      <c r="AJ387" s="115"/>
      <c r="AK387" s="180"/>
      <c r="AL387" s="117"/>
      <c r="AM387" s="117"/>
      <c r="AN387" s="117"/>
      <c r="AO387" s="338"/>
      <c r="AP387" s="338"/>
      <c r="AQ387" s="338"/>
      <c r="AR387" s="338"/>
      <c r="AS387" s="338"/>
      <c r="AT387" s="338"/>
      <c r="AU387" s="338"/>
      <c r="AV387" s="338"/>
      <c r="AW387" s="338"/>
      <c r="AX387" s="338"/>
      <c r="AY387" s="338"/>
      <c r="AZ387" s="338"/>
      <c r="BA387" s="338"/>
      <c r="BB387" s="338"/>
      <c r="BC387" s="338"/>
    </row>
    <row r="388">
      <c r="A388" s="115"/>
      <c r="B388" s="180"/>
      <c r="C388" s="117"/>
      <c r="D388" s="117"/>
      <c r="E388" s="117"/>
      <c r="F388" s="115"/>
      <c r="G388" s="180"/>
      <c r="H388" s="117"/>
      <c r="I388" s="117"/>
      <c r="J388" s="117"/>
      <c r="K388" s="92"/>
      <c r="L388" s="180"/>
      <c r="M388" s="117"/>
      <c r="N388" s="117"/>
      <c r="O388" s="117"/>
      <c r="P388" s="92"/>
      <c r="Q388" s="150"/>
      <c r="R388" s="117"/>
      <c r="S388" s="117"/>
      <c r="T388" s="117"/>
      <c r="U388" s="115"/>
      <c r="V388" s="180"/>
      <c r="W388" s="117"/>
      <c r="X388" s="117"/>
      <c r="Y388" s="117"/>
      <c r="Z388" s="115"/>
      <c r="AA388" s="180"/>
      <c r="AB388" s="117"/>
      <c r="AC388" s="117"/>
      <c r="AD388" s="117"/>
      <c r="AE388" s="115"/>
      <c r="AF388" s="180"/>
      <c r="AG388" s="117"/>
      <c r="AH388" s="117"/>
      <c r="AI388" s="117"/>
      <c r="AJ388" s="115"/>
      <c r="AK388" s="180"/>
      <c r="AL388" s="117"/>
      <c r="AM388" s="117"/>
      <c r="AN388" s="117"/>
      <c r="AO388" s="338"/>
      <c r="AP388" s="338"/>
      <c r="AQ388" s="338"/>
      <c r="AR388" s="338"/>
      <c r="AS388" s="338"/>
      <c r="AT388" s="338"/>
      <c r="AU388" s="338"/>
      <c r="AV388" s="338"/>
      <c r="AW388" s="338"/>
      <c r="AX388" s="338"/>
      <c r="AY388" s="338"/>
      <c r="AZ388" s="338"/>
      <c r="BA388" s="338"/>
      <c r="BB388" s="338"/>
      <c r="BC388" s="338"/>
    </row>
    <row r="389">
      <c r="A389" s="115"/>
      <c r="B389" s="180"/>
      <c r="C389" s="117"/>
      <c r="D389" s="117"/>
      <c r="E389" s="117"/>
      <c r="F389" s="115"/>
      <c r="G389" s="180"/>
      <c r="H389" s="117"/>
      <c r="I389" s="117"/>
      <c r="J389" s="117"/>
      <c r="K389" s="92"/>
      <c r="L389" s="180"/>
      <c r="M389" s="117"/>
      <c r="N389" s="117"/>
      <c r="O389" s="117"/>
      <c r="P389" s="92"/>
      <c r="Q389" s="150"/>
      <c r="R389" s="117"/>
      <c r="S389" s="117"/>
      <c r="T389" s="117"/>
      <c r="U389" s="115"/>
      <c r="V389" s="180"/>
      <c r="W389" s="117"/>
      <c r="X389" s="117"/>
      <c r="Y389" s="117"/>
      <c r="Z389" s="115"/>
      <c r="AA389" s="180"/>
      <c r="AB389" s="117"/>
      <c r="AC389" s="117"/>
      <c r="AD389" s="117"/>
      <c r="AE389" s="115"/>
      <c r="AF389" s="180"/>
      <c r="AG389" s="117"/>
      <c r="AH389" s="117"/>
      <c r="AI389" s="117"/>
      <c r="AJ389" s="115"/>
      <c r="AK389" s="180"/>
      <c r="AL389" s="117"/>
      <c r="AM389" s="117"/>
      <c r="AN389" s="117"/>
      <c r="AO389" s="338"/>
      <c r="AP389" s="338"/>
      <c r="AQ389" s="338"/>
      <c r="AR389" s="338"/>
      <c r="AS389" s="338"/>
      <c r="AT389" s="338"/>
      <c r="AU389" s="338"/>
      <c r="AV389" s="338"/>
      <c r="AW389" s="338"/>
      <c r="AX389" s="338"/>
      <c r="AY389" s="338"/>
      <c r="AZ389" s="338"/>
      <c r="BA389" s="338"/>
      <c r="BB389" s="338"/>
      <c r="BC389" s="338"/>
    </row>
    <row r="390">
      <c r="A390" s="115"/>
      <c r="B390" s="180"/>
      <c r="C390" s="117"/>
      <c r="D390" s="117"/>
      <c r="E390" s="117"/>
      <c r="F390" s="115"/>
      <c r="G390" s="180"/>
      <c r="H390" s="117"/>
      <c r="I390" s="117"/>
      <c r="J390" s="117"/>
      <c r="K390" s="92"/>
      <c r="L390" s="180"/>
      <c r="M390" s="117"/>
      <c r="N390" s="117"/>
      <c r="O390" s="117"/>
      <c r="P390" s="92"/>
      <c r="Q390" s="150"/>
      <c r="R390" s="117"/>
      <c r="S390" s="117"/>
      <c r="T390" s="117"/>
      <c r="U390" s="115"/>
      <c r="V390" s="180"/>
      <c r="W390" s="117"/>
      <c r="X390" s="117"/>
      <c r="Y390" s="117"/>
      <c r="Z390" s="115"/>
      <c r="AA390" s="180"/>
      <c r="AB390" s="117"/>
      <c r="AC390" s="117"/>
      <c r="AD390" s="117"/>
      <c r="AE390" s="115"/>
      <c r="AF390" s="180"/>
      <c r="AG390" s="117"/>
      <c r="AH390" s="117"/>
      <c r="AI390" s="117"/>
      <c r="AJ390" s="115"/>
      <c r="AK390" s="180"/>
      <c r="AL390" s="117"/>
      <c r="AM390" s="117"/>
      <c r="AN390" s="117"/>
      <c r="AO390" s="338"/>
      <c r="AP390" s="338"/>
      <c r="AQ390" s="338"/>
      <c r="AR390" s="338"/>
      <c r="AS390" s="338"/>
      <c r="AT390" s="338"/>
      <c r="AU390" s="338"/>
      <c r="AV390" s="338"/>
      <c r="AW390" s="338"/>
      <c r="AX390" s="338"/>
      <c r="AY390" s="338"/>
      <c r="AZ390" s="338"/>
      <c r="BA390" s="338"/>
      <c r="BB390" s="338"/>
      <c r="BC390" s="338"/>
    </row>
    <row r="391">
      <c r="A391" s="115"/>
      <c r="B391" s="180"/>
      <c r="C391" s="117"/>
      <c r="D391" s="117"/>
      <c r="E391" s="117"/>
      <c r="F391" s="115"/>
      <c r="G391" s="180"/>
      <c r="H391" s="117"/>
      <c r="I391" s="117"/>
      <c r="J391" s="117"/>
      <c r="K391" s="92"/>
      <c r="L391" s="180"/>
      <c r="M391" s="117"/>
      <c r="N391" s="117"/>
      <c r="O391" s="117"/>
      <c r="P391" s="92"/>
      <c r="Q391" s="150"/>
      <c r="R391" s="117"/>
      <c r="S391" s="117"/>
      <c r="T391" s="117"/>
      <c r="U391" s="115"/>
      <c r="V391" s="180"/>
      <c r="W391" s="117"/>
      <c r="X391" s="117"/>
      <c r="Y391" s="117"/>
      <c r="Z391" s="115"/>
      <c r="AA391" s="180"/>
      <c r="AB391" s="117"/>
      <c r="AC391" s="117"/>
      <c r="AD391" s="117"/>
      <c r="AE391" s="115"/>
      <c r="AF391" s="180"/>
      <c r="AG391" s="117"/>
      <c r="AH391" s="117"/>
      <c r="AI391" s="117"/>
      <c r="AJ391" s="115"/>
      <c r="AK391" s="180"/>
      <c r="AL391" s="117"/>
      <c r="AM391" s="117"/>
      <c r="AN391" s="117"/>
      <c r="AO391" s="338"/>
      <c r="AP391" s="338"/>
      <c r="AQ391" s="338"/>
      <c r="AR391" s="338"/>
      <c r="AS391" s="338"/>
      <c r="AT391" s="338"/>
      <c r="AU391" s="338"/>
      <c r="AV391" s="338"/>
      <c r="AW391" s="338"/>
      <c r="AX391" s="338"/>
      <c r="AY391" s="338"/>
      <c r="AZ391" s="338"/>
      <c r="BA391" s="338"/>
      <c r="BB391" s="338"/>
      <c r="BC391" s="338"/>
    </row>
    <row r="392">
      <c r="A392" s="115"/>
      <c r="B392" s="180"/>
      <c r="C392" s="117"/>
      <c r="D392" s="117"/>
      <c r="E392" s="117"/>
      <c r="F392" s="115"/>
      <c r="G392" s="180"/>
      <c r="H392" s="117"/>
      <c r="I392" s="117"/>
      <c r="J392" s="117"/>
      <c r="K392" s="92"/>
      <c r="L392" s="180"/>
      <c r="M392" s="117"/>
      <c r="N392" s="117"/>
      <c r="O392" s="117"/>
      <c r="P392" s="92"/>
      <c r="Q392" s="150"/>
      <c r="R392" s="117"/>
      <c r="S392" s="117"/>
      <c r="T392" s="117"/>
      <c r="U392" s="115"/>
      <c r="V392" s="180"/>
      <c r="W392" s="117"/>
      <c r="X392" s="117"/>
      <c r="Y392" s="117"/>
      <c r="Z392" s="115"/>
      <c r="AA392" s="180"/>
      <c r="AB392" s="117"/>
      <c r="AC392" s="117"/>
      <c r="AD392" s="117"/>
      <c r="AE392" s="115"/>
      <c r="AF392" s="180"/>
      <c r="AG392" s="117"/>
      <c r="AH392" s="117"/>
      <c r="AI392" s="117"/>
      <c r="AJ392" s="115"/>
      <c r="AK392" s="180"/>
      <c r="AL392" s="117"/>
      <c r="AM392" s="117"/>
      <c r="AN392" s="117"/>
      <c r="AO392" s="338"/>
      <c r="AP392" s="338"/>
      <c r="AQ392" s="338"/>
      <c r="AR392" s="338"/>
      <c r="AS392" s="338"/>
      <c r="AT392" s="338"/>
      <c r="AU392" s="338"/>
      <c r="AV392" s="338"/>
      <c r="AW392" s="338"/>
      <c r="AX392" s="338"/>
      <c r="AY392" s="338"/>
      <c r="AZ392" s="338"/>
      <c r="BA392" s="338"/>
      <c r="BB392" s="338"/>
      <c r="BC392" s="338"/>
    </row>
    <row r="393">
      <c r="A393" s="115"/>
      <c r="B393" s="180"/>
      <c r="C393" s="117"/>
      <c r="D393" s="117"/>
      <c r="E393" s="117"/>
      <c r="F393" s="115"/>
      <c r="G393" s="180"/>
      <c r="H393" s="117"/>
      <c r="I393" s="117"/>
      <c r="J393" s="117"/>
      <c r="K393" s="92"/>
      <c r="L393" s="180"/>
      <c r="M393" s="117"/>
      <c r="N393" s="117"/>
      <c r="O393" s="117"/>
      <c r="P393" s="92"/>
      <c r="Q393" s="150"/>
      <c r="R393" s="117"/>
      <c r="S393" s="117"/>
      <c r="T393" s="117"/>
      <c r="U393" s="115"/>
      <c r="V393" s="180"/>
      <c r="W393" s="117"/>
      <c r="X393" s="117"/>
      <c r="Y393" s="117"/>
      <c r="Z393" s="115"/>
      <c r="AA393" s="180"/>
      <c r="AB393" s="117"/>
      <c r="AC393" s="117"/>
      <c r="AD393" s="117"/>
      <c r="AE393" s="115"/>
      <c r="AF393" s="180"/>
      <c r="AG393" s="117"/>
      <c r="AH393" s="117"/>
      <c r="AI393" s="117"/>
      <c r="AJ393" s="115"/>
      <c r="AK393" s="180"/>
      <c r="AL393" s="117"/>
      <c r="AM393" s="117"/>
      <c r="AN393" s="117"/>
      <c r="AO393" s="338"/>
      <c r="AP393" s="338"/>
      <c r="AQ393" s="338"/>
      <c r="AR393" s="338"/>
      <c r="AS393" s="338"/>
      <c r="AT393" s="338"/>
      <c r="AU393" s="338"/>
      <c r="AV393" s="338"/>
      <c r="AW393" s="338"/>
      <c r="AX393" s="338"/>
      <c r="AY393" s="338"/>
      <c r="AZ393" s="338"/>
      <c r="BA393" s="338"/>
      <c r="BB393" s="338"/>
      <c r="BC393" s="338"/>
    </row>
    <row r="394">
      <c r="A394" s="115"/>
      <c r="B394" s="180"/>
      <c r="C394" s="117"/>
      <c r="D394" s="117"/>
      <c r="E394" s="117"/>
      <c r="F394" s="115"/>
      <c r="G394" s="180"/>
      <c r="H394" s="117"/>
      <c r="I394" s="117"/>
      <c r="J394" s="117"/>
      <c r="K394" s="92"/>
      <c r="L394" s="180"/>
      <c r="M394" s="117"/>
      <c r="N394" s="117"/>
      <c r="O394" s="117"/>
      <c r="P394" s="92"/>
      <c r="Q394" s="150"/>
      <c r="R394" s="117"/>
      <c r="S394" s="117"/>
      <c r="T394" s="117"/>
      <c r="U394" s="115"/>
      <c r="V394" s="180"/>
      <c r="W394" s="117"/>
      <c r="X394" s="117"/>
      <c r="Y394" s="117"/>
      <c r="Z394" s="115"/>
      <c r="AA394" s="180"/>
      <c r="AB394" s="117"/>
      <c r="AC394" s="117"/>
      <c r="AD394" s="117"/>
      <c r="AE394" s="115"/>
      <c r="AF394" s="180"/>
      <c r="AG394" s="117"/>
      <c r="AH394" s="117"/>
      <c r="AI394" s="117"/>
      <c r="AJ394" s="115"/>
      <c r="AK394" s="180"/>
      <c r="AL394" s="117"/>
      <c r="AM394" s="117"/>
      <c r="AN394" s="117"/>
      <c r="AO394" s="338"/>
      <c r="AP394" s="338"/>
      <c r="AQ394" s="338"/>
      <c r="AR394" s="338"/>
      <c r="AS394" s="338"/>
      <c r="AT394" s="338"/>
      <c r="AU394" s="338"/>
      <c r="AV394" s="338"/>
      <c r="AW394" s="338"/>
      <c r="AX394" s="338"/>
      <c r="AY394" s="338"/>
      <c r="AZ394" s="338"/>
      <c r="BA394" s="338"/>
      <c r="BB394" s="338"/>
      <c r="BC394" s="338"/>
    </row>
    <row r="395">
      <c r="A395" s="115"/>
      <c r="B395" s="180"/>
      <c r="C395" s="117"/>
      <c r="D395" s="117"/>
      <c r="E395" s="117"/>
      <c r="F395" s="115"/>
      <c r="G395" s="180"/>
      <c r="H395" s="117"/>
      <c r="I395" s="117"/>
      <c r="J395" s="117"/>
      <c r="K395" s="92"/>
      <c r="L395" s="180"/>
      <c r="M395" s="117"/>
      <c r="N395" s="117"/>
      <c r="O395" s="117"/>
      <c r="P395" s="92"/>
      <c r="Q395" s="150"/>
      <c r="R395" s="117"/>
      <c r="S395" s="117"/>
      <c r="T395" s="117"/>
      <c r="U395" s="115"/>
      <c r="V395" s="180"/>
      <c r="W395" s="117"/>
      <c r="X395" s="117"/>
      <c r="Y395" s="117"/>
      <c r="Z395" s="115"/>
      <c r="AA395" s="180"/>
      <c r="AB395" s="117"/>
      <c r="AC395" s="117"/>
      <c r="AD395" s="117"/>
      <c r="AE395" s="115"/>
      <c r="AF395" s="180"/>
      <c r="AG395" s="117"/>
      <c r="AH395" s="117"/>
      <c r="AI395" s="117"/>
      <c r="AJ395" s="115"/>
      <c r="AK395" s="180"/>
      <c r="AL395" s="117"/>
      <c r="AM395" s="117"/>
      <c r="AN395" s="117"/>
      <c r="AO395" s="338"/>
      <c r="AP395" s="338"/>
      <c r="AQ395" s="338"/>
      <c r="AR395" s="338"/>
      <c r="AS395" s="338"/>
      <c r="AT395" s="338"/>
      <c r="AU395" s="338"/>
      <c r="AV395" s="338"/>
      <c r="AW395" s="338"/>
      <c r="AX395" s="338"/>
      <c r="AY395" s="338"/>
      <c r="AZ395" s="338"/>
      <c r="BA395" s="338"/>
      <c r="BB395" s="338"/>
      <c r="BC395" s="338"/>
    </row>
    <row r="396">
      <c r="A396" s="115"/>
      <c r="B396" s="180"/>
      <c r="C396" s="117"/>
      <c r="D396" s="117"/>
      <c r="E396" s="117"/>
      <c r="F396" s="115"/>
      <c r="G396" s="180"/>
      <c r="H396" s="117"/>
      <c r="I396" s="117"/>
      <c r="J396" s="117"/>
      <c r="K396" s="92"/>
      <c r="L396" s="180"/>
      <c r="M396" s="117"/>
      <c r="N396" s="117"/>
      <c r="O396" s="117"/>
      <c r="P396" s="92"/>
      <c r="Q396" s="150"/>
      <c r="R396" s="117"/>
      <c r="S396" s="117"/>
      <c r="T396" s="117"/>
      <c r="U396" s="115"/>
      <c r="V396" s="180"/>
      <c r="W396" s="117"/>
      <c r="X396" s="117"/>
      <c r="Y396" s="117"/>
      <c r="Z396" s="115"/>
      <c r="AA396" s="180"/>
      <c r="AB396" s="117"/>
      <c r="AC396" s="117"/>
      <c r="AD396" s="117"/>
      <c r="AE396" s="115"/>
      <c r="AF396" s="180"/>
      <c r="AG396" s="117"/>
      <c r="AH396" s="117"/>
      <c r="AI396" s="117"/>
      <c r="AJ396" s="115"/>
      <c r="AK396" s="180"/>
      <c r="AL396" s="117"/>
      <c r="AM396" s="117"/>
      <c r="AN396" s="117"/>
      <c r="AO396" s="338"/>
      <c r="AP396" s="338"/>
      <c r="AQ396" s="338"/>
      <c r="AR396" s="338"/>
      <c r="AS396" s="338"/>
      <c r="AT396" s="338"/>
      <c r="AU396" s="338"/>
      <c r="AV396" s="338"/>
      <c r="AW396" s="338"/>
      <c r="AX396" s="338"/>
      <c r="AY396" s="338"/>
      <c r="AZ396" s="338"/>
      <c r="BA396" s="338"/>
      <c r="BB396" s="338"/>
      <c r="BC396" s="338"/>
    </row>
    <row r="397">
      <c r="A397" s="115"/>
      <c r="B397" s="180"/>
      <c r="C397" s="117"/>
      <c r="D397" s="117"/>
      <c r="E397" s="117"/>
      <c r="F397" s="115"/>
      <c r="G397" s="180"/>
      <c r="H397" s="117"/>
      <c r="I397" s="117"/>
      <c r="J397" s="117"/>
      <c r="K397" s="92"/>
      <c r="L397" s="180"/>
      <c r="M397" s="117"/>
      <c r="N397" s="117"/>
      <c r="O397" s="117"/>
      <c r="P397" s="92"/>
      <c r="Q397" s="150"/>
      <c r="R397" s="117"/>
      <c r="S397" s="117"/>
      <c r="T397" s="117"/>
      <c r="U397" s="115"/>
      <c r="V397" s="180"/>
      <c r="W397" s="117"/>
      <c r="X397" s="117"/>
      <c r="Y397" s="117"/>
      <c r="Z397" s="115"/>
      <c r="AA397" s="180"/>
      <c r="AB397" s="117"/>
      <c r="AC397" s="117"/>
      <c r="AD397" s="117"/>
      <c r="AE397" s="115"/>
      <c r="AF397" s="180"/>
      <c r="AG397" s="117"/>
      <c r="AH397" s="117"/>
      <c r="AI397" s="117"/>
      <c r="AJ397" s="115"/>
      <c r="AK397" s="180"/>
      <c r="AL397" s="117"/>
      <c r="AM397" s="117"/>
      <c r="AN397" s="117"/>
      <c r="AO397" s="338"/>
      <c r="AP397" s="338"/>
      <c r="AQ397" s="338"/>
      <c r="AR397" s="338"/>
      <c r="AS397" s="338"/>
      <c r="AT397" s="338"/>
      <c r="AU397" s="338"/>
      <c r="AV397" s="338"/>
      <c r="AW397" s="338"/>
      <c r="AX397" s="338"/>
      <c r="AY397" s="338"/>
      <c r="AZ397" s="338"/>
      <c r="BA397" s="338"/>
      <c r="BB397" s="338"/>
      <c r="BC397" s="338"/>
    </row>
    <row r="398">
      <c r="A398" s="115"/>
      <c r="B398" s="180"/>
      <c r="C398" s="117"/>
      <c r="D398" s="117"/>
      <c r="E398" s="117"/>
      <c r="F398" s="115"/>
      <c r="G398" s="180"/>
      <c r="H398" s="117"/>
      <c r="I398" s="117"/>
      <c r="J398" s="117"/>
      <c r="K398" s="92"/>
      <c r="L398" s="180"/>
      <c r="M398" s="117"/>
      <c r="N398" s="117"/>
      <c r="O398" s="117"/>
      <c r="P398" s="92"/>
      <c r="Q398" s="150"/>
      <c r="R398" s="117"/>
      <c r="S398" s="117"/>
      <c r="T398" s="117"/>
      <c r="U398" s="115"/>
      <c r="V398" s="180"/>
      <c r="W398" s="117"/>
      <c r="X398" s="117"/>
      <c r="Y398" s="117"/>
      <c r="Z398" s="115"/>
      <c r="AA398" s="180"/>
      <c r="AB398" s="117"/>
      <c r="AC398" s="117"/>
      <c r="AD398" s="117"/>
      <c r="AE398" s="115"/>
      <c r="AF398" s="180"/>
      <c r="AG398" s="117"/>
      <c r="AH398" s="117"/>
      <c r="AI398" s="117"/>
      <c r="AJ398" s="115"/>
      <c r="AK398" s="180"/>
      <c r="AL398" s="117"/>
      <c r="AM398" s="117"/>
      <c r="AN398" s="117"/>
      <c r="AO398" s="338"/>
      <c r="AP398" s="338"/>
      <c r="AQ398" s="338"/>
      <c r="AR398" s="338"/>
      <c r="AS398" s="338"/>
      <c r="AT398" s="338"/>
      <c r="AU398" s="338"/>
      <c r="AV398" s="338"/>
      <c r="AW398" s="338"/>
      <c r="AX398" s="338"/>
      <c r="AY398" s="338"/>
      <c r="AZ398" s="338"/>
      <c r="BA398" s="338"/>
      <c r="BB398" s="338"/>
      <c r="BC398" s="338"/>
    </row>
    <row r="399">
      <c r="A399" s="115"/>
      <c r="B399" s="180"/>
      <c r="C399" s="117"/>
      <c r="D399" s="117"/>
      <c r="E399" s="117"/>
      <c r="F399" s="115"/>
      <c r="G399" s="180"/>
      <c r="H399" s="117"/>
      <c r="I399" s="117"/>
      <c r="J399" s="117"/>
      <c r="K399" s="92"/>
      <c r="L399" s="180"/>
      <c r="M399" s="117"/>
      <c r="N399" s="117"/>
      <c r="O399" s="117"/>
      <c r="P399" s="92"/>
      <c r="Q399" s="150"/>
      <c r="R399" s="117"/>
      <c r="S399" s="117"/>
      <c r="T399" s="117"/>
      <c r="U399" s="115"/>
      <c r="V399" s="180"/>
      <c r="W399" s="117"/>
      <c r="X399" s="117"/>
      <c r="Y399" s="117"/>
      <c r="Z399" s="115"/>
      <c r="AA399" s="180"/>
      <c r="AB399" s="117"/>
      <c r="AC399" s="117"/>
      <c r="AD399" s="117"/>
      <c r="AE399" s="115"/>
      <c r="AF399" s="180"/>
      <c r="AG399" s="117"/>
      <c r="AH399" s="117"/>
      <c r="AI399" s="117"/>
      <c r="AJ399" s="115"/>
      <c r="AK399" s="180"/>
      <c r="AL399" s="117"/>
      <c r="AM399" s="117"/>
      <c r="AN399" s="117"/>
      <c r="AO399" s="338"/>
      <c r="AP399" s="338"/>
      <c r="AQ399" s="338"/>
      <c r="AR399" s="338"/>
      <c r="AS399" s="338"/>
      <c r="AT399" s="338"/>
      <c r="AU399" s="338"/>
      <c r="AV399" s="338"/>
      <c r="AW399" s="338"/>
      <c r="AX399" s="338"/>
      <c r="AY399" s="338"/>
      <c r="AZ399" s="338"/>
      <c r="BA399" s="338"/>
      <c r="BB399" s="338"/>
      <c r="BC399" s="338"/>
    </row>
    <row r="400">
      <c r="A400" s="115"/>
      <c r="B400" s="180"/>
      <c r="C400" s="117"/>
      <c r="D400" s="117"/>
      <c r="E400" s="117"/>
      <c r="F400" s="115"/>
      <c r="G400" s="180"/>
      <c r="H400" s="117"/>
      <c r="I400" s="117"/>
      <c r="J400" s="117"/>
      <c r="K400" s="92"/>
      <c r="L400" s="180"/>
      <c r="M400" s="117"/>
      <c r="N400" s="117"/>
      <c r="O400" s="117"/>
      <c r="P400" s="92"/>
      <c r="Q400" s="150"/>
      <c r="R400" s="117"/>
      <c r="S400" s="117"/>
      <c r="T400" s="117"/>
      <c r="U400" s="115"/>
      <c r="V400" s="180"/>
      <c r="W400" s="117"/>
      <c r="X400" s="117"/>
      <c r="Y400" s="117"/>
      <c r="Z400" s="115"/>
      <c r="AA400" s="180"/>
      <c r="AB400" s="117"/>
      <c r="AC400" s="117"/>
      <c r="AD400" s="117"/>
      <c r="AE400" s="115"/>
      <c r="AF400" s="180"/>
      <c r="AG400" s="117"/>
      <c r="AH400" s="117"/>
      <c r="AI400" s="117"/>
      <c r="AJ400" s="115"/>
      <c r="AK400" s="180"/>
      <c r="AL400" s="117"/>
      <c r="AM400" s="117"/>
      <c r="AN400" s="117"/>
      <c r="AO400" s="338"/>
      <c r="AP400" s="338"/>
      <c r="AQ400" s="338"/>
      <c r="AR400" s="338"/>
      <c r="AS400" s="338"/>
      <c r="AT400" s="338"/>
      <c r="AU400" s="338"/>
      <c r="AV400" s="338"/>
      <c r="AW400" s="338"/>
      <c r="AX400" s="338"/>
      <c r="AY400" s="338"/>
      <c r="AZ400" s="338"/>
      <c r="BA400" s="338"/>
      <c r="BB400" s="338"/>
      <c r="BC400" s="338"/>
    </row>
    <row r="401">
      <c r="A401" s="115"/>
      <c r="B401" s="180"/>
      <c r="C401" s="117"/>
      <c r="D401" s="117"/>
      <c r="E401" s="117"/>
      <c r="F401" s="115"/>
      <c r="G401" s="180"/>
      <c r="H401" s="117"/>
      <c r="I401" s="117"/>
      <c r="J401" s="117"/>
      <c r="K401" s="92"/>
      <c r="L401" s="180"/>
      <c r="M401" s="117"/>
      <c r="N401" s="117"/>
      <c r="O401" s="117"/>
      <c r="P401" s="92"/>
      <c r="Q401" s="150"/>
      <c r="R401" s="117"/>
      <c r="S401" s="117"/>
      <c r="T401" s="117"/>
      <c r="U401" s="115"/>
      <c r="V401" s="180"/>
      <c r="W401" s="117"/>
      <c r="X401" s="117"/>
      <c r="Y401" s="117"/>
      <c r="Z401" s="115"/>
      <c r="AA401" s="180"/>
      <c r="AB401" s="117"/>
      <c r="AC401" s="117"/>
      <c r="AD401" s="117"/>
      <c r="AE401" s="115"/>
      <c r="AF401" s="180"/>
      <c r="AG401" s="117"/>
      <c r="AH401" s="117"/>
      <c r="AI401" s="117"/>
      <c r="AJ401" s="115"/>
      <c r="AK401" s="180"/>
      <c r="AL401" s="117"/>
      <c r="AM401" s="117"/>
      <c r="AN401" s="117"/>
      <c r="AO401" s="338"/>
      <c r="AP401" s="338"/>
      <c r="AQ401" s="338"/>
      <c r="AR401" s="338"/>
      <c r="AS401" s="338"/>
      <c r="AT401" s="338"/>
      <c r="AU401" s="338"/>
      <c r="AV401" s="338"/>
      <c r="AW401" s="338"/>
      <c r="AX401" s="338"/>
      <c r="AY401" s="338"/>
      <c r="AZ401" s="338"/>
      <c r="BA401" s="338"/>
      <c r="BB401" s="338"/>
      <c r="BC401" s="338"/>
    </row>
    <row r="402">
      <c r="A402" s="115"/>
      <c r="B402" s="180"/>
      <c r="C402" s="117"/>
      <c r="D402" s="117"/>
      <c r="E402" s="117"/>
      <c r="F402" s="115"/>
      <c r="G402" s="180"/>
      <c r="H402" s="117"/>
      <c r="I402" s="117"/>
      <c r="J402" s="117"/>
      <c r="K402" s="92"/>
      <c r="L402" s="180"/>
      <c r="M402" s="117"/>
      <c r="N402" s="117"/>
      <c r="O402" s="117"/>
      <c r="P402" s="92"/>
      <c r="Q402" s="150"/>
      <c r="R402" s="117"/>
      <c r="S402" s="117"/>
      <c r="T402" s="117"/>
      <c r="U402" s="115"/>
      <c r="V402" s="180"/>
      <c r="W402" s="117"/>
      <c r="X402" s="117"/>
      <c r="Y402" s="117"/>
      <c r="Z402" s="115"/>
      <c r="AA402" s="180"/>
      <c r="AB402" s="117"/>
      <c r="AC402" s="117"/>
      <c r="AD402" s="117"/>
      <c r="AE402" s="115"/>
      <c r="AF402" s="180"/>
      <c r="AG402" s="117"/>
      <c r="AH402" s="117"/>
      <c r="AI402" s="117"/>
      <c r="AJ402" s="115"/>
      <c r="AK402" s="180"/>
      <c r="AL402" s="117"/>
      <c r="AM402" s="117"/>
      <c r="AN402" s="117"/>
      <c r="AO402" s="338"/>
      <c r="AP402" s="338"/>
      <c r="AQ402" s="338"/>
      <c r="AR402" s="338"/>
      <c r="AS402" s="338"/>
      <c r="AT402" s="338"/>
      <c r="AU402" s="338"/>
      <c r="AV402" s="338"/>
      <c r="AW402" s="338"/>
      <c r="AX402" s="338"/>
      <c r="AY402" s="338"/>
      <c r="AZ402" s="338"/>
      <c r="BA402" s="338"/>
      <c r="BB402" s="338"/>
      <c r="BC402" s="338"/>
    </row>
    <row r="403">
      <c r="A403" s="115"/>
      <c r="B403" s="180"/>
      <c r="C403" s="117"/>
      <c r="D403" s="117"/>
      <c r="E403" s="117"/>
      <c r="F403" s="115"/>
      <c r="G403" s="180"/>
      <c r="H403" s="117"/>
      <c r="I403" s="117"/>
      <c r="J403" s="117"/>
      <c r="K403" s="92"/>
      <c r="L403" s="180"/>
      <c r="M403" s="117"/>
      <c r="N403" s="117"/>
      <c r="O403" s="117"/>
      <c r="P403" s="92"/>
      <c r="Q403" s="150"/>
      <c r="R403" s="117"/>
      <c r="S403" s="117"/>
      <c r="T403" s="117"/>
      <c r="U403" s="115"/>
      <c r="V403" s="180"/>
      <c r="W403" s="117"/>
      <c r="X403" s="117"/>
      <c r="Y403" s="117"/>
      <c r="Z403" s="115"/>
      <c r="AA403" s="180"/>
      <c r="AB403" s="117"/>
      <c r="AC403" s="117"/>
      <c r="AD403" s="117"/>
      <c r="AE403" s="115"/>
      <c r="AF403" s="180"/>
      <c r="AG403" s="117"/>
      <c r="AH403" s="117"/>
      <c r="AI403" s="117"/>
      <c r="AJ403" s="115"/>
      <c r="AK403" s="180"/>
      <c r="AL403" s="117"/>
      <c r="AM403" s="117"/>
      <c r="AN403" s="117"/>
      <c r="AO403" s="338"/>
      <c r="AP403" s="338"/>
      <c r="AQ403" s="338"/>
      <c r="AR403" s="338"/>
      <c r="AS403" s="338"/>
      <c r="AT403" s="338"/>
      <c r="AU403" s="338"/>
      <c r="AV403" s="338"/>
      <c r="AW403" s="338"/>
      <c r="AX403" s="338"/>
      <c r="AY403" s="338"/>
      <c r="AZ403" s="338"/>
      <c r="BA403" s="338"/>
      <c r="BB403" s="338"/>
      <c r="BC403" s="338"/>
    </row>
    <row r="404">
      <c r="A404" s="115"/>
      <c r="B404" s="180"/>
      <c r="C404" s="117"/>
      <c r="D404" s="117"/>
      <c r="E404" s="117"/>
      <c r="F404" s="115"/>
      <c r="G404" s="180"/>
      <c r="H404" s="117"/>
      <c r="I404" s="117"/>
      <c r="J404" s="117"/>
      <c r="K404" s="92"/>
      <c r="L404" s="180"/>
      <c r="M404" s="117"/>
      <c r="N404" s="117"/>
      <c r="O404" s="117"/>
      <c r="P404" s="92"/>
      <c r="Q404" s="150"/>
      <c r="R404" s="117"/>
      <c r="S404" s="117"/>
      <c r="T404" s="117"/>
      <c r="U404" s="115"/>
      <c r="V404" s="180"/>
      <c r="W404" s="117"/>
      <c r="X404" s="117"/>
      <c r="Y404" s="117"/>
      <c r="Z404" s="115"/>
      <c r="AA404" s="180"/>
      <c r="AB404" s="117"/>
      <c r="AC404" s="117"/>
      <c r="AD404" s="117"/>
      <c r="AE404" s="115"/>
      <c r="AF404" s="180"/>
      <c r="AG404" s="117"/>
      <c r="AH404" s="117"/>
      <c r="AI404" s="117"/>
      <c r="AJ404" s="115"/>
      <c r="AK404" s="180"/>
      <c r="AL404" s="117"/>
      <c r="AM404" s="117"/>
      <c r="AN404" s="117"/>
      <c r="AO404" s="338"/>
      <c r="AP404" s="338"/>
      <c r="AQ404" s="338"/>
      <c r="AR404" s="338"/>
      <c r="AS404" s="338"/>
      <c r="AT404" s="338"/>
      <c r="AU404" s="338"/>
      <c r="AV404" s="338"/>
      <c r="AW404" s="338"/>
      <c r="AX404" s="338"/>
      <c r="AY404" s="338"/>
      <c r="AZ404" s="338"/>
      <c r="BA404" s="338"/>
      <c r="BB404" s="338"/>
      <c r="BC404" s="338"/>
    </row>
    <row r="405">
      <c r="A405" s="115"/>
      <c r="B405" s="180"/>
      <c r="C405" s="117"/>
      <c r="D405" s="117"/>
      <c r="E405" s="117"/>
      <c r="F405" s="115"/>
      <c r="G405" s="180"/>
      <c r="H405" s="117"/>
      <c r="I405" s="117"/>
      <c r="J405" s="117"/>
      <c r="K405" s="92"/>
      <c r="L405" s="180"/>
      <c r="M405" s="117"/>
      <c r="N405" s="117"/>
      <c r="O405" s="117"/>
      <c r="P405" s="92"/>
      <c r="Q405" s="150"/>
      <c r="R405" s="117"/>
      <c r="S405" s="117"/>
      <c r="T405" s="117"/>
      <c r="U405" s="115"/>
      <c r="V405" s="180"/>
      <c r="W405" s="117"/>
      <c r="X405" s="117"/>
      <c r="Y405" s="117"/>
      <c r="Z405" s="115"/>
      <c r="AA405" s="180"/>
      <c r="AB405" s="117"/>
      <c r="AC405" s="117"/>
      <c r="AD405" s="117"/>
      <c r="AE405" s="115"/>
      <c r="AF405" s="180"/>
      <c r="AG405" s="117"/>
      <c r="AH405" s="117"/>
      <c r="AI405" s="117"/>
      <c r="AJ405" s="115"/>
      <c r="AK405" s="180"/>
      <c r="AL405" s="117"/>
      <c r="AM405" s="117"/>
      <c r="AN405" s="117"/>
      <c r="AO405" s="338"/>
      <c r="AP405" s="338"/>
      <c r="AQ405" s="338"/>
      <c r="AR405" s="338"/>
      <c r="AS405" s="338"/>
      <c r="AT405" s="338"/>
      <c r="AU405" s="338"/>
      <c r="AV405" s="338"/>
      <c r="AW405" s="338"/>
      <c r="AX405" s="338"/>
      <c r="AY405" s="338"/>
      <c r="AZ405" s="338"/>
      <c r="BA405" s="338"/>
      <c r="BB405" s="338"/>
      <c r="BC405" s="338"/>
    </row>
    <row r="406">
      <c r="A406" s="115"/>
      <c r="B406" s="180"/>
      <c r="C406" s="117"/>
      <c r="D406" s="117"/>
      <c r="E406" s="117"/>
      <c r="F406" s="115"/>
      <c r="G406" s="180"/>
      <c r="H406" s="117"/>
      <c r="I406" s="117"/>
      <c r="J406" s="117"/>
      <c r="K406" s="92"/>
      <c r="L406" s="180"/>
      <c r="M406" s="117"/>
      <c r="N406" s="117"/>
      <c r="O406" s="117"/>
      <c r="P406" s="92"/>
      <c r="Q406" s="150"/>
      <c r="R406" s="117"/>
      <c r="S406" s="117"/>
      <c r="T406" s="117"/>
      <c r="U406" s="115"/>
      <c r="V406" s="180"/>
      <c r="W406" s="117"/>
      <c r="X406" s="117"/>
      <c r="Y406" s="117"/>
      <c r="Z406" s="115"/>
      <c r="AA406" s="180"/>
      <c r="AB406" s="117"/>
      <c r="AC406" s="117"/>
      <c r="AD406" s="117"/>
      <c r="AE406" s="115"/>
      <c r="AF406" s="180"/>
      <c r="AG406" s="117"/>
      <c r="AH406" s="117"/>
      <c r="AI406" s="117"/>
      <c r="AJ406" s="115"/>
      <c r="AK406" s="180"/>
      <c r="AL406" s="117"/>
      <c r="AM406" s="117"/>
      <c r="AN406" s="117"/>
      <c r="AO406" s="338"/>
      <c r="AP406" s="338"/>
      <c r="AQ406" s="338"/>
      <c r="AR406" s="338"/>
      <c r="AS406" s="338"/>
      <c r="AT406" s="338"/>
      <c r="AU406" s="338"/>
      <c r="AV406" s="338"/>
      <c r="AW406" s="338"/>
      <c r="AX406" s="338"/>
      <c r="AY406" s="338"/>
      <c r="AZ406" s="338"/>
      <c r="BA406" s="338"/>
      <c r="BB406" s="338"/>
      <c r="BC406" s="338"/>
    </row>
    <row r="407">
      <c r="A407" s="115"/>
      <c r="B407" s="180"/>
      <c r="C407" s="117"/>
      <c r="D407" s="117"/>
      <c r="E407" s="117"/>
      <c r="F407" s="115"/>
      <c r="G407" s="180"/>
      <c r="H407" s="117"/>
      <c r="I407" s="117"/>
      <c r="J407" s="117"/>
      <c r="K407" s="92"/>
      <c r="L407" s="180"/>
      <c r="M407" s="117"/>
      <c r="N407" s="117"/>
      <c r="O407" s="117"/>
      <c r="P407" s="92"/>
      <c r="Q407" s="150"/>
      <c r="R407" s="117"/>
      <c r="S407" s="117"/>
      <c r="T407" s="117"/>
      <c r="U407" s="115"/>
      <c r="V407" s="180"/>
      <c r="W407" s="117"/>
      <c r="X407" s="117"/>
      <c r="Y407" s="117"/>
      <c r="Z407" s="115"/>
      <c r="AA407" s="180"/>
      <c r="AB407" s="117"/>
      <c r="AC407" s="117"/>
      <c r="AD407" s="117"/>
      <c r="AE407" s="115"/>
      <c r="AF407" s="180"/>
      <c r="AG407" s="117"/>
      <c r="AH407" s="117"/>
      <c r="AI407" s="117"/>
      <c r="AJ407" s="115"/>
      <c r="AK407" s="180"/>
      <c r="AL407" s="117"/>
      <c r="AM407" s="117"/>
      <c r="AN407" s="117"/>
      <c r="AO407" s="338"/>
      <c r="AP407" s="338"/>
      <c r="AQ407" s="338"/>
      <c r="AR407" s="338"/>
      <c r="AS407" s="338"/>
      <c r="AT407" s="338"/>
      <c r="AU407" s="338"/>
      <c r="AV407" s="338"/>
      <c r="AW407" s="338"/>
      <c r="AX407" s="338"/>
      <c r="AY407" s="338"/>
      <c r="AZ407" s="338"/>
      <c r="BA407" s="338"/>
      <c r="BB407" s="338"/>
      <c r="BC407" s="338"/>
    </row>
    <row r="408">
      <c r="A408" s="115"/>
      <c r="B408" s="180"/>
      <c r="C408" s="117"/>
      <c r="D408" s="117"/>
      <c r="E408" s="117"/>
      <c r="F408" s="115"/>
      <c r="G408" s="180"/>
      <c r="H408" s="117"/>
      <c r="I408" s="117"/>
      <c r="J408" s="117"/>
      <c r="K408" s="92"/>
      <c r="L408" s="180"/>
      <c r="M408" s="117"/>
      <c r="N408" s="117"/>
      <c r="O408" s="117"/>
      <c r="P408" s="92"/>
      <c r="Q408" s="150"/>
      <c r="R408" s="117"/>
      <c r="S408" s="117"/>
      <c r="T408" s="117"/>
      <c r="U408" s="115"/>
      <c r="V408" s="180"/>
      <c r="W408" s="117"/>
      <c r="X408" s="117"/>
      <c r="Y408" s="117"/>
      <c r="Z408" s="115"/>
      <c r="AA408" s="180"/>
      <c r="AB408" s="117"/>
      <c r="AC408" s="117"/>
      <c r="AD408" s="117"/>
      <c r="AE408" s="115"/>
      <c r="AF408" s="180"/>
      <c r="AG408" s="117"/>
      <c r="AH408" s="117"/>
      <c r="AI408" s="117"/>
      <c r="AJ408" s="115"/>
      <c r="AK408" s="180"/>
      <c r="AL408" s="117"/>
      <c r="AM408" s="117"/>
      <c r="AN408" s="117"/>
      <c r="AO408" s="338"/>
      <c r="AP408" s="338"/>
      <c r="AQ408" s="338"/>
      <c r="AR408" s="338"/>
      <c r="AS408" s="338"/>
      <c r="AT408" s="338"/>
      <c r="AU408" s="338"/>
      <c r="AV408" s="338"/>
      <c r="AW408" s="338"/>
      <c r="AX408" s="338"/>
      <c r="AY408" s="338"/>
      <c r="AZ408" s="338"/>
      <c r="BA408" s="338"/>
      <c r="BB408" s="338"/>
      <c r="BC408" s="338"/>
    </row>
    <row r="409">
      <c r="A409" s="115"/>
      <c r="B409" s="180"/>
      <c r="C409" s="117"/>
      <c r="D409" s="117"/>
      <c r="E409" s="117"/>
      <c r="F409" s="115"/>
      <c r="G409" s="180"/>
      <c r="H409" s="117"/>
      <c r="I409" s="117"/>
      <c r="J409" s="117"/>
      <c r="K409" s="92"/>
      <c r="L409" s="180"/>
      <c r="M409" s="117"/>
      <c r="N409" s="117"/>
      <c r="O409" s="117"/>
      <c r="P409" s="92"/>
      <c r="Q409" s="150"/>
      <c r="R409" s="117"/>
      <c r="S409" s="117"/>
      <c r="T409" s="117"/>
      <c r="U409" s="115"/>
      <c r="V409" s="180"/>
      <c r="W409" s="117"/>
      <c r="X409" s="117"/>
      <c r="Y409" s="117"/>
      <c r="Z409" s="115"/>
      <c r="AA409" s="180"/>
      <c r="AB409" s="117"/>
      <c r="AC409" s="117"/>
      <c r="AD409" s="117"/>
      <c r="AE409" s="115"/>
      <c r="AF409" s="180"/>
      <c r="AG409" s="117"/>
      <c r="AH409" s="117"/>
      <c r="AI409" s="117"/>
      <c r="AJ409" s="115"/>
      <c r="AK409" s="180"/>
      <c r="AL409" s="117"/>
      <c r="AM409" s="117"/>
      <c r="AN409" s="117"/>
      <c r="AO409" s="338"/>
      <c r="AP409" s="338"/>
      <c r="AQ409" s="338"/>
      <c r="AR409" s="338"/>
      <c r="AS409" s="338"/>
      <c r="AT409" s="338"/>
      <c r="AU409" s="338"/>
      <c r="AV409" s="338"/>
      <c r="AW409" s="338"/>
      <c r="AX409" s="338"/>
      <c r="AY409" s="338"/>
      <c r="AZ409" s="338"/>
      <c r="BA409" s="338"/>
      <c r="BB409" s="338"/>
      <c r="BC409" s="338"/>
    </row>
    <row r="410">
      <c r="A410" s="115"/>
      <c r="B410" s="180"/>
      <c r="C410" s="117"/>
      <c r="D410" s="117"/>
      <c r="E410" s="117"/>
      <c r="F410" s="115"/>
      <c r="G410" s="180"/>
      <c r="H410" s="117"/>
      <c r="I410" s="117"/>
      <c r="J410" s="117"/>
      <c r="K410" s="92"/>
      <c r="L410" s="180"/>
      <c r="M410" s="117"/>
      <c r="N410" s="117"/>
      <c r="O410" s="117"/>
      <c r="P410" s="92"/>
      <c r="Q410" s="150"/>
      <c r="R410" s="117"/>
      <c r="S410" s="117"/>
      <c r="T410" s="117"/>
      <c r="U410" s="115"/>
      <c r="V410" s="180"/>
      <c r="W410" s="117"/>
      <c r="X410" s="117"/>
      <c r="Y410" s="117"/>
      <c r="Z410" s="115"/>
      <c r="AA410" s="180"/>
      <c r="AB410" s="117"/>
      <c r="AC410" s="117"/>
      <c r="AD410" s="117"/>
      <c r="AE410" s="115"/>
      <c r="AF410" s="180"/>
      <c r="AG410" s="117"/>
      <c r="AH410" s="117"/>
      <c r="AI410" s="117"/>
      <c r="AJ410" s="115"/>
      <c r="AK410" s="180"/>
      <c r="AL410" s="117"/>
      <c r="AM410" s="117"/>
      <c r="AN410" s="117"/>
      <c r="AO410" s="338"/>
      <c r="AP410" s="338"/>
      <c r="AQ410" s="338"/>
      <c r="AR410" s="338"/>
      <c r="AS410" s="338"/>
      <c r="AT410" s="338"/>
      <c r="AU410" s="338"/>
      <c r="AV410" s="338"/>
      <c r="AW410" s="338"/>
      <c r="AX410" s="338"/>
      <c r="AY410" s="338"/>
      <c r="AZ410" s="338"/>
      <c r="BA410" s="338"/>
      <c r="BB410" s="338"/>
      <c r="BC410" s="338"/>
    </row>
    <row r="411">
      <c r="A411" s="115"/>
      <c r="B411" s="180"/>
      <c r="C411" s="117"/>
      <c r="D411" s="117"/>
      <c r="E411" s="117"/>
      <c r="F411" s="115"/>
      <c r="G411" s="180"/>
      <c r="H411" s="117"/>
      <c r="I411" s="117"/>
      <c r="J411" s="117"/>
      <c r="K411" s="92"/>
      <c r="L411" s="180"/>
      <c r="M411" s="117"/>
      <c r="N411" s="117"/>
      <c r="O411" s="117"/>
      <c r="P411" s="92"/>
      <c r="Q411" s="150"/>
      <c r="R411" s="117"/>
      <c r="S411" s="117"/>
      <c r="T411" s="117"/>
      <c r="U411" s="115"/>
      <c r="V411" s="180"/>
      <c r="W411" s="117"/>
      <c r="X411" s="117"/>
      <c r="Y411" s="117"/>
      <c r="Z411" s="115"/>
      <c r="AA411" s="180"/>
      <c r="AB411" s="117"/>
      <c r="AC411" s="117"/>
      <c r="AD411" s="117"/>
      <c r="AE411" s="115"/>
      <c r="AF411" s="180"/>
      <c r="AG411" s="117"/>
      <c r="AH411" s="117"/>
      <c r="AI411" s="117"/>
      <c r="AJ411" s="115"/>
      <c r="AK411" s="180"/>
      <c r="AL411" s="117"/>
      <c r="AM411" s="117"/>
      <c r="AN411" s="117"/>
      <c r="AO411" s="338"/>
      <c r="AP411" s="338"/>
      <c r="AQ411" s="338"/>
      <c r="AR411" s="338"/>
      <c r="AS411" s="338"/>
      <c r="AT411" s="338"/>
      <c r="AU411" s="338"/>
      <c r="AV411" s="338"/>
      <c r="AW411" s="338"/>
      <c r="AX411" s="338"/>
      <c r="AY411" s="338"/>
      <c r="AZ411" s="338"/>
      <c r="BA411" s="338"/>
      <c r="BB411" s="338"/>
      <c r="BC411" s="338"/>
    </row>
    <row r="412">
      <c r="A412" s="115"/>
      <c r="B412" s="180"/>
      <c r="C412" s="117"/>
      <c r="D412" s="117"/>
      <c r="E412" s="117"/>
      <c r="F412" s="115"/>
      <c r="G412" s="180"/>
      <c r="H412" s="117"/>
      <c r="I412" s="117"/>
      <c r="J412" s="117"/>
      <c r="K412" s="92"/>
      <c r="L412" s="180"/>
      <c r="M412" s="117"/>
      <c r="N412" s="117"/>
      <c r="O412" s="117"/>
      <c r="P412" s="92"/>
      <c r="Q412" s="150"/>
      <c r="R412" s="117"/>
      <c r="S412" s="117"/>
      <c r="T412" s="117"/>
      <c r="U412" s="115"/>
      <c r="V412" s="180"/>
      <c r="W412" s="117"/>
      <c r="X412" s="117"/>
      <c r="Y412" s="117"/>
      <c r="Z412" s="115"/>
      <c r="AA412" s="180"/>
      <c r="AB412" s="117"/>
      <c r="AC412" s="117"/>
      <c r="AD412" s="117"/>
      <c r="AE412" s="115"/>
      <c r="AF412" s="180"/>
      <c r="AG412" s="117"/>
      <c r="AH412" s="117"/>
      <c r="AI412" s="117"/>
      <c r="AJ412" s="115"/>
      <c r="AK412" s="180"/>
      <c r="AL412" s="117"/>
      <c r="AM412" s="117"/>
      <c r="AN412" s="117"/>
      <c r="AO412" s="338"/>
      <c r="AP412" s="338"/>
      <c r="AQ412" s="338"/>
      <c r="AR412" s="338"/>
      <c r="AS412" s="338"/>
      <c r="AT412" s="338"/>
      <c r="AU412" s="338"/>
      <c r="AV412" s="338"/>
      <c r="AW412" s="338"/>
      <c r="AX412" s="338"/>
      <c r="AY412" s="338"/>
      <c r="AZ412" s="338"/>
      <c r="BA412" s="338"/>
      <c r="BB412" s="338"/>
      <c r="BC412" s="338"/>
    </row>
    <row r="413">
      <c r="A413" s="115"/>
      <c r="B413" s="180"/>
      <c r="C413" s="117"/>
      <c r="D413" s="117"/>
      <c r="E413" s="117"/>
      <c r="F413" s="115"/>
      <c r="G413" s="180"/>
      <c r="H413" s="117"/>
      <c r="I413" s="117"/>
      <c r="J413" s="117"/>
      <c r="K413" s="92"/>
      <c r="L413" s="180"/>
      <c r="M413" s="117"/>
      <c r="N413" s="117"/>
      <c r="O413" s="117"/>
      <c r="P413" s="92"/>
      <c r="Q413" s="150"/>
      <c r="R413" s="117"/>
      <c r="S413" s="117"/>
      <c r="T413" s="117"/>
      <c r="U413" s="115"/>
      <c r="V413" s="180"/>
      <c r="W413" s="117"/>
      <c r="X413" s="117"/>
      <c r="Y413" s="117"/>
      <c r="Z413" s="115"/>
      <c r="AA413" s="180"/>
      <c r="AB413" s="117"/>
      <c r="AC413" s="117"/>
      <c r="AD413" s="117"/>
      <c r="AE413" s="115"/>
      <c r="AF413" s="180"/>
      <c r="AG413" s="117"/>
      <c r="AH413" s="117"/>
      <c r="AI413" s="117"/>
      <c r="AJ413" s="115"/>
      <c r="AK413" s="180"/>
      <c r="AL413" s="117"/>
      <c r="AM413" s="117"/>
      <c r="AN413" s="117"/>
      <c r="AO413" s="338"/>
      <c r="AP413" s="338"/>
      <c r="AQ413" s="338"/>
      <c r="AR413" s="338"/>
      <c r="AS413" s="338"/>
      <c r="AT413" s="338"/>
      <c r="AU413" s="338"/>
      <c r="AV413" s="338"/>
      <c r="AW413" s="338"/>
      <c r="AX413" s="338"/>
      <c r="AY413" s="338"/>
      <c r="AZ413" s="338"/>
      <c r="BA413" s="338"/>
      <c r="BB413" s="338"/>
      <c r="BC413" s="338"/>
    </row>
    <row r="414">
      <c r="A414" s="115"/>
      <c r="B414" s="180"/>
      <c r="C414" s="117"/>
      <c r="D414" s="117"/>
      <c r="E414" s="117"/>
      <c r="F414" s="115"/>
      <c r="G414" s="180"/>
      <c r="H414" s="117"/>
      <c r="I414" s="117"/>
      <c r="J414" s="117"/>
      <c r="K414" s="92"/>
      <c r="L414" s="180"/>
      <c r="M414" s="117"/>
      <c r="N414" s="117"/>
      <c r="O414" s="117"/>
      <c r="P414" s="92"/>
      <c r="Q414" s="150"/>
      <c r="R414" s="117"/>
      <c r="S414" s="117"/>
      <c r="T414" s="117"/>
      <c r="U414" s="115"/>
      <c r="V414" s="180"/>
      <c r="W414" s="117"/>
      <c r="X414" s="117"/>
      <c r="Y414" s="117"/>
      <c r="Z414" s="115"/>
      <c r="AA414" s="180"/>
      <c r="AB414" s="117"/>
      <c r="AC414" s="117"/>
      <c r="AD414" s="117"/>
      <c r="AE414" s="115"/>
      <c r="AF414" s="180"/>
      <c r="AG414" s="117"/>
      <c r="AH414" s="117"/>
      <c r="AI414" s="117"/>
      <c r="AJ414" s="115"/>
      <c r="AK414" s="180"/>
      <c r="AL414" s="117"/>
      <c r="AM414" s="117"/>
      <c r="AN414" s="117"/>
      <c r="AO414" s="338"/>
      <c r="AP414" s="338"/>
      <c r="AQ414" s="338"/>
      <c r="AR414" s="338"/>
      <c r="AS414" s="338"/>
      <c r="AT414" s="338"/>
      <c r="AU414" s="338"/>
      <c r="AV414" s="338"/>
      <c r="AW414" s="338"/>
      <c r="AX414" s="338"/>
      <c r="AY414" s="338"/>
      <c r="AZ414" s="338"/>
      <c r="BA414" s="338"/>
      <c r="BB414" s="338"/>
      <c r="BC414" s="338"/>
    </row>
    <row r="415">
      <c r="A415" s="115"/>
      <c r="B415" s="180"/>
      <c r="C415" s="117"/>
      <c r="D415" s="117"/>
      <c r="E415" s="117"/>
      <c r="F415" s="115"/>
      <c r="G415" s="180"/>
      <c r="H415" s="117"/>
      <c r="I415" s="117"/>
      <c r="J415" s="117"/>
      <c r="K415" s="92"/>
      <c r="L415" s="180"/>
      <c r="M415" s="117"/>
      <c r="N415" s="117"/>
      <c r="O415" s="117"/>
      <c r="P415" s="92"/>
      <c r="Q415" s="150"/>
      <c r="R415" s="117"/>
      <c r="S415" s="117"/>
      <c r="T415" s="117"/>
      <c r="U415" s="115"/>
      <c r="V415" s="180"/>
      <c r="W415" s="117"/>
      <c r="X415" s="117"/>
      <c r="Y415" s="117"/>
      <c r="Z415" s="115"/>
      <c r="AA415" s="180"/>
      <c r="AB415" s="117"/>
      <c r="AC415" s="117"/>
      <c r="AD415" s="117"/>
      <c r="AE415" s="115"/>
      <c r="AF415" s="180"/>
      <c r="AG415" s="117"/>
      <c r="AH415" s="117"/>
      <c r="AI415" s="117"/>
      <c r="AJ415" s="115"/>
      <c r="AK415" s="180"/>
      <c r="AL415" s="117"/>
      <c r="AM415" s="117"/>
      <c r="AN415" s="117"/>
      <c r="AO415" s="338"/>
      <c r="AP415" s="338"/>
      <c r="AQ415" s="338"/>
      <c r="AR415" s="338"/>
      <c r="AS415" s="338"/>
      <c r="AT415" s="338"/>
      <c r="AU415" s="338"/>
      <c r="AV415" s="338"/>
      <c r="AW415" s="338"/>
      <c r="AX415" s="338"/>
      <c r="AY415" s="338"/>
      <c r="AZ415" s="338"/>
      <c r="BA415" s="338"/>
      <c r="BB415" s="338"/>
      <c r="BC415" s="338"/>
    </row>
    <row r="416">
      <c r="A416" s="115"/>
      <c r="B416" s="180"/>
      <c r="C416" s="117"/>
      <c r="D416" s="117"/>
      <c r="E416" s="117"/>
      <c r="F416" s="115"/>
      <c r="G416" s="180"/>
      <c r="H416" s="117"/>
      <c r="I416" s="117"/>
      <c r="J416" s="117"/>
      <c r="K416" s="92"/>
      <c r="L416" s="180"/>
      <c r="M416" s="117"/>
      <c r="N416" s="117"/>
      <c r="O416" s="117"/>
      <c r="P416" s="92"/>
      <c r="Q416" s="150"/>
      <c r="R416" s="117"/>
      <c r="S416" s="117"/>
      <c r="T416" s="117"/>
      <c r="U416" s="115"/>
      <c r="V416" s="180"/>
      <c r="W416" s="117"/>
      <c r="X416" s="117"/>
      <c r="Y416" s="117"/>
      <c r="Z416" s="115"/>
      <c r="AA416" s="180"/>
      <c r="AB416" s="117"/>
      <c r="AC416" s="117"/>
      <c r="AD416" s="117"/>
      <c r="AE416" s="115"/>
      <c r="AF416" s="180"/>
      <c r="AG416" s="117"/>
      <c r="AH416" s="117"/>
      <c r="AI416" s="117"/>
      <c r="AJ416" s="115"/>
      <c r="AK416" s="180"/>
      <c r="AL416" s="117"/>
      <c r="AM416" s="117"/>
      <c r="AN416" s="117"/>
      <c r="AO416" s="338"/>
      <c r="AP416" s="338"/>
      <c r="AQ416" s="338"/>
      <c r="AR416" s="338"/>
      <c r="AS416" s="338"/>
      <c r="AT416" s="338"/>
      <c r="AU416" s="338"/>
      <c r="AV416" s="338"/>
      <c r="AW416" s="338"/>
      <c r="AX416" s="338"/>
      <c r="AY416" s="338"/>
      <c r="AZ416" s="338"/>
      <c r="BA416" s="338"/>
      <c r="BB416" s="338"/>
      <c r="BC416" s="338"/>
    </row>
    <row r="417">
      <c r="A417" s="115"/>
      <c r="B417" s="180"/>
      <c r="C417" s="117"/>
      <c r="D417" s="117"/>
      <c r="E417" s="117"/>
      <c r="F417" s="115"/>
      <c r="G417" s="180"/>
      <c r="H417" s="117"/>
      <c r="I417" s="117"/>
      <c r="J417" s="117"/>
      <c r="K417" s="92"/>
      <c r="L417" s="180"/>
      <c r="M417" s="117"/>
      <c r="N417" s="117"/>
      <c r="O417" s="117"/>
      <c r="P417" s="92"/>
      <c r="Q417" s="150"/>
      <c r="R417" s="117"/>
      <c r="S417" s="117"/>
      <c r="T417" s="117"/>
      <c r="U417" s="115"/>
      <c r="V417" s="180"/>
      <c r="W417" s="117"/>
      <c r="X417" s="117"/>
      <c r="Y417" s="117"/>
      <c r="Z417" s="115"/>
      <c r="AA417" s="180"/>
      <c r="AB417" s="117"/>
      <c r="AC417" s="117"/>
      <c r="AD417" s="117"/>
      <c r="AE417" s="115"/>
      <c r="AF417" s="180"/>
      <c r="AG417" s="117"/>
      <c r="AH417" s="117"/>
      <c r="AI417" s="117"/>
      <c r="AJ417" s="115"/>
      <c r="AK417" s="180"/>
      <c r="AL417" s="117"/>
      <c r="AM417" s="117"/>
      <c r="AN417" s="117"/>
      <c r="AO417" s="338"/>
      <c r="AP417" s="338"/>
      <c r="AQ417" s="338"/>
      <c r="AR417" s="338"/>
      <c r="AS417" s="338"/>
      <c r="AT417" s="338"/>
      <c r="AU417" s="338"/>
      <c r="AV417" s="338"/>
      <c r="AW417" s="338"/>
      <c r="AX417" s="338"/>
      <c r="AY417" s="338"/>
      <c r="AZ417" s="338"/>
      <c r="BA417" s="338"/>
      <c r="BB417" s="338"/>
      <c r="BC417" s="338"/>
    </row>
    <row r="418">
      <c r="A418" s="115"/>
      <c r="B418" s="180"/>
      <c r="C418" s="117"/>
      <c r="D418" s="117"/>
      <c r="E418" s="117"/>
      <c r="F418" s="115"/>
      <c r="G418" s="180"/>
      <c r="H418" s="117"/>
      <c r="I418" s="117"/>
      <c r="J418" s="117"/>
      <c r="K418" s="92"/>
      <c r="L418" s="180"/>
      <c r="M418" s="117"/>
      <c r="N418" s="117"/>
      <c r="O418" s="117"/>
      <c r="P418" s="92"/>
      <c r="Q418" s="150"/>
      <c r="R418" s="117"/>
      <c r="S418" s="117"/>
      <c r="T418" s="117"/>
      <c r="U418" s="115"/>
      <c r="V418" s="180"/>
      <c r="W418" s="117"/>
      <c r="X418" s="117"/>
      <c r="Y418" s="117"/>
      <c r="Z418" s="115"/>
      <c r="AA418" s="180"/>
      <c r="AB418" s="117"/>
      <c r="AC418" s="117"/>
      <c r="AD418" s="117"/>
      <c r="AE418" s="115"/>
      <c r="AF418" s="180"/>
      <c r="AG418" s="117"/>
      <c r="AH418" s="117"/>
      <c r="AI418" s="117"/>
      <c r="AJ418" s="115"/>
      <c r="AK418" s="180"/>
      <c r="AL418" s="117"/>
      <c r="AM418" s="117"/>
      <c r="AN418" s="117"/>
      <c r="AO418" s="338"/>
      <c r="AP418" s="338"/>
      <c r="AQ418" s="338"/>
      <c r="AR418" s="338"/>
      <c r="AS418" s="338"/>
      <c r="AT418" s="338"/>
      <c r="AU418" s="338"/>
      <c r="AV418" s="338"/>
      <c r="AW418" s="338"/>
      <c r="AX418" s="338"/>
      <c r="AY418" s="338"/>
      <c r="AZ418" s="338"/>
      <c r="BA418" s="338"/>
      <c r="BB418" s="338"/>
      <c r="BC418" s="338"/>
    </row>
    <row r="419">
      <c r="A419" s="115"/>
      <c r="B419" s="180"/>
      <c r="C419" s="117"/>
      <c r="D419" s="117"/>
      <c r="E419" s="117"/>
      <c r="F419" s="115"/>
      <c r="G419" s="180"/>
      <c r="H419" s="117"/>
      <c r="I419" s="117"/>
      <c r="J419" s="117"/>
      <c r="K419" s="92"/>
      <c r="L419" s="180"/>
      <c r="M419" s="117"/>
      <c r="N419" s="117"/>
      <c r="O419" s="117"/>
      <c r="P419" s="92"/>
      <c r="Q419" s="150"/>
      <c r="R419" s="117"/>
      <c r="S419" s="117"/>
      <c r="T419" s="117"/>
      <c r="U419" s="115"/>
      <c r="V419" s="180"/>
      <c r="W419" s="117"/>
      <c r="X419" s="117"/>
      <c r="Y419" s="117"/>
      <c r="Z419" s="115"/>
      <c r="AA419" s="180"/>
      <c r="AB419" s="117"/>
      <c r="AC419" s="117"/>
      <c r="AD419" s="117"/>
      <c r="AE419" s="115"/>
      <c r="AF419" s="180"/>
      <c r="AG419" s="117"/>
      <c r="AH419" s="117"/>
      <c r="AI419" s="117"/>
      <c r="AJ419" s="115"/>
      <c r="AK419" s="180"/>
      <c r="AL419" s="117"/>
      <c r="AM419" s="117"/>
      <c r="AN419" s="117"/>
      <c r="AO419" s="338"/>
      <c r="AP419" s="338"/>
      <c r="AQ419" s="338"/>
      <c r="AR419" s="338"/>
      <c r="AS419" s="338"/>
      <c r="AT419" s="338"/>
      <c r="AU419" s="338"/>
      <c r="AV419" s="338"/>
      <c r="AW419" s="338"/>
      <c r="AX419" s="338"/>
      <c r="AY419" s="338"/>
      <c r="AZ419" s="338"/>
      <c r="BA419" s="338"/>
      <c r="BB419" s="338"/>
      <c r="BC419" s="338"/>
    </row>
    <row r="420">
      <c r="A420" s="115"/>
      <c r="B420" s="180"/>
      <c r="C420" s="117"/>
      <c r="D420" s="117"/>
      <c r="E420" s="117"/>
      <c r="F420" s="115"/>
      <c r="G420" s="180"/>
      <c r="H420" s="117"/>
      <c r="I420" s="117"/>
      <c r="J420" s="117"/>
      <c r="K420" s="92"/>
      <c r="L420" s="180"/>
      <c r="M420" s="117"/>
      <c r="N420" s="117"/>
      <c r="O420" s="117"/>
      <c r="P420" s="92"/>
      <c r="Q420" s="150"/>
      <c r="R420" s="117"/>
      <c r="S420" s="117"/>
      <c r="T420" s="117"/>
      <c r="U420" s="115"/>
      <c r="V420" s="180"/>
      <c r="W420" s="117"/>
      <c r="X420" s="117"/>
      <c r="Y420" s="117"/>
      <c r="Z420" s="115"/>
      <c r="AA420" s="180"/>
      <c r="AB420" s="117"/>
      <c r="AC420" s="117"/>
      <c r="AD420" s="117"/>
      <c r="AE420" s="115"/>
      <c r="AF420" s="180"/>
      <c r="AG420" s="117"/>
      <c r="AH420" s="117"/>
      <c r="AI420" s="117"/>
      <c r="AJ420" s="115"/>
      <c r="AK420" s="180"/>
      <c r="AL420" s="117"/>
      <c r="AM420" s="117"/>
      <c r="AN420" s="117"/>
      <c r="AO420" s="338"/>
      <c r="AP420" s="338"/>
      <c r="AQ420" s="338"/>
      <c r="AR420" s="338"/>
      <c r="AS420" s="338"/>
      <c r="AT420" s="338"/>
      <c r="AU420" s="338"/>
      <c r="AV420" s="338"/>
      <c r="AW420" s="338"/>
      <c r="AX420" s="338"/>
      <c r="AY420" s="338"/>
      <c r="AZ420" s="338"/>
      <c r="BA420" s="338"/>
      <c r="BB420" s="338"/>
      <c r="BC420" s="338"/>
    </row>
    <row r="421">
      <c r="A421" s="115"/>
      <c r="B421" s="180"/>
      <c r="C421" s="117"/>
      <c r="D421" s="117"/>
      <c r="E421" s="117"/>
      <c r="F421" s="115"/>
      <c r="G421" s="180"/>
      <c r="H421" s="117"/>
      <c r="I421" s="117"/>
      <c r="J421" s="117"/>
      <c r="K421" s="92"/>
      <c r="L421" s="180"/>
      <c r="M421" s="117"/>
      <c r="N421" s="117"/>
      <c r="O421" s="117"/>
      <c r="P421" s="92"/>
      <c r="Q421" s="150"/>
      <c r="R421" s="117"/>
      <c r="S421" s="117"/>
      <c r="T421" s="117"/>
      <c r="U421" s="115"/>
      <c r="V421" s="180"/>
      <c r="W421" s="117"/>
      <c r="X421" s="117"/>
      <c r="Y421" s="117"/>
      <c r="Z421" s="115"/>
      <c r="AA421" s="180"/>
      <c r="AB421" s="117"/>
      <c r="AC421" s="117"/>
      <c r="AD421" s="117"/>
      <c r="AE421" s="115"/>
      <c r="AF421" s="180"/>
      <c r="AG421" s="117"/>
      <c r="AH421" s="117"/>
      <c r="AI421" s="117"/>
      <c r="AJ421" s="115"/>
      <c r="AK421" s="180"/>
      <c r="AL421" s="117"/>
      <c r="AM421" s="117"/>
      <c r="AN421" s="117"/>
      <c r="AO421" s="338"/>
      <c r="AP421" s="338"/>
      <c r="AQ421" s="338"/>
      <c r="AR421" s="338"/>
      <c r="AS421" s="338"/>
      <c r="AT421" s="338"/>
      <c r="AU421" s="338"/>
      <c r="AV421" s="338"/>
      <c r="AW421" s="338"/>
      <c r="AX421" s="338"/>
      <c r="AY421" s="338"/>
      <c r="AZ421" s="338"/>
      <c r="BA421" s="338"/>
      <c r="BB421" s="338"/>
      <c r="BC421" s="338"/>
    </row>
    <row r="422">
      <c r="A422" s="115"/>
      <c r="B422" s="180"/>
      <c r="C422" s="117"/>
      <c r="D422" s="117"/>
      <c r="E422" s="117"/>
      <c r="F422" s="115"/>
      <c r="G422" s="180"/>
      <c r="H422" s="117"/>
      <c r="I422" s="117"/>
      <c r="J422" s="117"/>
      <c r="K422" s="92"/>
      <c r="L422" s="180"/>
      <c r="M422" s="117"/>
      <c r="N422" s="117"/>
      <c r="O422" s="117"/>
      <c r="P422" s="92"/>
      <c r="Q422" s="150"/>
      <c r="R422" s="117"/>
      <c r="S422" s="117"/>
      <c r="T422" s="117"/>
      <c r="U422" s="115"/>
      <c r="V422" s="180"/>
      <c r="W422" s="117"/>
      <c r="X422" s="117"/>
      <c r="Y422" s="117"/>
      <c r="Z422" s="115"/>
      <c r="AA422" s="180"/>
      <c r="AB422" s="117"/>
      <c r="AC422" s="117"/>
      <c r="AD422" s="117"/>
      <c r="AE422" s="115"/>
      <c r="AF422" s="180"/>
      <c r="AG422" s="117"/>
      <c r="AH422" s="117"/>
      <c r="AI422" s="117"/>
      <c r="AJ422" s="115"/>
      <c r="AK422" s="180"/>
      <c r="AL422" s="117"/>
      <c r="AM422" s="117"/>
      <c r="AN422" s="117"/>
      <c r="AO422" s="338"/>
      <c r="AP422" s="338"/>
      <c r="AQ422" s="338"/>
      <c r="AR422" s="338"/>
      <c r="AS422" s="338"/>
      <c r="AT422" s="338"/>
      <c r="AU422" s="338"/>
      <c r="AV422" s="338"/>
      <c r="AW422" s="338"/>
      <c r="AX422" s="338"/>
      <c r="AY422" s="338"/>
      <c r="AZ422" s="338"/>
      <c r="BA422" s="338"/>
      <c r="BB422" s="338"/>
      <c r="BC422" s="338"/>
    </row>
    <row r="423">
      <c r="A423" s="115"/>
      <c r="B423" s="180"/>
      <c r="C423" s="117"/>
      <c r="D423" s="117"/>
      <c r="E423" s="117"/>
      <c r="F423" s="115"/>
      <c r="G423" s="180"/>
      <c r="H423" s="117"/>
      <c r="I423" s="117"/>
      <c r="J423" s="117"/>
      <c r="K423" s="92"/>
      <c r="L423" s="180"/>
      <c r="M423" s="117"/>
      <c r="N423" s="117"/>
      <c r="O423" s="117"/>
      <c r="P423" s="92"/>
      <c r="Q423" s="150"/>
      <c r="R423" s="117"/>
      <c r="S423" s="117"/>
      <c r="T423" s="117"/>
      <c r="U423" s="115"/>
      <c r="V423" s="180"/>
      <c r="W423" s="117"/>
      <c r="X423" s="117"/>
      <c r="Y423" s="117"/>
      <c r="Z423" s="115"/>
      <c r="AA423" s="180"/>
      <c r="AB423" s="117"/>
      <c r="AC423" s="117"/>
      <c r="AD423" s="117"/>
      <c r="AE423" s="115"/>
      <c r="AF423" s="180"/>
      <c r="AG423" s="117"/>
      <c r="AH423" s="117"/>
      <c r="AI423" s="117"/>
      <c r="AJ423" s="115"/>
      <c r="AK423" s="180"/>
      <c r="AL423" s="117"/>
      <c r="AM423" s="117"/>
      <c r="AN423" s="117"/>
      <c r="AO423" s="338"/>
      <c r="AP423" s="338"/>
      <c r="AQ423" s="338"/>
      <c r="AR423" s="338"/>
      <c r="AS423" s="338"/>
      <c r="AT423" s="338"/>
      <c r="AU423" s="338"/>
      <c r="AV423" s="338"/>
      <c r="AW423" s="338"/>
      <c r="AX423" s="338"/>
      <c r="AY423" s="338"/>
      <c r="AZ423" s="338"/>
      <c r="BA423" s="338"/>
      <c r="BB423" s="338"/>
      <c r="BC423" s="338"/>
    </row>
    <row r="424">
      <c r="A424" s="115"/>
      <c r="B424" s="180"/>
      <c r="C424" s="117"/>
      <c r="D424" s="117"/>
      <c r="E424" s="117"/>
      <c r="F424" s="115"/>
      <c r="G424" s="180"/>
      <c r="H424" s="117"/>
      <c r="I424" s="117"/>
      <c r="J424" s="117"/>
      <c r="K424" s="92"/>
      <c r="L424" s="180"/>
      <c r="M424" s="117"/>
      <c r="N424" s="117"/>
      <c r="O424" s="117"/>
      <c r="P424" s="92"/>
      <c r="Q424" s="150"/>
      <c r="R424" s="117"/>
      <c r="S424" s="117"/>
      <c r="T424" s="117"/>
      <c r="U424" s="115"/>
      <c r="V424" s="180"/>
      <c r="W424" s="117"/>
      <c r="X424" s="117"/>
      <c r="Y424" s="117"/>
      <c r="Z424" s="115"/>
      <c r="AA424" s="180"/>
      <c r="AB424" s="117"/>
      <c r="AC424" s="117"/>
      <c r="AD424" s="117"/>
      <c r="AE424" s="115"/>
      <c r="AF424" s="180"/>
      <c r="AG424" s="117"/>
      <c r="AH424" s="117"/>
      <c r="AI424" s="117"/>
      <c r="AJ424" s="115"/>
      <c r="AK424" s="180"/>
      <c r="AL424" s="117"/>
      <c r="AM424" s="117"/>
      <c r="AN424" s="117"/>
      <c r="AO424" s="338"/>
      <c r="AP424" s="338"/>
      <c r="AQ424" s="338"/>
      <c r="AR424" s="338"/>
      <c r="AS424" s="338"/>
      <c r="AT424" s="338"/>
      <c r="AU424" s="338"/>
      <c r="AV424" s="338"/>
      <c r="AW424" s="338"/>
      <c r="AX424" s="338"/>
      <c r="AY424" s="338"/>
      <c r="AZ424" s="338"/>
      <c r="BA424" s="338"/>
      <c r="BB424" s="338"/>
      <c r="BC424" s="338"/>
    </row>
    <row r="425">
      <c r="A425" s="115"/>
      <c r="B425" s="180"/>
      <c r="C425" s="117"/>
      <c r="D425" s="117"/>
      <c r="E425" s="117"/>
      <c r="F425" s="115"/>
      <c r="G425" s="180"/>
      <c r="H425" s="117"/>
      <c r="I425" s="117"/>
      <c r="J425" s="117"/>
      <c r="K425" s="92"/>
      <c r="L425" s="180"/>
      <c r="M425" s="117"/>
      <c r="N425" s="117"/>
      <c r="O425" s="117"/>
      <c r="P425" s="92"/>
      <c r="Q425" s="150"/>
      <c r="R425" s="117"/>
      <c r="S425" s="117"/>
      <c r="T425" s="117"/>
      <c r="U425" s="115"/>
      <c r="V425" s="180"/>
      <c r="W425" s="117"/>
      <c r="X425" s="117"/>
      <c r="Y425" s="117"/>
      <c r="Z425" s="115"/>
      <c r="AA425" s="180"/>
      <c r="AB425" s="117"/>
      <c r="AC425" s="117"/>
      <c r="AD425" s="117"/>
      <c r="AE425" s="115"/>
      <c r="AF425" s="180"/>
      <c r="AG425" s="117"/>
      <c r="AH425" s="117"/>
      <c r="AI425" s="117"/>
      <c r="AJ425" s="115"/>
      <c r="AK425" s="180"/>
      <c r="AL425" s="117"/>
      <c r="AM425" s="117"/>
      <c r="AN425" s="117"/>
      <c r="AO425" s="338"/>
      <c r="AP425" s="338"/>
      <c r="AQ425" s="338"/>
      <c r="AR425" s="338"/>
      <c r="AS425" s="338"/>
      <c r="AT425" s="338"/>
      <c r="AU425" s="338"/>
      <c r="AV425" s="338"/>
      <c r="AW425" s="338"/>
      <c r="AX425" s="338"/>
      <c r="AY425" s="338"/>
      <c r="AZ425" s="338"/>
      <c r="BA425" s="338"/>
      <c r="BB425" s="338"/>
      <c r="BC425" s="338"/>
    </row>
    <row r="426">
      <c r="A426" s="115"/>
      <c r="B426" s="180"/>
      <c r="C426" s="117"/>
      <c r="D426" s="117"/>
      <c r="E426" s="117"/>
      <c r="F426" s="115"/>
      <c r="G426" s="180"/>
      <c r="H426" s="117"/>
      <c r="I426" s="117"/>
      <c r="J426" s="117"/>
      <c r="K426" s="92"/>
      <c r="L426" s="180"/>
      <c r="M426" s="117"/>
      <c r="N426" s="117"/>
      <c r="O426" s="117"/>
      <c r="P426" s="92"/>
      <c r="Q426" s="150"/>
      <c r="R426" s="117"/>
      <c r="S426" s="117"/>
      <c r="T426" s="117"/>
      <c r="U426" s="115"/>
      <c r="V426" s="180"/>
      <c r="W426" s="117"/>
      <c r="X426" s="117"/>
      <c r="Y426" s="117"/>
      <c r="Z426" s="115"/>
      <c r="AA426" s="180"/>
      <c r="AB426" s="117"/>
      <c r="AC426" s="117"/>
      <c r="AD426" s="117"/>
      <c r="AE426" s="115"/>
      <c r="AF426" s="180"/>
      <c r="AG426" s="117"/>
      <c r="AH426" s="117"/>
      <c r="AI426" s="117"/>
      <c r="AJ426" s="115"/>
      <c r="AK426" s="180"/>
      <c r="AL426" s="117"/>
      <c r="AM426" s="117"/>
      <c r="AN426" s="117"/>
      <c r="AO426" s="338"/>
      <c r="AP426" s="338"/>
      <c r="AQ426" s="338"/>
      <c r="AR426" s="338"/>
      <c r="AS426" s="338"/>
      <c r="AT426" s="338"/>
      <c r="AU426" s="338"/>
      <c r="AV426" s="338"/>
      <c r="AW426" s="338"/>
      <c r="AX426" s="338"/>
      <c r="AY426" s="338"/>
      <c r="AZ426" s="338"/>
      <c r="BA426" s="338"/>
      <c r="BB426" s="338"/>
      <c r="BC426" s="338"/>
    </row>
    <row r="427">
      <c r="A427" s="115"/>
      <c r="B427" s="180"/>
      <c r="C427" s="117"/>
      <c r="D427" s="117"/>
      <c r="E427" s="117"/>
      <c r="F427" s="115"/>
      <c r="G427" s="180"/>
      <c r="H427" s="117"/>
      <c r="I427" s="117"/>
      <c r="J427" s="117"/>
      <c r="K427" s="92"/>
      <c r="L427" s="180"/>
      <c r="M427" s="117"/>
      <c r="N427" s="117"/>
      <c r="O427" s="117"/>
      <c r="P427" s="92"/>
      <c r="Q427" s="150"/>
      <c r="R427" s="117"/>
      <c r="S427" s="117"/>
      <c r="T427" s="117"/>
      <c r="U427" s="115"/>
      <c r="V427" s="180"/>
      <c r="W427" s="117"/>
      <c r="X427" s="117"/>
      <c r="Y427" s="117"/>
      <c r="Z427" s="115"/>
      <c r="AA427" s="180"/>
      <c r="AB427" s="117"/>
      <c r="AC427" s="117"/>
      <c r="AD427" s="117"/>
      <c r="AE427" s="115"/>
      <c r="AF427" s="180"/>
      <c r="AG427" s="117"/>
      <c r="AH427" s="117"/>
      <c r="AI427" s="117"/>
      <c r="AJ427" s="115"/>
      <c r="AK427" s="180"/>
      <c r="AL427" s="117"/>
      <c r="AM427" s="117"/>
      <c r="AN427" s="117"/>
      <c r="AO427" s="338"/>
      <c r="AP427" s="338"/>
      <c r="AQ427" s="338"/>
      <c r="AR427" s="338"/>
      <c r="AS427" s="338"/>
      <c r="AT427" s="338"/>
      <c r="AU427" s="338"/>
      <c r="AV427" s="338"/>
      <c r="AW427" s="338"/>
      <c r="AX427" s="338"/>
      <c r="AY427" s="338"/>
      <c r="AZ427" s="338"/>
      <c r="BA427" s="338"/>
      <c r="BB427" s="338"/>
      <c r="BC427" s="338"/>
    </row>
    <row r="428">
      <c r="A428" s="115"/>
      <c r="B428" s="180"/>
      <c r="C428" s="117"/>
      <c r="D428" s="117"/>
      <c r="E428" s="117"/>
      <c r="F428" s="115"/>
      <c r="G428" s="180"/>
      <c r="H428" s="117"/>
      <c r="I428" s="117"/>
      <c r="J428" s="117"/>
      <c r="K428" s="92"/>
      <c r="L428" s="180"/>
      <c r="M428" s="117"/>
      <c r="N428" s="117"/>
      <c r="O428" s="117"/>
      <c r="P428" s="92"/>
      <c r="Q428" s="150"/>
      <c r="R428" s="117"/>
      <c r="S428" s="117"/>
      <c r="T428" s="117"/>
      <c r="U428" s="115"/>
      <c r="V428" s="180"/>
      <c r="W428" s="117"/>
      <c r="X428" s="117"/>
      <c r="Y428" s="117"/>
      <c r="Z428" s="115"/>
      <c r="AA428" s="180"/>
      <c r="AB428" s="117"/>
      <c r="AC428" s="117"/>
      <c r="AD428" s="117"/>
      <c r="AE428" s="115"/>
      <c r="AF428" s="180"/>
      <c r="AG428" s="117"/>
      <c r="AH428" s="117"/>
      <c r="AI428" s="117"/>
      <c r="AJ428" s="115"/>
      <c r="AK428" s="180"/>
      <c r="AL428" s="117"/>
      <c r="AM428" s="117"/>
      <c r="AN428" s="117"/>
      <c r="AO428" s="338"/>
      <c r="AP428" s="338"/>
      <c r="AQ428" s="338"/>
      <c r="AR428" s="338"/>
      <c r="AS428" s="338"/>
      <c r="AT428" s="338"/>
      <c r="AU428" s="338"/>
      <c r="AV428" s="338"/>
      <c r="AW428" s="338"/>
      <c r="AX428" s="338"/>
      <c r="AY428" s="338"/>
      <c r="AZ428" s="338"/>
      <c r="BA428" s="338"/>
      <c r="BB428" s="338"/>
      <c r="BC428" s="338"/>
    </row>
    <row r="429">
      <c r="A429" s="115"/>
      <c r="B429" s="180"/>
      <c r="C429" s="117"/>
      <c r="D429" s="117"/>
      <c r="E429" s="117"/>
      <c r="F429" s="115"/>
      <c r="G429" s="180"/>
      <c r="H429" s="117"/>
      <c r="I429" s="117"/>
      <c r="J429" s="117"/>
      <c r="K429" s="92"/>
      <c r="L429" s="180"/>
      <c r="M429" s="117"/>
      <c r="N429" s="117"/>
      <c r="O429" s="117"/>
      <c r="P429" s="92"/>
      <c r="Q429" s="150"/>
      <c r="R429" s="117"/>
      <c r="S429" s="117"/>
      <c r="T429" s="117"/>
      <c r="U429" s="115"/>
      <c r="V429" s="180"/>
      <c r="W429" s="117"/>
      <c r="X429" s="117"/>
      <c r="Y429" s="117"/>
      <c r="Z429" s="115"/>
      <c r="AA429" s="180"/>
      <c r="AB429" s="117"/>
      <c r="AC429" s="117"/>
      <c r="AD429" s="117"/>
      <c r="AE429" s="115"/>
      <c r="AF429" s="180"/>
      <c r="AG429" s="117"/>
      <c r="AH429" s="117"/>
      <c r="AI429" s="117"/>
      <c r="AJ429" s="115"/>
      <c r="AK429" s="180"/>
      <c r="AL429" s="117"/>
      <c r="AM429" s="117"/>
      <c r="AN429" s="117"/>
      <c r="AO429" s="338"/>
      <c r="AP429" s="338"/>
      <c r="AQ429" s="338"/>
      <c r="AR429" s="338"/>
      <c r="AS429" s="338"/>
      <c r="AT429" s="338"/>
      <c r="AU429" s="338"/>
      <c r="AV429" s="338"/>
      <c r="AW429" s="338"/>
      <c r="AX429" s="338"/>
      <c r="AY429" s="338"/>
      <c r="AZ429" s="338"/>
      <c r="BA429" s="338"/>
      <c r="BB429" s="338"/>
      <c r="BC429" s="338"/>
    </row>
    <row r="430">
      <c r="A430" s="115"/>
      <c r="B430" s="180"/>
      <c r="C430" s="117"/>
      <c r="D430" s="117"/>
      <c r="E430" s="117"/>
      <c r="F430" s="115"/>
      <c r="G430" s="180"/>
      <c r="H430" s="117"/>
      <c r="I430" s="117"/>
      <c r="J430" s="117"/>
      <c r="K430" s="92"/>
      <c r="L430" s="180"/>
      <c r="M430" s="117"/>
      <c r="N430" s="117"/>
      <c r="O430" s="117"/>
      <c r="P430" s="92"/>
      <c r="Q430" s="150"/>
      <c r="R430" s="117"/>
      <c r="S430" s="117"/>
      <c r="T430" s="117"/>
      <c r="U430" s="115"/>
      <c r="V430" s="180"/>
      <c r="W430" s="117"/>
      <c r="X430" s="117"/>
      <c r="Y430" s="117"/>
      <c r="Z430" s="115"/>
      <c r="AA430" s="180"/>
      <c r="AB430" s="117"/>
      <c r="AC430" s="117"/>
      <c r="AD430" s="117"/>
      <c r="AE430" s="115"/>
      <c r="AF430" s="180"/>
      <c r="AG430" s="117"/>
      <c r="AH430" s="117"/>
      <c r="AI430" s="117"/>
      <c r="AJ430" s="115"/>
      <c r="AK430" s="180"/>
      <c r="AL430" s="117"/>
      <c r="AM430" s="117"/>
      <c r="AN430" s="117"/>
      <c r="AO430" s="338"/>
      <c r="AP430" s="338"/>
      <c r="AQ430" s="338"/>
      <c r="AR430" s="338"/>
      <c r="AS430" s="338"/>
      <c r="AT430" s="338"/>
      <c r="AU430" s="338"/>
      <c r="AV430" s="338"/>
      <c r="AW430" s="338"/>
      <c r="AX430" s="338"/>
      <c r="AY430" s="338"/>
      <c r="AZ430" s="338"/>
      <c r="BA430" s="338"/>
      <c r="BB430" s="338"/>
      <c r="BC430" s="338"/>
    </row>
    <row r="431">
      <c r="A431" s="115"/>
      <c r="B431" s="180"/>
      <c r="C431" s="117"/>
      <c r="D431" s="117"/>
      <c r="E431" s="117"/>
      <c r="F431" s="115"/>
      <c r="G431" s="180"/>
      <c r="H431" s="117"/>
      <c r="I431" s="117"/>
      <c r="J431" s="117"/>
      <c r="K431" s="92"/>
      <c r="L431" s="180"/>
      <c r="M431" s="117"/>
      <c r="N431" s="117"/>
      <c r="O431" s="117"/>
      <c r="P431" s="92"/>
      <c r="Q431" s="150"/>
      <c r="R431" s="117"/>
      <c r="S431" s="117"/>
      <c r="T431" s="117"/>
      <c r="U431" s="115"/>
      <c r="V431" s="180"/>
      <c r="W431" s="117"/>
      <c r="X431" s="117"/>
      <c r="Y431" s="117"/>
      <c r="Z431" s="115"/>
      <c r="AA431" s="180"/>
      <c r="AB431" s="117"/>
      <c r="AC431" s="117"/>
      <c r="AD431" s="117"/>
      <c r="AE431" s="115"/>
      <c r="AF431" s="180"/>
      <c r="AG431" s="117"/>
      <c r="AH431" s="117"/>
      <c r="AI431" s="117"/>
      <c r="AJ431" s="115"/>
      <c r="AK431" s="180"/>
      <c r="AL431" s="117"/>
      <c r="AM431" s="117"/>
      <c r="AN431" s="117"/>
      <c r="AO431" s="338"/>
      <c r="AP431" s="338"/>
      <c r="AQ431" s="338"/>
      <c r="AR431" s="338"/>
      <c r="AS431" s="338"/>
      <c r="AT431" s="338"/>
      <c r="AU431" s="338"/>
      <c r="AV431" s="338"/>
      <c r="AW431" s="338"/>
      <c r="AX431" s="338"/>
      <c r="AY431" s="338"/>
      <c r="AZ431" s="338"/>
      <c r="BA431" s="338"/>
      <c r="BB431" s="338"/>
      <c r="BC431" s="338"/>
    </row>
    <row r="432">
      <c r="A432" s="115"/>
      <c r="B432" s="180"/>
      <c r="C432" s="117"/>
      <c r="D432" s="117"/>
      <c r="E432" s="117"/>
      <c r="F432" s="115"/>
      <c r="G432" s="180"/>
      <c r="H432" s="117"/>
      <c r="I432" s="117"/>
      <c r="J432" s="117"/>
      <c r="K432" s="92"/>
      <c r="L432" s="180"/>
      <c r="M432" s="117"/>
      <c r="N432" s="117"/>
      <c r="O432" s="117"/>
      <c r="P432" s="92"/>
      <c r="Q432" s="150"/>
      <c r="R432" s="117"/>
      <c r="S432" s="117"/>
      <c r="T432" s="117"/>
      <c r="U432" s="115"/>
      <c r="V432" s="180"/>
      <c r="W432" s="117"/>
      <c r="X432" s="117"/>
      <c r="Y432" s="117"/>
      <c r="Z432" s="115"/>
      <c r="AA432" s="180"/>
      <c r="AB432" s="117"/>
      <c r="AC432" s="117"/>
      <c r="AD432" s="117"/>
      <c r="AE432" s="115"/>
      <c r="AF432" s="180"/>
      <c r="AG432" s="117"/>
      <c r="AH432" s="117"/>
      <c r="AI432" s="117"/>
      <c r="AJ432" s="115"/>
      <c r="AK432" s="180"/>
      <c r="AL432" s="117"/>
      <c r="AM432" s="117"/>
      <c r="AN432" s="117"/>
      <c r="AO432" s="338"/>
      <c r="AP432" s="338"/>
      <c r="AQ432" s="338"/>
      <c r="AR432" s="338"/>
      <c r="AS432" s="338"/>
      <c r="AT432" s="338"/>
      <c r="AU432" s="338"/>
      <c r="AV432" s="338"/>
      <c r="AW432" s="338"/>
      <c r="AX432" s="338"/>
      <c r="AY432" s="338"/>
      <c r="AZ432" s="338"/>
      <c r="BA432" s="338"/>
      <c r="BB432" s="338"/>
      <c r="BC432" s="338"/>
    </row>
    <row r="433">
      <c r="A433" s="115"/>
      <c r="B433" s="180"/>
      <c r="C433" s="117"/>
      <c r="D433" s="117"/>
      <c r="E433" s="117"/>
      <c r="F433" s="115"/>
      <c r="G433" s="180"/>
      <c r="H433" s="117"/>
      <c r="I433" s="117"/>
      <c r="J433" s="117"/>
      <c r="K433" s="92"/>
      <c r="L433" s="180"/>
      <c r="M433" s="117"/>
      <c r="N433" s="117"/>
      <c r="O433" s="117"/>
      <c r="P433" s="92"/>
      <c r="Q433" s="150"/>
      <c r="R433" s="117"/>
      <c r="S433" s="117"/>
      <c r="T433" s="117"/>
      <c r="U433" s="115"/>
      <c r="V433" s="180"/>
      <c r="W433" s="117"/>
      <c r="X433" s="117"/>
      <c r="Y433" s="117"/>
      <c r="Z433" s="115"/>
      <c r="AA433" s="180"/>
      <c r="AB433" s="117"/>
      <c r="AC433" s="117"/>
      <c r="AD433" s="117"/>
      <c r="AE433" s="115"/>
      <c r="AF433" s="180"/>
      <c r="AG433" s="117"/>
      <c r="AH433" s="117"/>
      <c r="AI433" s="117"/>
      <c r="AJ433" s="115"/>
      <c r="AK433" s="180"/>
      <c r="AL433" s="117"/>
      <c r="AM433" s="117"/>
      <c r="AN433" s="117"/>
      <c r="AO433" s="338"/>
      <c r="AP433" s="338"/>
      <c r="AQ433" s="338"/>
      <c r="AR433" s="338"/>
      <c r="AS433" s="338"/>
      <c r="AT433" s="338"/>
      <c r="AU433" s="338"/>
      <c r="AV433" s="338"/>
      <c r="AW433" s="338"/>
      <c r="AX433" s="338"/>
      <c r="AY433" s="338"/>
      <c r="AZ433" s="338"/>
      <c r="BA433" s="338"/>
      <c r="BB433" s="338"/>
      <c r="BC433" s="338"/>
    </row>
    <row r="434">
      <c r="A434" s="115"/>
      <c r="B434" s="180"/>
      <c r="C434" s="117"/>
      <c r="D434" s="117"/>
      <c r="E434" s="117"/>
      <c r="F434" s="115"/>
      <c r="G434" s="180"/>
      <c r="H434" s="117"/>
      <c r="I434" s="117"/>
      <c r="J434" s="117"/>
      <c r="K434" s="92"/>
      <c r="L434" s="180"/>
      <c r="M434" s="117"/>
      <c r="N434" s="117"/>
      <c r="O434" s="117"/>
      <c r="P434" s="92"/>
      <c r="Q434" s="150"/>
      <c r="R434" s="117"/>
      <c r="S434" s="117"/>
      <c r="T434" s="117"/>
      <c r="U434" s="115"/>
      <c r="V434" s="180"/>
      <c r="W434" s="117"/>
      <c r="X434" s="117"/>
      <c r="Y434" s="117"/>
      <c r="Z434" s="115"/>
      <c r="AA434" s="180"/>
      <c r="AB434" s="117"/>
      <c r="AC434" s="117"/>
      <c r="AD434" s="117"/>
      <c r="AE434" s="115"/>
      <c r="AF434" s="180"/>
      <c r="AG434" s="117"/>
      <c r="AH434" s="117"/>
      <c r="AI434" s="117"/>
      <c r="AJ434" s="115"/>
      <c r="AK434" s="180"/>
      <c r="AL434" s="117"/>
      <c r="AM434" s="117"/>
      <c r="AN434" s="117"/>
      <c r="AO434" s="338"/>
      <c r="AP434" s="338"/>
      <c r="AQ434" s="338"/>
      <c r="AR434" s="338"/>
      <c r="AS434" s="338"/>
      <c r="AT434" s="338"/>
      <c r="AU434" s="338"/>
      <c r="AV434" s="338"/>
      <c r="AW434" s="338"/>
      <c r="AX434" s="338"/>
      <c r="AY434" s="338"/>
      <c r="AZ434" s="338"/>
      <c r="BA434" s="338"/>
      <c r="BB434" s="338"/>
      <c r="BC434" s="338"/>
    </row>
    <row r="435">
      <c r="A435" s="115"/>
      <c r="B435" s="180"/>
      <c r="C435" s="117"/>
      <c r="D435" s="117"/>
      <c r="E435" s="117"/>
      <c r="F435" s="115"/>
      <c r="G435" s="180"/>
      <c r="H435" s="117"/>
      <c r="I435" s="117"/>
      <c r="J435" s="117"/>
      <c r="K435" s="92"/>
      <c r="L435" s="180"/>
      <c r="M435" s="117"/>
      <c r="N435" s="117"/>
      <c r="O435" s="117"/>
      <c r="P435" s="92"/>
      <c r="Q435" s="150"/>
      <c r="R435" s="117"/>
      <c r="S435" s="117"/>
      <c r="T435" s="117"/>
      <c r="U435" s="115"/>
      <c r="V435" s="180"/>
      <c r="W435" s="117"/>
      <c r="X435" s="117"/>
      <c r="Y435" s="117"/>
      <c r="Z435" s="115"/>
      <c r="AA435" s="180"/>
      <c r="AB435" s="117"/>
      <c r="AC435" s="117"/>
      <c r="AD435" s="117"/>
      <c r="AE435" s="115"/>
      <c r="AF435" s="180"/>
      <c r="AG435" s="117"/>
      <c r="AH435" s="117"/>
      <c r="AI435" s="117"/>
      <c r="AJ435" s="115"/>
      <c r="AK435" s="180"/>
      <c r="AL435" s="117"/>
      <c r="AM435" s="117"/>
      <c r="AN435" s="117"/>
      <c r="AO435" s="338"/>
      <c r="AP435" s="338"/>
      <c r="AQ435" s="338"/>
      <c r="AR435" s="338"/>
      <c r="AS435" s="338"/>
      <c r="AT435" s="338"/>
      <c r="AU435" s="338"/>
      <c r="AV435" s="338"/>
      <c r="AW435" s="338"/>
      <c r="AX435" s="338"/>
      <c r="AY435" s="338"/>
      <c r="AZ435" s="338"/>
      <c r="BA435" s="338"/>
      <c r="BB435" s="338"/>
      <c r="BC435" s="338"/>
    </row>
    <row r="436">
      <c r="A436" s="115"/>
      <c r="B436" s="180"/>
      <c r="C436" s="117"/>
      <c r="D436" s="117"/>
      <c r="E436" s="117"/>
      <c r="F436" s="115"/>
      <c r="G436" s="180"/>
      <c r="H436" s="117"/>
      <c r="I436" s="117"/>
      <c r="J436" s="117"/>
      <c r="K436" s="92"/>
      <c r="L436" s="180"/>
      <c r="M436" s="117"/>
      <c r="N436" s="117"/>
      <c r="O436" s="117"/>
      <c r="P436" s="92"/>
      <c r="Q436" s="150"/>
      <c r="R436" s="117"/>
      <c r="S436" s="117"/>
      <c r="T436" s="117"/>
      <c r="U436" s="115"/>
      <c r="V436" s="180"/>
      <c r="W436" s="117"/>
      <c r="X436" s="117"/>
      <c r="Y436" s="117"/>
      <c r="Z436" s="115"/>
      <c r="AA436" s="180"/>
      <c r="AB436" s="117"/>
      <c r="AC436" s="117"/>
      <c r="AD436" s="117"/>
      <c r="AE436" s="115"/>
      <c r="AF436" s="180"/>
      <c r="AG436" s="117"/>
      <c r="AH436" s="117"/>
      <c r="AI436" s="117"/>
      <c r="AJ436" s="115"/>
      <c r="AK436" s="180"/>
      <c r="AL436" s="117"/>
      <c r="AM436" s="117"/>
      <c r="AN436" s="117"/>
      <c r="AO436" s="338"/>
      <c r="AP436" s="338"/>
      <c r="AQ436" s="338"/>
      <c r="AR436" s="338"/>
      <c r="AS436" s="338"/>
      <c r="AT436" s="338"/>
      <c r="AU436" s="338"/>
      <c r="AV436" s="338"/>
      <c r="AW436" s="338"/>
      <c r="AX436" s="338"/>
      <c r="AY436" s="338"/>
      <c r="AZ436" s="338"/>
      <c r="BA436" s="338"/>
      <c r="BB436" s="338"/>
      <c r="BC436" s="338"/>
    </row>
    <row r="437">
      <c r="A437" s="115"/>
      <c r="B437" s="180"/>
      <c r="C437" s="117"/>
      <c r="D437" s="117"/>
      <c r="E437" s="117"/>
      <c r="F437" s="115"/>
      <c r="G437" s="180"/>
      <c r="H437" s="117"/>
      <c r="I437" s="117"/>
      <c r="J437" s="117"/>
      <c r="K437" s="92"/>
      <c r="L437" s="180"/>
      <c r="M437" s="117"/>
      <c r="N437" s="117"/>
      <c r="O437" s="117"/>
      <c r="P437" s="92"/>
      <c r="Q437" s="150"/>
      <c r="R437" s="117"/>
      <c r="S437" s="117"/>
      <c r="T437" s="117"/>
      <c r="U437" s="115"/>
      <c r="V437" s="180"/>
      <c r="W437" s="117"/>
      <c r="X437" s="117"/>
      <c r="Y437" s="117"/>
      <c r="Z437" s="115"/>
      <c r="AA437" s="180"/>
      <c r="AB437" s="117"/>
      <c r="AC437" s="117"/>
      <c r="AD437" s="117"/>
      <c r="AE437" s="115"/>
      <c r="AF437" s="180"/>
      <c r="AG437" s="117"/>
      <c r="AH437" s="117"/>
      <c r="AI437" s="117"/>
      <c r="AJ437" s="115"/>
      <c r="AK437" s="180"/>
      <c r="AL437" s="117"/>
      <c r="AM437" s="117"/>
      <c r="AN437" s="117"/>
      <c r="AO437" s="338"/>
      <c r="AP437" s="338"/>
      <c r="AQ437" s="338"/>
      <c r="AR437" s="338"/>
      <c r="AS437" s="338"/>
      <c r="AT437" s="338"/>
      <c r="AU437" s="338"/>
      <c r="AV437" s="338"/>
      <c r="AW437" s="338"/>
      <c r="AX437" s="338"/>
      <c r="AY437" s="338"/>
      <c r="AZ437" s="338"/>
      <c r="BA437" s="338"/>
      <c r="BB437" s="338"/>
      <c r="BC437" s="338"/>
    </row>
    <row r="438">
      <c r="A438" s="115"/>
      <c r="B438" s="180"/>
      <c r="C438" s="117"/>
      <c r="D438" s="117"/>
      <c r="E438" s="117"/>
      <c r="F438" s="115"/>
      <c r="G438" s="180"/>
      <c r="H438" s="117"/>
      <c r="I438" s="117"/>
      <c r="J438" s="117"/>
      <c r="K438" s="92"/>
      <c r="L438" s="180"/>
      <c r="M438" s="117"/>
      <c r="N438" s="117"/>
      <c r="O438" s="117"/>
      <c r="P438" s="92"/>
      <c r="Q438" s="150"/>
      <c r="R438" s="117"/>
      <c r="S438" s="117"/>
      <c r="T438" s="117"/>
      <c r="U438" s="115"/>
      <c r="V438" s="180"/>
      <c r="W438" s="117"/>
      <c r="X438" s="117"/>
      <c r="Y438" s="117"/>
      <c r="Z438" s="115"/>
      <c r="AA438" s="180"/>
      <c r="AB438" s="117"/>
      <c r="AC438" s="117"/>
      <c r="AD438" s="117"/>
      <c r="AE438" s="115"/>
      <c r="AF438" s="180"/>
      <c r="AG438" s="117"/>
      <c r="AH438" s="117"/>
      <c r="AI438" s="117"/>
      <c r="AJ438" s="115"/>
      <c r="AK438" s="180"/>
      <c r="AL438" s="117"/>
      <c r="AM438" s="117"/>
      <c r="AN438" s="117"/>
      <c r="AO438" s="338"/>
      <c r="AP438" s="338"/>
      <c r="AQ438" s="338"/>
      <c r="AR438" s="338"/>
      <c r="AS438" s="338"/>
      <c r="AT438" s="338"/>
      <c r="AU438" s="338"/>
      <c r="AV438" s="338"/>
      <c r="AW438" s="338"/>
      <c r="AX438" s="338"/>
      <c r="AY438" s="338"/>
      <c r="AZ438" s="338"/>
      <c r="BA438" s="338"/>
      <c r="BB438" s="338"/>
      <c r="BC438" s="338"/>
    </row>
    <row r="439">
      <c r="A439" s="115"/>
      <c r="B439" s="180"/>
      <c r="C439" s="117"/>
      <c r="D439" s="117"/>
      <c r="E439" s="117"/>
      <c r="F439" s="115"/>
      <c r="G439" s="180"/>
      <c r="H439" s="117"/>
      <c r="I439" s="117"/>
      <c r="J439" s="117"/>
      <c r="K439" s="92"/>
      <c r="L439" s="180"/>
      <c r="M439" s="117"/>
      <c r="N439" s="117"/>
      <c r="O439" s="117"/>
      <c r="P439" s="92"/>
      <c r="Q439" s="150"/>
      <c r="R439" s="117"/>
      <c r="S439" s="117"/>
      <c r="T439" s="117"/>
      <c r="U439" s="115"/>
      <c r="V439" s="180"/>
      <c r="W439" s="117"/>
      <c r="X439" s="117"/>
      <c r="Y439" s="117"/>
      <c r="Z439" s="115"/>
      <c r="AA439" s="180"/>
      <c r="AB439" s="117"/>
      <c r="AC439" s="117"/>
      <c r="AD439" s="117"/>
      <c r="AE439" s="115"/>
      <c r="AF439" s="180"/>
      <c r="AG439" s="117"/>
      <c r="AH439" s="117"/>
      <c r="AI439" s="117"/>
      <c r="AJ439" s="115"/>
      <c r="AK439" s="180"/>
      <c r="AL439" s="117"/>
      <c r="AM439" s="117"/>
      <c r="AN439" s="117"/>
      <c r="AO439" s="338"/>
      <c r="AP439" s="338"/>
      <c r="AQ439" s="338"/>
      <c r="AR439" s="338"/>
      <c r="AS439" s="338"/>
      <c r="AT439" s="338"/>
      <c r="AU439" s="338"/>
      <c r="AV439" s="338"/>
      <c r="AW439" s="338"/>
      <c r="AX439" s="338"/>
      <c r="AY439" s="338"/>
      <c r="AZ439" s="338"/>
      <c r="BA439" s="338"/>
      <c r="BB439" s="338"/>
      <c r="BC439" s="338"/>
    </row>
    <row r="440">
      <c r="A440" s="115"/>
      <c r="B440" s="180"/>
      <c r="C440" s="117"/>
      <c r="D440" s="117"/>
      <c r="E440" s="117"/>
      <c r="F440" s="115"/>
      <c r="G440" s="180"/>
      <c r="H440" s="117"/>
      <c r="I440" s="117"/>
      <c r="J440" s="117"/>
      <c r="K440" s="92"/>
      <c r="L440" s="180"/>
      <c r="M440" s="117"/>
      <c r="N440" s="117"/>
      <c r="O440" s="117"/>
      <c r="P440" s="92"/>
      <c r="Q440" s="150"/>
      <c r="R440" s="117"/>
      <c r="S440" s="117"/>
      <c r="T440" s="117"/>
      <c r="U440" s="115"/>
      <c r="V440" s="180"/>
      <c r="W440" s="117"/>
      <c r="X440" s="117"/>
      <c r="Y440" s="117"/>
      <c r="Z440" s="115"/>
      <c r="AA440" s="180"/>
      <c r="AB440" s="117"/>
      <c r="AC440" s="117"/>
      <c r="AD440" s="117"/>
      <c r="AE440" s="115"/>
      <c r="AF440" s="180"/>
      <c r="AG440" s="117"/>
      <c r="AH440" s="117"/>
      <c r="AI440" s="117"/>
      <c r="AJ440" s="115"/>
      <c r="AK440" s="180"/>
      <c r="AL440" s="117"/>
      <c r="AM440" s="117"/>
      <c r="AN440" s="117"/>
      <c r="AO440" s="338"/>
      <c r="AP440" s="338"/>
      <c r="AQ440" s="338"/>
      <c r="AR440" s="338"/>
      <c r="AS440" s="338"/>
      <c r="AT440" s="338"/>
      <c r="AU440" s="338"/>
      <c r="AV440" s="338"/>
      <c r="AW440" s="338"/>
      <c r="AX440" s="338"/>
      <c r="AY440" s="338"/>
      <c r="AZ440" s="338"/>
      <c r="BA440" s="338"/>
      <c r="BB440" s="338"/>
      <c r="BC440" s="338"/>
    </row>
    <row r="441">
      <c r="A441" s="115"/>
      <c r="B441" s="180"/>
      <c r="C441" s="117"/>
      <c r="D441" s="117"/>
      <c r="E441" s="117"/>
      <c r="F441" s="115"/>
      <c r="G441" s="180"/>
      <c r="H441" s="117"/>
      <c r="I441" s="117"/>
      <c r="J441" s="117"/>
      <c r="K441" s="92"/>
      <c r="L441" s="180"/>
      <c r="M441" s="117"/>
      <c r="N441" s="117"/>
      <c r="O441" s="117"/>
      <c r="P441" s="92"/>
      <c r="Q441" s="150"/>
      <c r="R441" s="117"/>
      <c r="S441" s="117"/>
      <c r="T441" s="117"/>
      <c r="U441" s="115"/>
      <c r="V441" s="180"/>
      <c r="W441" s="117"/>
      <c r="X441" s="117"/>
      <c r="Y441" s="117"/>
      <c r="Z441" s="115"/>
      <c r="AA441" s="180"/>
      <c r="AB441" s="117"/>
      <c r="AC441" s="117"/>
      <c r="AD441" s="117"/>
      <c r="AE441" s="115"/>
      <c r="AF441" s="180"/>
      <c r="AG441" s="117"/>
      <c r="AH441" s="117"/>
      <c r="AI441" s="117"/>
      <c r="AJ441" s="115"/>
      <c r="AK441" s="180"/>
      <c r="AL441" s="117"/>
      <c r="AM441" s="117"/>
      <c r="AN441" s="117"/>
      <c r="AO441" s="338"/>
      <c r="AP441" s="338"/>
      <c r="AQ441" s="338"/>
      <c r="AR441" s="338"/>
      <c r="AS441" s="338"/>
      <c r="AT441" s="338"/>
      <c r="AU441" s="338"/>
      <c r="AV441" s="338"/>
      <c r="AW441" s="338"/>
      <c r="AX441" s="338"/>
      <c r="AY441" s="338"/>
      <c r="AZ441" s="338"/>
      <c r="BA441" s="338"/>
      <c r="BB441" s="338"/>
      <c r="BC441" s="338"/>
    </row>
    <row r="442">
      <c r="A442" s="115"/>
      <c r="B442" s="180"/>
      <c r="C442" s="117"/>
      <c r="D442" s="117"/>
      <c r="E442" s="117"/>
      <c r="F442" s="115"/>
      <c r="G442" s="180"/>
      <c r="H442" s="117"/>
      <c r="I442" s="117"/>
      <c r="J442" s="117"/>
      <c r="K442" s="92"/>
      <c r="L442" s="180"/>
      <c r="M442" s="117"/>
      <c r="N442" s="117"/>
      <c r="O442" s="117"/>
      <c r="P442" s="92"/>
      <c r="Q442" s="150"/>
      <c r="R442" s="117"/>
      <c r="S442" s="117"/>
      <c r="T442" s="117"/>
      <c r="U442" s="115"/>
      <c r="V442" s="180"/>
      <c r="W442" s="117"/>
      <c r="X442" s="117"/>
      <c r="Y442" s="117"/>
      <c r="Z442" s="115"/>
      <c r="AA442" s="180"/>
      <c r="AB442" s="117"/>
      <c r="AC442" s="117"/>
      <c r="AD442" s="117"/>
      <c r="AE442" s="115"/>
      <c r="AF442" s="180"/>
      <c r="AG442" s="117"/>
      <c r="AH442" s="117"/>
      <c r="AI442" s="117"/>
      <c r="AJ442" s="115"/>
      <c r="AK442" s="180"/>
      <c r="AL442" s="117"/>
      <c r="AM442" s="117"/>
      <c r="AN442" s="117"/>
      <c r="AO442" s="338"/>
      <c r="AP442" s="338"/>
      <c r="AQ442" s="338"/>
      <c r="AR442" s="338"/>
      <c r="AS442" s="338"/>
      <c r="AT442" s="338"/>
      <c r="AU442" s="338"/>
      <c r="AV442" s="338"/>
      <c r="AW442" s="338"/>
      <c r="AX442" s="338"/>
      <c r="AY442" s="338"/>
      <c r="AZ442" s="338"/>
      <c r="BA442" s="338"/>
      <c r="BB442" s="338"/>
      <c r="BC442" s="338"/>
    </row>
    <row r="443">
      <c r="A443" s="115"/>
      <c r="B443" s="180"/>
      <c r="C443" s="117"/>
      <c r="D443" s="117"/>
      <c r="E443" s="117"/>
      <c r="F443" s="115"/>
      <c r="G443" s="180"/>
      <c r="H443" s="117"/>
      <c r="I443" s="117"/>
      <c r="J443" s="117"/>
      <c r="K443" s="92"/>
      <c r="L443" s="180"/>
      <c r="M443" s="117"/>
      <c r="N443" s="117"/>
      <c r="O443" s="117"/>
      <c r="P443" s="92"/>
      <c r="Q443" s="150"/>
      <c r="R443" s="117"/>
      <c r="S443" s="117"/>
      <c r="T443" s="117"/>
      <c r="U443" s="115"/>
      <c r="V443" s="180"/>
      <c r="W443" s="117"/>
      <c r="X443" s="117"/>
      <c r="Y443" s="117"/>
      <c r="Z443" s="115"/>
      <c r="AA443" s="180"/>
      <c r="AB443" s="117"/>
      <c r="AC443" s="117"/>
      <c r="AD443" s="117"/>
      <c r="AE443" s="115"/>
      <c r="AF443" s="180"/>
      <c r="AG443" s="117"/>
      <c r="AH443" s="117"/>
      <c r="AI443" s="117"/>
      <c r="AJ443" s="115"/>
      <c r="AK443" s="180"/>
      <c r="AL443" s="117"/>
      <c r="AM443" s="117"/>
      <c r="AN443" s="117"/>
      <c r="AO443" s="338"/>
      <c r="AP443" s="338"/>
      <c r="AQ443" s="338"/>
      <c r="AR443" s="338"/>
      <c r="AS443" s="338"/>
      <c r="AT443" s="338"/>
      <c r="AU443" s="338"/>
      <c r="AV443" s="338"/>
      <c r="AW443" s="338"/>
      <c r="AX443" s="338"/>
      <c r="AY443" s="338"/>
      <c r="AZ443" s="338"/>
      <c r="BA443" s="338"/>
      <c r="BB443" s="338"/>
      <c r="BC443" s="338"/>
    </row>
    <row r="444">
      <c r="A444" s="115"/>
      <c r="B444" s="180"/>
      <c r="C444" s="117"/>
      <c r="D444" s="117"/>
      <c r="E444" s="117"/>
      <c r="F444" s="115"/>
      <c r="G444" s="180"/>
      <c r="H444" s="117"/>
      <c r="I444" s="117"/>
      <c r="J444" s="117"/>
      <c r="K444" s="92"/>
      <c r="L444" s="180"/>
      <c r="M444" s="117"/>
      <c r="N444" s="117"/>
      <c r="O444" s="117"/>
      <c r="P444" s="92"/>
      <c r="Q444" s="150"/>
      <c r="R444" s="117"/>
      <c r="S444" s="117"/>
      <c r="T444" s="117"/>
      <c r="U444" s="115"/>
      <c r="V444" s="180"/>
      <c r="W444" s="117"/>
      <c r="X444" s="117"/>
      <c r="Y444" s="117"/>
      <c r="Z444" s="115"/>
      <c r="AA444" s="180"/>
      <c r="AB444" s="117"/>
      <c r="AC444" s="117"/>
      <c r="AD444" s="117"/>
      <c r="AE444" s="115"/>
      <c r="AF444" s="180"/>
      <c r="AG444" s="117"/>
      <c r="AH444" s="117"/>
      <c r="AI444" s="117"/>
      <c r="AJ444" s="115"/>
      <c r="AK444" s="180"/>
      <c r="AL444" s="117"/>
      <c r="AM444" s="117"/>
      <c r="AN444" s="117"/>
      <c r="AO444" s="338"/>
      <c r="AP444" s="338"/>
      <c r="AQ444" s="338"/>
      <c r="AR444" s="338"/>
      <c r="AS444" s="338"/>
      <c r="AT444" s="338"/>
      <c r="AU444" s="338"/>
      <c r="AV444" s="338"/>
      <c r="AW444" s="338"/>
      <c r="AX444" s="338"/>
      <c r="AY444" s="338"/>
      <c r="AZ444" s="338"/>
      <c r="BA444" s="338"/>
      <c r="BB444" s="338"/>
      <c r="BC444" s="338"/>
    </row>
    <row r="445">
      <c r="A445" s="115"/>
      <c r="B445" s="180"/>
      <c r="C445" s="117"/>
      <c r="D445" s="117"/>
      <c r="E445" s="117"/>
      <c r="F445" s="115"/>
      <c r="G445" s="180"/>
      <c r="H445" s="117"/>
      <c r="I445" s="117"/>
      <c r="J445" s="117"/>
      <c r="K445" s="92"/>
      <c r="L445" s="180"/>
      <c r="M445" s="117"/>
      <c r="N445" s="117"/>
      <c r="O445" s="117"/>
      <c r="P445" s="92"/>
      <c r="Q445" s="150"/>
      <c r="R445" s="117"/>
      <c r="S445" s="117"/>
      <c r="T445" s="117"/>
      <c r="U445" s="115"/>
      <c r="V445" s="180"/>
      <c r="W445" s="117"/>
      <c r="X445" s="117"/>
      <c r="Y445" s="117"/>
      <c r="Z445" s="115"/>
      <c r="AA445" s="180"/>
      <c r="AB445" s="117"/>
      <c r="AC445" s="117"/>
      <c r="AD445" s="117"/>
      <c r="AE445" s="115"/>
      <c r="AF445" s="180"/>
      <c r="AG445" s="117"/>
      <c r="AH445" s="117"/>
      <c r="AI445" s="117"/>
      <c r="AJ445" s="115"/>
      <c r="AK445" s="180"/>
      <c r="AL445" s="117"/>
      <c r="AM445" s="117"/>
      <c r="AN445" s="117"/>
      <c r="AO445" s="338"/>
      <c r="AP445" s="338"/>
      <c r="AQ445" s="338"/>
      <c r="AR445" s="338"/>
      <c r="AS445" s="338"/>
      <c r="AT445" s="338"/>
      <c r="AU445" s="338"/>
      <c r="AV445" s="338"/>
      <c r="AW445" s="338"/>
      <c r="AX445" s="338"/>
      <c r="AY445" s="338"/>
      <c r="AZ445" s="338"/>
      <c r="BA445" s="338"/>
      <c r="BB445" s="338"/>
      <c r="BC445" s="338"/>
    </row>
    <row r="446">
      <c r="A446" s="115"/>
      <c r="B446" s="180"/>
      <c r="C446" s="117"/>
      <c r="D446" s="117"/>
      <c r="E446" s="117"/>
      <c r="F446" s="115"/>
      <c r="G446" s="180"/>
      <c r="H446" s="117"/>
      <c r="I446" s="117"/>
      <c r="J446" s="117"/>
      <c r="K446" s="92"/>
      <c r="L446" s="180"/>
      <c r="M446" s="117"/>
      <c r="N446" s="117"/>
      <c r="O446" s="117"/>
      <c r="P446" s="92"/>
      <c r="Q446" s="150"/>
      <c r="R446" s="117"/>
      <c r="S446" s="117"/>
      <c r="T446" s="117"/>
      <c r="U446" s="115"/>
      <c r="V446" s="180"/>
      <c r="W446" s="117"/>
      <c r="X446" s="117"/>
      <c r="Y446" s="117"/>
      <c r="Z446" s="115"/>
      <c r="AA446" s="180"/>
      <c r="AB446" s="117"/>
      <c r="AC446" s="117"/>
      <c r="AD446" s="117"/>
      <c r="AE446" s="115"/>
      <c r="AF446" s="180"/>
      <c r="AG446" s="117"/>
      <c r="AH446" s="117"/>
      <c r="AI446" s="117"/>
      <c r="AJ446" s="115"/>
      <c r="AK446" s="180"/>
      <c r="AL446" s="117"/>
      <c r="AM446" s="117"/>
      <c r="AN446" s="117"/>
      <c r="AO446" s="338"/>
      <c r="AP446" s="338"/>
      <c r="AQ446" s="338"/>
      <c r="AR446" s="338"/>
      <c r="AS446" s="338"/>
      <c r="AT446" s="338"/>
      <c r="AU446" s="338"/>
      <c r="AV446" s="338"/>
      <c r="AW446" s="338"/>
      <c r="AX446" s="338"/>
      <c r="AY446" s="338"/>
      <c r="AZ446" s="338"/>
      <c r="BA446" s="338"/>
      <c r="BB446" s="338"/>
      <c r="BC446" s="338"/>
    </row>
    <row r="447">
      <c r="A447" s="115"/>
      <c r="B447" s="180"/>
      <c r="C447" s="117"/>
      <c r="D447" s="117"/>
      <c r="E447" s="117"/>
      <c r="F447" s="115"/>
      <c r="G447" s="180"/>
      <c r="H447" s="117"/>
      <c r="I447" s="117"/>
      <c r="J447" s="117"/>
      <c r="K447" s="92"/>
      <c r="L447" s="180"/>
      <c r="M447" s="117"/>
      <c r="N447" s="117"/>
      <c r="O447" s="117"/>
      <c r="P447" s="92"/>
      <c r="Q447" s="150"/>
      <c r="R447" s="117"/>
      <c r="S447" s="117"/>
      <c r="T447" s="117"/>
      <c r="U447" s="115"/>
      <c r="V447" s="180"/>
      <c r="W447" s="117"/>
      <c r="X447" s="117"/>
      <c r="Y447" s="117"/>
      <c r="Z447" s="115"/>
      <c r="AA447" s="180"/>
      <c r="AB447" s="117"/>
      <c r="AC447" s="117"/>
      <c r="AD447" s="117"/>
      <c r="AE447" s="115"/>
      <c r="AF447" s="180"/>
      <c r="AG447" s="117"/>
      <c r="AH447" s="117"/>
      <c r="AI447" s="117"/>
      <c r="AJ447" s="115"/>
      <c r="AK447" s="180"/>
      <c r="AL447" s="117"/>
      <c r="AM447" s="117"/>
      <c r="AN447" s="117"/>
      <c r="AO447" s="338"/>
      <c r="AP447" s="338"/>
      <c r="AQ447" s="338"/>
      <c r="AR447" s="338"/>
      <c r="AS447" s="338"/>
      <c r="AT447" s="338"/>
      <c r="AU447" s="338"/>
      <c r="AV447" s="338"/>
      <c r="AW447" s="338"/>
      <c r="AX447" s="338"/>
      <c r="AY447" s="338"/>
      <c r="AZ447" s="338"/>
      <c r="BA447" s="338"/>
      <c r="BB447" s="338"/>
      <c r="BC447" s="338"/>
    </row>
    <row r="448">
      <c r="A448" s="115"/>
      <c r="B448" s="180"/>
      <c r="C448" s="117"/>
      <c r="D448" s="117"/>
      <c r="E448" s="117"/>
      <c r="F448" s="115"/>
      <c r="G448" s="180"/>
      <c r="H448" s="117"/>
      <c r="I448" s="117"/>
      <c r="J448" s="117"/>
      <c r="K448" s="92"/>
      <c r="L448" s="180"/>
      <c r="M448" s="117"/>
      <c r="N448" s="117"/>
      <c r="O448" s="117"/>
      <c r="P448" s="92"/>
      <c r="Q448" s="150"/>
      <c r="R448" s="117"/>
      <c r="S448" s="117"/>
      <c r="T448" s="117"/>
      <c r="U448" s="115"/>
      <c r="V448" s="180"/>
      <c r="W448" s="117"/>
      <c r="X448" s="117"/>
      <c r="Y448" s="117"/>
      <c r="Z448" s="115"/>
      <c r="AA448" s="180"/>
      <c r="AB448" s="117"/>
      <c r="AC448" s="117"/>
      <c r="AD448" s="117"/>
      <c r="AE448" s="115"/>
      <c r="AF448" s="180"/>
      <c r="AG448" s="117"/>
      <c r="AH448" s="117"/>
      <c r="AI448" s="117"/>
      <c r="AJ448" s="115"/>
      <c r="AK448" s="180"/>
      <c r="AL448" s="117"/>
      <c r="AM448" s="117"/>
      <c r="AN448" s="117"/>
      <c r="AO448" s="338"/>
      <c r="AP448" s="338"/>
      <c r="AQ448" s="338"/>
      <c r="AR448" s="338"/>
      <c r="AS448" s="338"/>
      <c r="AT448" s="338"/>
      <c r="AU448" s="338"/>
      <c r="AV448" s="338"/>
      <c r="AW448" s="338"/>
      <c r="AX448" s="338"/>
      <c r="AY448" s="338"/>
      <c r="AZ448" s="338"/>
      <c r="BA448" s="338"/>
      <c r="BB448" s="338"/>
      <c r="BC448" s="338"/>
    </row>
    <row r="449">
      <c r="A449" s="115"/>
      <c r="B449" s="180"/>
      <c r="C449" s="117"/>
      <c r="D449" s="117"/>
      <c r="E449" s="117"/>
      <c r="F449" s="115"/>
      <c r="G449" s="180"/>
      <c r="H449" s="117"/>
      <c r="I449" s="117"/>
      <c r="J449" s="117"/>
      <c r="K449" s="92"/>
      <c r="L449" s="180"/>
      <c r="M449" s="117"/>
      <c r="N449" s="117"/>
      <c r="O449" s="117"/>
      <c r="P449" s="92"/>
      <c r="Q449" s="150"/>
      <c r="R449" s="117"/>
      <c r="S449" s="117"/>
      <c r="T449" s="117"/>
      <c r="U449" s="115"/>
      <c r="V449" s="180"/>
      <c r="W449" s="117"/>
      <c r="X449" s="117"/>
      <c r="Y449" s="117"/>
      <c r="Z449" s="115"/>
      <c r="AA449" s="180"/>
      <c r="AB449" s="117"/>
      <c r="AC449" s="117"/>
      <c r="AD449" s="117"/>
      <c r="AE449" s="115"/>
      <c r="AF449" s="180"/>
      <c r="AG449" s="117"/>
      <c r="AH449" s="117"/>
      <c r="AI449" s="117"/>
      <c r="AJ449" s="115"/>
      <c r="AK449" s="180"/>
      <c r="AL449" s="117"/>
      <c r="AM449" s="117"/>
      <c r="AN449" s="117"/>
      <c r="AO449" s="338"/>
      <c r="AP449" s="338"/>
      <c r="AQ449" s="338"/>
      <c r="AR449" s="338"/>
      <c r="AS449" s="338"/>
      <c r="AT449" s="338"/>
      <c r="AU449" s="338"/>
      <c r="AV449" s="338"/>
      <c r="AW449" s="338"/>
      <c r="AX449" s="338"/>
      <c r="AY449" s="338"/>
      <c r="AZ449" s="338"/>
      <c r="BA449" s="338"/>
      <c r="BB449" s="338"/>
      <c r="BC449" s="338"/>
    </row>
    <row r="450">
      <c r="A450" s="115"/>
      <c r="B450" s="180"/>
      <c r="C450" s="117"/>
      <c r="D450" s="117"/>
      <c r="E450" s="117"/>
      <c r="F450" s="115"/>
      <c r="G450" s="180"/>
      <c r="H450" s="117"/>
      <c r="I450" s="117"/>
      <c r="J450" s="117"/>
      <c r="K450" s="92"/>
      <c r="L450" s="180"/>
      <c r="M450" s="117"/>
      <c r="N450" s="117"/>
      <c r="O450" s="117"/>
      <c r="P450" s="92"/>
      <c r="Q450" s="150"/>
      <c r="R450" s="117"/>
      <c r="S450" s="117"/>
      <c r="T450" s="117"/>
      <c r="U450" s="115"/>
      <c r="V450" s="180"/>
      <c r="W450" s="117"/>
      <c r="X450" s="117"/>
      <c r="Y450" s="117"/>
      <c r="Z450" s="115"/>
      <c r="AA450" s="180"/>
      <c r="AB450" s="117"/>
      <c r="AC450" s="117"/>
      <c r="AD450" s="117"/>
      <c r="AE450" s="115"/>
      <c r="AF450" s="180"/>
      <c r="AG450" s="117"/>
      <c r="AH450" s="117"/>
      <c r="AI450" s="117"/>
      <c r="AJ450" s="115"/>
      <c r="AK450" s="180"/>
      <c r="AL450" s="117"/>
      <c r="AM450" s="117"/>
      <c r="AN450" s="117"/>
      <c r="AO450" s="338"/>
      <c r="AP450" s="338"/>
      <c r="AQ450" s="338"/>
      <c r="AR450" s="338"/>
      <c r="AS450" s="338"/>
      <c r="AT450" s="338"/>
      <c r="AU450" s="338"/>
      <c r="AV450" s="338"/>
      <c r="AW450" s="338"/>
      <c r="AX450" s="338"/>
      <c r="AY450" s="338"/>
      <c r="AZ450" s="338"/>
      <c r="BA450" s="338"/>
      <c r="BB450" s="338"/>
      <c r="BC450" s="338"/>
    </row>
    <row r="451">
      <c r="A451" s="115"/>
      <c r="B451" s="180"/>
      <c r="C451" s="117"/>
      <c r="D451" s="117"/>
      <c r="E451" s="117"/>
      <c r="F451" s="115"/>
      <c r="G451" s="180"/>
      <c r="H451" s="117"/>
      <c r="I451" s="117"/>
      <c r="J451" s="117"/>
      <c r="K451" s="92"/>
      <c r="L451" s="180"/>
      <c r="M451" s="117"/>
      <c r="N451" s="117"/>
      <c r="O451" s="117"/>
      <c r="P451" s="92"/>
      <c r="Q451" s="150"/>
      <c r="R451" s="117"/>
      <c r="S451" s="117"/>
      <c r="T451" s="117"/>
      <c r="U451" s="115"/>
      <c r="V451" s="180"/>
      <c r="W451" s="117"/>
      <c r="X451" s="117"/>
      <c r="Y451" s="117"/>
      <c r="Z451" s="115"/>
      <c r="AA451" s="180"/>
      <c r="AB451" s="117"/>
      <c r="AC451" s="117"/>
      <c r="AD451" s="117"/>
      <c r="AE451" s="115"/>
      <c r="AF451" s="180"/>
      <c r="AG451" s="117"/>
      <c r="AH451" s="117"/>
      <c r="AI451" s="117"/>
      <c r="AJ451" s="115"/>
      <c r="AK451" s="180"/>
      <c r="AL451" s="117"/>
      <c r="AM451" s="117"/>
      <c r="AN451" s="117"/>
      <c r="AO451" s="338"/>
      <c r="AP451" s="338"/>
      <c r="AQ451" s="338"/>
      <c r="AR451" s="338"/>
      <c r="AS451" s="338"/>
      <c r="AT451" s="338"/>
      <c r="AU451" s="338"/>
      <c r="AV451" s="338"/>
      <c r="AW451" s="338"/>
      <c r="AX451" s="338"/>
      <c r="AY451" s="338"/>
      <c r="AZ451" s="338"/>
      <c r="BA451" s="338"/>
      <c r="BB451" s="338"/>
      <c r="BC451" s="338"/>
    </row>
    <row r="452">
      <c r="A452" s="115"/>
      <c r="B452" s="180"/>
      <c r="C452" s="117"/>
      <c r="D452" s="117"/>
      <c r="E452" s="117"/>
      <c r="F452" s="115"/>
      <c r="G452" s="180"/>
      <c r="H452" s="117"/>
      <c r="I452" s="117"/>
      <c r="J452" s="117"/>
      <c r="K452" s="92"/>
      <c r="L452" s="180"/>
      <c r="M452" s="117"/>
      <c r="N452" s="117"/>
      <c r="O452" s="117"/>
      <c r="P452" s="92"/>
      <c r="Q452" s="150"/>
      <c r="R452" s="117"/>
      <c r="S452" s="117"/>
      <c r="T452" s="117"/>
      <c r="U452" s="115"/>
      <c r="V452" s="180"/>
      <c r="W452" s="117"/>
      <c r="X452" s="117"/>
      <c r="Y452" s="117"/>
      <c r="Z452" s="115"/>
      <c r="AA452" s="180"/>
      <c r="AB452" s="117"/>
      <c r="AC452" s="117"/>
      <c r="AD452" s="117"/>
      <c r="AE452" s="115"/>
      <c r="AF452" s="180"/>
      <c r="AG452" s="117"/>
      <c r="AH452" s="117"/>
      <c r="AI452" s="117"/>
      <c r="AJ452" s="115"/>
      <c r="AK452" s="180"/>
      <c r="AL452" s="117"/>
      <c r="AM452" s="117"/>
      <c r="AN452" s="117"/>
      <c r="AO452" s="338"/>
      <c r="AP452" s="338"/>
      <c r="AQ452" s="338"/>
      <c r="AR452" s="338"/>
      <c r="AS452" s="338"/>
      <c r="AT452" s="338"/>
      <c r="AU452" s="338"/>
      <c r="AV452" s="338"/>
      <c r="AW452" s="338"/>
      <c r="AX452" s="338"/>
      <c r="AY452" s="338"/>
      <c r="AZ452" s="338"/>
      <c r="BA452" s="338"/>
      <c r="BB452" s="338"/>
      <c r="BC452" s="338"/>
    </row>
    <row r="453">
      <c r="A453" s="115"/>
      <c r="B453" s="180"/>
      <c r="C453" s="117"/>
      <c r="D453" s="117"/>
      <c r="E453" s="117"/>
      <c r="F453" s="115"/>
      <c r="G453" s="180"/>
      <c r="H453" s="117"/>
      <c r="I453" s="117"/>
      <c r="J453" s="117"/>
      <c r="K453" s="92"/>
      <c r="L453" s="180"/>
      <c r="M453" s="117"/>
      <c r="N453" s="117"/>
      <c r="O453" s="117"/>
      <c r="P453" s="92"/>
      <c r="Q453" s="150"/>
      <c r="R453" s="117"/>
      <c r="S453" s="117"/>
      <c r="T453" s="117"/>
      <c r="U453" s="115"/>
      <c r="V453" s="180"/>
      <c r="W453" s="117"/>
      <c r="X453" s="117"/>
      <c r="Y453" s="117"/>
      <c r="Z453" s="115"/>
      <c r="AA453" s="180"/>
      <c r="AB453" s="117"/>
      <c r="AC453" s="117"/>
      <c r="AD453" s="117"/>
      <c r="AE453" s="115"/>
      <c r="AF453" s="180"/>
      <c r="AG453" s="117"/>
      <c r="AH453" s="117"/>
      <c r="AI453" s="117"/>
      <c r="AJ453" s="115"/>
      <c r="AK453" s="180"/>
      <c r="AL453" s="117"/>
      <c r="AM453" s="117"/>
      <c r="AN453" s="117"/>
      <c r="AO453" s="338"/>
      <c r="AP453" s="338"/>
      <c r="AQ453" s="338"/>
      <c r="AR453" s="338"/>
      <c r="AS453" s="338"/>
      <c r="AT453" s="338"/>
      <c r="AU453" s="338"/>
      <c r="AV453" s="338"/>
      <c r="AW453" s="338"/>
      <c r="AX453" s="338"/>
      <c r="AY453" s="338"/>
      <c r="AZ453" s="338"/>
      <c r="BA453" s="338"/>
      <c r="BB453" s="338"/>
      <c r="BC453" s="338"/>
    </row>
    <row r="454">
      <c r="A454" s="115"/>
      <c r="B454" s="180"/>
      <c r="C454" s="117"/>
      <c r="D454" s="117"/>
      <c r="E454" s="117"/>
      <c r="F454" s="115"/>
      <c r="G454" s="180"/>
      <c r="H454" s="117"/>
      <c r="I454" s="117"/>
      <c r="J454" s="117"/>
      <c r="K454" s="92"/>
      <c r="L454" s="180"/>
      <c r="M454" s="117"/>
      <c r="N454" s="117"/>
      <c r="O454" s="117"/>
      <c r="P454" s="92"/>
      <c r="Q454" s="150"/>
      <c r="R454" s="117"/>
      <c r="S454" s="117"/>
      <c r="T454" s="117"/>
      <c r="U454" s="115"/>
      <c r="V454" s="180"/>
      <c r="W454" s="117"/>
      <c r="X454" s="117"/>
      <c r="Y454" s="117"/>
      <c r="Z454" s="115"/>
      <c r="AA454" s="180"/>
      <c r="AB454" s="117"/>
      <c r="AC454" s="117"/>
      <c r="AD454" s="117"/>
      <c r="AE454" s="115"/>
      <c r="AF454" s="180"/>
      <c r="AG454" s="117"/>
      <c r="AH454" s="117"/>
      <c r="AI454" s="117"/>
      <c r="AJ454" s="115"/>
      <c r="AK454" s="180"/>
      <c r="AL454" s="117"/>
      <c r="AM454" s="117"/>
      <c r="AN454" s="117"/>
      <c r="AO454" s="338"/>
      <c r="AP454" s="338"/>
      <c r="AQ454" s="338"/>
      <c r="AR454" s="338"/>
      <c r="AS454" s="338"/>
      <c r="AT454" s="338"/>
      <c r="AU454" s="338"/>
      <c r="AV454" s="338"/>
      <c r="AW454" s="338"/>
      <c r="AX454" s="338"/>
      <c r="AY454" s="338"/>
      <c r="AZ454" s="338"/>
      <c r="BA454" s="338"/>
      <c r="BB454" s="338"/>
      <c r="BC454" s="338"/>
    </row>
    <row r="455">
      <c r="A455" s="115"/>
      <c r="B455" s="180"/>
      <c r="C455" s="117"/>
      <c r="D455" s="117"/>
      <c r="E455" s="117"/>
      <c r="F455" s="115"/>
      <c r="G455" s="180"/>
      <c r="H455" s="117"/>
      <c r="I455" s="117"/>
      <c r="J455" s="117"/>
      <c r="K455" s="92"/>
      <c r="L455" s="180"/>
      <c r="M455" s="117"/>
      <c r="N455" s="117"/>
      <c r="O455" s="117"/>
      <c r="P455" s="92"/>
      <c r="Q455" s="150"/>
      <c r="R455" s="117"/>
      <c r="S455" s="117"/>
      <c r="T455" s="117"/>
      <c r="U455" s="115"/>
      <c r="V455" s="180"/>
      <c r="W455" s="117"/>
      <c r="X455" s="117"/>
      <c r="Y455" s="117"/>
      <c r="Z455" s="115"/>
      <c r="AA455" s="180"/>
      <c r="AB455" s="117"/>
      <c r="AC455" s="117"/>
      <c r="AD455" s="117"/>
      <c r="AE455" s="115"/>
      <c r="AF455" s="180"/>
      <c r="AG455" s="117"/>
      <c r="AH455" s="117"/>
      <c r="AI455" s="117"/>
      <c r="AJ455" s="115"/>
      <c r="AK455" s="180"/>
      <c r="AL455" s="117"/>
      <c r="AM455" s="117"/>
      <c r="AN455" s="117"/>
      <c r="AO455" s="338"/>
      <c r="AP455" s="338"/>
      <c r="AQ455" s="338"/>
      <c r="AR455" s="338"/>
      <c r="AS455" s="338"/>
      <c r="AT455" s="338"/>
      <c r="AU455" s="338"/>
      <c r="AV455" s="338"/>
      <c r="AW455" s="338"/>
      <c r="AX455" s="338"/>
      <c r="AY455" s="338"/>
      <c r="AZ455" s="338"/>
      <c r="BA455" s="338"/>
      <c r="BB455" s="338"/>
      <c r="BC455" s="338"/>
    </row>
    <row r="456">
      <c r="A456" s="115"/>
      <c r="B456" s="180"/>
      <c r="C456" s="117"/>
      <c r="D456" s="117"/>
      <c r="E456" s="117"/>
      <c r="F456" s="115"/>
      <c r="G456" s="180"/>
      <c r="H456" s="117"/>
      <c r="I456" s="117"/>
      <c r="J456" s="117"/>
      <c r="K456" s="92"/>
      <c r="L456" s="180"/>
      <c r="M456" s="117"/>
      <c r="N456" s="117"/>
      <c r="O456" s="117"/>
      <c r="P456" s="92"/>
      <c r="Q456" s="150"/>
      <c r="R456" s="117"/>
      <c r="S456" s="117"/>
      <c r="T456" s="117"/>
      <c r="U456" s="115"/>
      <c r="V456" s="180"/>
      <c r="W456" s="117"/>
      <c r="X456" s="117"/>
      <c r="Y456" s="117"/>
      <c r="Z456" s="115"/>
      <c r="AA456" s="180"/>
      <c r="AB456" s="117"/>
      <c r="AC456" s="117"/>
      <c r="AD456" s="117"/>
      <c r="AE456" s="115"/>
      <c r="AF456" s="180"/>
      <c r="AG456" s="117"/>
      <c r="AH456" s="117"/>
      <c r="AI456" s="117"/>
      <c r="AJ456" s="115"/>
      <c r="AK456" s="180"/>
      <c r="AL456" s="117"/>
      <c r="AM456" s="117"/>
      <c r="AN456" s="117"/>
      <c r="AO456" s="338"/>
      <c r="AP456" s="338"/>
      <c r="AQ456" s="338"/>
      <c r="AR456" s="338"/>
      <c r="AS456" s="338"/>
      <c r="AT456" s="338"/>
      <c r="AU456" s="338"/>
      <c r="AV456" s="338"/>
      <c r="AW456" s="338"/>
      <c r="AX456" s="338"/>
      <c r="AY456" s="338"/>
      <c r="AZ456" s="338"/>
      <c r="BA456" s="338"/>
      <c r="BB456" s="338"/>
      <c r="BC456" s="338"/>
    </row>
    <row r="457">
      <c r="A457" s="115"/>
      <c r="B457" s="180"/>
      <c r="C457" s="117"/>
      <c r="D457" s="117"/>
      <c r="E457" s="117"/>
      <c r="F457" s="115"/>
      <c r="G457" s="180"/>
      <c r="H457" s="117"/>
      <c r="I457" s="117"/>
      <c r="J457" s="117"/>
      <c r="K457" s="92"/>
      <c r="L457" s="180"/>
      <c r="M457" s="117"/>
      <c r="N457" s="117"/>
      <c r="O457" s="117"/>
      <c r="P457" s="92"/>
      <c r="Q457" s="150"/>
      <c r="R457" s="117"/>
      <c r="S457" s="117"/>
      <c r="T457" s="117"/>
      <c r="U457" s="115"/>
      <c r="V457" s="180"/>
      <c r="W457" s="117"/>
      <c r="X457" s="117"/>
      <c r="Y457" s="117"/>
      <c r="Z457" s="115"/>
      <c r="AA457" s="180"/>
      <c r="AB457" s="117"/>
      <c r="AC457" s="117"/>
      <c r="AD457" s="117"/>
      <c r="AE457" s="115"/>
      <c r="AF457" s="180"/>
      <c r="AG457" s="117"/>
      <c r="AH457" s="117"/>
      <c r="AI457" s="117"/>
      <c r="AJ457" s="115"/>
      <c r="AK457" s="180"/>
      <c r="AL457" s="117"/>
      <c r="AM457" s="117"/>
      <c r="AN457" s="117"/>
      <c r="AO457" s="338"/>
      <c r="AP457" s="338"/>
      <c r="AQ457" s="338"/>
      <c r="AR457" s="338"/>
      <c r="AS457" s="338"/>
      <c r="AT457" s="338"/>
      <c r="AU457" s="338"/>
      <c r="AV457" s="338"/>
      <c r="AW457" s="338"/>
      <c r="AX457" s="338"/>
      <c r="AY457" s="338"/>
      <c r="AZ457" s="338"/>
      <c r="BA457" s="338"/>
      <c r="BB457" s="338"/>
      <c r="BC457" s="338"/>
    </row>
    <row r="458">
      <c r="A458" s="115"/>
      <c r="B458" s="180"/>
      <c r="C458" s="117"/>
      <c r="D458" s="117"/>
      <c r="E458" s="117"/>
      <c r="F458" s="115"/>
      <c r="G458" s="180"/>
      <c r="H458" s="117"/>
      <c r="I458" s="117"/>
      <c r="J458" s="117"/>
      <c r="K458" s="92"/>
      <c r="L458" s="180"/>
      <c r="M458" s="117"/>
      <c r="N458" s="117"/>
      <c r="O458" s="117"/>
      <c r="P458" s="92"/>
      <c r="Q458" s="150"/>
      <c r="R458" s="117"/>
      <c r="S458" s="117"/>
      <c r="T458" s="117"/>
      <c r="U458" s="115"/>
      <c r="V458" s="180"/>
      <c r="W458" s="117"/>
      <c r="X458" s="117"/>
      <c r="Y458" s="117"/>
      <c r="Z458" s="115"/>
      <c r="AA458" s="180"/>
      <c r="AB458" s="117"/>
      <c r="AC458" s="117"/>
      <c r="AD458" s="117"/>
      <c r="AE458" s="115"/>
      <c r="AF458" s="180"/>
      <c r="AG458" s="117"/>
      <c r="AH458" s="117"/>
      <c r="AI458" s="117"/>
      <c r="AJ458" s="115"/>
      <c r="AK458" s="180"/>
      <c r="AL458" s="117"/>
      <c r="AM458" s="117"/>
      <c r="AN458" s="117"/>
      <c r="AO458" s="338"/>
      <c r="AP458" s="338"/>
      <c r="AQ458" s="338"/>
      <c r="AR458" s="338"/>
      <c r="AS458" s="338"/>
      <c r="AT458" s="338"/>
      <c r="AU458" s="338"/>
      <c r="AV458" s="338"/>
      <c r="AW458" s="338"/>
      <c r="AX458" s="338"/>
      <c r="AY458" s="338"/>
      <c r="AZ458" s="338"/>
      <c r="BA458" s="338"/>
      <c r="BB458" s="338"/>
      <c r="BC458" s="338"/>
    </row>
    <row r="459">
      <c r="A459" s="115"/>
      <c r="B459" s="180"/>
      <c r="C459" s="117"/>
      <c r="D459" s="117"/>
      <c r="E459" s="117"/>
      <c r="F459" s="115"/>
      <c r="G459" s="180"/>
      <c r="H459" s="117"/>
      <c r="I459" s="117"/>
      <c r="J459" s="117"/>
      <c r="K459" s="92"/>
      <c r="L459" s="180"/>
      <c r="M459" s="117"/>
      <c r="N459" s="117"/>
      <c r="O459" s="117"/>
      <c r="P459" s="92"/>
      <c r="Q459" s="150"/>
      <c r="R459" s="117"/>
      <c r="S459" s="117"/>
      <c r="T459" s="117"/>
      <c r="U459" s="115"/>
      <c r="V459" s="180"/>
      <c r="W459" s="117"/>
      <c r="X459" s="117"/>
      <c r="Y459" s="117"/>
      <c r="Z459" s="115"/>
      <c r="AA459" s="180"/>
      <c r="AB459" s="117"/>
      <c r="AC459" s="117"/>
      <c r="AD459" s="117"/>
      <c r="AE459" s="115"/>
      <c r="AF459" s="180"/>
      <c r="AG459" s="117"/>
      <c r="AH459" s="117"/>
      <c r="AI459" s="117"/>
      <c r="AJ459" s="115"/>
      <c r="AK459" s="180"/>
      <c r="AL459" s="117"/>
      <c r="AM459" s="117"/>
      <c r="AN459" s="117"/>
      <c r="AO459" s="338"/>
      <c r="AP459" s="338"/>
      <c r="AQ459" s="338"/>
      <c r="AR459" s="338"/>
      <c r="AS459" s="338"/>
      <c r="AT459" s="338"/>
      <c r="AU459" s="338"/>
      <c r="AV459" s="338"/>
      <c r="AW459" s="338"/>
      <c r="AX459" s="338"/>
      <c r="AY459" s="338"/>
      <c r="AZ459" s="338"/>
      <c r="BA459" s="338"/>
      <c r="BB459" s="338"/>
      <c r="BC459" s="338"/>
    </row>
    <row r="460">
      <c r="A460" s="115"/>
      <c r="B460" s="180"/>
      <c r="C460" s="117"/>
      <c r="D460" s="117"/>
      <c r="E460" s="117"/>
      <c r="F460" s="115"/>
      <c r="G460" s="180"/>
      <c r="H460" s="117"/>
      <c r="I460" s="117"/>
      <c r="J460" s="117"/>
      <c r="K460" s="92"/>
      <c r="L460" s="180"/>
      <c r="M460" s="117"/>
      <c r="N460" s="117"/>
      <c r="O460" s="117"/>
      <c r="P460" s="92"/>
      <c r="Q460" s="150"/>
      <c r="R460" s="117"/>
      <c r="S460" s="117"/>
      <c r="T460" s="117"/>
      <c r="U460" s="115"/>
      <c r="V460" s="180"/>
      <c r="W460" s="117"/>
      <c r="X460" s="117"/>
      <c r="Y460" s="117"/>
      <c r="Z460" s="115"/>
      <c r="AA460" s="180"/>
      <c r="AB460" s="117"/>
      <c r="AC460" s="117"/>
      <c r="AD460" s="117"/>
      <c r="AE460" s="115"/>
      <c r="AF460" s="180"/>
      <c r="AG460" s="117"/>
      <c r="AH460" s="117"/>
      <c r="AI460" s="117"/>
      <c r="AJ460" s="115"/>
      <c r="AK460" s="180"/>
      <c r="AL460" s="117"/>
      <c r="AM460" s="117"/>
      <c r="AN460" s="117"/>
      <c r="AO460" s="338"/>
      <c r="AP460" s="338"/>
      <c r="AQ460" s="338"/>
      <c r="AR460" s="338"/>
      <c r="AS460" s="338"/>
      <c r="AT460" s="338"/>
      <c r="AU460" s="338"/>
      <c r="AV460" s="338"/>
      <c r="AW460" s="338"/>
      <c r="AX460" s="338"/>
      <c r="AY460" s="338"/>
      <c r="AZ460" s="338"/>
      <c r="BA460" s="338"/>
      <c r="BB460" s="338"/>
      <c r="BC460" s="338"/>
    </row>
    <row r="461">
      <c r="A461" s="115"/>
      <c r="B461" s="180"/>
      <c r="C461" s="117"/>
      <c r="D461" s="117"/>
      <c r="E461" s="117"/>
      <c r="F461" s="115"/>
      <c r="G461" s="180"/>
      <c r="H461" s="117"/>
      <c r="I461" s="117"/>
      <c r="J461" s="117"/>
      <c r="K461" s="92"/>
      <c r="L461" s="180"/>
      <c r="M461" s="117"/>
      <c r="N461" s="117"/>
      <c r="O461" s="117"/>
      <c r="P461" s="92"/>
      <c r="Q461" s="150"/>
      <c r="R461" s="117"/>
      <c r="S461" s="117"/>
      <c r="T461" s="117"/>
      <c r="U461" s="115"/>
      <c r="V461" s="180"/>
      <c r="W461" s="117"/>
      <c r="X461" s="117"/>
      <c r="Y461" s="117"/>
      <c r="Z461" s="115"/>
      <c r="AA461" s="180"/>
      <c r="AB461" s="117"/>
      <c r="AC461" s="117"/>
      <c r="AD461" s="117"/>
      <c r="AE461" s="115"/>
      <c r="AF461" s="180"/>
      <c r="AG461" s="117"/>
      <c r="AH461" s="117"/>
      <c r="AI461" s="117"/>
      <c r="AJ461" s="115"/>
      <c r="AK461" s="180"/>
      <c r="AL461" s="117"/>
      <c r="AM461" s="117"/>
      <c r="AN461" s="117"/>
      <c r="AO461" s="338"/>
      <c r="AP461" s="338"/>
      <c r="AQ461" s="338"/>
      <c r="AR461" s="338"/>
      <c r="AS461" s="338"/>
      <c r="AT461" s="338"/>
      <c r="AU461" s="338"/>
      <c r="AV461" s="338"/>
      <c r="AW461" s="338"/>
      <c r="AX461" s="338"/>
      <c r="AY461" s="338"/>
      <c r="AZ461" s="338"/>
      <c r="BA461" s="338"/>
      <c r="BB461" s="338"/>
      <c r="BC461" s="338"/>
    </row>
    <row r="462">
      <c r="A462" s="115"/>
      <c r="B462" s="180"/>
      <c r="C462" s="117"/>
      <c r="D462" s="117"/>
      <c r="E462" s="117"/>
      <c r="F462" s="115"/>
      <c r="G462" s="180"/>
      <c r="H462" s="117"/>
      <c r="I462" s="117"/>
      <c r="J462" s="117"/>
      <c r="K462" s="92"/>
      <c r="L462" s="180"/>
      <c r="M462" s="117"/>
      <c r="N462" s="117"/>
      <c r="O462" s="117"/>
      <c r="P462" s="92"/>
      <c r="Q462" s="150"/>
      <c r="R462" s="117"/>
      <c r="S462" s="117"/>
      <c r="T462" s="117"/>
      <c r="U462" s="115"/>
      <c r="V462" s="180"/>
      <c r="W462" s="117"/>
      <c r="X462" s="117"/>
      <c r="Y462" s="117"/>
      <c r="Z462" s="115"/>
      <c r="AA462" s="180"/>
      <c r="AB462" s="117"/>
      <c r="AC462" s="117"/>
      <c r="AD462" s="117"/>
      <c r="AE462" s="115"/>
      <c r="AF462" s="180"/>
      <c r="AG462" s="117"/>
      <c r="AH462" s="117"/>
      <c r="AI462" s="117"/>
      <c r="AJ462" s="115"/>
      <c r="AK462" s="180"/>
      <c r="AL462" s="117"/>
      <c r="AM462" s="117"/>
      <c r="AN462" s="117"/>
      <c r="AO462" s="338"/>
      <c r="AP462" s="338"/>
      <c r="AQ462" s="338"/>
      <c r="AR462" s="338"/>
      <c r="AS462" s="338"/>
      <c r="AT462" s="338"/>
      <c r="AU462" s="338"/>
      <c r="AV462" s="338"/>
      <c r="AW462" s="338"/>
      <c r="AX462" s="338"/>
      <c r="AY462" s="338"/>
      <c r="AZ462" s="338"/>
      <c r="BA462" s="338"/>
      <c r="BB462" s="338"/>
      <c r="BC462" s="338"/>
    </row>
    <row r="463">
      <c r="A463" s="115"/>
      <c r="B463" s="180"/>
      <c r="C463" s="117"/>
      <c r="D463" s="117"/>
      <c r="E463" s="117"/>
      <c r="F463" s="115"/>
      <c r="G463" s="180"/>
      <c r="H463" s="117"/>
      <c r="I463" s="117"/>
      <c r="J463" s="117"/>
      <c r="K463" s="92"/>
      <c r="L463" s="180"/>
      <c r="M463" s="117"/>
      <c r="N463" s="117"/>
      <c r="O463" s="117"/>
      <c r="P463" s="92"/>
      <c r="Q463" s="150"/>
      <c r="R463" s="117"/>
      <c r="S463" s="117"/>
      <c r="T463" s="117"/>
      <c r="U463" s="115"/>
      <c r="V463" s="180"/>
      <c r="W463" s="117"/>
      <c r="X463" s="117"/>
      <c r="Y463" s="117"/>
      <c r="Z463" s="115"/>
      <c r="AA463" s="180"/>
      <c r="AB463" s="117"/>
      <c r="AC463" s="117"/>
      <c r="AD463" s="117"/>
      <c r="AE463" s="115"/>
      <c r="AF463" s="180"/>
      <c r="AG463" s="117"/>
      <c r="AH463" s="117"/>
      <c r="AI463" s="117"/>
      <c r="AJ463" s="115"/>
      <c r="AK463" s="180"/>
      <c r="AL463" s="117"/>
      <c r="AM463" s="117"/>
      <c r="AN463" s="117"/>
      <c r="AO463" s="338"/>
      <c r="AP463" s="338"/>
      <c r="AQ463" s="338"/>
      <c r="AR463" s="338"/>
      <c r="AS463" s="338"/>
      <c r="AT463" s="338"/>
      <c r="AU463" s="338"/>
      <c r="AV463" s="338"/>
      <c r="AW463" s="338"/>
      <c r="AX463" s="338"/>
      <c r="AY463" s="338"/>
      <c r="AZ463" s="338"/>
      <c r="BA463" s="338"/>
      <c r="BB463" s="338"/>
      <c r="BC463" s="338"/>
    </row>
    <row r="464">
      <c r="A464" s="115"/>
      <c r="B464" s="180"/>
      <c r="C464" s="117"/>
      <c r="D464" s="117"/>
      <c r="E464" s="117"/>
      <c r="F464" s="115"/>
      <c r="G464" s="180"/>
      <c r="H464" s="117"/>
      <c r="I464" s="117"/>
      <c r="J464" s="117"/>
      <c r="K464" s="92"/>
      <c r="L464" s="180"/>
      <c r="M464" s="117"/>
      <c r="N464" s="117"/>
      <c r="O464" s="117"/>
      <c r="P464" s="92"/>
      <c r="Q464" s="150"/>
      <c r="R464" s="117"/>
      <c r="S464" s="117"/>
      <c r="T464" s="117"/>
      <c r="U464" s="115"/>
      <c r="V464" s="180"/>
      <c r="W464" s="117"/>
      <c r="X464" s="117"/>
      <c r="Y464" s="117"/>
      <c r="Z464" s="115"/>
      <c r="AA464" s="180"/>
      <c r="AB464" s="117"/>
      <c r="AC464" s="117"/>
      <c r="AD464" s="117"/>
      <c r="AE464" s="115"/>
      <c r="AF464" s="180"/>
      <c r="AG464" s="117"/>
      <c r="AH464" s="117"/>
      <c r="AI464" s="117"/>
      <c r="AJ464" s="115"/>
      <c r="AK464" s="180"/>
      <c r="AL464" s="117"/>
      <c r="AM464" s="117"/>
      <c r="AN464" s="117"/>
      <c r="AO464" s="338"/>
      <c r="AP464" s="338"/>
      <c r="AQ464" s="338"/>
      <c r="AR464" s="338"/>
      <c r="AS464" s="338"/>
      <c r="AT464" s="338"/>
      <c r="AU464" s="338"/>
      <c r="AV464" s="338"/>
      <c r="AW464" s="338"/>
      <c r="AX464" s="338"/>
      <c r="AY464" s="338"/>
      <c r="AZ464" s="338"/>
      <c r="BA464" s="338"/>
      <c r="BB464" s="338"/>
      <c r="BC464" s="338"/>
    </row>
    <row r="465">
      <c r="A465" s="115"/>
      <c r="B465" s="180"/>
      <c r="C465" s="117"/>
      <c r="D465" s="117"/>
      <c r="E465" s="117"/>
      <c r="F465" s="115"/>
      <c r="G465" s="180"/>
      <c r="H465" s="117"/>
      <c r="I465" s="117"/>
      <c r="J465" s="117"/>
      <c r="K465" s="92"/>
      <c r="L465" s="180"/>
      <c r="M465" s="117"/>
      <c r="N465" s="117"/>
      <c r="O465" s="117"/>
      <c r="P465" s="92"/>
      <c r="Q465" s="150"/>
      <c r="R465" s="117"/>
      <c r="S465" s="117"/>
      <c r="T465" s="117"/>
      <c r="U465" s="115"/>
      <c r="V465" s="180"/>
      <c r="W465" s="117"/>
      <c r="X465" s="117"/>
      <c r="Y465" s="117"/>
      <c r="Z465" s="115"/>
      <c r="AA465" s="180"/>
      <c r="AB465" s="117"/>
      <c r="AC465" s="117"/>
      <c r="AD465" s="117"/>
      <c r="AE465" s="115"/>
      <c r="AF465" s="180"/>
      <c r="AG465" s="117"/>
      <c r="AH465" s="117"/>
      <c r="AI465" s="117"/>
      <c r="AJ465" s="115"/>
      <c r="AK465" s="180"/>
      <c r="AL465" s="117"/>
      <c r="AM465" s="117"/>
      <c r="AN465" s="117"/>
      <c r="AO465" s="338"/>
      <c r="AP465" s="338"/>
      <c r="AQ465" s="338"/>
      <c r="AR465" s="338"/>
      <c r="AS465" s="338"/>
      <c r="AT465" s="338"/>
      <c r="AU465" s="338"/>
      <c r="AV465" s="338"/>
      <c r="AW465" s="338"/>
      <c r="AX465" s="338"/>
      <c r="AY465" s="338"/>
      <c r="AZ465" s="338"/>
      <c r="BA465" s="338"/>
      <c r="BB465" s="338"/>
      <c r="BC465" s="338"/>
    </row>
    <row r="466">
      <c r="A466" s="115"/>
      <c r="B466" s="180"/>
      <c r="C466" s="117"/>
      <c r="D466" s="117"/>
      <c r="E466" s="117"/>
      <c r="F466" s="115"/>
      <c r="G466" s="180"/>
      <c r="H466" s="117"/>
      <c r="I466" s="117"/>
      <c r="J466" s="117"/>
      <c r="K466" s="92"/>
      <c r="L466" s="180"/>
      <c r="M466" s="117"/>
      <c r="N466" s="117"/>
      <c r="O466" s="117"/>
      <c r="P466" s="92"/>
      <c r="Q466" s="150"/>
      <c r="R466" s="117"/>
      <c r="S466" s="117"/>
      <c r="T466" s="117"/>
      <c r="U466" s="115"/>
      <c r="V466" s="180"/>
      <c r="W466" s="117"/>
      <c r="X466" s="117"/>
      <c r="Y466" s="117"/>
      <c r="Z466" s="115"/>
      <c r="AA466" s="180"/>
      <c r="AB466" s="117"/>
      <c r="AC466" s="117"/>
      <c r="AD466" s="117"/>
      <c r="AE466" s="115"/>
      <c r="AF466" s="180"/>
      <c r="AG466" s="117"/>
      <c r="AH466" s="117"/>
      <c r="AI466" s="117"/>
      <c r="AJ466" s="115"/>
      <c r="AK466" s="180"/>
      <c r="AL466" s="117"/>
      <c r="AM466" s="117"/>
      <c r="AN466" s="117"/>
      <c r="AO466" s="338"/>
      <c r="AP466" s="338"/>
      <c r="AQ466" s="338"/>
      <c r="AR466" s="338"/>
      <c r="AS466" s="338"/>
      <c r="AT466" s="338"/>
      <c r="AU466" s="338"/>
      <c r="AV466" s="338"/>
      <c r="AW466" s="338"/>
      <c r="AX466" s="338"/>
      <c r="AY466" s="338"/>
      <c r="AZ466" s="338"/>
      <c r="BA466" s="338"/>
      <c r="BB466" s="338"/>
      <c r="BC466" s="338"/>
    </row>
    <row r="467">
      <c r="A467" s="115"/>
      <c r="B467" s="180"/>
      <c r="C467" s="117"/>
      <c r="D467" s="117"/>
      <c r="E467" s="117"/>
      <c r="F467" s="115"/>
      <c r="G467" s="180"/>
      <c r="H467" s="117"/>
      <c r="I467" s="117"/>
      <c r="J467" s="117"/>
      <c r="K467" s="92"/>
      <c r="L467" s="180"/>
      <c r="M467" s="117"/>
      <c r="N467" s="117"/>
      <c r="O467" s="117"/>
      <c r="P467" s="92"/>
      <c r="Q467" s="150"/>
      <c r="R467" s="117"/>
      <c r="S467" s="117"/>
      <c r="T467" s="117"/>
      <c r="U467" s="115"/>
      <c r="V467" s="180"/>
      <c r="W467" s="117"/>
      <c r="X467" s="117"/>
      <c r="Y467" s="117"/>
      <c r="Z467" s="115"/>
      <c r="AA467" s="180"/>
      <c r="AB467" s="117"/>
      <c r="AC467" s="117"/>
      <c r="AD467" s="117"/>
      <c r="AE467" s="115"/>
      <c r="AF467" s="180"/>
      <c r="AG467" s="117"/>
      <c r="AH467" s="117"/>
      <c r="AI467" s="117"/>
      <c r="AJ467" s="115"/>
      <c r="AK467" s="180"/>
      <c r="AL467" s="117"/>
      <c r="AM467" s="117"/>
      <c r="AN467" s="117"/>
      <c r="AO467" s="338"/>
      <c r="AP467" s="338"/>
      <c r="AQ467" s="338"/>
      <c r="AR467" s="338"/>
      <c r="AS467" s="338"/>
      <c r="AT467" s="338"/>
      <c r="AU467" s="338"/>
      <c r="AV467" s="338"/>
      <c r="AW467" s="338"/>
      <c r="AX467" s="338"/>
      <c r="AY467" s="338"/>
      <c r="AZ467" s="338"/>
      <c r="BA467" s="338"/>
      <c r="BB467" s="338"/>
      <c r="BC467" s="338"/>
    </row>
    <row r="468">
      <c r="A468" s="115"/>
      <c r="B468" s="180"/>
      <c r="C468" s="117"/>
      <c r="D468" s="117"/>
      <c r="E468" s="117"/>
      <c r="F468" s="115"/>
      <c r="G468" s="180"/>
      <c r="H468" s="117"/>
      <c r="I468" s="117"/>
      <c r="J468" s="117"/>
      <c r="K468" s="92"/>
      <c r="L468" s="180"/>
      <c r="M468" s="117"/>
      <c r="N468" s="117"/>
      <c r="O468" s="117"/>
      <c r="P468" s="92"/>
      <c r="Q468" s="150"/>
      <c r="R468" s="117"/>
      <c r="S468" s="117"/>
      <c r="T468" s="117"/>
      <c r="U468" s="115"/>
      <c r="V468" s="180"/>
      <c r="W468" s="117"/>
      <c r="X468" s="117"/>
      <c r="Y468" s="117"/>
      <c r="Z468" s="115"/>
      <c r="AA468" s="180"/>
      <c r="AB468" s="117"/>
      <c r="AC468" s="117"/>
      <c r="AD468" s="117"/>
      <c r="AE468" s="115"/>
      <c r="AF468" s="180"/>
      <c r="AG468" s="117"/>
      <c r="AH468" s="117"/>
      <c r="AI468" s="117"/>
      <c r="AJ468" s="115"/>
      <c r="AK468" s="180"/>
      <c r="AL468" s="117"/>
      <c r="AM468" s="117"/>
      <c r="AN468" s="117"/>
      <c r="AO468" s="338"/>
      <c r="AP468" s="338"/>
      <c r="AQ468" s="338"/>
      <c r="AR468" s="338"/>
      <c r="AS468" s="338"/>
      <c r="AT468" s="338"/>
      <c r="AU468" s="338"/>
      <c r="AV468" s="338"/>
      <c r="AW468" s="338"/>
      <c r="AX468" s="338"/>
      <c r="AY468" s="338"/>
      <c r="AZ468" s="338"/>
      <c r="BA468" s="338"/>
      <c r="BB468" s="338"/>
      <c r="BC468" s="338"/>
    </row>
    <row r="469">
      <c r="A469" s="115"/>
      <c r="B469" s="180"/>
      <c r="C469" s="117"/>
      <c r="D469" s="117"/>
      <c r="E469" s="117"/>
      <c r="F469" s="115"/>
      <c r="G469" s="180"/>
      <c r="H469" s="117"/>
      <c r="I469" s="117"/>
      <c r="J469" s="117"/>
      <c r="K469" s="92"/>
      <c r="L469" s="180"/>
      <c r="M469" s="117"/>
      <c r="N469" s="117"/>
      <c r="O469" s="117"/>
      <c r="P469" s="92"/>
      <c r="Q469" s="150"/>
      <c r="R469" s="117"/>
      <c r="S469" s="117"/>
      <c r="T469" s="117"/>
      <c r="U469" s="115"/>
      <c r="V469" s="180"/>
      <c r="W469" s="117"/>
      <c r="X469" s="117"/>
      <c r="Y469" s="117"/>
      <c r="Z469" s="115"/>
      <c r="AA469" s="180"/>
      <c r="AB469" s="117"/>
      <c r="AC469" s="117"/>
      <c r="AD469" s="117"/>
      <c r="AE469" s="115"/>
      <c r="AF469" s="180"/>
      <c r="AG469" s="117"/>
      <c r="AH469" s="117"/>
      <c r="AI469" s="117"/>
      <c r="AJ469" s="115"/>
      <c r="AK469" s="180"/>
      <c r="AL469" s="117"/>
      <c r="AM469" s="117"/>
      <c r="AN469" s="117"/>
      <c r="AO469" s="338"/>
      <c r="AP469" s="338"/>
      <c r="AQ469" s="338"/>
      <c r="AR469" s="338"/>
      <c r="AS469" s="338"/>
      <c r="AT469" s="338"/>
      <c r="AU469" s="338"/>
      <c r="AV469" s="338"/>
      <c r="AW469" s="338"/>
      <c r="AX469" s="338"/>
      <c r="AY469" s="338"/>
      <c r="AZ469" s="338"/>
      <c r="BA469" s="338"/>
      <c r="BB469" s="338"/>
      <c r="BC469" s="338"/>
    </row>
    <row r="470">
      <c r="A470" s="115"/>
      <c r="B470" s="180"/>
      <c r="C470" s="117"/>
      <c r="D470" s="117"/>
      <c r="E470" s="117"/>
      <c r="F470" s="115"/>
      <c r="G470" s="180"/>
      <c r="H470" s="117"/>
      <c r="I470" s="117"/>
      <c r="J470" s="117"/>
      <c r="K470" s="92"/>
      <c r="L470" s="180"/>
      <c r="M470" s="117"/>
      <c r="N470" s="117"/>
      <c r="O470" s="117"/>
      <c r="P470" s="92"/>
      <c r="Q470" s="150"/>
      <c r="R470" s="117"/>
      <c r="S470" s="117"/>
      <c r="T470" s="117"/>
      <c r="U470" s="115"/>
      <c r="V470" s="180"/>
      <c r="W470" s="117"/>
      <c r="X470" s="117"/>
      <c r="Y470" s="117"/>
      <c r="Z470" s="115"/>
      <c r="AA470" s="180"/>
      <c r="AB470" s="117"/>
      <c r="AC470" s="117"/>
      <c r="AD470" s="117"/>
      <c r="AE470" s="115"/>
      <c r="AF470" s="180"/>
      <c r="AG470" s="117"/>
      <c r="AH470" s="117"/>
      <c r="AI470" s="117"/>
      <c r="AJ470" s="115"/>
      <c r="AK470" s="180"/>
      <c r="AL470" s="117"/>
      <c r="AM470" s="117"/>
      <c r="AN470" s="117"/>
      <c r="AO470" s="338"/>
      <c r="AP470" s="338"/>
      <c r="AQ470" s="338"/>
      <c r="AR470" s="338"/>
      <c r="AS470" s="338"/>
      <c r="AT470" s="338"/>
      <c r="AU470" s="338"/>
      <c r="AV470" s="338"/>
      <c r="AW470" s="338"/>
      <c r="AX470" s="338"/>
      <c r="AY470" s="338"/>
      <c r="AZ470" s="338"/>
      <c r="BA470" s="338"/>
      <c r="BB470" s="338"/>
      <c r="BC470" s="338"/>
    </row>
    <row r="471">
      <c r="A471" s="115"/>
      <c r="B471" s="180"/>
      <c r="C471" s="117"/>
      <c r="D471" s="117"/>
      <c r="E471" s="117"/>
      <c r="F471" s="115"/>
      <c r="G471" s="180"/>
      <c r="H471" s="117"/>
      <c r="I471" s="117"/>
      <c r="J471" s="117"/>
      <c r="K471" s="92"/>
      <c r="L471" s="180"/>
      <c r="M471" s="117"/>
      <c r="N471" s="117"/>
      <c r="O471" s="117"/>
      <c r="P471" s="92"/>
      <c r="Q471" s="150"/>
      <c r="R471" s="117"/>
      <c r="S471" s="117"/>
      <c r="T471" s="117"/>
      <c r="U471" s="115"/>
      <c r="V471" s="180"/>
      <c r="W471" s="117"/>
      <c r="X471" s="117"/>
      <c r="Y471" s="117"/>
      <c r="Z471" s="115"/>
      <c r="AA471" s="180"/>
      <c r="AB471" s="117"/>
      <c r="AC471" s="117"/>
      <c r="AD471" s="117"/>
      <c r="AE471" s="115"/>
      <c r="AF471" s="180"/>
      <c r="AG471" s="117"/>
      <c r="AH471" s="117"/>
      <c r="AI471" s="117"/>
      <c r="AJ471" s="115"/>
      <c r="AK471" s="180"/>
      <c r="AL471" s="117"/>
      <c r="AM471" s="117"/>
      <c r="AN471" s="117"/>
      <c r="AO471" s="338"/>
      <c r="AP471" s="338"/>
      <c r="AQ471" s="338"/>
      <c r="AR471" s="338"/>
      <c r="AS471" s="338"/>
      <c r="AT471" s="338"/>
      <c r="AU471" s="338"/>
      <c r="AV471" s="338"/>
      <c r="AW471" s="338"/>
      <c r="AX471" s="338"/>
      <c r="AY471" s="338"/>
      <c r="AZ471" s="338"/>
      <c r="BA471" s="338"/>
      <c r="BB471" s="338"/>
      <c r="BC471" s="338"/>
    </row>
    <row r="472">
      <c r="A472" s="115"/>
      <c r="B472" s="180"/>
      <c r="C472" s="117"/>
      <c r="D472" s="117"/>
      <c r="E472" s="117"/>
      <c r="F472" s="115"/>
      <c r="G472" s="180"/>
      <c r="H472" s="117"/>
      <c r="I472" s="117"/>
      <c r="J472" s="117"/>
      <c r="K472" s="92"/>
      <c r="L472" s="180"/>
      <c r="M472" s="117"/>
      <c r="N472" s="117"/>
      <c r="O472" s="117"/>
      <c r="P472" s="92"/>
      <c r="Q472" s="150"/>
      <c r="R472" s="117"/>
      <c r="S472" s="117"/>
      <c r="T472" s="117"/>
      <c r="U472" s="115"/>
      <c r="V472" s="180"/>
      <c r="W472" s="117"/>
      <c r="X472" s="117"/>
      <c r="Y472" s="117"/>
      <c r="Z472" s="115"/>
      <c r="AA472" s="180"/>
      <c r="AB472" s="117"/>
      <c r="AC472" s="117"/>
      <c r="AD472" s="117"/>
      <c r="AE472" s="115"/>
      <c r="AF472" s="180"/>
      <c r="AG472" s="117"/>
      <c r="AH472" s="117"/>
      <c r="AI472" s="117"/>
      <c r="AJ472" s="115"/>
      <c r="AK472" s="180"/>
      <c r="AL472" s="117"/>
      <c r="AM472" s="117"/>
      <c r="AN472" s="117"/>
      <c r="AO472" s="338"/>
      <c r="AP472" s="338"/>
      <c r="AQ472" s="338"/>
      <c r="AR472" s="338"/>
      <c r="AS472" s="338"/>
      <c r="AT472" s="338"/>
      <c r="AU472" s="338"/>
      <c r="AV472" s="338"/>
      <c r="AW472" s="338"/>
      <c r="AX472" s="338"/>
      <c r="AY472" s="338"/>
      <c r="AZ472" s="338"/>
      <c r="BA472" s="338"/>
      <c r="BB472" s="338"/>
      <c r="BC472" s="338"/>
    </row>
    <row r="473">
      <c r="A473" s="115"/>
      <c r="B473" s="180"/>
      <c r="C473" s="117"/>
      <c r="D473" s="117"/>
      <c r="E473" s="117"/>
      <c r="F473" s="115"/>
      <c r="G473" s="180"/>
      <c r="H473" s="117"/>
      <c r="I473" s="117"/>
      <c r="J473" s="117"/>
      <c r="K473" s="92"/>
      <c r="L473" s="180"/>
      <c r="M473" s="117"/>
      <c r="N473" s="117"/>
      <c r="O473" s="117"/>
      <c r="P473" s="92"/>
      <c r="Q473" s="150"/>
      <c r="R473" s="117"/>
      <c r="S473" s="117"/>
      <c r="T473" s="117"/>
      <c r="U473" s="115"/>
      <c r="V473" s="180"/>
      <c r="W473" s="117"/>
      <c r="X473" s="117"/>
      <c r="Y473" s="117"/>
      <c r="Z473" s="115"/>
      <c r="AA473" s="180"/>
      <c r="AB473" s="117"/>
      <c r="AC473" s="117"/>
      <c r="AD473" s="117"/>
      <c r="AE473" s="115"/>
      <c r="AF473" s="180"/>
      <c r="AG473" s="117"/>
      <c r="AH473" s="117"/>
      <c r="AI473" s="117"/>
      <c r="AJ473" s="115"/>
      <c r="AK473" s="180"/>
      <c r="AL473" s="117"/>
      <c r="AM473" s="117"/>
      <c r="AN473" s="117"/>
      <c r="AO473" s="338"/>
      <c r="AP473" s="338"/>
      <c r="AQ473" s="338"/>
      <c r="AR473" s="338"/>
      <c r="AS473" s="338"/>
      <c r="AT473" s="338"/>
      <c r="AU473" s="338"/>
      <c r="AV473" s="338"/>
      <c r="AW473" s="338"/>
      <c r="AX473" s="338"/>
      <c r="AY473" s="338"/>
      <c r="AZ473" s="338"/>
      <c r="BA473" s="338"/>
      <c r="BB473" s="338"/>
      <c r="BC473" s="338"/>
    </row>
    <row r="474">
      <c r="A474" s="115"/>
      <c r="B474" s="180"/>
      <c r="C474" s="117"/>
      <c r="D474" s="117"/>
      <c r="E474" s="117"/>
      <c r="F474" s="115"/>
      <c r="G474" s="180"/>
      <c r="H474" s="117"/>
      <c r="I474" s="117"/>
      <c r="J474" s="117"/>
      <c r="K474" s="92"/>
      <c r="L474" s="180"/>
      <c r="M474" s="117"/>
      <c r="N474" s="117"/>
      <c r="O474" s="117"/>
      <c r="P474" s="92"/>
      <c r="Q474" s="150"/>
      <c r="R474" s="117"/>
      <c r="S474" s="117"/>
      <c r="T474" s="117"/>
      <c r="U474" s="115"/>
      <c r="V474" s="180"/>
      <c r="W474" s="117"/>
      <c r="X474" s="117"/>
      <c r="Y474" s="117"/>
      <c r="Z474" s="115"/>
      <c r="AA474" s="180"/>
      <c r="AB474" s="117"/>
      <c r="AC474" s="117"/>
      <c r="AD474" s="117"/>
      <c r="AE474" s="115"/>
      <c r="AF474" s="180"/>
      <c r="AG474" s="117"/>
      <c r="AH474" s="117"/>
      <c r="AI474" s="117"/>
      <c r="AJ474" s="115"/>
      <c r="AK474" s="180"/>
      <c r="AL474" s="117"/>
      <c r="AM474" s="117"/>
      <c r="AN474" s="117"/>
      <c r="AO474" s="338"/>
      <c r="AP474" s="338"/>
      <c r="AQ474" s="338"/>
      <c r="AR474" s="338"/>
      <c r="AS474" s="338"/>
      <c r="AT474" s="338"/>
      <c r="AU474" s="338"/>
      <c r="AV474" s="338"/>
      <c r="AW474" s="338"/>
      <c r="AX474" s="338"/>
      <c r="AY474" s="338"/>
      <c r="AZ474" s="338"/>
      <c r="BA474" s="338"/>
      <c r="BB474" s="338"/>
      <c r="BC474" s="338"/>
    </row>
    <row r="475">
      <c r="A475" s="115"/>
      <c r="B475" s="180"/>
      <c r="C475" s="117"/>
      <c r="D475" s="117"/>
      <c r="E475" s="117"/>
      <c r="F475" s="115"/>
      <c r="G475" s="180"/>
      <c r="H475" s="117"/>
      <c r="I475" s="117"/>
      <c r="J475" s="117"/>
      <c r="K475" s="92"/>
      <c r="L475" s="180"/>
      <c r="M475" s="117"/>
      <c r="N475" s="117"/>
      <c r="O475" s="117"/>
      <c r="P475" s="92"/>
      <c r="Q475" s="150"/>
      <c r="R475" s="117"/>
      <c r="S475" s="117"/>
      <c r="T475" s="117"/>
      <c r="U475" s="115"/>
      <c r="V475" s="180"/>
      <c r="W475" s="117"/>
      <c r="X475" s="117"/>
      <c r="Y475" s="117"/>
      <c r="Z475" s="115"/>
      <c r="AA475" s="180"/>
      <c r="AB475" s="117"/>
      <c r="AC475" s="117"/>
      <c r="AD475" s="117"/>
      <c r="AE475" s="115"/>
      <c r="AF475" s="180"/>
      <c r="AG475" s="117"/>
      <c r="AH475" s="117"/>
      <c r="AI475" s="117"/>
      <c r="AJ475" s="115"/>
      <c r="AK475" s="180"/>
      <c r="AL475" s="117"/>
      <c r="AM475" s="117"/>
      <c r="AN475" s="117"/>
      <c r="AO475" s="338"/>
      <c r="AP475" s="338"/>
      <c r="AQ475" s="338"/>
      <c r="AR475" s="338"/>
      <c r="AS475" s="338"/>
      <c r="AT475" s="338"/>
      <c r="AU475" s="338"/>
      <c r="AV475" s="338"/>
      <c r="AW475" s="338"/>
      <c r="AX475" s="338"/>
      <c r="AY475" s="338"/>
      <c r="AZ475" s="338"/>
      <c r="BA475" s="338"/>
      <c r="BB475" s="338"/>
      <c r="BC475" s="338"/>
    </row>
    <row r="476">
      <c r="A476" s="115"/>
      <c r="B476" s="180"/>
      <c r="C476" s="117"/>
      <c r="D476" s="117"/>
      <c r="E476" s="117"/>
      <c r="F476" s="115"/>
      <c r="G476" s="180"/>
      <c r="H476" s="117"/>
      <c r="I476" s="117"/>
      <c r="J476" s="117"/>
      <c r="K476" s="92"/>
      <c r="L476" s="180"/>
      <c r="M476" s="117"/>
      <c r="N476" s="117"/>
      <c r="O476" s="117"/>
      <c r="P476" s="92"/>
      <c r="Q476" s="150"/>
      <c r="R476" s="117"/>
      <c r="S476" s="117"/>
      <c r="T476" s="117"/>
      <c r="U476" s="115"/>
      <c r="V476" s="180"/>
      <c r="W476" s="117"/>
      <c r="X476" s="117"/>
      <c r="Y476" s="117"/>
      <c r="Z476" s="115"/>
      <c r="AA476" s="180"/>
      <c r="AB476" s="117"/>
      <c r="AC476" s="117"/>
      <c r="AD476" s="117"/>
      <c r="AE476" s="115"/>
      <c r="AF476" s="180"/>
      <c r="AG476" s="117"/>
      <c r="AH476" s="117"/>
      <c r="AI476" s="117"/>
      <c r="AJ476" s="115"/>
      <c r="AK476" s="180"/>
      <c r="AL476" s="117"/>
      <c r="AM476" s="117"/>
      <c r="AN476" s="117"/>
      <c r="AO476" s="338"/>
      <c r="AP476" s="338"/>
      <c r="AQ476" s="338"/>
      <c r="AR476" s="338"/>
      <c r="AS476" s="338"/>
      <c r="AT476" s="338"/>
      <c r="AU476" s="338"/>
      <c r="AV476" s="338"/>
      <c r="AW476" s="338"/>
      <c r="AX476" s="338"/>
      <c r="AY476" s="338"/>
      <c r="AZ476" s="338"/>
      <c r="BA476" s="338"/>
      <c r="BB476" s="338"/>
      <c r="BC476" s="338"/>
    </row>
    <row r="477">
      <c r="A477" s="115"/>
      <c r="B477" s="180"/>
      <c r="C477" s="117"/>
      <c r="D477" s="117"/>
      <c r="E477" s="117"/>
      <c r="F477" s="115"/>
      <c r="G477" s="180"/>
      <c r="H477" s="117"/>
      <c r="I477" s="117"/>
      <c r="J477" s="117"/>
      <c r="K477" s="92"/>
      <c r="L477" s="180"/>
      <c r="M477" s="117"/>
      <c r="N477" s="117"/>
      <c r="O477" s="117"/>
      <c r="P477" s="92"/>
      <c r="Q477" s="150"/>
      <c r="R477" s="117"/>
      <c r="S477" s="117"/>
      <c r="T477" s="117"/>
      <c r="U477" s="115"/>
      <c r="V477" s="180"/>
      <c r="W477" s="117"/>
      <c r="X477" s="117"/>
      <c r="Y477" s="117"/>
      <c r="Z477" s="115"/>
      <c r="AA477" s="180"/>
      <c r="AB477" s="117"/>
      <c r="AC477" s="117"/>
      <c r="AD477" s="117"/>
      <c r="AE477" s="115"/>
      <c r="AF477" s="180"/>
      <c r="AG477" s="117"/>
      <c r="AH477" s="117"/>
      <c r="AI477" s="117"/>
      <c r="AJ477" s="115"/>
      <c r="AK477" s="180"/>
      <c r="AL477" s="117"/>
      <c r="AM477" s="117"/>
      <c r="AN477" s="117"/>
      <c r="AO477" s="338"/>
      <c r="AP477" s="338"/>
      <c r="AQ477" s="338"/>
      <c r="AR477" s="338"/>
      <c r="AS477" s="338"/>
      <c r="AT477" s="338"/>
      <c r="AU477" s="338"/>
      <c r="AV477" s="338"/>
      <c r="AW477" s="338"/>
      <c r="AX477" s="338"/>
      <c r="AY477" s="338"/>
      <c r="AZ477" s="338"/>
      <c r="BA477" s="338"/>
      <c r="BB477" s="338"/>
      <c r="BC477" s="338"/>
    </row>
    <row r="478">
      <c r="A478" s="115"/>
      <c r="B478" s="180"/>
      <c r="C478" s="117"/>
      <c r="D478" s="117"/>
      <c r="E478" s="117"/>
      <c r="F478" s="115"/>
      <c r="G478" s="180"/>
      <c r="H478" s="117"/>
      <c r="I478" s="117"/>
      <c r="J478" s="117"/>
      <c r="K478" s="92"/>
      <c r="L478" s="180"/>
      <c r="M478" s="117"/>
      <c r="N478" s="117"/>
      <c r="O478" s="117"/>
      <c r="P478" s="92"/>
      <c r="Q478" s="150"/>
      <c r="R478" s="117"/>
      <c r="S478" s="117"/>
      <c r="T478" s="117"/>
      <c r="U478" s="115"/>
      <c r="V478" s="180"/>
      <c r="W478" s="117"/>
      <c r="X478" s="117"/>
      <c r="Y478" s="117"/>
      <c r="Z478" s="115"/>
      <c r="AA478" s="180"/>
      <c r="AB478" s="117"/>
      <c r="AC478" s="117"/>
      <c r="AD478" s="117"/>
      <c r="AE478" s="115"/>
      <c r="AF478" s="180"/>
      <c r="AG478" s="117"/>
      <c r="AH478" s="117"/>
      <c r="AI478" s="117"/>
      <c r="AJ478" s="115"/>
      <c r="AK478" s="180"/>
      <c r="AL478" s="117"/>
      <c r="AM478" s="117"/>
      <c r="AN478" s="117"/>
      <c r="AO478" s="338"/>
      <c r="AP478" s="338"/>
      <c r="AQ478" s="338"/>
      <c r="AR478" s="338"/>
      <c r="AS478" s="338"/>
      <c r="AT478" s="338"/>
      <c r="AU478" s="338"/>
      <c r="AV478" s="338"/>
      <c r="AW478" s="338"/>
      <c r="AX478" s="338"/>
      <c r="AY478" s="338"/>
      <c r="AZ478" s="338"/>
      <c r="BA478" s="338"/>
      <c r="BB478" s="338"/>
      <c r="BC478" s="338"/>
    </row>
    <row r="479">
      <c r="A479" s="115"/>
      <c r="B479" s="180"/>
      <c r="C479" s="117"/>
      <c r="D479" s="117"/>
      <c r="E479" s="117"/>
      <c r="F479" s="115"/>
      <c r="G479" s="180"/>
      <c r="H479" s="117"/>
      <c r="I479" s="117"/>
      <c r="J479" s="117"/>
      <c r="K479" s="92"/>
      <c r="L479" s="180"/>
      <c r="M479" s="117"/>
      <c r="N479" s="117"/>
      <c r="O479" s="117"/>
      <c r="P479" s="92"/>
      <c r="Q479" s="150"/>
      <c r="R479" s="117"/>
      <c r="S479" s="117"/>
      <c r="T479" s="117"/>
      <c r="U479" s="115"/>
      <c r="V479" s="180"/>
      <c r="W479" s="117"/>
      <c r="X479" s="117"/>
      <c r="Y479" s="117"/>
      <c r="Z479" s="115"/>
      <c r="AA479" s="180"/>
      <c r="AB479" s="117"/>
      <c r="AC479" s="117"/>
      <c r="AD479" s="117"/>
      <c r="AE479" s="115"/>
      <c r="AF479" s="180"/>
      <c r="AG479" s="117"/>
      <c r="AH479" s="117"/>
      <c r="AI479" s="117"/>
      <c r="AJ479" s="115"/>
      <c r="AK479" s="180"/>
      <c r="AL479" s="117"/>
      <c r="AM479" s="117"/>
      <c r="AN479" s="117"/>
      <c r="AO479" s="338"/>
      <c r="AP479" s="338"/>
      <c r="AQ479" s="338"/>
      <c r="AR479" s="338"/>
      <c r="AS479" s="338"/>
      <c r="AT479" s="338"/>
      <c r="AU479" s="338"/>
      <c r="AV479" s="338"/>
      <c r="AW479" s="338"/>
      <c r="AX479" s="338"/>
      <c r="AY479" s="338"/>
      <c r="AZ479" s="338"/>
      <c r="BA479" s="338"/>
      <c r="BB479" s="338"/>
      <c r="BC479" s="338"/>
    </row>
    <row r="480">
      <c r="A480" s="115"/>
      <c r="B480" s="180"/>
      <c r="C480" s="117"/>
      <c r="D480" s="117"/>
      <c r="E480" s="117"/>
      <c r="F480" s="115"/>
      <c r="G480" s="180"/>
      <c r="H480" s="117"/>
      <c r="I480" s="117"/>
      <c r="J480" s="117"/>
      <c r="K480" s="92"/>
      <c r="L480" s="180"/>
      <c r="M480" s="117"/>
      <c r="N480" s="117"/>
      <c r="O480" s="117"/>
      <c r="P480" s="92"/>
      <c r="Q480" s="150"/>
      <c r="R480" s="117"/>
      <c r="S480" s="117"/>
      <c r="T480" s="117"/>
      <c r="U480" s="115"/>
      <c r="V480" s="180"/>
      <c r="W480" s="117"/>
      <c r="X480" s="117"/>
      <c r="Y480" s="117"/>
      <c r="Z480" s="115"/>
      <c r="AA480" s="180"/>
      <c r="AB480" s="117"/>
      <c r="AC480" s="117"/>
      <c r="AD480" s="117"/>
      <c r="AE480" s="115"/>
      <c r="AF480" s="180"/>
      <c r="AG480" s="117"/>
      <c r="AH480" s="117"/>
      <c r="AI480" s="117"/>
      <c r="AJ480" s="115"/>
      <c r="AK480" s="180"/>
      <c r="AL480" s="117"/>
      <c r="AM480" s="117"/>
      <c r="AN480" s="117"/>
      <c r="AO480" s="338"/>
      <c r="AP480" s="338"/>
      <c r="AQ480" s="338"/>
      <c r="AR480" s="338"/>
      <c r="AS480" s="338"/>
      <c r="AT480" s="338"/>
      <c r="AU480" s="338"/>
      <c r="AV480" s="338"/>
      <c r="AW480" s="338"/>
      <c r="AX480" s="338"/>
      <c r="AY480" s="338"/>
      <c r="AZ480" s="338"/>
      <c r="BA480" s="338"/>
      <c r="BB480" s="338"/>
      <c r="BC480" s="338"/>
    </row>
    <row r="481">
      <c r="A481" s="115"/>
      <c r="B481" s="180"/>
      <c r="C481" s="117"/>
      <c r="D481" s="117"/>
      <c r="E481" s="117"/>
      <c r="F481" s="115"/>
      <c r="G481" s="180"/>
      <c r="H481" s="117"/>
      <c r="I481" s="117"/>
      <c r="J481" s="117"/>
      <c r="K481" s="92"/>
      <c r="L481" s="180"/>
      <c r="M481" s="117"/>
      <c r="N481" s="117"/>
      <c r="O481" s="117"/>
      <c r="P481" s="92"/>
      <c r="Q481" s="150"/>
      <c r="R481" s="117"/>
      <c r="S481" s="117"/>
      <c r="T481" s="117"/>
      <c r="U481" s="115"/>
      <c r="V481" s="180"/>
      <c r="W481" s="117"/>
      <c r="X481" s="117"/>
      <c r="Y481" s="117"/>
      <c r="Z481" s="115"/>
      <c r="AA481" s="180"/>
      <c r="AB481" s="117"/>
      <c r="AC481" s="117"/>
      <c r="AD481" s="117"/>
      <c r="AE481" s="115"/>
      <c r="AF481" s="180"/>
      <c r="AG481" s="117"/>
      <c r="AH481" s="117"/>
      <c r="AI481" s="117"/>
      <c r="AJ481" s="115"/>
      <c r="AK481" s="180"/>
      <c r="AL481" s="117"/>
      <c r="AM481" s="117"/>
      <c r="AN481" s="117"/>
      <c r="AO481" s="338"/>
      <c r="AP481" s="338"/>
      <c r="AQ481" s="338"/>
      <c r="AR481" s="338"/>
      <c r="AS481" s="338"/>
      <c r="AT481" s="338"/>
      <c r="AU481" s="338"/>
      <c r="AV481" s="338"/>
      <c r="AW481" s="338"/>
      <c r="AX481" s="338"/>
      <c r="AY481" s="338"/>
      <c r="AZ481" s="338"/>
      <c r="BA481" s="338"/>
      <c r="BB481" s="338"/>
      <c r="BC481" s="338"/>
    </row>
    <row r="482">
      <c r="A482" s="115"/>
      <c r="B482" s="180"/>
      <c r="C482" s="117"/>
      <c r="D482" s="117"/>
      <c r="E482" s="117"/>
      <c r="F482" s="115"/>
      <c r="G482" s="180"/>
      <c r="H482" s="117"/>
      <c r="I482" s="117"/>
      <c r="J482" s="117"/>
      <c r="K482" s="92"/>
      <c r="L482" s="180"/>
      <c r="M482" s="117"/>
      <c r="N482" s="117"/>
      <c r="O482" s="117"/>
      <c r="P482" s="92"/>
      <c r="Q482" s="150"/>
      <c r="R482" s="117"/>
      <c r="S482" s="117"/>
      <c r="T482" s="117"/>
      <c r="U482" s="115"/>
      <c r="V482" s="180"/>
      <c r="W482" s="117"/>
      <c r="X482" s="117"/>
      <c r="Y482" s="117"/>
      <c r="Z482" s="115"/>
      <c r="AA482" s="180"/>
      <c r="AB482" s="117"/>
      <c r="AC482" s="117"/>
      <c r="AD482" s="117"/>
      <c r="AE482" s="115"/>
      <c r="AF482" s="180"/>
      <c r="AG482" s="117"/>
      <c r="AH482" s="117"/>
      <c r="AI482" s="117"/>
      <c r="AJ482" s="115"/>
      <c r="AK482" s="180"/>
      <c r="AL482" s="117"/>
      <c r="AM482" s="117"/>
      <c r="AN482" s="117"/>
      <c r="AO482" s="338"/>
      <c r="AP482" s="338"/>
      <c r="AQ482" s="338"/>
      <c r="AR482" s="338"/>
      <c r="AS482" s="338"/>
      <c r="AT482" s="338"/>
      <c r="AU482" s="338"/>
      <c r="AV482" s="338"/>
      <c r="AW482" s="338"/>
      <c r="AX482" s="338"/>
      <c r="AY482" s="338"/>
      <c r="AZ482" s="338"/>
      <c r="BA482" s="338"/>
      <c r="BB482" s="338"/>
      <c r="BC482" s="338"/>
    </row>
    <row r="483">
      <c r="A483" s="115"/>
      <c r="B483" s="180"/>
      <c r="C483" s="117"/>
      <c r="D483" s="117"/>
      <c r="E483" s="117"/>
      <c r="F483" s="115"/>
      <c r="G483" s="180"/>
      <c r="H483" s="117"/>
      <c r="I483" s="117"/>
      <c r="J483" s="117"/>
      <c r="K483" s="92"/>
      <c r="L483" s="180"/>
      <c r="M483" s="117"/>
      <c r="N483" s="117"/>
      <c r="O483" s="117"/>
      <c r="P483" s="92"/>
      <c r="Q483" s="150"/>
      <c r="R483" s="117"/>
      <c r="S483" s="117"/>
      <c r="T483" s="117"/>
      <c r="U483" s="115"/>
      <c r="V483" s="180"/>
      <c r="W483" s="117"/>
      <c r="X483" s="117"/>
      <c r="Y483" s="117"/>
      <c r="Z483" s="115"/>
      <c r="AA483" s="180"/>
      <c r="AB483" s="117"/>
      <c r="AC483" s="117"/>
      <c r="AD483" s="117"/>
      <c r="AE483" s="115"/>
      <c r="AF483" s="180"/>
      <c r="AG483" s="117"/>
      <c r="AH483" s="117"/>
      <c r="AI483" s="117"/>
      <c r="AJ483" s="115"/>
      <c r="AK483" s="180"/>
      <c r="AL483" s="117"/>
      <c r="AM483" s="117"/>
      <c r="AN483" s="117"/>
      <c r="AO483" s="338"/>
      <c r="AP483" s="338"/>
      <c r="AQ483" s="338"/>
      <c r="AR483" s="338"/>
      <c r="AS483" s="338"/>
      <c r="AT483" s="338"/>
      <c r="AU483" s="338"/>
      <c r="AV483" s="338"/>
      <c r="AW483" s="338"/>
      <c r="AX483" s="338"/>
      <c r="AY483" s="338"/>
      <c r="AZ483" s="338"/>
      <c r="BA483" s="338"/>
      <c r="BB483" s="338"/>
      <c r="BC483" s="338"/>
    </row>
    <row r="484">
      <c r="A484" s="115"/>
      <c r="B484" s="180"/>
      <c r="C484" s="117"/>
      <c r="D484" s="117"/>
      <c r="E484" s="117"/>
      <c r="F484" s="115"/>
      <c r="G484" s="180"/>
      <c r="H484" s="117"/>
      <c r="I484" s="117"/>
      <c r="J484" s="117"/>
      <c r="K484" s="92"/>
      <c r="L484" s="180"/>
      <c r="M484" s="117"/>
      <c r="N484" s="117"/>
      <c r="O484" s="117"/>
      <c r="P484" s="92"/>
      <c r="Q484" s="150"/>
      <c r="R484" s="117"/>
      <c r="S484" s="117"/>
      <c r="T484" s="117"/>
      <c r="U484" s="115"/>
      <c r="V484" s="180"/>
      <c r="W484" s="117"/>
      <c r="X484" s="117"/>
      <c r="Y484" s="117"/>
      <c r="Z484" s="115"/>
      <c r="AA484" s="180"/>
      <c r="AB484" s="117"/>
      <c r="AC484" s="117"/>
      <c r="AD484" s="117"/>
      <c r="AE484" s="115"/>
      <c r="AF484" s="180"/>
      <c r="AG484" s="117"/>
      <c r="AH484" s="117"/>
      <c r="AI484" s="117"/>
      <c r="AJ484" s="115"/>
      <c r="AK484" s="180"/>
      <c r="AL484" s="117"/>
      <c r="AM484" s="117"/>
      <c r="AN484" s="117"/>
      <c r="AO484" s="338"/>
      <c r="AP484" s="338"/>
      <c r="AQ484" s="338"/>
      <c r="AR484" s="338"/>
      <c r="AS484" s="338"/>
      <c r="AT484" s="338"/>
      <c r="AU484" s="338"/>
      <c r="AV484" s="338"/>
      <c r="AW484" s="338"/>
      <c r="AX484" s="338"/>
      <c r="AY484" s="338"/>
      <c r="AZ484" s="338"/>
      <c r="BA484" s="338"/>
      <c r="BB484" s="338"/>
      <c r="BC484" s="338"/>
    </row>
    <row r="485">
      <c r="A485" s="115"/>
      <c r="B485" s="180"/>
      <c r="C485" s="117"/>
      <c r="D485" s="117"/>
      <c r="E485" s="117"/>
      <c r="F485" s="115"/>
      <c r="G485" s="180"/>
      <c r="H485" s="117"/>
      <c r="I485" s="117"/>
      <c r="J485" s="117"/>
      <c r="K485" s="92"/>
      <c r="L485" s="180"/>
      <c r="M485" s="117"/>
      <c r="N485" s="117"/>
      <c r="O485" s="117"/>
      <c r="P485" s="92"/>
      <c r="Q485" s="150"/>
      <c r="R485" s="117"/>
      <c r="S485" s="117"/>
      <c r="T485" s="117"/>
      <c r="U485" s="115"/>
      <c r="V485" s="180"/>
      <c r="W485" s="117"/>
      <c r="X485" s="117"/>
      <c r="Y485" s="117"/>
      <c r="Z485" s="115"/>
      <c r="AA485" s="180"/>
      <c r="AB485" s="117"/>
      <c r="AC485" s="117"/>
      <c r="AD485" s="117"/>
      <c r="AE485" s="115"/>
      <c r="AF485" s="180"/>
      <c r="AG485" s="117"/>
      <c r="AH485" s="117"/>
      <c r="AI485" s="117"/>
      <c r="AJ485" s="115"/>
      <c r="AK485" s="180"/>
      <c r="AL485" s="117"/>
      <c r="AM485" s="117"/>
      <c r="AN485" s="117"/>
      <c r="AO485" s="338"/>
      <c r="AP485" s="338"/>
      <c r="AQ485" s="338"/>
      <c r="AR485" s="338"/>
      <c r="AS485" s="338"/>
      <c r="AT485" s="338"/>
      <c r="AU485" s="338"/>
      <c r="AV485" s="338"/>
      <c r="AW485" s="338"/>
      <c r="AX485" s="338"/>
      <c r="AY485" s="338"/>
      <c r="AZ485" s="338"/>
      <c r="BA485" s="338"/>
      <c r="BB485" s="338"/>
      <c r="BC485" s="338"/>
    </row>
    <row r="486">
      <c r="A486" s="115"/>
      <c r="B486" s="180"/>
      <c r="C486" s="117"/>
      <c r="D486" s="117"/>
      <c r="E486" s="117"/>
      <c r="F486" s="115"/>
      <c r="G486" s="180"/>
      <c r="H486" s="117"/>
      <c r="I486" s="117"/>
      <c r="J486" s="117"/>
      <c r="K486" s="92"/>
      <c r="L486" s="180"/>
      <c r="M486" s="117"/>
      <c r="N486" s="117"/>
      <c r="O486" s="117"/>
      <c r="P486" s="92"/>
      <c r="Q486" s="150"/>
      <c r="R486" s="117"/>
      <c r="S486" s="117"/>
      <c r="T486" s="117"/>
      <c r="U486" s="115"/>
      <c r="V486" s="180"/>
      <c r="W486" s="117"/>
      <c r="X486" s="117"/>
      <c r="Y486" s="117"/>
      <c r="Z486" s="115"/>
      <c r="AA486" s="180"/>
      <c r="AB486" s="117"/>
      <c r="AC486" s="117"/>
      <c r="AD486" s="117"/>
      <c r="AE486" s="115"/>
      <c r="AF486" s="180"/>
      <c r="AG486" s="117"/>
      <c r="AH486" s="117"/>
      <c r="AI486" s="117"/>
      <c r="AJ486" s="115"/>
      <c r="AK486" s="180"/>
      <c r="AL486" s="117"/>
      <c r="AM486" s="117"/>
      <c r="AN486" s="117"/>
      <c r="AO486" s="338"/>
      <c r="AP486" s="338"/>
      <c r="AQ486" s="338"/>
      <c r="AR486" s="338"/>
      <c r="AS486" s="338"/>
      <c r="AT486" s="338"/>
      <c r="AU486" s="338"/>
      <c r="AV486" s="338"/>
      <c r="AW486" s="338"/>
      <c r="AX486" s="338"/>
      <c r="AY486" s="338"/>
      <c r="AZ486" s="338"/>
      <c r="BA486" s="338"/>
      <c r="BB486" s="338"/>
      <c r="BC486" s="338"/>
    </row>
    <row r="487">
      <c r="A487" s="115"/>
      <c r="B487" s="180"/>
      <c r="C487" s="117"/>
      <c r="D487" s="117"/>
      <c r="E487" s="117"/>
      <c r="F487" s="115"/>
      <c r="G487" s="180"/>
      <c r="H487" s="117"/>
      <c r="I487" s="117"/>
      <c r="J487" s="117"/>
      <c r="K487" s="92"/>
      <c r="L487" s="180"/>
      <c r="M487" s="117"/>
      <c r="N487" s="117"/>
      <c r="O487" s="117"/>
      <c r="P487" s="92"/>
      <c r="Q487" s="150"/>
      <c r="R487" s="117"/>
      <c r="S487" s="117"/>
      <c r="T487" s="117"/>
      <c r="U487" s="115"/>
      <c r="V487" s="180"/>
      <c r="W487" s="117"/>
      <c r="X487" s="117"/>
      <c r="Y487" s="117"/>
      <c r="Z487" s="115"/>
      <c r="AA487" s="180"/>
      <c r="AB487" s="117"/>
      <c r="AC487" s="117"/>
      <c r="AD487" s="117"/>
      <c r="AE487" s="115"/>
      <c r="AF487" s="180"/>
      <c r="AG487" s="117"/>
      <c r="AH487" s="117"/>
      <c r="AI487" s="117"/>
      <c r="AJ487" s="115"/>
      <c r="AK487" s="180"/>
      <c r="AL487" s="117"/>
      <c r="AM487" s="117"/>
      <c r="AN487" s="117"/>
      <c r="AO487" s="338"/>
      <c r="AP487" s="338"/>
      <c r="AQ487" s="338"/>
      <c r="AR487" s="338"/>
      <c r="AS487" s="338"/>
      <c r="AT487" s="338"/>
      <c r="AU487" s="338"/>
      <c r="AV487" s="338"/>
      <c r="AW487" s="338"/>
      <c r="AX487" s="338"/>
      <c r="AY487" s="338"/>
      <c r="AZ487" s="338"/>
      <c r="BA487" s="338"/>
      <c r="BB487" s="338"/>
      <c r="BC487" s="338"/>
    </row>
    <row r="488">
      <c r="A488" s="115"/>
      <c r="B488" s="180"/>
      <c r="C488" s="117"/>
      <c r="D488" s="117"/>
      <c r="E488" s="117"/>
      <c r="F488" s="115"/>
      <c r="G488" s="180"/>
      <c r="H488" s="117"/>
      <c r="I488" s="117"/>
      <c r="J488" s="117"/>
      <c r="K488" s="92"/>
      <c r="L488" s="180"/>
      <c r="M488" s="117"/>
      <c r="N488" s="117"/>
      <c r="O488" s="117"/>
      <c r="P488" s="92"/>
      <c r="Q488" s="150"/>
      <c r="R488" s="117"/>
      <c r="S488" s="117"/>
      <c r="T488" s="117"/>
      <c r="U488" s="115"/>
      <c r="V488" s="180"/>
      <c r="W488" s="117"/>
      <c r="X488" s="117"/>
      <c r="Y488" s="117"/>
      <c r="Z488" s="115"/>
      <c r="AA488" s="180"/>
      <c r="AB488" s="117"/>
      <c r="AC488" s="117"/>
      <c r="AD488" s="117"/>
      <c r="AE488" s="115"/>
      <c r="AF488" s="180"/>
      <c r="AG488" s="117"/>
      <c r="AH488" s="117"/>
      <c r="AI488" s="117"/>
      <c r="AJ488" s="115"/>
      <c r="AK488" s="180"/>
      <c r="AL488" s="117"/>
      <c r="AM488" s="117"/>
      <c r="AN488" s="117"/>
      <c r="AO488" s="338"/>
      <c r="AP488" s="338"/>
      <c r="AQ488" s="338"/>
      <c r="AR488" s="338"/>
      <c r="AS488" s="338"/>
      <c r="AT488" s="338"/>
      <c r="AU488" s="338"/>
      <c r="AV488" s="338"/>
      <c r="AW488" s="338"/>
      <c r="AX488" s="338"/>
      <c r="AY488" s="338"/>
      <c r="AZ488" s="338"/>
      <c r="BA488" s="338"/>
      <c r="BB488" s="338"/>
      <c r="BC488" s="338"/>
    </row>
    <row r="489">
      <c r="A489" s="115"/>
      <c r="B489" s="180"/>
      <c r="C489" s="117"/>
      <c r="D489" s="117"/>
      <c r="E489" s="117"/>
      <c r="F489" s="115"/>
      <c r="G489" s="180"/>
      <c r="H489" s="117"/>
      <c r="I489" s="117"/>
      <c r="J489" s="117"/>
      <c r="K489" s="92"/>
      <c r="L489" s="180"/>
      <c r="M489" s="117"/>
      <c r="N489" s="117"/>
      <c r="O489" s="117"/>
      <c r="P489" s="92"/>
      <c r="Q489" s="150"/>
      <c r="R489" s="117"/>
      <c r="S489" s="117"/>
      <c r="T489" s="117"/>
      <c r="U489" s="115"/>
      <c r="V489" s="180"/>
      <c r="W489" s="117"/>
      <c r="X489" s="117"/>
      <c r="Y489" s="117"/>
      <c r="Z489" s="115"/>
      <c r="AA489" s="180"/>
      <c r="AB489" s="117"/>
      <c r="AC489" s="117"/>
      <c r="AD489" s="117"/>
      <c r="AE489" s="115"/>
      <c r="AF489" s="180"/>
      <c r="AG489" s="117"/>
      <c r="AH489" s="117"/>
      <c r="AI489" s="117"/>
      <c r="AJ489" s="115"/>
      <c r="AK489" s="180"/>
      <c r="AL489" s="117"/>
      <c r="AM489" s="117"/>
      <c r="AN489" s="117"/>
      <c r="AO489" s="338"/>
      <c r="AP489" s="338"/>
      <c r="AQ489" s="338"/>
      <c r="AR489" s="338"/>
      <c r="AS489" s="338"/>
      <c r="AT489" s="338"/>
      <c r="AU489" s="338"/>
      <c r="AV489" s="338"/>
      <c r="AW489" s="338"/>
      <c r="AX489" s="338"/>
      <c r="AY489" s="338"/>
      <c r="AZ489" s="338"/>
      <c r="BA489" s="338"/>
      <c r="BB489" s="338"/>
      <c r="BC489" s="338"/>
    </row>
    <row r="490">
      <c r="A490" s="115"/>
      <c r="B490" s="180"/>
      <c r="C490" s="117"/>
      <c r="D490" s="117"/>
      <c r="E490" s="117"/>
      <c r="F490" s="115"/>
      <c r="G490" s="180"/>
      <c r="H490" s="117"/>
      <c r="I490" s="117"/>
      <c r="J490" s="117"/>
      <c r="K490" s="92"/>
      <c r="L490" s="180"/>
      <c r="M490" s="117"/>
      <c r="N490" s="117"/>
      <c r="O490" s="117"/>
      <c r="P490" s="92"/>
      <c r="Q490" s="150"/>
      <c r="R490" s="117"/>
      <c r="S490" s="117"/>
      <c r="T490" s="117"/>
      <c r="U490" s="115"/>
      <c r="V490" s="180"/>
      <c r="W490" s="117"/>
      <c r="X490" s="117"/>
      <c r="Y490" s="117"/>
      <c r="Z490" s="115"/>
      <c r="AA490" s="180"/>
      <c r="AB490" s="117"/>
      <c r="AC490" s="117"/>
      <c r="AD490" s="117"/>
      <c r="AE490" s="115"/>
      <c r="AF490" s="180"/>
      <c r="AG490" s="117"/>
      <c r="AH490" s="117"/>
      <c r="AI490" s="117"/>
      <c r="AJ490" s="115"/>
      <c r="AK490" s="180"/>
      <c r="AL490" s="117"/>
      <c r="AM490" s="117"/>
      <c r="AN490" s="117"/>
      <c r="AO490" s="338"/>
      <c r="AP490" s="338"/>
      <c r="AQ490" s="338"/>
      <c r="AR490" s="338"/>
      <c r="AS490" s="338"/>
      <c r="AT490" s="338"/>
      <c r="AU490" s="338"/>
      <c r="AV490" s="338"/>
      <c r="AW490" s="338"/>
      <c r="AX490" s="338"/>
      <c r="AY490" s="338"/>
      <c r="AZ490" s="338"/>
      <c r="BA490" s="338"/>
      <c r="BB490" s="338"/>
      <c r="BC490" s="338"/>
    </row>
    <row r="491">
      <c r="A491" s="115"/>
      <c r="B491" s="180"/>
      <c r="C491" s="117"/>
      <c r="D491" s="117"/>
      <c r="E491" s="117"/>
      <c r="F491" s="115"/>
      <c r="G491" s="180"/>
      <c r="H491" s="117"/>
      <c r="I491" s="117"/>
      <c r="J491" s="117"/>
      <c r="K491" s="92"/>
      <c r="L491" s="180"/>
      <c r="M491" s="117"/>
      <c r="N491" s="117"/>
      <c r="O491" s="117"/>
      <c r="P491" s="92"/>
      <c r="Q491" s="150"/>
      <c r="R491" s="117"/>
      <c r="S491" s="117"/>
      <c r="T491" s="117"/>
      <c r="U491" s="115"/>
      <c r="V491" s="180"/>
      <c r="W491" s="117"/>
      <c r="X491" s="117"/>
      <c r="Y491" s="117"/>
      <c r="Z491" s="115"/>
      <c r="AA491" s="180"/>
      <c r="AB491" s="117"/>
      <c r="AC491" s="117"/>
      <c r="AD491" s="117"/>
      <c r="AE491" s="115"/>
      <c r="AF491" s="180"/>
      <c r="AG491" s="117"/>
      <c r="AH491" s="117"/>
      <c r="AI491" s="117"/>
      <c r="AJ491" s="115"/>
      <c r="AK491" s="180"/>
      <c r="AL491" s="117"/>
      <c r="AM491" s="117"/>
      <c r="AN491" s="117"/>
      <c r="AO491" s="338"/>
      <c r="AP491" s="338"/>
      <c r="AQ491" s="338"/>
      <c r="AR491" s="338"/>
      <c r="AS491" s="338"/>
      <c r="AT491" s="338"/>
      <c r="AU491" s="338"/>
      <c r="AV491" s="338"/>
      <c r="AW491" s="338"/>
      <c r="AX491" s="338"/>
      <c r="AY491" s="338"/>
      <c r="AZ491" s="338"/>
      <c r="BA491" s="338"/>
      <c r="BB491" s="338"/>
      <c r="BC491" s="338"/>
    </row>
    <row r="492">
      <c r="A492" s="115"/>
      <c r="B492" s="180"/>
      <c r="C492" s="117"/>
      <c r="D492" s="117"/>
      <c r="E492" s="117"/>
      <c r="F492" s="115"/>
      <c r="G492" s="180"/>
      <c r="H492" s="117"/>
      <c r="I492" s="117"/>
      <c r="J492" s="117"/>
      <c r="K492" s="92"/>
      <c r="L492" s="180"/>
      <c r="M492" s="117"/>
      <c r="N492" s="117"/>
      <c r="O492" s="117"/>
      <c r="P492" s="92"/>
      <c r="Q492" s="150"/>
      <c r="R492" s="117"/>
      <c r="S492" s="117"/>
      <c r="T492" s="117"/>
      <c r="U492" s="115"/>
      <c r="V492" s="180"/>
      <c r="W492" s="117"/>
      <c r="X492" s="117"/>
      <c r="Y492" s="117"/>
      <c r="Z492" s="115"/>
      <c r="AA492" s="180"/>
      <c r="AB492" s="117"/>
      <c r="AC492" s="117"/>
      <c r="AD492" s="117"/>
      <c r="AE492" s="115"/>
      <c r="AF492" s="180"/>
      <c r="AG492" s="117"/>
      <c r="AH492" s="117"/>
      <c r="AI492" s="117"/>
      <c r="AJ492" s="115"/>
      <c r="AK492" s="180"/>
      <c r="AL492" s="117"/>
      <c r="AM492" s="117"/>
      <c r="AN492" s="117"/>
      <c r="AO492" s="338"/>
      <c r="AP492" s="338"/>
      <c r="AQ492" s="338"/>
      <c r="AR492" s="338"/>
      <c r="AS492" s="338"/>
      <c r="AT492" s="338"/>
      <c r="AU492" s="338"/>
      <c r="AV492" s="338"/>
      <c r="AW492" s="338"/>
      <c r="AX492" s="338"/>
      <c r="AY492" s="338"/>
      <c r="AZ492" s="338"/>
      <c r="BA492" s="338"/>
      <c r="BB492" s="338"/>
      <c r="BC492" s="338"/>
    </row>
    <row r="493">
      <c r="A493" s="115"/>
      <c r="B493" s="180"/>
      <c r="C493" s="117"/>
      <c r="D493" s="117"/>
      <c r="E493" s="117"/>
      <c r="F493" s="115"/>
      <c r="G493" s="180"/>
      <c r="H493" s="117"/>
      <c r="I493" s="117"/>
      <c r="J493" s="117"/>
      <c r="K493" s="92"/>
      <c r="L493" s="180"/>
      <c r="M493" s="117"/>
      <c r="N493" s="117"/>
      <c r="O493" s="117"/>
      <c r="P493" s="92"/>
      <c r="Q493" s="150"/>
      <c r="R493" s="117"/>
      <c r="S493" s="117"/>
      <c r="T493" s="117"/>
      <c r="U493" s="115"/>
      <c r="V493" s="180"/>
      <c r="W493" s="117"/>
      <c r="X493" s="117"/>
      <c r="Y493" s="117"/>
      <c r="Z493" s="115"/>
      <c r="AA493" s="180"/>
      <c r="AB493" s="117"/>
      <c r="AC493" s="117"/>
      <c r="AD493" s="117"/>
      <c r="AE493" s="115"/>
      <c r="AF493" s="180"/>
      <c r="AG493" s="117"/>
      <c r="AH493" s="117"/>
      <c r="AI493" s="117"/>
      <c r="AJ493" s="115"/>
      <c r="AK493" s="180"/>
      <c r="AL493" s="117"/>
      <c r="AM493" s="117"/>
      <c r="AN493" s="117"/>
      <c r="AO493" s="338"/>
      <c r="AP493" s="338"/>
      <c r="AQ493" s="338"/>
      <c r="AR493" s="338"/>
      <c r="AS493" s="338"/>
      <c r="AT493" s="338"/>
      <c r="AU493" s="338"/>
      <c r="AV493" s="338"/>
      <c r="AW493" s="338"/>
      <c r="AX493" s="338"/>
      <c r="AY493" s="338"/>
      <c r="AZ493" s="338"/>
      <c r="BA493" s="338"/>
      <c r="BB493" s="338"/>
      <c r="BC493" s="338"/>
    </row>
    <row r="494">
      <c r="A494" s="115"/>
      <c r="B494" s="180"/>
      <c r="C494" s="117"/>
      <c r="D494" s="117"/>
      <c r="E494" s="117"/>
      <c r="F494" s="115"/>
      <c r="G494" s="180"/>
      <c r="H494" s="117"/>
      <c r="I494" s="117"/>
      <c r="J494" s="117"/>
      <c r="K494" s="92"/>
      <c r="L494" s="180"/>
      <c r="M494" s="117"/>
      <c r="N494" s="117"/>
      <c r="O494" s="117"/>
      <c r="P494" s="92"/>
      <c r="Q494" s="150"/>
      <c r="R494" s="117"/>
      <c r="S494" s="117"/>
      <c r="T494" s="117"/>
      <c r="U494" s="115"/>
      <c r="V494" s="180"/>
      <c r="W494" s="117"/>
      <c r="X494" s="117"/>
      <c r="Y494" s="117"/>
      <c r="Z494" s="115"/>
      <c r="AA494" s="180"/>
      <c r="AB494" s="117"/>
      <c r="AC494" s="117"/>
      <c r="AD494" s="117"/>
      <c r="AE494" s="115"/>
      <c r="AF494" s="180"/>
      <c r="AG494" s="117"/>
      <c r="AH494" s="117"/>
      <c r="AI494" s="117"/>
      <c r="AJ494" s="115"/>
      <c r="AK494" s="180"/>
      <c r="AL494" s="117"/>
      <c r="AM494" s="117"/>
      <c r="AN494" s="117"/>
      <c r="AO494" s="338"/>
      <c r="AP494" s="338"/>
      <c r="AQ494" s="338"/>
      <c r="AR494" s="338"/>
      <c r="AS494" s="338"/>
      <c r="AT494" s="338"/>
      <c r="AU494" s="338"/>
      <c r="AV494" s="338"/>
      <c r="AW494" s="338"/>
      <c r="AX494" s="338"/>
      <c r="AY494" s="338"/>
      <c r="AZ494" s="338"/>
      <c r="BA494" s="338"/>
      <c r="BB494" s="338"/>
      <c r="BC494" s="338"/>
    </row>
    <row r="495">
      <c r="A495" s="115"/>
      <c r="B495" s="180"/>
      <c r="C495" s="117"/>
      <c r="D495" s="117"/>
      <c r="E495" s="117"/>
      <c r="F495" s="115"/>
      <c r="G495" s="180"/>
      <c r="H495" s="117"/>
      <c r="I495" s="117"/>
      <c r="J495" s="117"/>
      <c r="K495" s="92"/>
      <c r="L495" s="180"/>
      <c r="M495" s="117"/>
      <c r="N495" s="117"/>
      <c r="O495" s="117"/>
      <c r="P495" s="92"/>
      <c r="Q495" s="150"/>
      <c r="R495" s="117"/>
      <c r="S495" s="117"/>
      <c r="T495" s="117"/>
      <c r="U495" s="115"/>
      <c r="V495" s="180"/>
      <c r="W495" s="117"/>
      <c r="X495" s="117"/>
      <c r="Y495" s="117"/>
      <c r="Z495" s="115"/>
      <c r="AA495" s="180"/>
      <c r="AB495" s="117"/>
      <c r="AC495" s="117"/>
      <c r="AD495" s="117"/>
      <c r="AE495" s="115"/>
      <c r="AF495" s="180"/>
      <c r="AG495" s="117"/>
      <c r="AH495" s="117"/>
      <c r="AI495" s="117"/>
      <c r="AJ495" s="115"/>
      <c r="AK495" s="180"/>
      <c r="AL495" s="117"/>
      <c r="AM495" s="117"/>
      <c r="AN495" s="117"/>
      <c r="AO495" s="338"/>
      <c r="AP495" s="338"/>
      <c r="AQ495" s="338"/>
      <c r="AR495" s="338"/>
      <c r="AS495" s="338"/>
      <c r="AT495" s="338"/>
      <c r="AU495" s="338"/>
      <c r="AV495" s="338"/>
      <c r="AW495" s="338"/>
      <c r="AX495" s="338"/>
      <c r="AY495" s="338"/>
      <c r="AZ495" s="338"/>
      <c r="BA495" s="338"/>
      <c r="BB495" s="338"/>
      <c r="BC495" s="338"/>
    </row>
    <row r="496">
      <c r="A496" s="115"/>
      <c r="B496" s="180"/>
      <c r="C496" s="117"/>
      <c r="D496" s="117"/>
      <c r="E496" s="117"/>
      <c r="F496" s="115"/>
      <c r="G496" s="180"/>
      <c r="H496" s="117"/>
      <c r="I496" s="117"/>
      <c r="J496" s="117"/>
      <c r="K496" s="92"/>
      <c r="L496" s="180"/>
      <c r="M496" s="117"/>
      <c r="N496" s="117"/>
      <c r="O496" s="117"/>
      <c r="P496" s="92"/>
      <c r="Q496" s="150"/>
      <c r="R496" s="117"/>
      <c r="S496" s="117"/>
      <c r="T496" s="117"/>
      <c r="U496" s="115"/>
      <c r="V496" s="180"/>
      <c r="W496" s="117"/>
      <c r="X496" s="117"/>
      <c r="Y496" s="117"/>
      <c r="Z496" s="115"/>
      <c r="AA496" s="180"/>
      <c r="AB496" s="117"/>
      <c r="AC496" s="117"/>
      <c r="AD496" s="117"/>
      <c r="AE496" s="115"/>
      <c r="AF496" s="180"/>
      <c r="AG496" s="117"/>
      <c r="AH496" s="117"/>
      <c r="AI496" s="117"/>
      <c r="AJ496" s="115"/>
      <c r="AK496" s="180"/>
      <c r="AL496" s="117"/>
      <c r="AM496" s="117"/>
      <c r="AN496" s="117"/>
      <c r="AO496" s="338"/>
      <c r="AP496" s="338"/>
      <c r="AQ496" s="338"/>
      <c r="AR496" s="338"/>
      <c r="AS496" s="338"/>
      <c r="AT496" s="338"/>
      <c r="AU496" s="338"/>
      <c r="AV496" s="338"/>
      <c r="AW496" s="338"/>
      <c r="AX496" s="338"/>
      <c r="AY496" s="338"/>
      <c r="AZ496" s="338"/>
      <c r="BA496" s="338"/>
      <c r="BB496" s="338"/>
      <c r="BC496" s="338"/>
    </row>
    <row r="497">
      <c r="A497" s="115"/>
      <c r="B497" s="180"/>
      <c r="C497" s="117"/>
      <c r="D497" s="117"/>
      <c r="E497" s="117"/>
      <c r="F497" s="115"/>
      <c r="G497" s="180"/>
      <c r="H497" s="117"/>
      <c r="I497" s="117"/>
      <c r="J497" s="117"/>
      <c r="K497" s="92"/>
      <c r="L497" s="180"/>
      <c r="M497" s="117"/>
      <c r="N497" s="117"/>
      <c r="O497" s="117"/>
      <c r="P497" s="92"/>
      <c r="Q497" s="150"/>
      <c r="R497" s="117"/>
      <c r="S497" s="117"/>
      <c r="T497" s="117"/>
      <c r="U497" s="115"/>
      <c r="V497" s="180"/>
      <c r="W497" s="117"/>
      <c r="X497" s="117"/>
      <c r="Y497" s="117"/>
      <c r="Z497" s="115"/>
      <c r="AA497" s="180"/>
      <c r="AB497" s="117"/>
      <c r="AC497" s="117"/>
      <c r="AD497" s="117"/>
      <c r="AE497" s="115"/>
      <c r="AF497" s="180"/>
      <c r="AG497" s="117"/>
      <c r="AH497" s="117"/>
      <c r="AI497" s="117"/>
      <c r="AJ497" s="115"/>
      <c r="AK497" s="180"/>
      <c r="AL497" s="117"/>
      <c r="AM497" s="117"/>
      <c r="AN497" s="117"/>
      <c r="AO497" s="338"/>
      <c r="AP497" s="338"/>
      <c r="AQ497" s="338"/>
      <c r="AR497" s="338"/>
      <c r="AS497" s="338"/>
      <c r="AT497" s="338"/>
      <c r="AU497" s="338"/>
      <c r="AV497" s="338"/>
      <c r="AW497" s="338"/>
      <c r="AX497" s="338"/>
      <c r="AY497" s="338"/>
      <c r="AZ497" s="338"/>
      <c r="BA497" s="338"/>
      <c r="BB497" s="338"/>
      <c r="BC497" s="338"/>
    </row>
    <row r="498">
      <c r="A498" s="115"/>
      <c r="B498" s="180"/>
      <c r="C498" s="117"/>
      <c r="D498" s="117"/>
      <c r="E498" s="117"/>
      <c r="F498" s="115"/>
      <c r="G498" s="180"/>
      <c r="H498" s="117"/>
      <c r="I498" s="117"/>
      <c r="J498" s="117"/>
      <c r="K498" s="92"/>
      <c r="L498" s="180"/>
      <c r="M498" s="117"/>
      <c r="N498" s="117"/>
      <c r="O498" s="117"/>
      <c r="P498" s="92"/>
      <c r="Q498" s="150"/>
      <c r="R498" s="117"/>
      <c r="S498" s="117"/>
      <c r="T498" s="117"/>
      <c r="U498" s="115"/>
      <c r="V498" s="180"/>
      <c r="W498" s="117"/>
      <c r="X498" s="117"/>
      <c r="Y498" s="117"/>
      <c r="Z498" s="115"/>
      <c r="AA498" s="180"/>
      <c r="AB498" s="117"/>
      <c r="AC498" s="117"/>
      <c r="AD498" s="117"/>
      <c r="AE498" s="115"/>
      <c r="AF498" s="180"/>
      <c r="AG498" s="117"/>
      <c r="AH498" s="117"/>
      <c r="AI498" s="117"/>
      <c r="AJ498" s="115"/>
      <c r="AK498" s="180"/>
      <c r="AL498" s="117"/>
      <c r="AM498" s="117"/>
      <c r="AN498" s="117"/>
      <c r="AO498" s="338"/>
      <c r="AP498" s="338"/>
      <c r="AQ498" s="338"/>
      <c r="AR498" s="338"/>
      <c r="AS498" s="338"/>
      <c r="AT498" s="338"/>
      <c r="AU498" s="338"/>
      <c r="AV498" s="338"/>
      <c r="AW498" s="338"/>
      <c r="AX498" s="338"/>
      <c r="AY498" s="338"/>
      <c r="AZ498" s="338"/>
      <c r="BA498" s="338"/>
      <c r="BB498" s="338"/>
      <c r="BC498" s="338"/>
    </row>
    <row r="499">
      <c r="A499" s="115"/>
      <c r="B499" s="180"/>
      <c r="C499" s="117"/>
      <c r="D499" s="117"/>
      <c r="E499" s="117"/>
      <c r="F499" s="115"/>
      <c r="G499" s="180"/>
      <c r="H499" s="117"/>
      <c r="I499" s="117"/>
      <c r="J499" s="117"/>
      <c r="K499" s="92"/>
      <c r="L499" s="180"/>
      <c r="M499" s="117"/>
      <c r="N499" s="117"/>
      <c r="O499" s="117"/>
      <c r="P499" s="92"/>
      <c r="Q499" s="150"/>
      <c r="R499" s="117"/>
      <c r="S499" s="117"/>
      <c r="T499" s="117"/>
      <c r="U499" s="115"/>
      <c r="V499" s="180"/>
      <c r="W499" s="117"/>
      <c r="X499" s="117"/>
      <c r="Y499" s="117"/>
      <c r="Z499" s="115"/>
      <c r="AA499" s="180"/>
      <c r="AB499" s="117"/>
      <c r="AC499" s="117"/>
      <c r="AD499" s="117"/>
      <c r="AE499" s="115"/>
      <c r="AF499" s="180"/>
      <c r="AG499" s="117"/>
      <c r="AH499" s="117"/>
      <c r="AI499" s="117"/>
      <c r="AJ499" s="115"/>
      <c r="AK499" s="180"/>
      <c r="AL499" s="117"/>
      <c r="AM499" s="117"/>
      <c r="AN499" s="117"/>
      <c r="AO499" s="338"/>
      <c r="AP499" s="338"/>
      <c r="AQ499" s="338"/>
      <c r="AR499" s="338"/>
      <c r="AS499" s="338"/>
      <c r="AT499" s="338"/>
      <c r="AU499" s="338"/>
      <c r="AV499" s="338"/>
      <c r="AW499" s="338"/>
      <c r="AX499" s="338"/>
      <c r="AY499" s="338"/>
      <c r="AZ499" s="338"/>
      <c r="BA499" s="338"/>
      <c r="BB499" s="338"/>
      <c r="BC499" s="338"/>
    </row>
    <row r="500">
      <c r="A500" s="115"/>
      <c r="B500" s="180"/>
      <c r="C500" s="117"/>
      <c r="D500" s="117"/>
      <c r="E500" s="117"/>
      <c r="F500" s="115"/>
      <c r="G500" s="180"/>
      <c r="H500" s="117"/>
      <c r="I500" s="117"/>
      <c r="J500" s="117"/>
      <c r="K500" s="92"/>
      <c r="L500" s="180"/>
      <c r="M500" s="117"/>
      <c r="N500" s="117"/>
      <c r="O500" s="117"/>
      <c r="P500" s="92"/>
      <c r="Q500" s="150"/>
      <c r="R500" s="117"/>
      <c r="S500" s="117"/>
      <c r="T500" s="117"/>
      <c r="U500" s="115"/>
      <c r="V500" s="180"/>
      <c r="W500" s="117"/>
      <c r="X500" s="117"/>
      <c r="Y500" s="117"/>
      <c r="Z500" s="115"/>
      <c r="AA500" s="180"/>
      <c r="AB500" s="117"/>
      <c r="AC500" s="117"/>
      <c r="AD500" s="117"/>
      <c r="AE500" s="115"/>
      <c r="AF500" s="180"/>
      <c r="AG500" s="117"/>
      <c r="AH500" s="117"/>
      <c r="AI500" s="117"/>
      <c r="AJ500" s="115"/>
      <c r="AK500" s="180"/>
      <c r="AL500" s="117"/>
      <c r="AM500" s="117"/>
      <c r="AN500" s="117"/>
      <c r="AO500" s="338"/>
      <c r="AP500" s="338"/>
      <c r="AQ500" s="338"/>
      <c r="AR500" s="338"/>
      <c r="AS500" s="338"/>
      <c r="AT500" s="338"/>
      <c r="AU500" s="338"/>
      <c r="AV500" s="338"/>
      <c r="AW500" s="338"/>
      <c r="AX500" s="338"/>
      <c r="AY500" s="338"/>
      <c r="AZ500" s="338"/>
      <c r="BA500" s="338"/>
      <c r="BB500" s="338"/>
      <c r="BC500" s="338"/>
    </row>
    <row r="501">
      <c r="A501" s="115"/>
      <c r="B501" s="180"/>
      <c r="C501" s="117"/>
      <c r="D501" s="117"/>
      <c r="E501" s="117"/>
      <c r="F501" s="115"/>
      <c r="G501" s="180"/>
      <c r="H501" s="117"/>
      <c r="I501" s="117"/>
      <c r="J501" s="117"/>
      <c r="K501" s="92"/>
      <c r="L501" s="180"/>
      <c r="M501" s="117"/>
      <c r="N501" s="117"/>
      <c r="O501" s="117"/>
      <c r="P501" s="92"/>
      <c r="Q501" s="150"/>
      <c r="R501" s="117"/>
      <c r="S501" s="117"/>
      <c r="T501" s="117"/>
      <c r="U501" s="115"/>
      <c r="V501" s="180"/>
      <c r="W501" s="117"/>
      <c r="X501" s="117"/>
      <c r="Y501" s="117"/>
      <c r="Z501" s="115"/>
      <c r="AA501" s="180"/>
      <c r="AB501" s="117"/>
      <c r="AC501" s="117"/>
      <c r="AD501" s="117"/>
      <c r="AE501" s="115"/>
      <c r="AF501" s="180"/>
      <c r="AG501" s="117"/>
      <c r="AH501" s="117"/>
      <c r="AI501" s="117"/>
      <c r="AJ501" s="115"/>
      <c r="AK501" s="180"/>
      <c r="AL501" s="117"/>
      <c r="AM501" s="117"/>
      <c r="AN501" s="117"/>
      <c r="AO501" s="338"/>
      <c r="AP501" s="338"/>
      <c r="AQ501" s="338"/>
      <c r="AR501" s="338"/>
      <c r="AS501" s="338"/>
      <c r="AT501" s="338"/>
      <c r="AU501" s="338"/>
      <c r="AV501" s="338"/>
      <c r="AW501" s="338"/>
      <c r="AX501" s="338"/>
      <c r="AY501" s="338"/>
      <c r="AZ501" s="338"/>
      <c r="BA501" s="338"/>
      <c r="BB501" s="338"/>
      <c r="BC501" s="338"/>
    </row>
    <row r="502">
      <c r="A502" s="115"/>
      <c r="B502" s="180"/>
      <c r="C502" s="117"/>
      <c r="D502" s="117"/>
      <c r="E502" s="117"/>
      <c r="F502" s="115"/>
      <c r="G502" s="180"/>
      <c r="H502" s="117"/>
      <c r="I502" s="117"/>
      <c r="J502" s="117"/>
      <c r="K502" s="92"/>
      <c r="L502" s="180"/>
      <c r="M502" s="117"/>
      <c r="N502" s="117"/>
      <c r="O502" s="117"/>
      <c r="P502" s="92"/>
      <c r="Q502" s="150"/>
      <c r="R502" s="117"/>
      <c r="S502" s="117"/>
      <c r="T502" s="117"/>
      <c r="U502" s="115"/>
      <c r="V502" s="180"/>
      <c r="W502" s="117"/>
      <c r="X502" s="117"/>
      <c r="Y502" s="117"/>
      <c r="Z502" s="115"/>
      <c r="AA502" s="180"/>
      <c r="AB502" s="117"/>
      <c r="AC502" s="117"/>
      <c r="AD502" s="117"/>
      <c r="AE502" s="115"/>
      <c r="AF502" s="180"/>
      <c r="AG502" s="117"/>
      <c r="AH502" s="117"/>
      <c r="AI502" s="117"/>
      <c r="AJ502" s="115"/>
      <c r="AK502" s="180"/>
      <c r="AL502" s="117"/>
      <c r="AM502" s="117"/>
      <c r="AN502" s="117"/>
      <c r="AO502" s="338"/>
      <c r="AP502" s="338"/>
      <c r="AQ502" s="338"/>
      <c r="AR502" s="338"/>
      <c r="AS502" s="338"/>
      <c r="AT502" s="338"/>
      <c r="AU502" s="338"/>
      <c r="AV502" s="338"/>
      <c r="AW502" s="338"/>
      <c r="AX502" s="338"/>
      <c r="AY502" s="338"/>
      <c r="AZ502" s="338"/>
      <c r="BA502" s="338"/>
      <c r="BB502" s="338"/>
      <c r="BC502" s="338"/>
    </row>
    <row r="503">
      <c r="A503" s="115"/>
      <c r="B503" s="180"/>
      <c r="C503" s="117"/>
      <c r="D503" s="117"/>
      <c r="E503" s="117"/>
      <c r="F503" s="115"/>
      <c r="G503" s="180"/>
      <c r="H503" s="117"/>
      <c r="I503" s="117"/>
      <c r="J503" s="117"/>
      <c r="K503" s="92"/>
      <c r="L503" s="180"/>
      <c r="M503" s="117"/>
      <c r="N503" s="117"/>
      <c r="O503" s="117"/>
      <c r="P503" s="92"/>
      <c r="Q503" s="150"/>
      <c r="R503" s="117"/>
      <c r="S503" s="117"/>
      <c r="T503" s="117"/>
      <c r="U503" s="115"/>
      <c r="V503" s="180"/>
      <c r="W503" s="117"/>
      <c r="X503" s="117"/>
      <c r="Y503" s="117"/>
      <c r="Z503" s="115"/>
      <c r="AA503" s="180"/>
      <c r="AB503" s="117"/>
      <c r="AC503" s="117"/>
      <c r="AD503" s="117"/>
      <c r="AE503" s="115"/>
      <c r="AF503" s="180"/>
      <c r="AG503" s="117"/>
      <c r="AH503" s="117"/>
      <c r="AI503" s="117"/>
      <c r="AJ503" s="115"/>
      <c r="AK503" s="180"/>
      <c r="AL503" s="117"/>
      <c r="AM503" s="117"/>
      <c r="AN503" s="117"/>
      <c r="AO503" s="338"/>
      <c r="AP503" s="338"/>
      <c r="AQ503" s="338"/>
      <c r="AR503" s="338"/>
      <c r="AS503" s="338"/>
      <c r="AT503" s="338"/>
      <c r="AU503" s="338"/>
      <c r="AV503" s="338"/>
      <c r="AW503" s="338"/>
      <c r="AX503" s="338"/>
      <c r="AY503" s="338"/>
      <c r="AZ503" s="338"/>
      <c r="BA503" s="338"/>
      <c r="BB503" s="338"/>
      <c r="BC503" s="338"/>
    </row>
    <row r="504">
      <c r="A504" s="115"/>
      <c r="B504" s="180"/>
      <c r="C504" s="117"/>
      <c r="D504" s="117"/>
      <c r="E504" s="117"/>
      <c r="F504" s="115"/>
      <c r="G504" s="180"/>
      <c r="H504" s="117"/>
      <c r="I504" s="117"/>
      <c r="J504" s="117"/>
      <c r="K504" s="92"/>
      <c r="L504" s="180"/>
      <c r="M504" s="117"/>
      <c r="N504" s="117"/>
      <c r="O504" s="117"/>
      <c r="P504" s="92"/>
      <c r="Q504" s="150"/>
      <c r="R504" s="117"/>
      <c r="S504" s="117"/>
      <c r="T504" s="117"/>
      <c r="U504" s="115"/>
      <c r="V504" s="180"/>
      <c r="W504" s="117"/>
      <c r="X504" s="117"/>
      <c r="Y504" s="117"/>
      <c r="Z504" s="115"/>
      <c r="AA504" s="180"/>
      <c r="AB504" s="117"/>
      <c r="AC504" s="117"/>
      <c r="AD504" s="117"/>
      <c r="AE504" s="115"/>
      <c r="AF504" s="180"/>
      <c r="AG504" s="117"/>
      <c r="AH504" s="117"/>
      <c r="AI504" s="117"/>
      <c r="AJ504" s="115"/>
      <c r="AK504" s="180"/>
      <c r="AL504" s="117"/>
      <c r="AM504" s="117"/>
      <c r="AN504" s="117"/>
      <c r="AO504" s="338"/>
      <c r="AP504" s="338"/>
      <c r="AQ504" s="338"/>
      <c r="AR504" s="338"/>
      <c r="AS504" s="338"/>
      <c r="AT504" s="338"/>
      <c r="AU504" s="338"/>
      <c r="AV504" s="338"/>
      <c r="AW504" s="338"/>
      <c r="AX504" s="338"/>
      <c r="AY504" s="338"/>
      <c r="AZ504" s="338"/>
      <c r="BA504" s="338"/>
      <c r="BB504" s="338"/>
      <c r="BC504" s="338"/>
    </row>
    <row r="505">
      <c r="A505" s="115"/>
      <c r="B505" s="180"/>
      <c r="C505" s="117"/>
      <c r="D505" s="117"/>
      <c r="E505" s="117"/>
      <c r="F505" s="115"/>
      <c r="G505" s="180"/>
      <c r="H505" s="117"/>
      <c r="I505" s="117"/>
      <c r="J505" s="117"/>
      <c r="K505" s="92"/>
      <c r="L505" s="180"/>
      <c r="M505" s="117"/>
      <c r="N505" s="117"/>
      <c r="O505" s="117"/>
      <c r="P505" s="92"/>
      <c r="Q505" s="150"/>
      <c r="R505" s="117"/>
      <c r="S505" s="117"/>
      <c r="T505" s="117"/>
      <c r="U505" s="115"/>
      <c r="V505" s="180"/>
      <c r="W505" s="117"/>
      <c r="X505" s="117"/>
      <c r="Y505" s="117"/>
      <c r="Z505" s="115"/>
      <c r="AA505" s="180"/>
      <c r="AB505" s="117"/>
      <c r="AC505" s="117"/>
      <c r="AD505" s="117"/>
      <c r="AE505" s="115"/>
      <c r="AF505" s="180"/>
      <c r="AG505" s="117"/>
      <c r="AH505" s="117"/>
      <c r="AI505" s="117"/>
      <c r="AJ505" s="115"/>
      <c r="AK505" s="180"/>
      <c r="AL505" s="117"/>
      <c r="AM505" s="117"/>
      <c r="AN505" s="117"/>
      <c r="AO505" s="338"/>
      <c r="AP505" s="338"/>
      <c r="AQ505" s="338"/>
      <c r="AR505" s="338"/>
      <c r="AS505" s="338"/>
      <c r="AT505" s="338"/>
      <c r="AU505" s="338"/>
      <c r="AV505" s="338"/>
      <c r="AW505" s="338"/>
      <c r="AX505" s="338"/>
      <c r="AY505" s="338"/>
      <c r="AZ505" s="338"/>
      <c r="BA505" s="338"/>
      <c r="BB505" s="338"/>
      <c r="BC505" s="338"/>
    </row>
    <row r="506">
      <c r="A506" s="115"/>
      <c r="B506" s="180"/>
      <c r="C506" s="117"/>
      <c r="D506" s="117"/>
      <c r="E506" s="117"/>
      <c r="F506" s="115"/>
      <c r="G506" s="180"/>
      <c r="H506" s="117"/>
      <c r="I506" s="117"/>
      <c r="J506" s="117"/>
      <c r="K506" s="92"/>
      <c r="L506" s="180"/>
      <c r="M506" s="117"/>
      <c r="N506" s="117"/>
      <c r="O506" s="117"/>
      <c r="P506" s="92"/>
      <c r="Q506" s="150"/>
      <c r="R506" s="117"/>
      <c r="S506" s="117"/>
      <c r="T506" s="117"/>
      <c r="U506" s="115"/>
      <c r="V506" s="180"/>
      <c r="W506" s="117"/>
      <c r="X506" s="117"/>
      <c r="Y506" s="117"/>
      <c r="Z506" s="115"/>
      <c r="AA506" s="180"/>
      <c r="AB506" s="117"/>
      <c r="AC506" s="117"/>
      <c r="AD506" s="117"/>
      <c r="AE506" s="115"/>
      <c r="AF506" s="180"/>
      <c r="AG506" s="117"/>
      <c r="AH506" s="117"/>
      <c r="AI506" s="117"/>
      <c r="AJ506" s="115"/>
      <c r="AK506" s="180"/>
      <c r="AL506" s="117"/>
      <c r="AM506" s="117"/>
      <c r="AN506" s="117"/>
      <c r="AO506" s="338"/>
      <c r="AP506" s="338"/>
      <c r="AQ506" s="338"/>
      <c r="AR506" s="338"/>
      <c r="AS506" s="338"/>
      <c r="AT506" s="338"/>
      <c r="AU506" s="338"/>
      <c r="AV506" s="338"/>
      <c r="AW506" s="338"/>
      <c r="AX506" s="338"/>
      <c r="AY506" s="338"/>
      <c r="AZ506" s="338"/>
      <c r="BA506" s="338"/>
      <c r="BB506" s="338"/>
      <c r="BC506" s="338"/>
    </row>
    <row r="507">
      <c r="A507" s="115"/>
      <c r="B507" s="180"/>
      <c r="C507" s="117"/>
      <c r="D507" s="117"/>
      <c r="E507" s="117"/>
      <c r="F507" s="115"/>
      <c r="G507" s="180"/>
      <c r="H507" s="117"/>
      <c r="I507" s="117"/>
      <c r="J507" s="117"/>
      <c r="K507" s="92"/>
      <c r="L507" s="180"/>
      <c r="M507" s="117"/>
      <c r="N507" s="117"/>
      <c r="O507" s="117"/>
      <c r="P507" s="92"/>
      <c r="Q507" s="150"/>
      <c r="R507" s="117"/>
      <c r="S507" s="117"/>
      <c r="T507" s="117"/>
      <c r="U507" s="115"/>
      <c r="V507" s="180"/>
      <c r="W507" s="117"/>
      <c r="X507" s="117"/>
      <c r="Y507" s="117"/>
      <c r="Z507" s="115"/>
      <c r="AA507" s="180"/>
      <c r="AB507" s="117"/>
      <c r="AC507" s="117"/>
      <c r="AD507" s="117"/>
      <c r="AE507" s="115"/>
      <c r="AF507" s="180"/>
      <c r="AG507" s="117"/>
      <c r="AH507" s="117"/>
      <c r="AI507" s="117"/>
      <c r="AJ507" s="115"/>
      <c r="AK507" s="180"/>
      <c r="AL507" s="117"/>
      <c r="AM507" s="117"/>
      <c r="AN507" s="117"/>
      <c r="AO507" s="338"/>
      <c r="AP507" s="338"/>
      <c r="AQ507" s="338"/>
      <c r="AR507" s="338"/>
      <c r="AS507" s="338"/>
      <c r="AT507" s="338"/>
      <c r="AU507" s="338"/>
      <c r="AV507" s="338"/>
      <c r="AW507" s="338"/>
      <c r="AX507" s="338"/>
      <c r="AY507" s="338"/>
      <c r="AZ507" s="338"/>
      <c r="BA507" s="338"/>
      <c r="BB507" s="338"/>
      <c r="BC507" s="338"/>
    </row>
    <row r="508">
      <c r="A508" s="115"/>
      <c r="B508" s="180"/>
      <c r="C508" s="117"/>
      <c r="D508" s="117"/>
      <c r="E508" s="117"/>
      <c r="F508" s="115"/>
      <c r="G508" s="180"/>
      <c r="H508" s="117"/>
      <c r="I508" s="117"/>
      <c r="J508" s="117"/>
      <c r="K508" s="92"/>
      <c r="L508" s="180"/>
      <c r="M508" s="117"/>
      <c r="N508" s="117"/>
      <c r="O508" s="117"/>
      <c r="P508" s="92"/>
      <c r="Q508" s="150"/>
      <c r="R508" s="117"/>
      <c r="S508" s="117"/>
      <c r="T508" s="117"/>
      <c r="U508" s="115"/>
      <c r="V508" s="180"/>
      <c r="W508" s="117"/>
      <c r="X508" s="117"/>
      <c r="Y508" s="117"/>
      <c r="Z508" s="115"/>
      <c r="AA508" s="180"/>
      <c r="AB508" s="117"/>
      <c r="AC508" s="117"/>
      <c r="AD508" s="117"/>
      <c r="AE508" s="115"/>
      <c r="AF508" s="180"/>
      <c r="AG508" s="117"/>
      <c r="AH508" s="117"/>
      <c r="AI508" s="117"/>
      <c r="AJ508" s="115"/>
      <c r="AK508" s="180"/>
      <c r="AL508" s="117"/>
      <c r="AM508" s="117"/>
      <c r="AN508" s="117"/>
      <c r="AO508" s="338"/>
      <c r="AP508" s="338"/>
      <c r="AQ508" s="338"/>
      <c r="AR508" s="338"/>
      <c r="AS508" s="338"/>
      <c r="AT508" s="338"/>
      <c r="AU508" s="338"/>
      <c r="AV508" s="338"/>
      <c r="AW508" s="338"/>
      <c r="AX508" s="338"/>
      <c r="AY508" s="338"/>
      <c r="AZ508" s="338"/>
      <c r="BA508" s="338"/>
      <c r="BB508" s="338"/>
      <c r="BC508" s="338"/>
    </row>
    <row r="509">
      <c r="A509" s="115"/>
      <c r="B509" s="180"/>
      <c r="C509" s="117"/>
      <c r="D509" s="117"/>
      <c r="E509" s="117"/>
      <c r="F509" s="115"/>
      <c r="G509" s="180"/>
      <c r="H509" s="117"/>
      <c r="I509" s="117"/>
      <c r="J509" s="117"/>
      <c r="K509" s="92"/>
      <c r="L509" s="180"/>
      <c r="M509" s="117"/>
      <c r="N509" s="117"/>
      <c r="O509" s="117"/>
      <c r="P509" s="92"/>
      <c r="Q509" s="150"/>
      <c r="R509" s="117"/>
      <c r="S509" s="117"/>
      <c r="T509" s="117"/>
      <c r="U509" s="115"/>
      <c r="V509" s="180"/>
      <c r="W509" s="117"/>
      <c r="X509" s="117"/>
      <c r="Y509" s="117"/>
      <c r="Z509" s="115"/>
      <c r="AA509" s="180"/>
      <c r="AB509" s="117"/>
      <c r="AC509" s="117"/>
      <c r="AD509" s="117"/>
      <c r="AE509" s="115"/>
      <c r="AF509" s="180"/>
      <c r="AG509" s="117"/>
      <c r="AH509" s="117"/>
      <c r="AI509" s="117"/>
      <c r="AJ509" s="115"/>
      <c r="AK509" s="180"/>
      <c r="AL509" s="117"/>
      <c r="AM509" s="117"/>
      <c r="AN509" s="117"/>
      <c r="AO509" s="338"/>
      <c r="AP509" s="338"/>
      <c r="AQ509" s="338"/>
      <c r="AR509" s="338"/>
      <c r="AS509" s="338"/>
      <c r="AT509" s="338"/>
      <c r="AU509" s="338"/>
      <c r="AV509" s="338"/>
      <c r="AW509" s="338"/>
      <c r="AX509" s="338"/>
      <c r="AY509" s="338"/>
      <c r="AZ509" s="338"/>
      <c r="BA509" s="338"/>
      <c r="BB509" s="338"/>
      <c r="BC509" s="338"/>
    </row>
    <row r="510">
      <c r="A510" s="115"/>
      <c r="B510" s="180"/>
      <c r="C510" s="117"/>
      <c r="D510" s="117"/>
      <c r="E510" s="117"/>
      <c r="F510" s="115"/>
      <c r="G510" s="180"/>
      <c r="H510" s="117"/>
      <c r="I510" s="117"/>
      <c r="J510" s="117"/>
      <c r="K510" s="92"/>
      <c r="L510" s="180"/>
      <c r="M510" s="117"/>
      <c r="N510" s="117"/>
      <c r="O510" s="117"/>
      <c r="P510" s="92"/>
      <c r="Q510" s="150"/>
      <c r="R510" s="117"/>
      <c r="S510" s="117"/>
      <c r="T510" s="117"/>
      <c r="U510" s="115"/>
      <c r="V510" s="180"/>
      <c r="W510" s="117"/>
      <c r="X510" s="117"/>
      <c r="Y510" s="117"/>
      <c r="Z510" s="115"/>
      <c r="AA510" s="180"/>
      <c r="AB510" s="117"/>
      <c r="AC510" s="117"/>
      <c r="AD510" s="117"/>
      <c r="AE510" s="115"/>
      <c r="AF510" s="180"/>
      <c r="AG510" s="117"/>
      <c r="AH510" s="117"/>
      <c r="AI510" s="117"/>
      <c r="AJ510" s="115"/>
      <c r="AK510" s="180"/>
      <c r="AL510" s="117"/>
      <c r="AM510" s="117"/>
      <c r="AN510" s="117"/>
      <c r="AO510" s="338"/>
      <c r="AP510" s="338"/>
      <c r="AQ510" s="338"/>
      <c r="AR510" s="338"/>
      <c r="AS510" s="338"/>
      <c r="AT510" s="338"/>
      <c r="AU510" s="338"/>
      <c r="AV510" s="338"/>
      <c r="AW510" s="338"/>
      <c r="AX510" s="338"/>
      <c r="AY510" s="338"/>
      <c r="AZ510" s="338"/>
      <c r="BA510" s="338"/>
      <c r="BB510" s="338"/>
      <c r="BC510" s="338"/>
    </row>
    <row r="511">
      <c r="A511" s="115"/>
      <c r="B511" s="180"/>
      <c r="C511" s="117"/>
      <c r="D511" s="117"/>
      <c r="E511" s="117"/>
      <c r="F511" s="115"/>
      <c r="G511" s="180"/>
      <c r="H511" s="117"/>
      <c r="I511" s="117"/>
      <c r="J511" s="117"/>
      <c r="K511" s="92"/>
      <c r="L511" s="180"/>
      <c r="M511" s="117"/>
      <c r="N511" s="117"/>
      <c r="O511" s="117"/>
      <c r="P511" s="92"/>
      <c r="Q511" s="150"/>
      <c r="R511" s="117"/>
      <c r="S511" s="117"/>
      <c r="T511" s="117"/>
      <c r="U511" s="115"/>
      <c r="V511" s="180"/>
      <c r="W511" s="117"/>
      <c r="X511" s="117"/>
      <c r="Y511" s="117"/>
      <c r="Z511" s="115"/>
      <c r="AA511" s="180"/>
      <c r="AB511" s="117"/>
      <c r="AC511" s="117"/>
      <c r="AD511" s="117"/>
      <c r="AE511" s="115"/>
      <c r="AF511" s="180"/>
      <c r="AG511" s="117"/>
      <c r="AH511" s="117"/>
      <c r="AI511" s="117"/>
      <c r="AJ511" s="115"/>
      <c r="AK511" s="180"/>
      <c r="AL511" s="117"/>
      <c r="AM511" s="117"/>
      <c r="AN511" s="117"/>
      <c r="AO511" s="338"/>
      <c r="AP511" s="338"/>
      <c r="AQ511" s="338"/>
      <c r="AR511" s="338"/>
      <c r="AS511" s="338"/>
      <c r="AT511" s="338"/>
      <c r="AU511" s="338"/>
      <c r="AV511" s="338"/>
      <c r="AW511" s="338"/>
      <c r="AX511" s="338"/>
      <c r="AY511" s="338"/>
      <c r="AZ511" s="338"/>
      <c r="BA511" s="338"/>
      <c r="BB511" s="338"/>
      <c r="BC511" s="338"/>
    </row>
    <row r="512">
      <c r="A512" s="115"/>
      <c r="B512" s="180"/>
      <c r="C512" s="117"/>
      <c r="D512" s="117"/>
      <c r="E512" s="117"/>
      <c r="F512" s="115"/>
      <c r="G512" s="180"/>
      <c r="H512" s="117"/>
      <c r="I512" s="117"/>
      <c r="J512" s="117"/>
      <c r="K512" s="92"/>
      <c r="L512" s="180"/>
      <c r="M512" s="117"/>
      <c r="N512" s="117"/>
      <c r="O512" s="117"/>
      <c r="P512" s="92"/>
      <c r="Q512" s="150"/>
      <c r="R512" s="117"/>
      <c r="S512" s="117"/>
      <c r="T512" s="117"/>
      <c r="U512" s="115"/>
      <c r="V512" s="180"/>
      <c r="W512" s="117"/>
      <c r="X512" s="117"/>
      <c r="Y512" s="117"/>
      <c r="Z512" s="115"/>
      <c r="AA512" s="180"/>
      <c r="AB512" s="117"/>
      <c r="AC512" s="117"/>
      <c r="AD512" s="117"/>
      <c r="AE512" s="115"/>
      <c r="AF512" s="180"/>
      <c r="AG512" s="117"/>
      <c r="AH512" s="117"/>
      <c r="AI512" s="117"/>
      <c r="AJ512" s="115"/>
      <c r="AK512" s="180"/>
      <c r="AL512" s="117"/>
      <c r="AM512" s="117"/>
      <c r="AN512" s="117"/>
      <c r="AO512" s="338"/>
      <c r="AP512" s="338"/>
      <c r="AQ512" s="338"/>
      <c r="AR512" s="338"/>
      <c r="AS512" s="338"/>
      <c r="AT512" s="338"/>
      <c r="AU512" s="338"/>
      <c r="AV512" s="338"/>
      <c r="AW512" s="338"/>
      <c r="AX512" s="338"/>
      <c r="AY512" s="338"/>
      <c r="AZ512" s="338"/>
      <c r="BA512" s="338"/>
      <c r="BB512" s="338"/>
      <c r="BC512" s="338"/>
    </row>
    <row r="513">
      <c r="A513" s="115"/>
      <c r="B513" s="180"/>
      <c r="C513" s="117"/>
      <c r="D513" s="117"/>
      <c r="E513" s="117"/>
      <c r="F513" s="115"/>
      <c r="G513" s="180"/>
      <c r="H513" s="117"/>
      <c r="I513" s="117"/>
      <c r="J513" s="117"/>
      <c r="K513" s="92"/>
      <c r="L513" s="180"/>
      <c r="M513" s="117"/>
      <c r="N513" s="117"/>
      <c r="O513" s="117"/>
      <c r="P513" s="92"/>
      <c r="Q513" s="150"/>
      <c r="R513" s="117"/>
      <c r="S513" s="117"/>
      <c r="T513" s="117"/>
      <c r="U513" s="115"/>
      <c r="V513" s="180"/>
      <c r="W513" s="117"/>
      <c r="X513" s="117"/>
      <c r="Y513" s="117"/>
      <c r="Z513" s="115"/>
      <c r="AA513" s="180"/>
      <c r="AB513" s="117"/>
      <c r="AC513" s="117"/>
      <c r="AD513" s="117"/>
      <c r="AE513" s="115"/>
      <c r="AF513" s="180"/>
      <c r="AG513" s="117"/>
      <c r="AH513" s="117"/>
      <c r="AI513" s="117"/>
      <c r="AJ513" s="115"/>
      <c r="AK513" s="180"/>
      <c r="AL513" s="117"/>
      <c r="AM513" s="117"/>
      <c r="AN513" s="117"/>
      <c r="AO513" s="338"/>
      <c r="AP513" s="338"/>
      <c r="AQ513" s="338"/>
      <c r="AR513" s="338"/>
      <c r="AS513" s="338"/>
      <c r="AT513" s="338"/>
      <c r="AU513" s="338"/>
      <c r="AV513" s="338"/>
      <c r="AW513" s="338"/>
      <c r="AX513" s="338"/>
      <c r="AY513" s="338"/>
      <c r="AZ513" s="338"/>
      <c r="BA513" s="338"/>
      <c r="BB513" s="338"/>
      <c r="BC513" s="338"/>
    </row>
    <row r="514">
      <c r="A514" s="115"/>
      <c r="B514" s="180"/>
      <c r="C514" s="117"/>
      <c r="D514" s="117"/>
      <c r="E514" s="117"/>
      <c r="F514" s="115"/>
      <c r="G514" s="180"/>
      <c r="H514" s="117"/>
      <c r="I514" s="117"/>
      <c r="J514" s="117"/>
      <c r="K514" s="92"/>
      <c r="L514" s="180"/>
      <c r="M514" s="117"/>
      <c r="N514" s="117"/>
      <c r="O514" s="117"/>
      <c r="P514" s="92"/>
      <c r="Q514" s="150"/>
      <c r="R514" s="117"/>
      <c r="S514" s="117"/>
      <c r="T514" s="117"/>
      <c r="U514" s="115"/>
      <c r="V514" s="180"/>
      <c r="W514" s="117"/>
      <c r="X514" s="117"/>
      <c r="Y514" s="117"/>
      <c r="Z514" s="115"/>
      <c r="AA514" s="180"/>
      <c r="AB514" s="117"/>
      <c r="AC514" s="117"/>
      <c r="AD514" s="117"/>
      <c r="AE514" s="115"/>
      <c r="AF514" s="180"/>
      <c r="AG514" s="117"/>
      <c r="AH514" s="117"/>
      <c r="AI514" s="117"/>
      <c r="AJ514" s="115"/>
      <c r="AK514" s="180"/>
      <c r="AL514" s="117"/>
      <c r="AM514" s="117"/>
      <c r="AN514" s="117"/>
      <c r="AO514" s="338"/>
      <c r="AP514" s="338"/>
      <c r="AQ514" s="338"/>
      <c r="AR514" s="338"/>
      <c r="AS514" s="338"/>
      <c r="AT514" s="338"/>
      <c r="AU514" s="338"/>
      <c r="AV514" s="338"/>
      <c r="AW514" s="338"/>
      <c r="AX514" s="338"/>
      <c r="AY514" s="338"/>
      <c r="AZ514" s="338"/>
      <c r="BA514" s="338"/>
      <c r="BB514" s="338"/>
      <c r="BC514" s="338"/>
    </row>
    <row r="515">
      <c r="A515" s="115"/>
      <c r="B515" s="180"/>
      <c r="C515" s="117"/>
      <c r="D515" s="117"/>
      <c r="E515" s="117"/>
      <c r="F515" s="115"/>
      <c r="G515" s="180"/>
      <c r="H515" s="117"/>
      <c r="I515" s="117"/>
      <c r="J515" s="117"/>
      <c r="K515" s="92"/>
      <c r="L515" s="180"/>
      <c r="M515" s="117"/>
      <c r="N515" s="117"/>
      <c r="O515" s="117"/>
      <c r="P515" s="92"/>
      <c r="Q515" s="150"/>
      <c r="R515" s="117"/>
      <c r="S515" s="117"/>
      <c r="T515" s="117"/>
      <c r="U515" s="115"/>
      <c r="V515" s="180"/>
      <c r="W515" s="117"/>
      <c r="X515" s="117"/>
      <c r="Y515" s="117"/>
      <c r="Z515" s="115"/>
      <c r="AA515" s="180"/>
      <c r="AB515" s="117"/>
      <c r="AC515" s="117"/>
      <c r="AD515" s="117"/>
      <c r="AE515" s="115"/>
      <c r="AF515" s="180"/>
      <c r="AG515" s="117"/>
      <c r="AH515" s="117"/>
      <c r="AI515" s="117"/>
      <c r="AJ515" s="115"/>
      <c r="AK515" s="180"/>
      <c r="AL515" s="117"/>
      <c r="AM515" s="117"/>
      <c r="AN515" s="117"/>
      <c r="AO515" s="338"/>
      <c r="AP515" s="338"/>
      <c r="AQ515" s="338"/>
      <c r="AR515" s="338"/>
      <c r="AS515" s="338"/>
      <c r="AT515" s="338"/>
      <c r="AU515" s="338"/>
      <c r="AV515" s="338"/>
      <c r="AW515" s="338"/>
      <c r="AX515" s="338"/>
      <c r="AY515" s="338"/>
      <c r="AZ515" s="338"/>
      <c r="BA515" s="338"/>
      <c r="BB515" s="338"/>
      <c r="BC515" s="338"/>
    </row>
    <row r="516">
      <c r="A516" s="115"/>
      <c r="B516" s="180"/>
      <c r="C516" s="117"/>
      <c r="D516" s="117"/>
      <c r="E516" s="117"/>
      <c r="F516" s="115"/>
      <c r="G516" s="180"/>
      <c r="H516" s="117"/>
      <c r="I516" s="117"/>
      <c r="J516" s="117"/>
      <c r="K516" s="92"/>
      <c r="L516" s="180"/>
      <c r="M516" s="117"/>
      <c r="N516" s="117"/>
      <c r="O516" s="117"/>
      <c r="P516" s="92"/>
      <c r="Q516" s="150"/>
      <c r="R516" s="117"/>
      <c r="S516" s="117"/>
      <c r="T516" s="117"/>
      <c r="U516" s="115"/>
      <c r="V516" s="180"/>
      <c r="W516" s="117"/>
      <c r="X516" s="117"/>
      <c r="Y516" s="117"/>
      <c r="Z516" s="115"/>
      <c r="AA516" s="180"/>
      <c r="AB516" s="117"/>
      <c r="AC516" s="117"/>
      <c r="AD516" s="117"/>
      <c r="AE516" s="115"/>
      <c r="AF516" s="180"/>
      <c r="AG516" s="117"/>
      <c r="AH516" s="117"/>
      <c r="AI516" s="117"/>
      <c r="AJ516" s="115"/>
      <c r="AK516" s="180"/>
      <c r="AL516" s="117"/>
      <c r="AM516" s="117"/>
      <c r="AN516" s="117"/>
      <c r="AO516" s="338"/>
      <c r="AP516" s="338"/>
      <c r="AQ516" s="338"/>
      <c r="AR516" s="338"/>
      <c r="AS516" s="338"/>
      <c r="AT516" s="338"/>
      <c r="AU516" s="338"/>
      <c r="AV516" s="338"/>
      <c r="AW516" s="338"/>
      <c r="AX516" s="338"/>
      <c r="AY516" s="338"/>
      <c r="AZ516" s="338"/>
      <c r="BA516" s="338"/>
      <c r="BB516" s="338"/>
      <c r="BC516" s="338"/>
    </row>
    <row r="517">
      <c r="A517" s="115"/>
      <c r="B517" s="180"/>
      <c r="C517" s="117"/>
      <c r="D517" s="117"/>
      <c r="E517" s="117"/>
      <c r="F517" s="115"/>
      <c r="G517" s="180"/>
      <c r="H517" s="117"/>
      <c r="I517" s="117"/>
      <c r="J517" s="117"/>
      <c r="K517" s="92"/>
      <c r="L517" s="180"/>
      <c r="M517" s="117"/>
      <c r="N517" s="117"/>
      <c r="O517" s="117"/>
      <c r="P517" s="92"/>
      <c r="Q517" s="150"/>
      <c r="R517" s="117"/>
      <c r="S517" s="117"/>
      <c r="T517" s="117"/>
      <c r="U517" s="115"/>
      <c r="V517" s="180"/>
      <c r="W517" s="117"/>
      <c r="X517" s="117"/>
      <c r="Y517" s="117"/>
      <c r="Z517" s="115"/>
      <c r="AA517" s="180"/>
      <c r="AB517" s="117"/>
      <c r="AC517" s="117"/>
      <c r="AD517" s="117"/>
      <c r="AE517" s="115"/>
      <c r="AF517" s="180"/>
      <c r="AG517" s="117"/>
      <c r="AH517" s="117"/>
      <c r="AI517" s="117"/>
      <c r="AJ517" s="115"/>
      <c r="AK517" s="180"/>
      <c r="AL517" s="117"/>
      <c r="AM517" s="117"/>
      <c r="AN517" s="117"/>
      <c r="AO517" s="338"/>
      <c r="AP517" s="338"/>
      <c r="AQ517" s="338"/>
      <c r="AR517" s="338"/>
      <c r="AS517" s="338"/>
      <c r="AT517" s="338"/>
      <c r="AU517" s="338"/>
      <c r="AV517" s="338"/>
      <c r="AW517" s="338"/>
      <c r="AX517" s="338"/>
      <c r="AY517" s="338"/>
      <c r="AZ517" s="338"/>
      <c r="BA517" s="338"/>
      <c r="BB517" s="338"/>
      <c r="BC517" s="338"/>
    </row>
    <row r="518">
      <c r="A518" s="115"/>
      <c r="B518" s="180"/>
      <c r="C518" s="117"/>
      <c r="D518" s="117"/>
      <c r="E518" s="117"/>
      <c r="F518" s="115"/>
      <c r="G518" s="180"/>
      <c r="H518" s="117"/>
      <c r="I518" s="117"/>
      <c r="J518" s="117"/>
      <c r="K518" s="92"/>
      <c r="L518" s="180"/>
      <c r="M518" s="117"/>
      <c r="N518" s="117"/>
      <c r="O518" s="117"/>
      <c r="P518" s="92"/>
      <c r="Q518" s="150"/>
      <c r="R518" s="117"/>
      <c r="S518" s="117"/>
      <c r="T518" s="117"/>
      <c r="U518" s="115"/>
      <c r="V518" s="180"/>
      <c r="W518" s="117"/>
      <c r="X518" s="117"/>
      <c r="Y518" s="117"/>
      <c r="Z518" s="115"/>
      <c r="AA518" s="180"/>
      <c r="AB518" s="117"/>
      <c r="AC518" s="117"/>
      <c r="AD518" s="117"/>
      <c r="AE518" s="115"/>
      <c r="AF518" s="180"/>
      <c r="AG518" s="117"/>
      <c r="AH518" s="117"/>
      <c r="AI518" s="117"/>
      <c r="AJ518" s="115"/>
      <c r="AK518" s="180"/>
      <c r="AL518" s="117"/>
      <c r="AM518" s="117"/>
      <c r="AN518" s="117"/>
      <c r="AO518" s="338"/>
      <c r="AP518" s="338"/>
      <c r="AQ518" s="338"/>
      <c r="AR518" s="338"/>
      <c r="AS518" s="338"/>
      <c r="AT518" s="338"/>
      <c r="AU518" s="338"/>
      <c r="AV518" s="338"/>
      <c r="AW518" s="338"/>
      <c r="AX518" s="338"/>
      <c r="AY518" s="338"/>
      <c r="AZ518" s="338"/>
      <c r="BA518" s="338"/>
      <c r="BB518" s="338"/>
      <c r="BC518" s="338"/>
    </row>
    <row r="519">
      <c r="A519" s="115"/>
      <c r="B519" s="180"/>
      <c r="C519" s="117"/>
      <c r="D519" s="117"/>
      <c r="E519" s="117"/>
      <c r="F519" s="115"/>
      <c r="G519" s="180"/>
      <c r="H519" s="117"/>
      <c r="I519" s="117"/>
      <c r="J519" s="117"/>
      <c r="K519" s="92"/>
      <c r="L519" s="180"/>
      <c r="M519" s="117"/>
      <c r="N519" s="117"/>
      <c r="O519" s="117"/>
      <c r="P519" s="92"/>
      <c r="Q519" s="150"/>
      <c r="R519" s="117"/>
      <c r="S519" s="117"/>
      <c r="T519" s="117"/>
      <c r="U519" s="115"/>
      <c r="V519" s="180"/>
      <c r="W519" s="117"/>
      <c r="X519" s="117"/>
      <c r="Y519" s="117"/>
      <c r="Z519" s="115"/>
      <c r="AA519" s="180"/>
      <c r="AB519" s="117"/>
      <c r="AC519" s="117"/>
      <c r="AD519" s="117"/>
      <c r="AE519" s="115"/>
      <c r="AF519" s="180"/>
      <c r="AG519" s="117"/>
      <c r="AH519" s="117"/>
      <c r="AI519" s="117"/>
      <c r="AJ519" s="115"/>
      <c r="AK519" s="180"/>
      <c r="AL519" s="117"/>
      <c r="AM519" s="117"/>
      <c r="AN519" s="117"/>
      <c r="AO519" s="338"/>
      <c r="AP519" s="338"/>
      <c r="AQ519" s="338"/>
      <c r="AR519" s="338"/>
      <c r="AS519" s="338"/>
      <c r="AT519" s="338"/>
      <c r="AU519" s="338"/>
      <c r="AV519" s="338"/>
      <c r="AW519" s="338"/>
      <c r="AX519" s="338"/>
      <c r="AY519" s="338"/>
      <c r="AZ519" s="338"/>
      <c r="BA519" s="338"/>
      <c r="BB519" s="338"/>
      <c r="BC519" s="338"/>
    </row>
    <row r="520">
      <c r="A520" s="115"/>
      <c r="B520" s="180"/>
      <c r="C520" s="117"/>
      <c r="D520" s="117"/>
      <c r="E520" s="117"/>
      <c r="F520" s="115"/>
      <c r="G520" s="180"/>
      <c r="H520" s="117"/>
      <c r="I520" s="117"/>
      <c r="J520" s="117"/>
      <c r="K520" s="92"/>
      <c r="L520" s="180"/>
      <c r="M520" s="117"/>
      <c r="N520" s="117"/>
      <c r="O520" s="117"/>
      <c r="P520" s="92"/>
      <c r="Q520" s="150"/>
      <c r="R520" s="117"/>
      <c r="S520" s="117"/>
      <c r="T520" s="117"/>
      <c r="U520" s="115"/>
      <c r="V520" s="180"/>
      <c r="W520" s="117"/>
      <c r="X520" s="117"/>
      <c r="Y520" s="117"/>
      <c r="Z520" s="115"/>
      <c r="AA520" s="180"/>
      <c r="AB520" s="117"/>
      <c r="AC520" s="117"/>
      <c r="AD520" s="117"/>
      <c r="AE520" s="115"/>
      <c r="AF520" s="180"/>
      <c r="AG520" s="117"/>
      <c r="AH520" s="117"/>
      <c r="AI520" s="117"/>
      <c r="AJ520" s="115"/>
      <c r="AK520" s="180"/>
      <c r="AL520" s="117"/>
      <c r="AM520" s="117"/>
      <c r="AN520" s="117"/>
      <c r="AO520" s="338"/>
      <c r="AP520" s="338"/>
      <c r="AQ520" s="338"/>
      <c r="AR520" s="338"/>
      <c r="AS520" s="338"/>
      <c r="AT520" s="338"/>
      <c r="AU520" s="338"/>
      <c r="AV520" s="338"/>
      <c r="AW520" s="338"/>
      <c r="AX520" s="338"/>
      <c r="AY520" s="338"/>
      <c r="AZ520" s="338"/>
      <c r="BA520" s="338"/>
      <c r="BB520" s="338"/>
      <c r="BC520" s="338"/>
    </row>
    <row r="521">
      <c r="A521" s="115"/>
      <c r="B521" s="180"/>
      <c r="C521" s="117"/>
      <c r="D521" s="117"/>
      <c r="E521" s="117"/>
      <c r="F521" s="115"/>
      <c r="G521" s="180"/>
      <c r="H521" s="117"/>
      <c r="I521" s="117"/>
      <c r="J521" s="117"/>
      <c r="K521" s="92"/>
      <c r="L521" s="180"/>
      <c r="M521" s="117"/>
      <c r="N521" s="117"/>
      <c r="O521" s="117"/>
      <c r="P521" s="92"/>
      <c r="Q521" s="150"/>
      <c r="R521" s="117"/>
      <c r="S521" s="117"/>
      <c r="T521" s="117"/>
      <c r="U521" s="115"/>
      <c r="V521" s="180"/>
      <c r="W521" s="117"/>
      <c r="X521" s="117"/>
      <c r="Y521" s="117"/>
      <c r="Z521" s="115"/>
      <c r="AA521" s="180"/>
      <c r="AB521" s="117"/>
      <c r="AC521" s="117"/>
      <c r="AD521" s="117"/>
      <c r="AE521" s="115"/>
      <c r="AF521" s="180"/>
      <c r="AG521" s="117"/>
      <c r="AH521" s="117"/>
      <c r="AI521" s="117"/>
      <c r="AJ521" s="115"/>
      <c r="AK521" s="180"/>
      <c r="AL521" s="117"/>
      <c r="AM521" s="117"/>
      <c r="AN521" s="117"/>
      <c r="AO521" s="338"/>
      <c r="AP521" s="338"/>
      <c r="AQ521" s="338"/>
      <c r="AR521" s="338"/>
      <c r="AS521" s="338"/>
      <c r="AT521" s="338"/>
      <c r="AU521" s="338"/>
      <c r="AV521" s="338"/>
      <c r="AW521" s="338"/>
      <c r="AX521" s="338"/>
      <c r="AY521" s="338"/>
      <c r="AZ521" s="338"/>
      <c r="BA521" s="338"/>
      <c r="BB521" s="338"/>
      <c r="BC521" s="338"/>
    </row>
    <row r="522">
      <c r="A522" s="115"/>
      <c r="B522" s="180"/>
      <c r="C522" s="117"/>
      <c r="D522" s="117"/>
      <c r="E522" s="117"/>
      <c r="F522" s="115"/>
      <c r="G522" s="180"/>
      <c r="H522" s="117"/>
      <c r="I522" s="117"/>
      <c r="J522" s="117"/>
      <c r="K522" s="92"/>
      <c r="L522" s="180"/>
      <c r="M522" s="117"/>
      <c r="N522" s="117"/>
      <c r="O522" s="117"/>
      <c r="P522" s="92"/>
      <c r="Q522" s="150"/>
      <c r="R522" s="117"/>
      <c r="S522" s="117"/>
      <c r="T522" s="117"/>
      <c r="U522" s="115"/>
      <c r="V522" s="180"/>
      <c r="W522" s="117"/>
      <c r="X522" s="117"/>
      <c r="Y522" s="117"/>
      <c r="Z522" s="115"/>
      <c r="AA522" s="180"/>
      <c r="AB522" s="117"/>
      <c r="AC522" s="117"/>
      <c r="AD522" s="117"/>
      <c r="AE522" s="115"/>
      <c r="AF522" s="180"/>
      <c r="AG522" s="117"/>
      <c r="AH522" s="117"/>
      <c r="AI522" s="117"/>
      <c r="AJ522" s="115"/>
      <c r="AK522" s="180"/>
      <c r="AL522" s="117"/>
      <c r="AM522" s="117"/>
      <c r="AN522" s="117"/>
      <c r="AO522" s="338"/>
      <c r="AP522" s="338"/>
      <c r="AQ522" s="338"/>
      <c r="AR522" s="338"/>
      <c r="AS522" s="338"/>
      <c r="AT522" s="338"/>
      <c r="AU522" s="338"/>
      <c r="AV522" s="338"/>
      <c r="AW522" s="338"/>
      <c r="AX522" s="338"/>
      <c r="AY522" s="338"/>
      <c r="AZ522" s="338"/>
      <c r="BA522" s="338"/>
      <c r="BB522" s="338"/>
      <c r="BC522" s="338"/>
    </row>
    <row r="523">
      <c r="A523" s="115"/>
      <c r="B523" s="180"/>
      <c r="C523" s="117"/>
      <c r="D523" s="117"/>
      <c r="E523" s="117"/>
      <c r="F523" s="115"/>
      <c r="G523" s="180"/>
      <c r="H523" s="117"/>
      <c r="I523" s="117"/>
      <c r="J523" s="117"/>
      <c r="K523" s="92"/>
      <c r="L523" s="180"/>
      <c r="M523" s="117"/>
      <c r="N523" s="117"/>
      <c r="O523" s="117"/>
      <c r="P523" s="92"/>
      <c r="Q523" s="150"/>
      <c r="R523" s="117"/>
      <c r="S523" s="117"/>
      <c r="T523" s="117"/>
      <c r="U523" s="115"/>
      <c r="V523" s="180"/>
      <c r="W523" s="117"/>
      <c r="X523" s="117"/>
      <c r="Y523" s="117"/>
      <c r="Z523" s="115"/>
      <c r="AA523" s="180"/>
      <c r="AB523" s="117"/>
      <c r="AC523" s="117"/>
      <c r="AD523" s="117"/>
      <c r="AE523" s="115"/>
      <c r="AF523" s="180"/>
      <c r="AG523" s="117"/>
      <c r="AH523" s="117"/>
      <c r="AI523" s="117"/>
      <c r="AJ523" s="115"/>
      <c r="AK523" s="180"/>
      <c r="AL523" s="117"/>
      <c r="AM523" s="117"/>
      <c r="AN523" s="117"/>
      <c r="AO523" s="338"/>
      <c r="AP523" s="338"/>
      <c r="AQ523" s="338"/>
      <c r="AR523" s="338"/>
      <c r="AS523" s="338"/>
      <c r="AT523" s="338"/>
      <c r="AU523" s="338"/>
      <c r="AV523" s="338"/>
      <c r="AW523" s="338"/>
      <c r="AX523" s="338"/>
      <c r="AY523" s="338"/>
      <c r="AZ523" s="338"/>
      <c r="BA523" s="338"/>
      <c r="BB523" s="338"/>
      <c r="BC523" s="338"/>
    </row>
    <row r="524">
      <c r="A524" s="115"/>
      <c r="B524" s="180"/>
      <c r="C524" s="117"/>
      <c r="D524" s="117"/>
      <c r="E524" s="117"/>
      <c r="F524" s="115"/>
      <c r="G524" s="180"/>
      <c r="H524" s="117"/>
      <c r="I524" s="117"/>
      <c r="J524" s="117"/>
      <c r="K524" s="92"/>
      <c r="L524" s="180"/>
      <c r="M524" s="117"/>
      <c r="N524" s="117"/>
      <c r="O524" s="117"/>
      <c r="P524" s="92"/>
      <c r="Q524" s="150"/>
      <c r="R524" s="117"/>
      <c r="S524" s="117"/>
      <c r="T524" s="117"/>
      <c r="U524" s="115"/>
      <c r="V524" s="180"/>
      <c r="W524" s="117"/>
      <c r="X524" s="117"/>
      <c r="Y524" s="117"/>
      <c r="Z524" s="115"/>
      <c r="AA524" s="180"/>
      <c r="AB524" s="117"/>
      <c r="AC524" s="117"/>
      <c r="AD524" s="117"/>
      <c r="AE524" s="115"/>
      <c r="AF524" s="180"/>
      <c r="AG524" s="117"/>
      <c r="AH524" s="117"/>
      <c r="AI524" s="117"/>
      <c r="AJ524" s="115"/>
      <c r="AK524" s="180"/>
      <c r="AL524" s="117"/>
      <c r="AM524" s="117"/>
      <c r="AN524" s="117"/>
      <c r="AO524" s="338"/>
      <c r="AP524" s="338"/>
      <c r="AQ524" s="338"/>
      <c r="AR524" s="338"/>
      <c r="AS524" s="338"/>
      <c r="AT524" s="338"/>
      <c r="AU524" s="338"/>
      <c r="AV524" s="338"/>
      <c r="AW524" s="338"/>
      <c r="AX524" s="338"/>
      <c r="AY524" s="338"/>
      <c r="AZ524" s="338"/>
      <c r="BA524" s="338"/>
      <c r="BB524" s="338"/>
      <c r="BC524" s="338"/>
    </row>
    <row r="525">
      <c r="A525" s="115"/>
      <c r="B525" s="180"/>
      <c r="C525" s="117"/>
      <c r="D525" s="117"/>
      <c r="E525" s="117"/>
      <c r="F525" s="115"/>
      <c r="G525" s="180"/>
      <c r="H525" s="117"/>
      <c r="I525" s="117"/>
      <c r="J525" s="117"/>
      <c r="K525" s="92"/>
      <c r="L525" s="180"/>
      <c r="M525" s="117"/>
      <c r="N525" s="117"/>
      <c r="O525" s="117"/>
      <c r="P525" s="92"/>
      <c r="Q525" s="150"/>
      <c r="R525" s="117"/>
      <c r="S525" s="117"/>
      <c r="T525" s="117"/>
      <c r="U525" s="115"/>
      <c r="V525" s="180"/>
      <c r="W525" s="117"/>
      <c r="X525" s="117"/>
      <c r="Y525" s="117"/>
      <c r="Z525" s="115"/>
      <c r="AA525" s="180"/>
      <c r="AB525" s="117"/>
      <c r="AC525" s="117"/>
      <c r="AD525" s="117"/>
      <c r="AE525" s="115"/>
      <c r="AF525" s="180"/>
      <c r="AG525" s="117"/>
      <c r="AH525" s="117"/>
      <c r="AI525" s="117"/>
      <c r="AJ525" s="115"/>
      <c r="AK525" s="180"/>
      <c r="AL525" s="117"/>
      <c r="AM525" s="117"/>
      <c r="AN525" s="117"/>
      <c r="AO525" s="338"/>
      <c r="AP525" s="338"/>
      <c r="AQ525" s="338"/>
      <c r="AR525" s="338"/>
      <c r="AS525" s="338"/>
      <c r="AT525" s="338"/>
      <c r="AU525" s="338"/>
      <c r="AV525" s="338"/>
      <c r="AW525" s="338"/>
      <c r="AX525" s="338"/>
      <c r="AY525" s="338"/>
      <c r="AZ525" s="338"/>
      <c r="BA525" s="338"/>
      <c r="BB525" s="338"/>
      <c r="BC525" s="338"/>
    </row>
    <row r="526">
      <c r="A526" s="115"/>
      <c r="B526" s="180"/>
      <c r="C526" s="117"/>
      <c r="D526" s="117"/>
      <c r="E526" s="117"/>
      <c r="F526" s="115"/>
      <c r="G526" s="180"/>
      <c r="H526" s="117"/>
      <c r="I526" s="117"/>
      <c r="J526" s="117"/>
      <c r="K526" s="92"/>
      <c r="L526" s="180"/>
      <c r="M526" s="117"/>
      <c r="N526" s="117"/>
      <c r="O526" s="117"/>
      <c r="P526" s="92"/>
      <c r="Q526" s="150"/>
      <c r="R526" s="117"/>
      <c r="S526" s="117"/>
      <c r="T526" s="117"/>
      <c r="U526" s="115"/>
      <c r="V526" s="180"/>
      <c r="W526" s="117"/>
      <c r="X526" s="117"/>
      <c r="Y526" s="117"/>
      <c r="Z526" s="115"/>
      <c r="AA526" s="180"/>
      <c r="AB526" s="117"/>
      <c r="AC526" s="117"/>
      <c r="AD526" s="117"/>
      <c r="AE526" s="115"/>
      <c r="AF526" s="180"/>
      <c r="AG526" s="117"/>
      <c r="AH526" s="117"/>
      <c r="AI526" s="117"/>
      <c r="AJ526" s="115"/>
      <c r="AK526" s="180"/>
      <c r="AL526" s="117"/>
      <c r="AM526" s="117"/>
      <c r="AN526" s="117"/>
      <c r="AO526" s="338"/>
      <c r="AP526" s="338"/>
      <c r="AQ526" s="338"/>
      <c r="AR526" s="338"/>
      <c r="AS526" s="338"/>
      <c r="AT526" s="338"/>
      <c r="AU526" s="338"/>
      <c r="AV526" s="338"/>
      <c r="AW526" s="338"/>
      <c r="AX526" s="338"/>
      <c r="AY526" s="338"/>
      <c r="AZ526" s="338"/>
      <c r="BA526" s="338"/>
      <c r="BB526" s="338"/>
      <c r="BC526" s="338"/>
    </row>
    <row r="527">
      <c r="A527" s="115"/>
      <c r="B527" s="180"/>
      <c r="C527" s="117"/>
      <c r="D527" s="117"/>
      <c r="E527" s="117"/>
      <c r="F527" s="115"/>
      <c r="G527" s="180"/>
      <c r="H527" s="117"/>
      <c r="I527" s="117"/>
      <c r="J527" s="117"/>
      <c r="K527" s="92"/>
      <c r="L527" s="180"/>
      <c r="M527" s="117"/>
      <c r="N527" s="117"/>
      <c r="O527" s="117"/>
      <c r="P527" s="92"/>
      <c r="Q527" s="150"/>
      <c r="R527" s="117"/>
      <c r="S527" s="117"/>
      <c r="T527" s="117"/>
      <c r="U527" s="115"/>
      <c r="V527" s="180"/>
      <c r="W527" s="117"/>
      <c r="X527" s="117"/>
      <c r="Y527" s="117"/>
      <c r="Z527" s="115"/>
      <c r="AA527" s="180"/>
      <c r="AB527" s="117"/>
      <c r="AC527" s="117"/>
      <c r="AD527" s="117"/>
      <c r="AE527" s="115"/>
      <c r="AF527" s="180"/>
      <c r="AG527" s="117"/>
      <c r="AH527" s="117"/>
      <c r="AI527" s="117"/>
      <c r="AJ527" s="115"/>
      <c r="AK527" s="180"/>
      <c r="AL527" s="117"/>
      <c r="AM527" s="117"/>
      <c r="AN527" s="117"/>
      <c r="AO527" s="338"/>
      <c r="AP527" s="338"/>
      <c r="AQ527" s="338"/>
      <c r="AR527" s="338"/>
      <c r="AS527" s="338"/>
      <c r="AT527" s="338"/>
      <c r="AU527" s="338"/>
      <c r="AV527" s="338"/>
      <c r="AW527" s="338"/>
      <c r="AX527" s="338"/>
      <c r="AY527" s="338"/>
      <c r="AZ527" s="338"/>
      <c r="BA527" s="338"/>
      <c r="BB527" s="338"/>
      <c r="BC527" s="338"/>
    </row>
    <row r="528">
      <c r="A528" s="115"/>
      <c r="B528" s="180"/>
      <c r="C528" s="117"/>
      <c r="D528" s="117"/>
      <c r="E528" s="117"/>
      <c r="F528" s="115"/>
      <c r="G528" s="180"/>
      <c r="H528" s="117"/>
      <c r="I528" s="117"/>
      <c r="J528" s="117"/>
      <c r="K528" s="92"/>
      <c r="L528" s="180"/>
      <c r="M528" s="117"/>
      <c r="N528" s="117"/>
      <c r="O528" s="117"/>
      <c r="P528" s="92"/>
      <c r="Q528" s="150"/>
      <c r="R528" s="117"/>
      <c r="S528" s="117"/>
      <c r="T528" s="117"/>
      <c r="U528" s="115"/>
      <c r="V528" s="180"/>
      <c r="W528" s="117"/>
      <c r="X528" s="117"/>
      <c r="Y528" s="117"/>
      <c r="Z528" s="115"/>
      <c r="AA528" s="180"/>
      <c r="AB528" s="117"/>
      <c r="AC528" s="117"/>
      <c r="AD528" s="117"/>
      <c r="AE528" s="115"/>
      <c r="AF528" s="180"/>
      <c r="AG528" s="117"/>
      <c r="AH528" s="117"/>
      <c r="AI528" s="117"/>
      <c r="AJ528" s="115"/>
      <c r="AK528" s="180"/>
      <c r="AL528" s="117"/>
      <c r="AM528" s="117"/>
      <c r="AN528" s="117"/>
      <c r="AO528" s="338"/>
      <c r="AP528" s="338"/>
      <c r="AQ528" s="338"/>
      <c r="AR528" s="338"/>
      <c r="AS528" s="338"/>
      <c r="AT528" s="338"/>
      <c r="AU528" s="338"/>
      <c r="AV528" s="338"/>
      <c r="AW528" s="338"/>
      <c r="AX528" s="338"/>
      <c r="AY528" s="338"/>
      <c r="AZ528" s="338"/>
      <c r="BA528" s="338"/>
      <c r="BB528" s="338"/>
      <c r="BC528" s="338"/>
    </row>
    <row r="529">
      <c r="A529" s="115"/>
      <c r="B529" s="180"/>
      <c r="C529" s="117"/>
      <c r="D529" s="117"/>
      <c r="E529" s="117"/>
      <c r="F529" s="115"/>
      <c r="G529" s="180"/>
      <c r="H529" s="117"/>
      <c r="I529" s="117"/>
      <c r="J529" s="117"/>
      <c r="K529" s="92"/>
      <c r="L529" s="180"/>
      <c r="M529" s="117"/>
      <c r="N529" s="117"/>
      <c r="O529" s="117"/>
      <c r="P529" s="92"/>
      <c r="Q529" s="150"/>
      <c r="R529" s="117"/>
      <c r="S529" s="117"/>
      <c r="T529" s="117"/>
      <c r="U529" s="115"/>
      <c r="V529" s="180"/>
      <c r="W529" s="117"/>
      <c r="X529" s="117"/>
      <c r="Y529" s="117"/>
      <c r="Z529" s="115"/>
      <c r="AA529" s="180"/>
      <c r="AB529" s="117"/>
      <c r="AC529" s="117"/>
      <c r="AD529" s="117"/>
      <c r="AE529" s="115"/>
      <c r="AF529" s="180"/>
      <c r="AG529" s="117"/>
      <c r="AH529" s="117"/>
      <c r="AI529" s="117"/>
      <c r="AJ529" s="115"/>
      <c r="AK529" s="180"/>
      <c r="AL529" s="117"/>
      <c r="AM529" s="117"/>
      <c r="AN529" s="117"/>
      <c r="AO529" s="338"/>
      <c r="AP529" s="338"/>
      <c r="AQ529" s="338"/>
      <c r="AR529" s="338"/>
      <c r="AS529" s="338"/>
      <c r="AT529" s="338"/>
      <c r="AU529" s="338"/>
      <c r="AV529" s="338"/>
      <c r="AW529" s="338"/>
      <c r="AX529" s="338"/>
      <c r="AY529" s="338"/>
      <c r="AZ529" s="338"/>
      <c r="BA529" s="338"/>
      <c r="BB529" s="338"/>
      <c r="BC529" s="338"/>
    </row>
    <row r="530">
      <c r="A530" s="115"/>
      <c r="B530" s="180"/>
      <c r="C530" s="117"/>
      <c r="D530" s="117"/>
      <c r="E530" s="117"/>
      <c r="F530" s="115"/>
      <c r="G530" s="180"/>
      <c r="H530" s="117"/>
      <c r="I530" s="117"/>
      <c r="J530" s="117"/>
      <c r="K530" s="92"/>
      <c r="L530" s="180"/>
      <c r="M530" s="117"/>
      <c r="N530" s="117"/>
      <c r="O530" s="117"/>
      <c r="P530" s="92"/>
      <c r="Q530" s="150"/>
      <c r="R530" s="117"/>
      <c r="S530" s="117"/>
      <c r="T530" s="117"/>
      <c r="U530" s="115"/>
      <c r="V530" s="180"/>
      <c r="W530" s="117"/>
      <c r="X530" s="117"/>
      <c r="Y530" s="117"/>
      <c r="Z530" s="115"/>
      <c r="AA530" s="180"/>
      <c r="AB530" s="117"/>
      <c r="AC530" s="117"/>
      <c r="AD530" s="117"/>
      <c r="AE530" s="115"/>
      <c r="AF530" s="180"/>
      <c r="AG530" s="117"/>
      <c r="AH530" s="117"/>
      <c r="AI530" s="117"/>
      <c r="AJ530" s="115"/>
      <c r="AK530" s="180"/>
      <c r="AL530" s="117"/>
      <c r="AM530" s="117"/>
      <c r="AN530" s="117"/>
      <c r="AO530" s="338"/>
      <c r="AP530" s="338"/>
      <c r="AQ530" s="338"/>
      <c r="AR530" s="338"/>
      <c r="AS530" s="338"/>
      <c r="AT530" s="338"/>
      <c r="AU530" s="338"/>
      <c r="AV530" s="338"/>
      <c r="AW530" s="338"/>
      <c r="AX530" s="338"/>
      <c r="AY530" s="338"/>
      <c r="AZ530" s="338"/>
      <c r="BA530" s="338"/>
      <c r="BB530" s="338"/>
      <c r="BC530" s="338"/>
    </row>
    <row r="531">
      <c r="A531" s="115"/>
      <c r="B531" s="180"/>
      <c r="C531" s="117"/>
      <c r="D531" s="117"/>
      <c r="E531" s="117"/>
      <c r="F531" s="115"/>
      <c r="G531" s="180"/>
      <c r="H531" s="117"/>
      <c r="I531" s="117"/>
      <c r="J531" s="117"/>
      <c r="K531" s="92"/>
      <c r="L531" s="180"/>
      <c r="M531" s="117"/>
      <c r="N531" s="117"/>
      <c r="O531" s="117"/>
      <c r="P531" s="92"/>
      <c r="Q531" s="150"/>
      <c r="R531" s="117"/>
      <c r="S531" s="117"/>
      <c r="T531" s="117"/>
      <c r="U531" s="115"/>
      <c r="V531" s="180"/>
      <c r="W531" s="117"/>
      <c r="X531" s="117"/>
      <c r="Y531" s="117"/>
      <c r="Z531" s="115"/>
      <c r="AA531" s="180"/>
      <c r="AB531" s="117"/>
      <c r="AC531" s="117"/>
      <c r="AD531" s="117"/>
      <c r="AE531" s="115"/>
      <c r="AF531" s="180"/>
      <c r="AG531" s="117"/>
      <c r="AH531" s="117"/>
      <c r="AI531" s="117"/>
      <c r="AJ531" s="115"/>
      <c r="AK531" s="180"/>
      <c r="AL531" s="117"/>
      <c r="AM531" s="117"/>
      <c r="AN531" s="117"/>
      <c r="AO531" s="338"/>
      <c r="AP531" s="338"/>
      <c r="AQ531" s="338"/>
      <c r="AR531" s="338"/>
      <c r="AS531" s="338"/>
      <c r="AT531" s="338"/>
      <c r="AU531" s="338"/>
      <c r="AV531" s="338"/>
      <c r="AW531" s="338"/>
      <c r="AX531" s="338"/>
      <c r="AY531" s="338"/>
      <c r="AZ531" s="338"/>
      <c r="BA531" s="338"/>
      <c r="BB531" s="338"/>
      <c r="BC531" s="338"/>
    </row>
    <row r="532">
      <c r="A532" s="115"/>
      <c r="B532" s="180"/>
      <c r="C532" s="117"/>
      <c r="D532" s="117"/>
      <c r="E532" s="117"/>
      <c r="F532" s="115"/>
      <c r="G532" s="180"/>
      <c r="H532" s="117"/>
      <c r="I532" s="117"/>
      <c r="J532" s="117"/>
      <c r="K532" s="92"/>
      <c r="L532" s="180"/>
      <c r="M532" s="117"/>
      <c r="N532" s="117"/>
      <c r="O532" s="117"/>
      <c r="P532" s="92"/>
      <c r="Q532" s="150"/>
      <c r="R532" s="117"/>
      <c r="S532" s="117"/>
      <c r="T532" s="117"/>
      <c r="U532" s="115"/>
      <c r="V532" s="180"/>
      <c r="W532" s="117"/>
      <c r="X532" s="117"/>
      <c r="Y532" s="117"/>
      <c r="Z532" s="115"/>
      <c r="AA532" s="180"/>
      <c r="AB532" s="117"/>
      <c r="AC532" s="117"/>
      <c r="AD532" s="117"/>
      <c r="AE532" s="115"/>
      <c r="AF532" s="180"/>
      <c r="AG532" s="117"/>
      <c r="AH532" s="117"/>
      <c r="AI532" s="117"/>
      <c r="AJ532" s="115"/>
      <c r="AK532" s="180"/>
      <c r="AL532" s="117"/>
      <c r="AM532" s="117"/>
      <c r="AN532" s="117"/>
      <c r="AO532" s="338"/>
      <c r="AP532" s="338"/>
      <c r="AQ532" s="338"/>
      <c r="AR532" s="338"/>
      <c r="AS532" s="338"/>
      <c r="AT532" s="338"/>
      <c r="AU532" s="338"/>
      <c r="AV532" s="338"/>
      <c r="AW532" s="338"/>
      <c r="AX532" s="338"/>
      <c r="AY532" s="338"/>
      <c r="AZ532" s="338"/>
      <c r="BA532" s="338"/>
      <c r="BB532" s="338"/>
      <c r="BC532" s="338"/>
    </row>
    <row r="533">
      <c r="A533" s="115"/>
      <c r="B533" s="180"/>
      <c r="C533" s="117"/>
      <c r="D533" s="117"/>
      <c r="E533" s="117"/>
      <c r="F533" s="115"/>
      <c r="G533" s="180"/>
      <c r="H533" s="117"/>
      <c r="I533" s="117"/>
      <c r="J533" s="117"/>
      <c r="K533" s="92"/>
      <c r="L533" s="180"/>
      <c r="M533" s="117"/>
      <c r="N533" s="117"/>
      <c r="O533" s="117"/>
      <c r="P533" s="92"/>
      <c r="Q533" s="150"/>
      <c r="R533" s="117"/>
      <c r="S533" s="117"/>
      <c r="T533" s="117"/>
      <c r="U533" s="115"/>
      <c r="V533" s="180"/>
      <c r="W533" s="117"/>
      <c r="X533" s="117"/>
      <c r="Y533" s="117"/>
      <c r="Z533" s="115"/>
      <c r="AA533" s="180"/>
      <c r="AB533" s="117"/>
      <c r="AC533" s="117"/>
      <c r="AD533" s="117"/>
      <c r="AE533" s="115"/>
      <c r="AF533" s="180"/>
      <c r="AG533" s="117"/>
      <c r="AH533" s="117"/>
      <c r="AI533" s="117"/>
      <c r="AJ533" s="115"/>
      <c r="AK533" s="180"/>
      <c r="AL533" s="117"/>
      <c r="AM533" s="117"/>
      <c r="AN533" s="117"/>
      <c r="AO533" s="338"/>
      <c r="AP533" s="338"/>
      <c r="AQ533" s="338"/>
      <c r="AR533" s="338"/>
      <c r="AS533" s="338"/>
      <c r="AT533" s="338"/>
      <c r="AU533" s="338"/>
      <c r="AV533" s="338"/>
      <c r="AW533" s="338"/>
      <c r="AX533" s="338"/>
      <c r="AY533" s="338"/>
      <c r="AZ533" s="338"/>
      <c r="BA533" s="338"/>
      <c r="BB533" s="338"/>
      <c r="BC533" s="338"/>
    </row>
    <row r="534">
      <c r="A534" s="115"/>
      <c r="B534" s="180"/>
      <c r="C534" s="117"/>
      <c r="D534" s="117"/>
      <c r="E534" s="117"/>
      <c r="F534" s="115"/>
      <c r="G534" s="180"/>
      <c r="H534" s="117"/>
      <c r="I534" s="117"/>
      <c r="J534" s="117"/>
      <c r="K534" s="92"/>
      <c r="L534" s="180"/>
      <c r="M534" s="117"/>
      <c r="N534" s="117"/>
      <c r="O534" s="117"/>
      <c r="P534" s="92"/>
      <c r="Q534" s="150"/>
      <c r="R534" s="117"/>
      <c r="S534" s="117"/>
      <c r="T534" s="117"/>
      <c r="U534" s="115"/>
      <c r="V534" s="180"/>
      <c r="W534" s="117"/>
      <c r="X534" s="117"/>
      <c r="Y534" s="117"/>
      <c r="Z534" s="115"/>
      <c r="AA534" s="180"/>
      <c r="AB534" s="117"/>
      <c r="AC534" s="117"/>
      <c r="AD534" s="117"/>
      <c r="AE534" s="115"/>
      <c r="AF534" s="180"/>
      <c r="AG534" s="117"/>
      <c r="AH534" s="117"/>
      <c r="AI534" s="117"/>
      <c r="AJ534" s="115"/>
      <c r="AK534" s="180"/>
      <c r="AL534" s="117"/>
      <c r="AM534" s="117"/>
      <c r="AN534" s="117"/>
      <c r="AO534" s="338"/>
      <c r="AP534" s="338"/>
      <c r="AQ534" s="338"/>
      <c r="AR534" s="338"/>
      <c r="AS534" s="338"/>
      <c r="AT534" s="338"/>
      <c r="AU534" s="338"/>
      <c r="AV534" s="338"/>
      <c r="AW534" s="338"/>
      <c r="AX534" s="338"/>
      <c r="AY534" s="338"/>
      <c r="AZ534" s="338"/>
      <c r="BA534" s="338"/>
      <c r="BB534" s="338"/>
      <c r="BC534" s="338"/>
    </row>
    <row r="535">
      <c r="A535" s="115"/>
      <c r="B535" s="180"/>
      <c r="C535" s="117"/>
      <c r="D535" s="117"/>
      <c r="E535" s="117"/>
      <c r="F535" s="115"/>
      <c r="G535" s="180"/>
      <c r="H535" s="117"/>
      <c r="I535" s="117"/>
      <c r="J535" s="117"/>
      <c r="K535" s="92"/>
      <c r="L535" s="180"/>
      <c r="M535" s="117"/>
      <c r="N535" s="117"/>
      <c r="O535" s="117"/>
      <c r="P535" s="92"/>
      <c r="Q535" s="150"/>
      <c r="R535" s="117"/>
      <c r="S535" s="117"/>
      <c r="T535" s="117"/>
      <c r="U535" s="115"/>
      <c r="V535" s="180"/>
      <c r="W535" s="117"/>
      <c r="X535" s="117"/>
      <c r="Y535" s="117"/>
      <c r="Z535" s="115"/>
      <c r="AA535" s="180"/>
      <c r="AB535" s="117"/>
      <c r="AC535" s="117"/>
      <c r="AD535" s="117"/>
      <c r="AE535" s="115"/>
      <c r="AF535" s="180"/>
      <c r="AG535" s="117"/>
      <c r="AH535" s="117"/>
      <c r="AI535" s="117"/>
      <c r="AJ535" s="115"/>
      <c r="AK535" s="180"/>
      <c r="AL535" s="117"/>
      <c r="AM535" s="117"/>
      <c r="AN535" s="117"/>
      <c r="AO535" s="338"/>
      <c r="AP535" s="338"/>
      <c r="AQ535" s="338"/>
      <c r="AR535" s="338"/>
      <c r="AS535" s="338"/>
      <c r="AT535" s="338"/>
      <c r="AU535" s="338"/>
      <c r="AV535" s="338"/>
      <c r="AW535" s="338"/>
      <c r="AX535" s="338"/>
      <c r="AY535" s="338"/>
      <c r="AZ535" s="338"/>
      <c r="BA535" s="338"/>
      <c r="BB535" s="338"/>
      <c r="BC535" s="338"/>
    </row>
    <row r="536">
      <c r="A536" s="115"/>
      <c r="B536" s="180"/>
      <c r="C536" s="117"/>
      <c r="D536" s="117"/>
      <c r="E536" s="117"/>
      <c r="F536" s="115"/>
      <c r="G536" s="180"/>
      <c r="H536" s="117"/>
      <c r="I536" s="117"/>
      <c r="J536" s="117"/>
      <c r="K536" s="92"/>
      <c r="L536" s="180"/>
      <c r="M536" s="117"/>
      <c r="N536" s="117"/>
      <c r="O536" s="117"/>
      <c r="P536" s="92"/>
      <c r="Q536" s="150"/>
      <c r="R536" s="117"/>
      <c r="S536" s="117"/>
      <c r="T536" s="117"/>
      <c r="U536" s="115"/>
      <c r="V536" s="180"/>
      <c r="W536" s="117"/>
      <c r="X536" s="117"/>
      <c r="Y536" s="117"/>
      <c r="Z536" s="115"/>
      <c r="AA536" s="180"/>
      <c r="AB536" s="117"/>
      <c r="AC536" s="117"/>
      <c r="AD536" s="117"/>
      <c r="AE536" s="115"/>
      <c r="AF536" s="180"/>
      <c r="AG536" s="117"/>
      <c r="AH536" s="117"/>
      <c r="AI536" s="117"/>
      <c r="AJ536" s="115"/>
      <c r="AK536" s="180"/>
      <c r="AL536" s="117"/>
      <c r="AM536" s="117"/>
      <c r="AN536" s="117"/>
      <c r="AO536" s="338"/>
      <c r="AP536" s="338"/>
      <c r="AQ536" s="338"/>
      <c r="AR536" s="338"/>
      <c r="AS536" s="338"/>
      <c r="AT536" s="338"/>
      <c r="AU536" s="338"/>
      <c r="AV536" s="338"/>
      <c r="AW536" s="338"/>
      <c r="AX536" s="338"/>
      <c r="AY536" s="338"/>
      <c r="AZ536" s="338"/>
      <c r="BA536" s="338"/>
      <c r="BB536" s="338"/>
      <c r="BC536" s="338"/>
    </row>
    <row r="537">
      <c r="A537" s="115"/>
      <c r="B537" s="180"/>
      <c r="C537" s="117"/>
      <c r="D537" s="117"/>
      <c r="E537" s="117"/>
      <c r="F537" s="115"/>
      <c r="G537" s="180"/>
      <c r="H537" s="117"/>
      <c r="I537" s="117"/>
      <c r="J537" s="117"/>
      <c r="K537" s="92"/>
      <c r="L537" s="180"/>
      <c r="M537" s="117"/>
      <c r="N537" s="117"/>
      <c r="O537" s="117"/>
      <c r="P537" s="92"/>
      <c r="Q537" s="150"/>
      <c r="R537" s="117"/>
      <c r="S537" s="117"/>
      <c r="T537" s="117"/>
      <c r="U537" s="115"/>
      <c r="V537" s="180"/>
      <c r="W537" s="117"/>
      <c r="X537" s="117"/>
      <c r="Y537" s="117"/>
      <c r="Z537" s="115"/>
      <c r="AA537" s="180"/>
      <c r="AB537" s="117"/>
      <c r="AC537" s="117"/>
      <c r="AD537" s="117"/>
      <c r="AE537" s="115"/>
      <c r="AF537" s="180"/>
      <c r="AG537" s="117"/>
      <c r="AH537" s="117"/>
      <c r="AI537" s="117"/>
      <c r="AJ537" s="115"/>
      <c r="AK537" s="180"/>
      <c r="AL537" s="117"/>
      <c r="AM537" s="117"/>
      <c r="AN537" s="117"/>
      <c r="AO537" s="338"/>
      <c r="AP537" s="338"/>
      <c r="AQ537" s="338"/>
      <c r="AR537" s="338"/>
      <c r="AS537" s="338"/>
      <c r="AT537" s="338"/>
      <c r="AU537" s="338"/>
      <c r="AV537" s="338"/>
      <c r="AW537" s="338"/>
      <c r="AX537" s="338"/>
      <c r="AY537" s="338"/>
      <c r="AZ537" s="338"/>
      <c r="BA537" s="338"/>
      <c r="BB537" s="338"/>
      <c r="BC537" s="338"/>
    </row>
    <row r="538">
      <c r="A538" s="115"/>
      <c r="B538" s="180"/>
      <c r="C538" s="117"/>
      <c r="D538" s="117"/>
      <c r="E538" s="117"/>
      <c r="F538" s="115"/>
      <c r="G538" s="180"/>
      <c r="H538" s="117"/>
      <c r="I538" s="117"/>
      <c r="J538" s="117"/>
      <c r="K538" s="92"/>
      <c r="L538" s="180"/>
      <c r="M538" s="117"/>
      <c r="N538" s="117"/>
      <c r="O538" s="117"/>
      <c r="P538" s="92"/>
      <c r="Q538" s="150"/>
      <c r="R538" s="117"/>
      <c r="S538" s="117"/>
      <c r="T538" s="117"/>
      <c r="U538" s="115"/>
      <c r="V538" s="180"/>
      <c r="W538" s="117"/>
      <c r="X538" s="117"/>
      <c r="Y538" s="117"/>
      <c r="Z538" s="115"/>
      <c r="AA538" s="180"/>
      <c r="AB538" s="117"/>
      <c r="AC538" s="117"/>
      <c r="AD538" s="117"/>
      <c r="AE538" s="115"/>
      <c r="AF538" s="180"/>
      <c r="AG538" s="117"/>
      <c r="AH538" s="117"/>
      <c r="AI538" s="117"/>
      <c r="AJ538" s="115"/>
      <c r="AK538" s="180"/>
      <c r="AL538" s="117"/>
      <c r="AM538" s="117"/>
      <c r="AN538" s="117"/>
      <c r="AO538" s="338"/>
      <c r="AP538" s="338"/>
      <c r="AQ538" s="338"/>
      <c r="AR538" s="338"/>
      <c r="AS538" s="338"/>
      <c r="AT538" s="338"/>
      <c r="AU538" s="338"/>
      <c r="AV538" s="338"/>
      <c r="AW538" s="338"/>
      <c r="AX538" s="338"/>
      <c r="AY538" s="338"/>
      <c r="AZ538" s="338"/>
      <c r="BA538" s="338"/>
      <c r="BB538" s="338"/>
      <c r="BC538" s="338"/>
    </row>
    <row r="539">
      <c r="A539" s="115"/>
      <c r="B539" s="180"/>
      <c r="C539" s="117"/>
      <c r="D539" s="117"/>
      <c r="E539" s="117"/>
      <c r="F539" s="115"/>
      <c r="G539" s="180"/>
      <c r="H539" s="117"/>
      <c r="I539" s="117"/>
      <c r="J539" s="117"/>
      <c r="K539" s="92"/>
      <c r="L539" s="180"/>
      <c r="M539" s="117"/>
      <c r="N539" s="117"/>
      <c r="O539" s="117"/>
      <c r="P539" s="92"/>
      <c r="Q539" s="150"/>
      <c r="R539" s="117"/>
      <c r="S539" s="117"/>
      <c r="T539" s="117"/>
      <c r="U539" s="115"/>
      <c r="V539" s="180"/>
      <c r="W539" s="117"/>
      <c r="X539" s="117"/>
      <c r="Y539" s="117"/>
      <c r="Z539" s="115"/>
      <c r="AA539" s="180"/>
      <c r="AB539" s="117"/>
      <c r="AC539" s="117"/>
      <c r="AD539" s="117"/>
      <c r="AE539" s="115"/>
      <c r="AF539" s="180"/>
      <c r="AG539" s="117"/>
      <c r="AH539" s="117"/>
      <c r="AI539" s="117"/>
      <c r="AJ539" s="115"/>
      <c r="AK539" s="180"/>
      <c r="AL539" s="117"/>
      <c r="AM539" s="117"/>
      <c r="AN539" s="117"/>
      <c r="AO539" s="338"/>
      <c r="AP539" s="338"/>
      <c r="AQ539" s="338"/>
      <c r="AR539" s="338"/>
      <c r="AS539" s="338"/>
      <c r="AT539" s="338"/>
      <c r="AU539" s="338"/>
      <c r="AV539" s="338"/>
      <c r="AW539" s="338"/>
      <c r="AX539" s="338"/>
      <c r="AY539" s="338"/>
      <c r="AZ539" s="338"/>
      <c r="BA539" s="338"/>
      <c r="BB539" s="338"/>
      <c r="BC539" s="338"/>
    </row>
    <row r="540">
      <c r="A540" s="115"/>
      <c r="B540" s="180"/>
      <c r="C540" s="117"/>
      <c r="D540" s="117"/>
      <c r="E540" s="117"/>
      <c r="F540" s="115"/>
      <c r="G540" s="180"/>
      <c r="H540" s="117"/>
      <c r="I540" s="117"/>
      <c r="J540" s="117"/>
      <c r="K540" s="92"/>
      <c r="L540" s="180"/>
      <c r="M540" s="117"/>
      <c r="N540" s="117"/>
      <c r="O540" s="117"/>
      <c r="P540" s="92"/>
      <c r="Q540" s="150"/>
      <c r="R540" s="117"/>
      <c r="S540" s="117"/>
      <c r="T540" s="117"/>
      <c r="U540" s="115"/>
      <c r="V540" s="180"/>
      <c r="W540" s="117"/>
      <c r="X540" s="117"/>
      <c r="Y540" s="117"/>
      <c r="Z540" s="115"/>
      <c r="AA540" s="180"/>
      <c r="AB540" s="117"/>
      <c r="AC540" s="117"/>
      <c r="AD540" s="117"/>
      <c r="AE540" s="115"/>
      <c r="AF540" s="180"/>
      <c r="AG540" s="117"/>
      <c r="AH540" s="117"/>
      <c r="AI540" s="117"/>
      <c r="AJ540" s="115"/>
      <c r="AK540" s="180"/>
      <c r="AL540" s="117"/>
      <c r="AM540" s="117"/>
      <c r="AN540" s="117"/>
      <c r="AO540" s="338"/>
      <c r="AP540" s="338"/>
      <c r="AQ540" s="338"/>
      <c r="AR540" s="338"/>
      <c r="AS540" s="338"/>
      <c r="AT540" s="338"/>
      <c r="AU540" s="338"/>
      <c r="AV540" s="338"/>
      <c r="AW540" s="338"/>
      <c r="AX540" s="338"/>
      <c r="AY540" s="338"/>
      <c r="AZ540" s="338"/>
      <c r="BA540" s="338"/>
      <c r="BB540" s="338"/>
      <c r="BC540" s="338"/>
    </row>
    <row r="541">
      <c r="A541" s="115"/>
      <c r="B541" s="180"/>
      <c r="C541" s="117"/>
      <c r="D541" s="117"/>
      <c r="E541" s="117"/>
      <c r="F541" s="115"/>
      <c r="G541" s="180"/>
      <c r="H541" s="117"/>
      <c r="I541" s="117"/>
      <c r="J541" s="117"/>
      <c r="K541" s="92"/>
      <c r="L541" s="180"/>
      <c r="M541" s="117"/>
      <c r="N541" s="117"/>
      <c r="O541" s="117"/>
      <c r="P541" s="92"/>
      <c r="Q541" s="150"/>
      <c r="R541" s="117"/>
      <c r="S541" s="117"/>
      <c r="T541" s="117"/>
      <c r="U541" s="115"/>
      <c r="V541" s="180"/>
      <c r="W541" s="117"/>
      <c r="X541" s="117"/>
      <c r="Y541" s="117"/>
      <c r="Z541" s="115"/>
      <c r="AA541" s="180"/>
      <c r="AB541" s="117"/>
      <c r="AC541" s="117"/>
      <c r="AD541" s="117"/>
      <c r="AE541" s="115"/>
      <c r="AF541" s="180"/>
      <c r="AG541" s="117"/>
      <c r="AH541" s="117"/>
      <c r="AI541" s="117"/>
      <c r="AJ541" s="115"/>
      <c r="AK541" s="180"/>
      <c r="AL541" s="117"/>
      <c r="AM541" s="117"/>
      <c r="AN541" s="117"/>
      <c r="AO541" s="338"/>
      <c r="AP541" s="338"/>
      <c r="AQ541" s="338"/>
      <c r="AR541" s="338"/>
      <c r="AS541" s="338"/>
      <c r="AT541" s="338"/>
      <c r="AU541" s="338"/>
      <c r="AV541" s="338"/>
      <c r="AW541" s="338"/>
      <c r="AX541" s="338"/>
      <c r="AY541" s="338"/>
      <c r="AZ541" s="338"/>
      <c r="BA541" s="338"/>
      <c r="BB541" s="338"/>
      <c r="BC541" s="338"/>
    </row>
    <row r="542">
      <c r="A542" s="115"/>
      <c r="B542" s="180"/>
      <c r="C542" s="117"/>
      <c r="D542" s="117"/>
      <c r="E542" s="117"/>
      <c r="F542" s="115"/>
      <c r="G542" s="180"/>
      <c r="H542" s="117"/>
      <c r="I542" s="117"/>
      <c r="J542" s="117"/>
      <c r="K542" s="92"/>
      <c r="L542" s="180"/>
      <c r="M542" s="117"/>
      <c r="N542" s="117"/>
      <c r="O542" s="117"/>
      <c r="P542" s="92"/>
      <c r="Q542" s="150"/>
      <c r="R542" s="117"/>
      <c r="S542" s="117"/>
      <c r="T542" s="117"/>
      <c r="U542" s="115"/>
      <c r="V542" s="180"/>
      <c r="W542" s="117"/>
      <c r="X542" s="117"/>
      <c r="Y542" s="117"/>
      <c r="Z542" s="115"/>
      <c r="AA542" s="180"/>
      <c r="AB542" s="117"/>
      <c r="AC542" s="117"/>
      <c r="AD542" s="117"/>
      <c r="AE542" s="115"/>
      <c r="AF542" s="180"/>
      <c r="AG542" s="117"/>
      <c r="AH542" s="117"/>
      <c r="AI542" s="117"/>
      <c r="AJ542" s="115"/>
      <c r="AK542" s="180"/>
      <c r="AL542" s="117"/>
      <c r="AM542" s="117"/>
      <c r="AN542" s="117"/>
      <c r="AO542" s="338"/>
      <c r="AP542" s="338"/>
      <c r="AQ542" s="338"/>
      <c r="AR542" s="338"/>
      <c r="AS542" s="338"/>
      <c r="AT542" s="338"/>
      <c r="AU542" s="338"/>
      <c r="AV542" s="338"/>
      <c r="AW542" s="338"/>
      <c r="AX542" s="338"/>
      <c r="AY542" s="338"/>
      <c r="AZ542" s="338"/>
      <c r="BA542" s="338"/>
      <c r="BB542" s="338"/>
      <c r="BC542" s="338"/>
    </row>
    <row r="543">
      <c r="A543" s="115"/>
      <c r="B543" s="180"/>
      <c r="C543" s="117"/>
      <c r="D543" s="117"/>
      <c r="E543" s="117"/>
      <c r="F543" s="115"/>
      <c r="G543" s="180"/>
      <c r="H543" s="117"/>
      <c r="I543" s="117"/>
      <c r="J543" s="117"/>
      <c r="K543" s="92"/>
      <c r="L543" s="180"/>
      <c r="M543" s="117"/>
      <c r="N543" s="117"/>
      <c r="O543" s="117"/>
      <c r="P543" s="92"/>
      <c r="Q543" s="150"/>
      <c r="R543" s="117"/>
      <c r="S543" s="117"/>
      <c r="T543" s="117"/>
      <c r="U543" s="115"/>
      <c r="V543" s="180"/>
      <c r="W543" s="117"/>
      <c r="X543" s="117"/>
      <c r="Y543" s="117"/>
      <c r="Z543" s="115"/>
      <c r="AA543" s="180"/>
      <c r="AB543" s="117"/>
      <c r="AC543" s="117"/>
      <c r="AD543" s="117"/>
      <c r="AE543" s="115"/>
      <c r="AF543" s="180"/>
      <c r="AG543" s="117"/>
      <c r="AH543" s="117"/>
      <c r="AI543" s="117"/>
      <c r="AJ543" s="115"/>
      <c r="AK543" s="180"/>
      <c r="AL543" s="117"/>
      <c r="AM543" s="117"/>
      <c r="AN543" s="117"/>
      <c r="AO543" s="338"/>
      <c r="AP543" s="338"/>
      <c r="AQ543" s="338"/>
      <c r="AR543" s="338"/>
      <c r="AS543" s="338"/>
      <c r="AT543" s="338"/>
      <c r="AU543" s="338"/>
      <c r="AV543" s="338"/>
      <c r="AW543" s="338"/>
      <c r="AX543" s="338"/>
      <c r="AY543" s="338"/>
      <c r="AZ543" s="338"/>
      <c r="BA543" s="338"/>
      <c r="BB543" s="338"/>
      <c r="BC543" s="338"/>
    </row>
    <row r="544">
      <c r="A544" s="115"/>
      <c r="B544" s="180"/>
      <c r="C544" s="117"/>
      <c r="D544" s="117"/>
      <c r="E544" s="117"/>
      <c r="F544" s="115"/>
      <c r="G544" s="180"/>
      <c r="H544" s="117"/>
      <c r="I544" s="117"/>
      <c r="J544" s="117"/>
      <c r="K544" s="92"/>
      <c r="L544" s="180"/>
      <c r="M544" s="117"/>
      <c r="N544" s="117"/>
      <c r="O544" s="117"/>
      <c r="P544" s="92"/>
      <c r="Q544" s="150"/>
      <c r="R544" s="117"/>
      <c r="S544" s="117"/>
      <c r="T544" s="117"/>
      <c r="U544" s="115"/>
      <c r="V544" s="180"/>
      <c r="W544" s="117"/>
      <c r="X544" s="117"/>
      <c r="Y544" s="117"/>
      <c r="Z544" s="115"/>
      <c r="AA544" s="180"/>
      <c r="AB544" s="117"/>
      <c r="AC544" s="117"/>
      <c r="AD544" s="117"/>
      <c r="AE544" s="115"/>
      <c r="AF544" s="180"/>
      <c r="AG544" s="117"/>
      <c r="AH544" s="117"/>
      <c r="AI544" s="117"/>
      <c r="AJ544" s="115"/>
      <c r="AK544" s="180"/>
      <c r="AL544" s="117"/>
      <c r="AM544" s="117"/>
      <c r="AN544" s="117"/>
      <c r="AO544" s="338"/>
      <c r="AP544" s="338"/>
      <c r="AQ544" s="338"/>
      <c r="AR544" s="338"/>
      <c r="AS544" s="338"/>
      <c r="AT544" s="338"/>
      <c r="AU544" s="338"/>
      <c r="AV544" s="338"/>
      <c r="AW544" s="338"/>
      <c r="AX544" s="338"/>
      <c r="AY544" s="338"/>
      <c r="AZ544" s="338"/>
      <c r="BA544" s="338"/>
      <c r="BB544" s="338"/>
      <c r="BC544" s="338"/>
    </row>
    <row r="545">
      <c r="A545" s="115"/>
      <c r="B545" s="180"/>
      <c r="C545" s="117"/>
      <c r="D545" s="117"/>
      <c r="E545" s="117"/>
      <c r="F545" s="115"/>
      <c r="G545" s="180"/>
      <c r="H545" s="117"/>
      <c r="I545" s="117"/>
      <c r="J545" s="117"/>
      <c r="K545" s="92"/>
      <c r="L545" s="180"/>
      <c r="M545" s="117"/>
      <c r="N545" s="117"/>
      <c r="O545" s="117"/>
      <c r="P545" s="92"/>
      <c r="Q545" s="150"/>
      <c r="R545" s="117"/>
      <c r="S545" s="117"/>
      <c r="T545" s="117"/>
      <c r="U545" s="115"/>
      <c r="V545" s="180"/>
      <c r="W545" s="117"/>
      <c r="X545" s="117"/>
      <c r="Y545" s="117"/>
      <c r="Z545" s="115"/>
      <c r="AA545" s="180"/>
      <c r="AB545" s="117"/>
      <c r="AC545" s="117"/>
      <c r="AD545" s="117"/>
      <c r="AE545" s="115"/>
      <c r="AF545" s="180"/>
      <c r="AG545" s="117"/>
      <c r="AH545" s="117"/>
      <c r="AI545" s="117"/>
      <c r="AJ545" s="115"/>
      <c r="AK545" s="180"/>
      <c r="AL545" s="117"/>
      <c r="AM545" s="117"/>
      <c r="AN545" s="117"/>
      <c r="AO545" s="338"/>
      <c r="AP545" s="338"/>
      <c r="AQ545" s="338"/>
      <c r="AR545" s="338"/>
      <c r="AS545" s="338"/>
      <c r="AT545" s="338"/>
      <c r="AU545" s="338"/>
      <c r="AV545" s="338"/>
      <c r="AW545" s="338"/>
      <c r="AX545" s="338"/>
      <c r="AY545" s="338"/>
      <c r="AZ545" s="338"/>
      <c r="BA545" s="338"/>
      <c r="BB545" s="338"/>
      <c r="BC545" s="338"/>
    </row>
    <row r="546">
      <c r="A546" s="115"/>
      <c r="B546" s="180"/>
      <c r="C546" s="117"/>
      <c r="D546" s="117"/>
      <c r="E546" s="117"/>
      <c r="F546" s="115"/>
      <c r="G546" s="180"/>
      <c r="H546" s="117"/>
      <c r="I546" s="117"/>
      <c r="J546" s="117"/>
      <c r="K546" s="92"/>
      <c r="L546" s="180"/>
      <c r="M546" s="117"/>
      <c r="N546" s="117"/>
      <c r="O546" s="117"/>
      <c r="P546" s="92"/>
      <c r="Q546" s="150"/>
      <c r="R546" s="117"/>
      <c r="S546" s="117"/>
      <c r="T546" s="117"/>
      <c r="U546" s="115"/>
      <c r="V546" s="180"/>
      <c r="W546" s="117"/>
      <c r="X546" s="117"/>
      <c r="Y546" s="117"/>
      <c r="Z546" s="115"/>
      <c r="AA546" s="180"/>
      <c r="AB546" s="117"/>
      <c r="AC546" s="117"/>
      <c r="AD546" s="117"/>
      <c r="AE546" s="115"/>
      <c r="AF546" s="180"/>
      <c r="AG546" s="117"/>
      <c r="AH546" s="117"/>
      <c r="AI546" s="117"/>
      <c r="AJ546" s="115"/>
      <c r="AK546" s="180"/>
      <c r="AL546" s="117"/>
      <c r="AM546" s="117"/>
      <c r="AN546" s="117"/>
      <c r="AO546" s="338"/>
      <c r="AP546" s="338"/>
      <c r="AQ546" s="338"/>
      <c r="AR546" s="338"/>
      <c r="AS546" s="338"/>
      <c r="AT546" s="338"/>
      <c r="AU546" s="338"/>
      <c r="AV546" s="338"/>
      <c r="AW546" s="338"/>
      <c r="AX546" s="338"/>
      <c r="AY546" s="338"/>
      <c r="AZ546" s="338"/>
      <c r="BA546" s="338"/>
      <c r="BB546" s="338"/>
      <c r="BC546" s="338"/>
    </row>
    <row r="547">
      <c r="A547" s="115"/>
      <c r="B547" s="180"/>
      <c r="C547" s="117"/>
      <c r="D547" s="117"/>
      <c r="E547" s="117"/>
      <c r="F547" s="115"/>
      <c r="G547" s="180"/>
      <c r="H547" s="117"/>
      <c r="I547" s="117"/>
      <c r="J547" s="117"/>
      <c r="K547" s="92"/>
      <c r="L547" s="180"/>
      <c r="M547" s="117"/>
      <c r="N547" s="117"/>
      <c r="O547" s="117"/>
      <c r="P547" s="92"/>
      <c r="Q547" s="150"/>
      <c r="R547" s="117"/>
      <c r="S547" s="117"/>
      <c r="T547" s="117"/>
      <c r="U547" s="115"/>
      <c r="V547" s="180"/>
      <c r="W547" s="117"/>
      <c r="X547" s="117"/>
      <c r="Y547" s="117"/>
      <c r="Z547" s="115"/>
      <c r="AA547" s="180"/>
      <c r="AB547" s="117"/>
      <c r="AC547" s="117"/>
      <c r="AD547" s="117"/>
      <c r="AE547" s="115"/>
      <c r="AF547" s="180"/>
      <c r="AG547" s="117"/>
      <c r="AH547" s="117"/>
      <c r="AI547" s="117"/>
      <c r="AJ547" s="115"/>
      <c r="AK547" s="180"/>
      <c r="AL547" s="117"/>
      <c r="AM547" s="117"/>
      <c r="AN547" s="117"/>
      <c r="AO547" s="338"/>
      <c r="AP547" s="338"/>
      <c r="AQ547" s="338"/>
      <c r="AR547" s="338"/>
      <c r="AS547" s="338"/>
      <c r="AT547" s="338"/>
      <c r="AU547" s="338"/>
      <c r="AV547" s="338"/>
      <c r="AW547" s="338"/>
      <c r="AX547" s="338"/>
      <c r="AY547" s="338"/>
      <c r="AZ547" s="338"/>
      <c r="BA547" s="338"/>
      <c r="BB547" s="338"/>
      <c r="BC547" s="338"/>
    </row>
    <row r="548">
      <c r="A548" s="115"/>
      <c r="B548" s="180"/>
      <c r="C548" s="117"/>
      <c r="D548" s="117"/>
      <c r="E548" s="117"/>
      <c r="F548" s="115"/>
      <c r="G548" s="180"/>
      <c r="H548" s="117"/>
      <c r="I548" s="117"/>
      <c r="J548" s="117"/>
      <c r="K548" s="92"/>
      <c r="L548" s="180"/>
      <c r="M548" s="117"/>
      <c r="N548" s="117"/>
      <c r="O548" s="117"/>
      <c r="P548" s="92"/>
      <c r="Q548" s="150"/>
      <c r="R548" s="117"/>
      <c r="S548" s="117"/>
      <c r="T548" s="117"/>
      <c r="U548" s="115"/>
      <c r="V548" s="180"/>
      <c r="W548" s="117"/>
      <c r="X548" s="117"/>
      <c r="Y548" s="117"/>
      <c r="Z548" s="115"/>
      <c r="AA548" s="180"/>
      <c r="AB548" s="117"/>
      <c r="AC548" s="117"/>
      <c r="AD548" s="117"/>
      <c r="AE548" s="115"/>
      <c r="AF548" s="180"/>
      <c r="AG548" s="117"/>
      <c r="AH548" s="117"/>
      <c r="AI548" s="117"/>
      <c r="AJ548" s="115"/>
      <c r="AK548" s="180"/>
      <c r="AL548" s="117"/>
      <c r="AM548" s="117"/>
      <c r="AN548" s="117"/>
      <c r="AO548" s="338"/>
      <c r="AP548" s="338"/>
      <c r="AQ548" s="338"/>
      <c r="AR548" s="338"/>
      <c r="AS548" s="338"/>
      <c r="AT548" s="338"/>
      <c r="AU548" s="338"/>
      <c r="AV548" s="338"/>
      <c r="AW548" s="338"/>
      <c r="AX548" s="338"/>
      <c r="AY548" s="338"/>
      <c r="AZ548" s="338"/>
      <c r="BA548" s="338"/>
      <c r="BB548" s="338"/>
      <c r="BC548" s="338"/>
    </row>
    <row r="549">
      <c r="A549" s="115"/>
      <c r="B549" s="180"/>
      <c r="C549" s="117"/>
      <c r="D549" s="117"/>
      <c r="E549" s="117"/>
      <c r="F549" s="115"/>
      <c r="G549" s="180"/>
      <c r="H549" s="117"/>
      <c r="I549" s="117"/>
      <c r="J549" s="117"/>
      <c r="K549" s="92"/>
      <c r="L549" s="180"/>
      <c r="M549" s="117"/>
      <c r="N549" s="117"/>
      <c r="O549" s="117"/>
      <c r="P549" s="92"/>
      <c r="Q549" s="150"/>
      <c r="R549" s="117"/>
      <c r="S549" s="117"/>
      <c r="T549" s="117"/>
      <c r="U549" s="115"/>
      <c r="V549" s="180"/>
      <c r="W549" s="117"/>
      <c r="X549" s="117"/>
      <c r="Y549" s="117"/>
      <c r="Z549" s="115"/>
      <c r="AA549" s="180"/>
      <c r="AB549" s="117"/>
      <c r="AC549" s="117"/>
      <c r="AD549" s="117"/>
      <c r="AE549" s="115"/>
      <c r="AF549" s="180"/>
      <c r="AG549" s="117"/>
      <c r="AH549" s="117"/>
      <c r="AI549" s="117"/>
      <c r="AJ549" s="115"/>
      <c r="AK549" s="180"/>
      <c r="AL549" s="117"/>
      <c r="AM549" s="117"/>
      <c r="AN549" s="117"/>
      <c r="AO549" s="338"/>
      <c r="AP549" s="338"/>
      <c r="AQ549" s="338"/>
      <c r="AR549" s="338"/>
      <c r="AS549" s="338"/>
      <c r="AT549" s="338"/>
      <c r="AU549" s="338"/>
      <c r="AV549" s="338"/>
      <c r="AW549" s="338"/>
      <c r="AX549" s="338"/>
      <c r="AY549" s="338"/>
      <c r="AZ549" s="338"/>
      <c r="BA549" s="338"/>
      <c r="BB549" s="338"/>
      <c r="BC549" s="338"/>
    </row>
    <row r="550">
      <c r="A550" s="115"/>
      <c r="B550" s="180"/>
      <c r="C550" s="117"/>
      <c r="D550" s="117"/>
      <c r="E550" s="117"/>
      <c r="F550" s="115"/>
      <c r="G550" s="180"/>
      <c r="H550" s="117"/>
      <c r="I550" s="117"/>
      <c r="J550" s="117"/>
      <c r="K550" s="92"/>
      <c r="L550" s="180"/>
      <c r="M550" s="117"/>
      <c r="N550" s="117"/>
      <c r="O550" s="117"/>
      <c r="P550" s="92"/>
      <c r="Q550" s="150"/>
      <c r="R550" s="117"/>
      <c r="S550" s="117"/>
      <c r="T550" s="117"/>
      <c r="U550" s="115"/>
      <c r="V550" s="180"/>
      <c r="W550" s="117"/>
      <c r="X550" s="117"/>
      <c r="Y550" s="117"/>
      <c r="Z550" s="115"/>
      <c r="AA550" s="180"/>
      <c r="AB550" s="117"/>
      <c r="AC550" s="117"/>
      <c r="AD550" s="117"/>
      <c r="AE550" s="115"/>
      <c r="AF550" s="180"/>
      <c r="AG550" s="117"/>
      <c r="AH550" s="117"/>
      <c r="AI550" s="117"/>
      <c r="AJ550" s="115"/>
      <c r="AK550" s="180"/>
      <c r="AL550" s="117"/>
      <c r="AM550" s="117"/>
      <c r="AN550" s="117"/>
      <c r="AO550" s="338"/>
      <c r="AP550" s="338"/>
      <c r="AQ550" s="338"/>
      <c r="AR550" s="338"/>
      <c r="AS550" s="338"/>
      <c r="AT550" s="338"/>
      <c r="AU550" s="338"/>
      <c r="AV550" s="338"/>
      <c r="AW550" s="338"/>
      <c r="AX550" s="338"/>
      <c r="AY550" s="338"/>
      <c r="AZ550" s="338"/>
      <c r="BA550" s="338"/>
      <c r="BB550" s="338"/>
      <c r="BC550" s="338"/>
    </row>
    <row r="551">
      <c r="A551" s="115"/>
      <c r="B551" s="180"/>
      <c r="C551" s="117"/>
      <c r="D551" s="117"/>
      <c r="E551" s="117"/>
      <c r="F551" s="115"/>
      <c r="G551" s="180"/>
      <c r="H551" s="117"/>
      <c r="I551" s="117"/>
      <c r="J551" s="117"/>
      <c r="K551" s="92"/>
      <c r="L551" s="180"/>
      <c r="M551" s="117"/>
      <c r="N551" s="117"/>
      <c r="O551" s="117"/>
      <c r="P551" s="92"/>
      <c r="Q551" s="150"/>
      <c r="R551" s="117"/>
      <c r="S551" s="117"/>
      <c r="T551" s="117"/>
      <c r="U551" s="115"/>
      <c r="V551" s="180"/>
      <c r="W551" s="117"/>
      <c r="X551" s="117"/>
      <c r="Y551" s="117"/>
      <c r="Z551" s="115"/>
      <c r="AA551" s="180"/>
      <c r="AB551" s="117"/>
      <c r="AC551" s="117"/>
      <c r="AD551" s="117"/>
      <c r="AE551" s="115"/>
      <c r="AF551" s="180"/>
      <c r="AG551" s="117"/>
      <c r="AH551" s="117"/>
      <c r="AI551" s="117"/>
      <c r="AJ551" s="115"/>
      <c r="AK551" s="180"/>
      <c r="AL551" s="117"/>
      <c r="AM551" s="117"/>
      <c r="AN551" s="117"/>
      <c r="AO551" s="338"/>
      <c r="AP551" s="338"/>
      <c r="AQ551" s="338"/>
      <c r="AR551" s="338"/>
      <c r="AS551" s="338"/>
      <c r="AT551" s="338"/>
      <c r="AU551" s="338"/>
      <c r="AV551" s="338"/>
      <c r="AW551" s="338"/>
      <c r="AX551" s="338"/>
      <c r="AY551" s="338"/>
      <c r="AZ551" s="338"/>
      <c r="BA551" s="338"/>
      <c r="BB551" s="338"/>
      <c r="BC551" s="338"/>
    </row>
    <row r="552">
      <c r="A552" s="115"/>
      <c r="B552" s="180"/>
      <c r="C552" s="117"/>
      <c r="D552" s="117"/>
      <c r="E552" s="117"/>
      <c r="F552" s="115"/>
      <c r="G552" s="180"/>
      <c r="H552" s="117"/>
      <c r="I552" s="117"/>
      <c r="J552" s="117"/>
      <c r="K552" s="92"/>
      <c r="L552" s="180"/>
      <c r="M552" s="117"/>
      <c r="N552" s="117"/>
      <c r="O552" s="117"/>
      <c r="P552" s="92"/>
      <c r="Q552" s="150"/>
      <c r="R552" s="117"/>
      <c r="S552" s="117"/>
      <c r="T552" s="117"/>
      <c r="U552" s="115"/>
      <c r="V552" s="180"/>
      <c r="W552" s="117"/>
      <c r="X552" s="117"/>
      <c r="Y552" s="117"/>
      <c r="Z552" s="115"/>
      <c r="AA552" s="180"/>
      <c r="AB552" s="117"/>
      <c r="AC552" s="117"/>
      <c r="AD552" s="117"/>
      <c r="AE552" s="115"/>
      <c r="AF552" s="180"/>
      <c r="AG552" s="117"/>
      <c r="AH552" s="117"/>
      <c r="AI552" s="117"/>
      <c r="AJ552" s="115"/>
      <c r="AK552" s="180"/>
      <c r="AL552" s="117"/>
      <c r="AM552" s="117"/>
      <c r="AN552" s="117"/>
      <c r="AO552" s="338"/>
      <c r="AP552" s="338"/>
      <c r="AQ552" s="338"/>
      <c r="AR552" s="338"/>
      <c r="AS552" s="338"/>
      <c r="AT552" s="338"/>
      <c r="AU552" s="338"/>
      <c r="AV552" s="338"/>
      <c r="AW552" s="338"/>
      <c r="AX552" s="338"/>
      <c r="AY552" s="338"/>
      <c r="AZ552" s="338"/>
      <c r="BA552" s="338"/>
      <c r="BB552" s="338"/>
      <c r="BC552" s="338"/>
    </row>
    <row r="553">
      <c r="A553" s="115"/>
      <c r="B553" s="180"/>
      <c r="C553" s="117"/>
      <c r="D553" s="117"/>
      <c r="E553" s="117"/>
      <c r="F553" s="115"/>
      <c r="G553" s="180"/>
      <c r="H553" s="117"/>
      <c r="I553" s="117"/>
      <c r="J553" s="117"/>
      <c r="K553" s="92"/>
      <c r="L553" s="180"/>
      <c r="M553" s="117"/>
      <c r="N553" s="117"/>
      <c r="O553" s="117"/>
      <c r="P553" s="92"/>
      <c r="Q553" s="150"/>
      <c r="R553" s="117"/>
      <c r="S553" s="117"/>
      <c r="T553" s="117"/>
      <c r="U553" s="115"/>
      <c r="V553" s="180"/>
      <c r="W553" s="117"/>
      <c r="X553" s="117"/>
      <c r="Y553" s="117"/>
      <c r="Z553" s="115"/>
      <c r="AA553" s="180"/>
      <c r="AB553" s="117"/>
      <c r="AC553" s="117"/>
      <c r="AD553" s="117"/>
      <c r="AE553" s="115"/>
      <c r="AF553" s="180"/>
      <c r="AG553" s="117"/>
      <c r="AH553" s="117"/>
      <c r="AI553" s="117"/>
      <c r="AJ553" s="115"/>
      <c r="AK553" s="180"/>
      <c r="AL553" s="117"/>
      <c r="AM553" s="117"/>
      <c r="AN553" s="117"/>
      <c r="AO553" s="338"/>
      <c r="AP553" s="338"/>
      <c r="AQ553" s="338"/>
      <c r="AR553" s="338"/>
      <c r="AS553" s="338"/>
      <c r="AT553" s="338"/>
      <c r="AU553" s="338"/>
      <c r="AV553" s="338"/>
      <c r="AW553" s="338"/>
      <c r="AX553" s="338"/>
      <c r="AY553" s="338"/>
      <c r="AZ553" s="338"/>
      <c r="BA553" s="338"/>
      <c r="BB553" s="338"/>
      <c r="BC553" s="338"/>
    </row>
    <row r="554">
      <c r="A554" s="115"/>
      <c r="B554" s="180"/>
      <c r="C554" s="117"/>
      <c r="D554" s="117"/>
      <c r="E554" s="117"/>
      <c r="F554" s="115"/>
      <c r="G554" s="180"/>
      <c r="H554" s="117"/>
      <c r="I554" s="117"/>
      <c r="J554" s="117"/>
      <c r="K554" s="92"/>
      <c r="L554" s="180"/>
      <c r="M554" s="117"/>
      <c r="N554" s="117"/>
      <c r="O554" s="117"/>
      <c r="P554" s="92"/>
      <c r="Q554" s="150"/>
      <c r="R554" s="117"/>
      <c r="S554" s="117"/>
      <c r="T554" s="117"/>
      <c r="U554" s="115"/>
      <c r="V554" s="180"/>
      <c r="W554" s="117"/>
      <c r="X554" s="117"/>
      <c r="Y554" s="117"/>
      <c r="Z554" s="115"/>
      <c r="AA554" s="180"/>
      <c r="AB554" s="117"/>
      <c r="AC554" s="117"/>
      <c r="AD554" s="117"/>
      <c r="AE554" s="115"/>
      <c r="AF554" s="180"/>
      <c r="AG554" s="117"/>
      <c r="AH554" s="117"/>
      <c r="AI554" s="117"/>
      <c r="AJ554" s="115"/>
      <c r="AK554" s="180"/>
      <c r="AL554" s="117"/>
      <c r="AM554" s="117"/>
      <c r="AN554" s="117"/>
      <c r="AO554" s="338"/>
      <c r="AP554" s="338"/>
      <c r="AQ554" s="338"/>
      <c r="AR554" s="338"/>
      <c r="AS554" s="338"/>
      <c r="AT554" s="338"/>
      <c r="AU554" s="338"/>
      <c r="AV554" s="338"/>
      <c r="AW554" s="338"/>
      <c r="AX554" s="338"/>
      <c r="AY554" s="338"/>
      <c r="AZ554" s="338"/>
      <c r="BA554" s="338"/>
      <c r="BB554" s="338"/>
      <c r="BC554" s="338"/>
    </row>
    <row r="555">
      <c r="A555" s="115"/>
      <c r="B555" s="180"/>
      <c r="C555" s="117"/>
      <c r="D555" s="117"/>
      <c r="E555" s="117"/>
      <c r="F555" s="115"/>
      <c r="G555" s="180"/>
      <c r="H555" s="117"/>
      <c r="I555" s="117"/>
      <c r="J555" s="117"/>
      <c r="K555" s="92"/>
      <c r="L555" s="180"/>
      <c r="M555" s="117"/>
      <c r="N555" s="117"/>
      <c r="O555" s="117"/>
      <c r="P555" s="92"/>
      <c r="Q555" s="150"/>
      <c r="R555" s="117"/>
      <c r="S555" s="117"/>
      <c r="T555" s="117"/>
      <c r="U555" s="115"/>
      <c r="V555" s="180"/>
      <c r="W555" s="117"/>
      <c r="X555" s="117"/>
      <c r="Y555" s="117"/>
      <c r="Z555" s="115"/>
      <c r="AA555" s="180"/>
      <c r="AB555" s="117"/>
      <c r="AC555" s="117"/>
      <c r="AD555" s="117"/>
      <c r="AE555" s="115"/>
      <c r="AF555" s="180"/>
      <c r="AG555" s="117"/>
      <c r="AH555" s="117"/>
      <c r="AI555" s="117"/>
      <c r="AJ555" s="115"/>
      <c r="AK555" s="180"/>
      <c r="AL555" s="117"/>
      <c r="AM555" s="117"/>
      <c r="AN555" s="117"/>
      <c r="AO555" s="338"/>
      <c r="AP555" s="338"/>
      <c r="AQ555" s="338"/>
      <c r="AR555" s="338"/>
      <c r="AS555" s="338"/>
      <c r="AT555" s="338"/>
      <c r="AU555" s="338"/>
      <c r="AV555" s="338"/>
      <c r="AW555" s="338"/>
      <c r="AX555" s="338"/>
      <c r="AY555" s="338"/>
      <c r="AZ555" s="338"/>
      <c r="BA555" s="338"/>
      <c r="BB555" s="338"/>
      <c r="BC555" s="338"/>
    </row>
    <row r="556">
      <c r="A556" s="115"/>
      <c r="B556" s="180"/>
      <c r="C556" s="117"/>
      <c r="D556" s="117"/>
      <c r="E556" s="117"/>
      <c r="F556" s="115"/>
      <c r="G556" s="180"/>
      <c r="H556" s="117"/>
      <c r="I556" s="117"/>
      <c r="J556" s="117"/>
      <c r="K556" s="92"/>
      <c r="L556" s="180"/>
      <c r="M556" s="117"/>
      <c r="N556" s="117"/>
      <c r="O556" s="117"/>
      <c r="P556" s="92"/>
      <c r="Q556" s="150"/>
      <c r="R556" s="117"/>
      <c r="S556" s="117"/>
      <c r="T556" s="117"/>
      <c r="U556" s="115"/>
      <c r="V556" s="180"/>
      <c r="W556" s="117"/>
      <c r="X556" s="117"/>
      <c r="Y556" s="117"/>
      <c r="Z556" s="115"/>
      <c r="AA556" s="180"/>
      <c r="AB556" s="117"/>
      <c r="AC556" s="117"/>
      <c r="AD556" s="117"/>
      <c r="AE556" s="115"/>
      <c r="AF556" s="180"/>
      <c r="AG556" s="117"/>
      <c r="AH556" s="117"/>
      <c r="AI556" s="117"/>
      <c r="AJ556" s="115"/>
      <c r="AK556" s="180"/>
      <c r="AL556" s="117"/>
      <c r="AM556" s="117"/>
      <c r="AN556" s="117"/>
      <c r="AO556" s="338"/>
      <c r="AP556" s="338"/>
      <c r="AQ556" s="338"/>
      <c r="AR556" s="338"/>
      <c r="AS556" s="338"/>
      <c r="AT556" s="338"/>
      <c r="AU556" s="338"/>
      <c r="AV556" s="338"/>
      <c r="AW556" s="338"/>
      <c r="AX556" s="338"/>
      <c r="AY556" s="338"/>
      <c r="AZ556" s="338"/>
      <c r="BA556" s="338"/>
      <c r="BB556" s="338"/>
      <c r="BC556" s="338"/>
    </row>
    <row r="557">
      <c r="A557" s="115"/>
      <c r="B557" s="180"/>
      <c r="C557" s="117"/>
      <c r="D557" s="117"/>
      <c r="E557" s="117"/>
      <c r="F557" s="115"/>
      <c r="G557" s="180"/>
      <c r="H557" s="117"/>
      <c r="I557" s="117"/>
      <c r="J557" s="117"/>
      <c r="K557" s="92"/>
      <c r="L557" s="180"/>
      <c r="M557" s="117"/>
      <c r="N557" s="117"/>
      <c r="O557" s="117"/>
      <c r="P557" s="92"/>
      <c r="Q557" s="150"/>
      <c r="R557" s="117"/>
      <c r="S557" s="117"/>
      <c r="T557" s="117"/>
      <c r="U557" s="115"/>
      <c r="V557" s="180"/>
      <c r="W557" s="117"/>
      <c r="X557" s="117"/>
      <c r="Y557" s="117"/>
      <c r="Z557" s="115"/>
      <c r="AA557" s="180"/>
      <c r="AB557" s="117"/>
      <c r="AC557" s="117"/>
      <c r="AD557" s="117"/>
      <c r="AE557" s="115"/>
      <c r="AF557" s="180"/>
      <c r="AG557" s="117"/>
      <c r="AH557" s="117"/>
      <c r="AI557" s="117"/>
      <c r="AJ557" s="115"/>
      <c r="AK557" s="180"/>
      <c r="AL557" s="117"/>
      <c r="AM557" s="117"/>
      <c r="AN557" s="117"/>
      <c r="AO557" s="338"/>
      <c r="AP557" s="338"/>
      <c r="AQ557" s="338"/>
      <c r="AR557" s="338"/>
      <c r="AS557" s="338"/>
      <c r="AT557" s="338"/>
      <c r="AU557" s="338"/>
      <c r="AV557" s="338"/>
      <c r="AW557" s="338"/>
      <c r="AX557" s="338"/>
      <c r="AY557" s="338"/>
      <c r="AZ557" s="338"/>
      <c r="BA557" s="338"/>
      <c r="BB557" s="338"/>
      <c r="BC557" s="338"/>
    </row>
    <row r="558">
      <c r="A558" s="115"/>
      <c r="B558" s="180"/>
      <c r="C558" s="117"/>
      <c r="D558" s="117"/>
      <c r="E558" s="117"/>
      <c r="F558" s="115"/>
      <c r="G558" s="180"/>
      <c r="H558" s="117"/>
      <c r="I558" s="117"/>
      <c r="J558" s="117"/>
      <c r="K558" s="92"/>
      <c r="L558" s="180"/>
      <c r="M558" s="117"/>
      <c r="N558" s="117"/>
      <c r="O558" s="117"/>
      <c r="P558" s="92"/>
      <c r="Q558" s="150"/>
      <c r="R558" s="117"/>
      <c r="S558" s="117"/>
      <c r="T558" s="117"/>
      <c r="U558" s="115"/>
      <c r="V558" s="180"/>
      <c r="W558" s="117"/>
      <c r="X558" s="117"/>
      <c r="Y558" s="117"/>
      <c r="Z558" s="115"/>
      <c r="AA558" s="180"/>
      <c r="AB558" s="117"/>
      <c r="AC558" s="117"/>
      <c r="AD558" s="117"/>
      <c r="AE558" s="115"/>
      <c r="AF558" s="180"/>
      <c r="AG558" s="117"/>
      <c r="AH558" s="117"/>
      <c r="AI558" s="117"/>
      <c r="AJ558" s="115"/>
      <c r="AK558" s="180"/>
      <c r="AL558" s="117"/>
      <c r="AM558" s="117"/>
      <c r="AN558" s="117"/>
      <c r="AO558" s="338"/>
      <c r="AP558" s="338"/>
      <c r="AQ558" s="338"/>
      <c r="AR558" s="338"/>
      <c r="AS558" s="338"/>
      <c r="AT558" s="338"/>
      <c r="AU558" s="338"/>
      <c r="AV558" s="338"/>
      <c r="AW558" s="338"/>
      <c r="AX558" s="338"/>
      <c r="AY558" s="338"/>
      <c r="AZ558" s="338"/>
      <c r="BA558" s="338"/>
      <c r="BB558" s="338"/>
      <c r="BC558" s="338"/>
    </row>
    <row r="559">
      <c r="A559" s="115"/>
      <c r="B559" s="180"/>
      <c r="C559" s="117"/>
      <c r="D559" s="117"/>
      <c r="E559" s="117"/>
      <c r="F559" s="115"/>
      <c r="G559" s="180"/>
      <c r="H559" s="117"/>
      <c r="I559" s="117"/>
      <c r="J559" s="117"/>
      <c r="K559" s="92"/>
      <c r="L559" s="180"/>
      <c r="M559" s="117"/>
      <c r="N559" s="117"/>
      <c r="O559" s="117"/>
      <c r="P559" s="92"/>
      <c r="Q559" s="150"/>
      <c r="R559" s="117"/>
      <c r="S559" s="117"/>
      <c r="T559" s="117"/>
      <c r="U559" s="115"/>
      <c r="V559" s="180"/>
      <c r="W559" s="117"/>
      <c r="X559" s="117"/>
      <c r="Y559" s="117"/>
      <c r="Z559" s="115"/>
      <c r="AA559" s="180"/>
      <c r="AB559" s="117"/>
      <c r="AC559" s="117"/>
      <c r="AD559" s="117"/>
      <c r="AE559" s="115"/>
      <c r="AF559" s="180"/>
      <c r="AG559" s="117"/>
      <c r="AH559" s="117"/>
      <c r="AI559" s="117"/>
      <c r="AJ559" s="115"/>
      <c r="AK559" s="180"/>
      <c r="AL559" s="117"/>
      <c r="AM559" s="117"/>
      <c r="AN559" s="117"/>
      <c r="AO559" s="338"/>
      <c r="AP559" s="338"/>
      <c r="AQ559" s="338"/>
      <c r="AR559" s="338"/>
      <c r="AS559" s="338"/>
      <c r="AT559" s="338"/>
      <c r="AU559" s="338"/>
      <c r="AV559" s="338"/>
      <c r="AW559" s="338"/>
      <c r="AX559" s="338"/>
      <c r="AY559" s="338"/>
      <c r="AZ559" s="338"/>
      <c r="BA559" s="338"/>
      <c r="BB559" s="338"/>
      <c r="BC559" s="338"/>
    </row>
    <row r="560">
      <c r="A560" s="115"/>
      <c r="B560" s="180"/>
      <c r="C560" s="117"/>
      <c r="D560" s="117"/>
      <c r="E560" s="117"/>
      <c r="F560" s="115"/>
      <c r="G560" s="180"/>
      <c r="H560" s="117"/>
      <c r="I560" s="117"/>
      <c r="J560" s="117"/>
      <c r="K560" s="92"/>
      <c r="L560" s="180"/>
      <c r="M560" s="117"/>
      <c r="N560" s="117"/>
      <c r="O560" s="117"/>
      <c r="P560" s="92"/>
      <c r="Q560" s="150"/>
      <c r="R560" s="117"/>
      <c r="S560" s="117"/>
      <c r="T560" s="117"/>
      <c r="U560" s="115"/>
      <c r="V560" s="180"/>
      <c r="W560" s="117"/>
      <c r="X560" s="117"/>
      <c r="Y560" s="117"/>
      <c r="Z560" s="115"/>
      <c r="AA560" s="180"/>
      <c r="AB560" s="117"/>
      <c r="AC560" s="117"/>
      <c r="AD560" s="117"/>
      <c r="AE560" s="115"/>
      <c r="AF560" s="180"/>
      <c r="AG560" s="117"/>
      <c r="AH560" s="117"/>
      <c r="AI560" s="117"/>
      <c r="AJ560" s="115"/>
      <c r="AK560" s="180"/>
      <c r="AL560" s="117"/>
      <c r="AM560" s="117"/>
      <c r="AN560" s="117"/>
      <c r="AO560" s="338"/>
      <c r="AP560" s="338"/>
      <c r="AQ560" s="338"/>
      <c r="AR560" s="338"/>
      <c r="AS560" s="338"/>
      <c r="AT560" s="338"/>
      <c r="AU560" s="338"/>
      <c r="AV560" s="338"/>
      <c r="AW560" s="338"/>
      <c r="AX560" s="338"/>
      <c r="AY560" s="338"/>
      <c r="AZ560" s="338"/>
      <c r="BA560" s="338"/>
      <c r="BB560" s="338"/>
      <c r="BC560" s="338"/>
    </row>
    <row r="561">
      <c r="A561" s="115"/>
      <c r="B561" s="180"/>
      <c r="C561" s="117"/>
      <c r="D561" s="117"/>
      <c r="E561" s="117"/>
      <c r="F561" s="115"/>
      <c r="G561" s="180"/>
      <c r="H561" s="117"/>
      <c r="I561" s="117"/>
      <c r="J561" s="117"/>
      <c r="K561" s="92"/>
      <c r="L561" s="180"/>
      <c r="M561" s="117"/>
      <c r="N561" s="117"/>
      <c r="O561" s="117"/>
      <c r="P561" s="92"/>
      <c r="Q561" s="150"/>
      <c r="R561" s="117"/>
      <c r="S561" s="117"/>
      <c r="T561" s="117"/>
      <c r="U561" s="115"/>
      <c r="V561" s="180"/>
      <c r="W561" s="117"/>
      <c r="X561" s="117"/>
      <c r="Y561" s="117"/>
      <c r="Z561" s="115"/>
      <c r="AA561" s="180"/>
      <c r="AB561" s="117"/>
      <c r="AC561" s="117"/>
      <c r="AD561" s="117"/>
      <c r="AE561" s="115"/>
      <c r="AF561" s="180"/>
      <c r="AG561" s="117"/>
      <c r="AH561" s="117"/>
      <c r="AI561" s="117"/>
      <c r="AJ561" s="115"/>
      <c r="AK561" s="180"/>
      <c r="AL561" s="117"/>
      <c r="AM561" s="117"/>
      <c r="AN561" s="117"/>
      <c r="AO561" s="338"/>
      <c r="AP561" s="338"/>
      <c r="AQ561" s="338"/>
      <c r="AR561" s="338"/>
      <c r="AS561" s="338"/>
      <c r="AT561" s="338"/>
      <c r="AU561" s="338"/>
      <c r="AV561" s="338"/>
      <c r="AW561" s="338"/>
      <c r="AX561" s="338"/>
      <c r="AY561" s="338"/>
      <c r="AZ561" s="338"/>
      <c r="BA561" s="338"/>
      <c r="BB561" s="338"/>
      <c r="BC561" s="338"/>
    </row>
    <row r="562">
      <c r="A562" s="115"/>
      <c r="B562" s="180"/>
      <c r="C562" s="117"/>
      <c r="D562" s="117"/>
      <c r="E562" s="117"/>
      <c r="F562" s="115"/>
      <c r="G562" s="180"/>
      <c r="H562" s="117"/>
      <c r="I562" s="117"/>
      <c r="J562" s="117"/>
      <c r="K562" s="92"/>
      <c r="L562" s="180"/>
      <c r="M562" s="117"/>
      <c r="N562" s="117"/>
      <c r="O562" s="117"/>
      <c r="P562" s="92"/>
      <c r="Q562" s="150"/>
      <c r="R562" s="117"/>
      <c r="S562" s="117"/>
      <c r="T562" s="117"/>
      <c r="U562" s="115"/>
      <c r="V562" s="180"/>
      <c r="W562" s="117"/>
      <c r="X562" s="117"/>
      <c r="Y562" s="117"/>
      <c r="Z562" s="115"/>
      <c r="AA562" s="180"/>
      <c r="AB562" s="117"/>
      <c r="AC562" s="117"/>
      <c r="AD562" s="117"/>
      <c r="AE562" s="115"/>
      <c r="AF562" s="180"/>
      <c r="AG562" s="117"/>
      <c r="AH562" s="117"/>
      <c r="AI562" s="117"/>
      <c r="AJ562" s="115"/>
      <c r="AK562" s="180"/>
      <c r="AL562" s="117"/>
      <c r="AM562" s="117"/>
      <c r="AN562" s="117"/>
      <c r="AO562" s="338"/>
      <c r="AP562" s="338"/>
      <c r="AQ562" s="338"/>
      <c r="AR562" s="338"/>
      <c r="AS562" s="338"/>
      <c r="AT562" s="338"/>
      <c r="AU562" s="338"/>
      <c r="AV562" s="338"/>
      <c r="AW562" s="338"/>
      <c r="AX562" s="338"/>
      <c r="AY562" s="338"/>
      <c r="AZ562" s="338"/>
      <c r="BA562" s="338"/>
      <c r="BB562" s="338"/>
      <c r="BC562" s="338"/>
    </row>
    <row r="563">
      <c r="A563" s="115"/>
      <c r="B563" s="180"/>
      <c r="C563" s="117"/>
      <c r="D563" s="117"/>
      <c r="E563" s="117"/>
      <c r="F563" s="115"/>
      <c r="G563" s="180"/>
      <c r="H563" s="117"/>
      <c r="I563" s="117"/>
      <c r="J563" s="117"/>
      <c r="K563" s="92"/>
      <c r="L563" s="180"/>
      <c r="M563" s="117"/>
      <c r="N563" s="117"/>
      <c r="O563" s="117"/>
      <c r="P563" s="92"/>
      <c r="Q563" s="150"/>
      <c r="R563" s="117"/>
      <c r="S563" s="117"/>
      <c r="T563" s="117"/>
      <c r="U563" s="115"/>
      <c r="V563" s="180"/>
      <c r="W563" s="117"/>
      <c r="X563" s="117"/>
      <c r="Y563" s="117"/>
      <c r="Z563" s="115"/>
      <c r="AA563" s="180"/>
      <c r="AB563" s="117"/>
      <c r="AC563" s="117"/>
      <c r="AD563" s="117"/>
      <c r="AE563" s="115"/>
      <c r="AF563" s="180"/>
      <c r="AG563" s="117"/>
      <c r="AH563" s="117"/>
      <c r="AI563" s="117"/>
      <c r="AJ563" s="115"/>
      <c r="AK563" s="180"/>
      <c r="AL563" s="117"/>
      <c r="AM563" s="117"/>
      <c r="AN563" s="117"/>
      <c r="AO563" s="338"/>
      <c r="AP563" s="338"/>
      <c r="AQ563" s="338"/>
      <c r="AR563" s="338"/>
      <c r="AS563" s="338"/>
      <c r="AT563" s="338"/>
      <c r="AU563" s="338"/>
      <c r="AV563" s="338"/>
      <c r="AW563" s="338"/>
      <c r="AX563" s="338"/>
      <c r="AY563" s="338"/>
      <c r="AZ563" s="338"/>
      <c r="BA563" s="338"/>
      <c r="BB563" s="338"/>
      <c r="BC563" s="338"/>
    </row>
    <row r="564">
      <c r="A564" s="115"/>
      <c r="B564" s="180"/>
      <c r="C564" s="117"/>
      <c r="D564" s="117"/>
      <c r="E564" s="117"/>
      <c r="F564" s="115"/>
      <c r="G564" s="180"/>
      <c r="H564" s="117"/>
      <c r="I564" s="117"/>
      <c r="J564" s="117"/>
      <c r="K564" s="92"/>
      <c r="L564" s="180"/>
      <c r="M564" s="117"/>
      <c r="N564" s="117"/>
      <c r="O564" s="117"/>
      <c r="P564" s="92"/>
      <c r="Q564" s="150"/>
      <c r="R564" s="117"/>
      <c r="S564" s="117"/>
      <c r="T564" s="117"/>
      <c r="U564" s="115"/>
      <c r="V564" s="180"/>
      <c r="W564" s="117"/>
      <c r="X564" s="117"/>
      <c r="Y564" s="117"/>
      <c r="Z564" s="115"/>
      <c r="AA564" s="180"/>
      <c r="AB564" s="117"/>
      <c r="AC564" s="117"/>
      <c r="AD564" s="117"/>
      <c r="AE564" s="115"/>
      <c r="AF564" s="180"/>
      <c r="AG564" s="117"/>
      <c r="AH564" s="117"/>
      <c r="AI564" s="117"/>
      <c r="AJ564" s="115"/>
      <c r="AK564" s="180"/>
      <c r="AL564" s="117"/>
      <c r="AM564" s="117"/>
      <c r="AN564" s="117"/>
      <c r="AO564" s="338"/>
      <c r="AP564" s="338"/>
      <c r="AQ564" s="338"/>
      <c r="AR564" s="338"/>
      <c r="AS564" s="338"/>
      <c r="AT564" s="338"/>
      <c r="AU564" s="338"/>
      <c r="AV564" s="338"/>
      <c r="AW564" s="338"/>
      <c r="AX564" s="338"/>
      <c r="AY564" s="338"/>
      <c r="AZ564" s="338"/>
      <c r="BA564" s="338"/>
      <c r="BB564" s="338"/>
      <c r="BC564" s="338"/>
    </row>
    <row r="565">
      <c r="A565" s="115"/>
      <c r="B565" s="180"/>
      <c r="C565" s="117"/>
      <c r="D565" s="117"/>
      <c r="E565" s="117"/>
      <c r="F565" s="115"/>
      <c r="G565" s="180"/>
      <c r="H565" s="117"/>
      <c r="I565" s="117"/>
      <c r="J565" s="117"/>
      <c r="K565" s="92"/>
      <c r="L565" s="180"/>
      <c r="M565" s="117"/>
      <c r="N565" s="117"/>
      <c r="O565" s="117"/>
      <c r="P565" s="92"/>
      <c r="Q565" s="150"/>
      <c r="R565" s="117"/>
      <c r="S565" s="117"/>
      <c r="T565" s="117"/>
      <c r="U565" s="115"/>
      <c r="V565" s="180"/>
      <c r="W565" s="117"/>
      <c r="X565" s="117"/>
      <c r="Y565" s="117"/>
      <c r="Z565" s="115"/>
      <c r="AA565" s="180"/>
      <c r="AB565" s="117"/>
      <c r="AC565" s="117"/>
      <c r="AD565" s="117"/>
      <c r="AE565" s="115"/>
      <c r="AF565" s="180"/>
      <c r="AG565" s="117"/>
      <c r="AH565" s="117"/>
      <c r="AI565" s="117"/>
      <c r="AJ565" s="115"/>
      <c r="AK565" s="180"/>
      <c r="AL565" s="117"/>
      <c r="AM565" s="117"/>
      <c r="AN565" s="117"/>
      <c r="AO565" s="338"/>
      <c r="AP565" s="338"/>
      <c r="AQ565" s="338"/>
      <c r="AR565" s="338"/>
      <c r="AS565" s="338"/>
      <c r="AT565" s="338"/>
      <c r="AU565" s="338"/>
      <c r="AV565" s="338"/>
      <c r="AW565" s="338"/>
      <c r="AX565" s="338"/>
      <c r="AY565" s="338"/>
      <c r="AZ565" s="338"/>
      <c r="BA565" s="338"/>
      <c r="BB565" s="338"/>
      <c r="BC565" s="338"/>
    </row>
    <row r="566">
      <c r="A566" s="115"/>
      <c r="B566" s="180"/>
      <c r="C566" s="117"/>
      <c r="D566" s="117"/>
      <c r="E566" s="117"/>
      <c r="F566" s="115"/>
      <c r="G566" s="180"/>
      <c r="H566" s="117"/>
      <c r="I566" s="117"/>
      <c r="J566" s="117"/>
      <c r="K566" s="92"/>
      <c r="L566" s="180"/>
      <c r="M566" s="117"/>
      <c r="N566" s="117"/>
      <c r="O566" s="117"/>
      <c r="P566" s="92"/>
      <c r="Q566" s="150"/>
      <c r="R566" s="117"/>
      <c r="S566" s="117"/>
      <c r="T566" s="117"/>
      <c r="U566" s="115"/>
      <c r="V566" s="180"/>
      <c r="W566" s="117"/>
      <c r="X566" s="117"/>
      <c r="Y566" s="117"/>
      <c r="Z566" s="115"/>
      <c r="AA566" s="180"/>
      <c r="AB566" s="117"/>
      <c r="AC566" s="117"/>
      <c r="AD566" s="117"/>
      <c r="AE566" s="115"/>
      <c r="AF566" s="180"/>
      <c r="AG566" s="117"/>
      <c r="AH566" s="117"/>
      <c r="AI566" s="117"/>
      <c r="AJ566" s="115"/>
      <c r="AK566" s="180"/>
      <c r="AL566" s="117"/>
      <c r="AM566" s="117"/>
      <c r="AN566" s="117"/>
      <c r="AO566" s="338"/>
      <c r="AP566" s="338"/>
      <c r="AQ566" s="338"/>
      <c r="AR566" s="338"/>
      <c r="AS566" s="338"/>
      <c r="AT566" s="338"/>
      <c r="AU566" s="338"/>
      <c r="AV566" s="338"/>
      <c r="AW566" s="338"/>
      <c r="AX566" s="338"/>
      <c r="AY566" s="338"/>
      <c r="AZ566" s="338"/>
      <c r="BA566" s="338"/>
      <c r="BB566" s="338"/>
      <c r="BC566" s="338"/>
    </row>
    <row r="567">
      <c r="A567" s="115"/>
      <c r="B567" s="180"/>
      <c r="C567" s="117"/>
      <c r="D567" s="117"/>
      <c r="E567" s="117"/>
      <c r="F567" s="115"/>
      <c r="G567" s="180"/>
      <c r="H567" s="117"/>
      <c r="I567" s="117"/>
      <c r="J567" s="117"/>
      <c r="K567" s="92"/>
      <c r="L567" s="180"/>
      <c r="M567" s="117"/>
      <c r="N567" s="117"/>
      <c r="O567" s="117"/>
      <c r="P567" s="92"/>
      <c r="Q567" s="150"/>
      <c r="R567" s="117"/>
      <c r="S567" s="117"/>
      <c r="T567" s="117"/>
      <c r="U567" s="115"/>
      <c r="V567" s="180"/>
      <c r="W567" s="117"/>
      <c r="X567" s="117"/>
      <c r="Y567" s="117"/>
      <c r="Z567" s="115"/>
      <c r="AA567" s="180"/>
      <c r="AB567" s="117"/>
      <c r="AC567" s="117"/>
      <c r="AD567" s="117"/>
      <c r="AE567" s="115"/>
      <c r="AF567" s="180"/>
      <c r="AG567" s="117"/>
      <c r="AH567" s="117"/>
      <c r="AI567" s="117"/>
      <c r="AJ567" s="115"/>
      <c r="AK567" s="180"/>
      <c r="AL567" s="117"/>
      <c r="AM567" s="117"/>
      <c r="AN567" s="117"/>
      <c r="AO567" s="338"/>
      <c r="AP567" s="338"/>
      <c r="AQ567" s="338"/>
      <c r="AR567" s="338"/>
      <c r="AS567" s="338"/>
      <c r="AT567" s="338"/>
      <c r="AU567" s="338"/>
      <c r="AV567" s="338"/>
      <c r="AW567" s="338"/>
      <c r="AX567" s="338"/>
      <c r="AY567" s="338"/>
      <c r="AZ567" s="338"/>
      <c r="BA567" s="338"/>
      <c r="BB567" s="338"/>
      <c r="BC567" s="338"/>
    </row>
    <row r="568">
      <c r="A568" s="115"/>
      <c r="B568" s="180"/>
      <c r="C568" s="117"/>
      <c r="D568" s="117"/>
      <c r="E568" s="117"/>
      <c r="F568" s="115"/>
      <c r="G568" s="180"/>
      <c r="H568" s="117"/>
      <c r="I568" s="117"/>
      <c r="J568" s="117"/>
      <c r="K568" s="92"/>
      <c r="L568" s="180"/>
      <c r="M568" s="117"/>
      <c r="N568" s="117"/>
      <c r="O568" s="117"/>
      <c r="P568" s="92"/>
      <c r="Q568" s="150"/>
      <c r="R568" s="117"/>
      <c r="S568" s="117"/>
      <c r="T568" s="117"/>
      <c r="U568" s="115"/>
      <c r="V568" s="180"/>
      <c r="W568" s="117"/>
      <c r="X568" s="117"/>
      <c r="Y568" s="117"/>
      <c r="Z568" s="115"/>
      <c r="AA568" s="180"/>
      <c r="AB568" s="117"/>
      <c r="AC568" s="117"/>
      <c r="AD568" s="117"/>
      <c r="AE568" s="115"/>
      <c r="AF568" s="180"/>
      <c r="AG568" s="117"/>
      <c r="AH568" s="117"/>
      <c r="AI568" s="117"/>
      <c r="AJ568" s="115"/>
      <c r="AK568" s="180"/>
      <c r="AL568" s="117"/>
      <c r="AM568" s="117"/>
      <c r="AN568" s="117"/>
      <c r="AO568" s="338"/>
      <c r="AP568" s="338"/>
      <c r="AQ568" s="338"/>
      <c r="AR568" s="338"/>
      <c r="AS568" s="338"/>
      <c r="AT568" s="338"/>
      <c r="AU568" s="338"/>
      <c r="AV568" s="338"/>
      <c r="AW568" s="338"/>
      <c r="AX568" s="338"/>
      <c r="AY568" s="338"/>
      <c r="AZ568" s="338"/>
      <c r="BA568" s="338"/>
      <c r="BB568" s="338"/>
      <c r="BC568" s="338"/>
    </row>
    <row r="569">
      <c r="A569" s="115"/>
      <c r="B569" s="180"/>
      <c r="C569" s="117"/>
      <c r="D569" s="117"/>
      <c r="E569" s="117"/>
      <c r="F569" s="115"/>
      <c r="G569" s="180"/>
      <c r="H569" s="117"/>
      <c r="I569" s="117"/>
      <c r="J569" s="117"/>
      <c r="K569" s="92"/>
      <c r="L569" s="180"/>
      <c r="M569" s="117"/>
      <c r="N569" s="117"/>
      <c r="O569" s="117"/>
      <c r="P569" s="92"/>
      <c r="Q569" s="150"/>
      <c r="R569" s="117"/>
      <c r="S569" s="117"/>
      <c r="T569" s="117"/>
      <c r="U569" s="115"/>
      <c r="V569" s="180"/>
      <c r="W569" s="117"/>
      <c r="X569" s="117"/>
      <c r="Y569" s="117"/>
      <c r="Z569" s="115"/>
      <c r="AA569" s="180"/>
      <c r="AB569" s="117"/>
      <c r="AC569" s="117"/>
      <c r="AD569" s="117"/>
      <c r="AE569" s="115"/>
      <c r="AF569" s="180"/>
      <c r="AG569" s="117"/>
      <c r="AH569" s="117"/>
      <c r="AI569" s="117"/>
      <c r="AJ569" s="115"/>
      <c r="AK569" s="180"/>
      <c r="AL569" s="117"/>
      <c r="AM569" s="117"/>
      <c r="AN569" s="117"/>
      <c r="AO569" s="338"/>
      <c r="AP569" s="338"/>
      <c r="AQ569" s="338"/>
      <c r="AR569" s="338"/>
      <c r="AS569" s="338"/>
      <c r="AT569" s="338"/>
      <c r="AU569" s="338"/>
      <c r="AV569" s="338"/>
      <c r="AW569" s="338"/>
      <c r="AX569" s="338"/>
      <c r="AY569" s="338"/>
      <c r="AZ569" s="338"/>
      <c r="BA569" s="338"/>
      <c r="BB569" s="338"/>
      <c r="BC569" s="338"/>
    </row>
    <row r="570">
      <c r="A570" s="115"/>
      <c r="B570" s="180"/>
      <c r="C570" s="117"/>
      <c r="D570" s="117"/>
      <c r="E570" s="117"/>
      <c r="F570" s="115"/>
      <c r="G570" s="180"/>
      <c r="H570" s="117"/>
      <c r="I570" s="117"/>
      <c r="J570" s="117"/>
      <c r="K570" s="92"/>
      <c r="L570" s="180"/>
      <c r="M570" s="117"/>
      <c r="N570" s="117"/>
      <c r="O570" s="117"/>
      <c r="P570" s="92"/>
      <c r="Q570" s="150"/>
      <c r="R570" s="117"/>
      <c r="S570" s="117"/>
      <c r="T570" s="117"/>
      <c r="U570" s="115"/>
      <c r="V570" s="180"/>
      <c r="W570" s="117"/>
      <c r="X570" s="117"/>
      <c r="Y570" s="117"/>
      <c r="Z570" s="115"/>
      <c r="AA570" s="180"/>
      <c r="AB570" s="117"/>
      <c r="AC570" s="117"/>
      <c r="AD570" s="117"/>
      <c r="AE570" s="115"/>
      <c r="AF570" s="180"/>
      <c r="AG570" s="117"/>
      <c r="AH570" s="117"/>
      <c r="AI570" s="117"/>
      <c r="AJ570" s="115"/>
      <c r="AK570" s="180"/>
      <c r="AL570" s="117"/>
      <c r="AM570" s="117"/>
      <c r="AN570" s="117"/>
      <c r="AO570" s="338"/>
      <c r="AP570" s="338"/>
      <c r="AQ570" s="338"/>
      <c r="AR570" s="338"/>
      <c r="AS570" s="338"/>
      <c r="AT570" s="338"/>
      <c r="AU570" s="338"/>
      <c r="AV570" s="338"/>
      <c r="AW570" s="338"/>
      <c r="AX570" s="338"/>
      <c r="AY570" s="338"/>
      <c r="AZ570" s="338"/>
      <c r="BA570" s="338"/>
      <c r="BB570" s="338"/>
      <c r="BC570" s="338"/>
    </row>
    <row r="571">
      <c r="A571" s="115"/>
      <c r="B571" s="180"/>
      <c r="C571" s="117"/>
      <c r="D571" s="117"/>
      <c r="E571" s="117"/>
      <c r="F571" s="115"/>
      <c r="G571" s="180"/>
      <c r="H571" s="117"/>
      <c r="I571" s="117"/>
      <c r="J571" s="117"/>
      <c r="K571" s="92"/>
      <c r="L571" s="180"/>
      <c r="M571" s="117"/>
      <c r="N571" s="117"/>
      <c r="O571" s="117"/>
      <c r="P571" s="92"/>
      <c r="Q571" s="150"/>
      <c r="R571" s="117"/>
      <c r="S571" s="117"/>
      <c r="T571" s="117"/>
      <c r="U571" s="115"/>
      <c r="V571" s="180"/>
      <c r="W571" s="117"/>
      <c r="X571" s="117"/>
      <c r="Y571" s="117"/>
      <c r="Z571" s="115"/>
      <c r="AA571" s="180"/>
      <c r="AB571" s="117"/>
      <c r="AC571" s="117"/>
      <c r="AD571" s="117"/>
      <c r="AE571" s="115"/>
      <c r="AF571" s="180"/>
      <c r="AG571" s="117"/>
      <c r="AH571" s="117"/>
      <c r="AI571" s="117"/>
      <c r="AJ571" s="115"/>
      <c r="AK571" s="180"/>
      <c r="AL571" s="117"/>
      <c r="AM571" s="117"/>
      <c r="AN571" s="117"/>
      <c r="AO571" s="338"/>
      <c r="AP571" s="338"/>
      <c r="AQ571" s="338"/>
      <c r="AR571" s="338"/>
      <c r="AS571" s="338"/>
      <c r="AT571" s="338"/>
      <c r="AU571" s="338"/>
      <c r="AV571" s="338"/>
      <c r="AW571" s="338"/>
      <c r="AX571" s="338"/>
      <c r="AY571" s="338"/>
      <c r="AZ571" s="338"/>
      <c r="BA571" s="338"/>
      <c r="BB571" s="338"/>
      <c r="BC571" s="338"/>
    </row>
    <row r="572">
      <c r="A572" s="115"/>
      <c r="B572" s="180"/>
      <c r="C572" s="117"/>
      <c r="D572" s="117"/>
      <c r="E572" s="117"/>
      <c r="F572" s="115"/>
      <c r="G572" s="180"/>
      <c r="H572" s="117"/>
      <c r="I572" s="117"/>
      <c r="J572" s="117"/>
      <c r="K572" s="92"/>
      <c r="L572" s="180"/>
      <c r="M572" s="117"/>
      <c r="N572" s="117"/>
      <c r="O572" s="117"/>
      <c r="P572" s="92"/>
      <c r="Q572" s="150"/>
      <c r="R572" s="117"/>
      <c r="S572" s="117"/>
      <c r="T572" s="117"/>
      <c r="U572" s="115"/>
      <c r="V572" s="180"/>
      <c r="W572" s="117"/>
      <c r="X572" s="117"/>
      <c r="Y572" s="117"/>
      <c r="Z572" s="115"/>
      <c r="AA572" s="180"/>
      <c r="AB572" s="117"/>
      <c r="AC572" s="117"/>
      <c r="AD572" s="117"/>
      <c r="AE572" s="115"/>
      <c r="AF572" s="180"/>
      <c r="AG572" s="117"/>
      <c r="AH572" s="117"/>
      <c r="AI572" s="117"/>
      <c r="AJ572" s="115"/>
      <c r="AK572" s="180"/>
      <c r="AL572" s="117"/>
      <c r="AM572" s="117"/>
      <c r="AN572" s="117"/>
      <c r="AO572" s="338"/>
      <c r="AP572" s="338"/>
      <c r="AQ572" s="338"/>
      <c r="AR572" s="338"/>
      <c r="AS572" s="338"/>
      <c r="AT572" s="338"/>
      <c r="AU572" s="338"/>
      <c r="AV572" s="338"/>
      <c r="AW572" s="338"/>
      <c r="AX572" s="338"/>
      <c r="AY572" s="338"/>
      <c r="AZ572" s="338"/>
      <c r="BA572" s="338"/>
      <c r="BB572" s="338"/>
      <c r="BC572" s="338"/>
    </row>
    <row r="573">
      <c r="A573" s="115"/>
      <c r="B573" s="180"/>
      <c r="C573" s="117"/>
      <c r="D573" s="117"/>
      <c r="E573" s="117"/>
      <c r="F573" s="115"/>
      <c r="G573" s="180"/>
      <c r="H573" s="117"/>
      <c r="I573" s="117"/>
      <c r="J573" s="117"/>
      <c r="K573" s="92"/>
      <c r="L573" s="180"/>
      <c r="M573" s="117"/>
      <c r="N573" s="117"/>
      <c r="O573" s="117"/>
      <c r="P573" s="92"/>
      <c r="Q573" s="150"/>
      <c r="R573" s="117"/>
      <c r="S573" s="117"/>
      <c r="T573" s="117"/>
      <c r="U573" s="115"/>
      <c r="V573" s="180"/>
      <c r="W573" s="117"/>
      <c r="X573" s="117"/>
      <c r="Y573" s="117"/>
      <c r="Z573" s="115"/>
      <c r="AA573" s="180"/>
      <c r="AB573" s="117"/>
      <c r="AC573" s="117"/>
      <c r="AD573" s="117"/>
      <c r="AE573" s="115"/>
      <c r="AF573" s="180"/>
      <c r="AG573" s="117"/>
      <c r="AH573" s="117"/>
      <c r="AI573" s="117"/>
      <c r="AJ573" s="115"/>
      <c r="AK573" s="180"/>
      <c r="AL573" s="117"/>
      <c r="AM573" s="117"/>
      <c r="AN573" s="117"/>
      <c r="AO573" s="338"/>
      <c r="AP573" s="338"/>
      <c r="AQ573" s="338"/>
      <c r="AR573" s="338"/>
      <c r="AS573" s="338"/>
      <c r="AT573" s="338"/>
      <c r="AU573" s="338"/>
      <c r="AV573" s="338"/>
      <c r="AW573" s="338"/>
      <c r="AX573" s="338"/>
      <c r="AY573" s="338"/>
      <c r="AZ573" s="338"/>
      <c r="BA573" s="338"/>
      <c r="BB573" s="338"/>
      <c r="BC573" s="338"/>
    </row>
    <row r="574">
      <c r="A574" s="115"/>
      <c r="B574" s="180"/>
      <c r="C574" s="117"/>
      <c r="D574" s="117"/>
      <c r="E574" s="117"/>
      <c r="F574" s="115"/>
      <c r="G574" s="180"/>
      <c r="H574" s="117"/>
      <c r="I574" s="117"/>
      <c r="J574" s="117"/>
      <c r="K574" s="92"/>
      <c r="L574" s="180"/>
      <c r="M574" s="117"/>
      <c r="N574" s="117"/>
      <c r="O574" s="117"/>
      <c r="P574" s="92"/>
      <c r="Q574" s="150"/>
      <c r="R574" s="117"/>
      <c r="S574" s="117"/>
      <c r="T574" s="117"/>
      <c r="U574" s="115"/>
      <c r="V574" s="180"/>
      <c r="W574" s="117"/>
      <c r="X574" s="117"/>
      <c r="Y574" s="117"/>
      <c r="Z574" s="115"/>
      <c r="AA574" s="180"/>
      <c r="AB574" s="117"/>
      <c r="AC574" s="117"/>
      <c r="AD574" s="117"/>
      <c r="AE574" s="115"/>
      <c r="AF574" s="180"/>
      <c r="AG574" s="117"/>
      <c r="AH574" s="117"/>
      <c r="AI574" s="117"/>
      <c r="AJ574" s="115"/>
      <c r="AK574" s="180"/>
      <c r="AL574" s="117"/>
      <c r="AM574" s="117"/>
      <c r="AN574" s="117"/>
      <c r="AO574" s="338"/>
      <c r="AP574" s="338"/>
      <c r="AQ574" s="338"/>
      <c r="AR574" s="338"/>
      <c r="AS574" s="338"/>
      <c r="AT574" s="338"/>
      <c r="AU574" s="338"/>
      <c r="AV574" s="338"/>
      <c r="AW574" s="338"/>
      <c r="AX574" s="338"/>
      <c r="AY574" s="338"/>
      <c r="AZ574" s="338"/>
      <c r="BA574" s="338"/>
      <c r="BB574" s="338"/>
      <c r="BC574" s="338"/>
    </row>
    <row r="575">
      <c r="A575" s="115"/>
      <c r="B575" s="180"/>
      <c r="C575" s="117"/>
      <c r="D575" s="117"/>
      <c r="E575" s="117"/>
      <c r="F575" s="115"/>
      <c r="G575" s="180"/>
      <c r="H575" s="117"/>
      <c r="I575" s="117"/>
      <c r="J575" s="117"/>
      <c r="K575" s="92"/>
      <c r="L575" s="180"/>
      <c r="M575" s="117"/>
      <c r="N575" s="117"/>
      <c r="O575" s="117"/>
      <c r="P575" s="92"/>
      <c r="Q575" s="150"/>
      <c r="R575" s="117"/>
      <c r="S575" s="117"/>
      <c r="T575" s="117"/>
      <c r="U575" s="115"/>
      <c r="V575" s="180"/>
      <c r="W575" s="117"/>
      <c r="X575" s="117"/>
      <c r="Y575" s="117"/>
      <c r="Z575" s="115"/>
      <c r="AA575" s="180"/>
      <c r="AB575" s="117"/>
      <c r="AC575" s="117"/>
      <c r="AD575" s="117"/>
      <c r="AE575" s="115"/>
      <c r="AF575" s="180"/>
      <c r="AG575" s="117"/>
      <c r="AH575" s="117"/>
      <c r="AI575" s="117"/>
      <c r="AJ575" s="115"/>
      <c r="AK575" s="180"/>
      <c r="AL575" s="117"/>
      <c r="AM575" s="117"/>
      <c r="AN575" s="117"/>
      <c r="AO575" s="338"/>
      <c r="AP575" s="338"/>
      <c r="AQ575" s="338"/>
      <c r="AR575" s="338"/>
      <c r="AS575" s="338"/>
      <c r="AT575" s="338"/>
      <c r="AU575" s="338"/>
      <c r="AV575" s="338"/>
      <c r="AW575" s="338"/>
      <c r="AX575" s="338"/>
      <c r="AY575" s="338"/>
      <c r="AZ575" s="338"/>
      <c r="BA575" s="338"/>
      <c r="BB575" s="338"/>
      <c r="BC575" s="338"/>
    </row>
    <row r="576">
      <c r="A576" s="115"/>
      <c r="B576" s="180"/>
      <c r="C576" s="117"/>
      <c r="D576" s="117"/>
      <c r="E576" s="117"/>
      <c r="F576" s="115"/>
      <c r="G576" s="180"/>
      <c r="H576" s="117"/>
      <c r="I576" s="117"/>
      <c r="J576" s="117"/>
      <c r="K576" s="92"/>
      <c r="L576" s="180"/>
      <c r="M576" s="117"/>
      <c r="N576" s="117"/>
      <c r="O576" s="117"/>
      <c r="P576" s="92"/>
      <c r="Q576" s="150"/>
      <c r="R576" s="117"/>
      <c r="S576" s="117"/>
      <c r="T576" s="117"/>
      <c r="U576" s="115"/>
      <c r="V576" s="180"/>
      <c r="W576" s="117"/>
      <c r="X576" s="117"/>
      <c r="Y576" s="117"/>
      <c r="Z576" s="115"/>
      <c r="AA576" s="180"/>
      <c r="AB576" s="117"/>
      <c r="AC576" s="117"/>
      <c r="AD576" s="117"/>
      <c r="AE576" s="115"/>
      <c r="AF576" s="180"/>
      <c r="AG576" s="117"/>
      <c r="AH576" s="117"/>
      <c r="AI576" s="117"/>
      <c r="AJ576" s="115"/>
      <c r="AK576" s="180"/>
      <c r="AL576" s="117"/>
      <c r="AM576" s="117"/>
      <c r="AN576" s="117"/>
      <c r="AO576" s="338"/>
      <c r="AP576" s="338"/>
      <c r="AQ576" s="338"/>
      <c r="AR576" s="338"/>
      <c r="AS576" s="338"/>
      <c r="AT576" s="338"/>
      <c r="AU576" s="338"/>
      <c r="AV576" s="338"/>
      <c r="AW576" s="338"/>
      <c r="AX576" s="338"/>
      <c r="AY576" s="338"/>
      <c r="AZ576" s="338"/>
      <c r="BA576" s="338"/>
      <c r="BB576" s="338"/>
      <c r="BC576" s="338"/>
    </row>
    <row r="577">
      <c r="A577" s="115"/>
      <c r="B577" s="180"/>
      <c r="C577" s="117"/>
      <c r="D577" s="117"/>
      <c r="E577" s="117"/>
      <c r="F577" s="115"/>
      <c r="G577" s="180"/>
      <c r="H577" s="117"/>
      <c r="I577" s="117"/>
      <c r="J577" s="117"/>
      <c r="K577" s="92"/>
      <c r="L577" s="180"/>
      <c r="M577" s="117"/>
      <c r="N577" s="117"/>
      <c r="O577" s="117"/>
      <c r="P577" s="92"/>
      <c r="Q577" s="150"/>
      <c r="R577" s="117"/>
      <c r="S577" s="117"/>
      <c r="T577" s="117"/>
      <c r="U577" s="115"/>
      <c r="V577" s="180"/>
      <c r="W577" s="117"/>
      <c r="X577" s="117"/>
      <c r="Y577" s="117"/>
      <c r="Z577" s="115"/>
      <c r="AA577" s="180"/>
      <c r="AB577" s="117"/>
      <c r="AC577" s="117"/>
      <c r="AD577" s="117"/>
      <c r="AE577" s="115"/>
      <c r="AF577" s="180"/>
      <c r="AG577" s="117"/>
      <c r="AH577" s="117"/>
      <c r="AI577" s="117"/>
      <c r="AJ577" s="115"/>
      <c r="AK577" s="180"/>
      <c r="AL577" s="117"/>
      <c r="AM577" s="117"/>
      <c r="AN577" s="117"/>
      <c r="AO577" s="338"/>
      <c r="AP577" s="338"/>
      <c r="AQ577" s="338"/>
      <c r="AR577" s="338"/>
      <c r="AS577" s="338"/>
      <c r="AT577" s="338"/>
      <c r="AU577" s="338"/>
      <c r="AV577" s="338"/>
      <c r="AW577" s="338"/>
      <c r="AX577" s="338"/>
      <c r="AY577" s="338"/>
      <c r="AZ577" s="338"/>
      <c r="BA577" s="338"/>
      <c r="BB577" s="338"/>
      <c r="BC577" s="338"/>
    </row>
    <row r="578">
      <c r="A578" s="115"/>
      <c r="B578" s="180"/>
      <c r="C578" s="117"/>
      <c r="D578" s="117"/>
      <c r="E578" s="117"/>
      <c r="F578" s="115"/>
      <c r="G578" s="180"/>
      <c r="H578" s="117"/>
      <c r="I578" s="117"/>
      <c r="J578" s="117"/>
      <c r="K578" s="92"/>
      <c r="L578" s="180"/>
      <c r="M578" s="117"/>
      <c r="N578" s="117"/>
      <c r="O578" s="117"/>
      <c r="P578" s="92"/>
      <c r="Q578" s="150"/>
      <c r="R578" s="117"/>
      <c r="S578" s="117"/>
      <c r="T578" s="117"/>
      <c r="U578" s="115"/>
      <c r="V578" s="180"/>
      <c r="W578" s="117"/>
      <c r="X578" s="117"/>
      <c r="Y578" s="117"/>
      <c r="Z578" s="115"/>
      <c r="AA578" s="180"/>
      <c r="AB578" s="117"/>
      <c r="AC578" s="117"/>
      <c r="AD578" s="117"/>
      <c r="AE578" s="115"/>
      <c r="AF578" s="180"/>
      <c r="AG578" s="117"/>
      <c r="AH578" s="117"/>
      <c r="AI578" s="117"/>
      <c r="AJ578" s="115"/>
      <c r="AK578" s="180"/>
      <c r="AL578" s="117"/>
      <c r="AM578" s="117"/>
      <c r="AN578" s="117"/>
      <c r="AO578" s="338"/>
      <c r="AP578" s="338"/>
      <c r="AQ578" s="338"/>
      <c r="AR578" s="338"/>
      <c r="AS578" s="338"/>
      <c r="AT578" s="338"/>
      <c r="AU578" s="338"/>
      <c r="AV578" s="338"/>
      <c r="AW578" s="338"/>
      <c r="AX578" s="338"/>
      <c r="AY578" s="338"/>
      <c r="AZ578" s="338"/>
      <c r="BA578" s="338"/>
      <c r="BB578" s="338"/>
      <c r="BC578" s="338"/>
    </row>
    <row r="579">
      <c r="A579" s="115"/>
      <c r="B579" s="180"/>
      <c r="C579" s="117"/>
      <c r="D579" s="117"/>
      <c r="E579" s="117"/>
      <c r="F579" s="115"/>
      <c r="G579" s="180"/>
      <c r="H579" s="117"/>
      <c r="I579" s="117"/>
      <c r="J579" s="117"/>
      <c r="K579" s="92"/>
      <c r="L579" s="180"/>
      <c r="M579" s="117"/>
      <c r="N579" s="117"/>
      <c r="O579" s="117"/>
      <c r="P579" s="92"/>
      <c r="Q579" s="150"/>
      <c r="R579" s="117"/>
      <c r="S579" s="117"/>
      <c r="T579" s="117"/>
      <c r="U579" s="115"/>
      <c r="V579" s="180"/>
      <c r="W579" s="117"/>
      <c r="X579" s="117"/>
      <c r="Y579" s="117"/>
      <c r="Z579" s="115"/>
      <c r="AA579" s="180"/>
      <c r="AB579" s="117"/>
      <c r="AC579" s="117"/>
      <c r="AD579" s="117"/>
      <c r="AE579" s="115"/>
      <c r="AF579" s="180"/>
      <c r="AG579" s="117"/>
      <c r="AH579" s="117"/>
      <c r="AI579" s="117"/>
      <c r="AJ579" s="115"/>
      <c r="AK579" s="180"/>
      <c r="AL579" s="117"/>
      <c r="AM579" s="117"/>
      <c r="AN579" s="117"/>
      <c r="AO579" s="338"/>
      <c r="AP579" s="338"/>
      <c r="AQ579" s="338"/>
      <c r="AR579" s="338"/>
      <c r="AS579" s="338"/>
      <c r="AT579" s="338"/>
      <c r="AU579" s="338"/>
      <c r="AV579" s="338"/>
      <c r="AW579" s="338"/>
      <c r="AX579" s="338"/>
      <c r="AY579" s="338"/>
      <c r="AZ579" s="338"/>
      <c r="BA579" s="338"/>
      <c r="BB579" s="338"/>
      <c r="BC579" s="338"/>
    </row>
    <row r="580">
      <c r="A580" s="115"/>
      <c r="B580" s="180"/>
      <c r="C580" s="117"/>
      <c r="D580" s="117"/>
      <c r="E580" s="117"/>
      <c r="F580" s="115"/>
      <c r="G580" s="180"/>
      <c r="H580" s="117"/>
      <c r="I580" s="117"/>
      <c r="J580" s="117"/>
      <c r="K580" s="92"/>
      <c r="L580" s="180"/>
      <c r="M580" s="117"/>
      <c r="N580" s="117"/>
      <c r="O580" s="117"/>
      <c r="P580" s="92"/>
      <c r="Q580" s="150"/>
      <c r="R580" s="117"/>
      <c r="S580" s="117"/>
      <c r="T580" s="117"/>
      <c r="U580" s="115"/>
      <c r="V580" s="180"/>
      <c r="W580" s="117"/>
      <c r="X580" s="117"/>
      <c r="Y580" s="117"/>
      <c r="Z580" s="115"/>
      <c r="AA580" s="180"/>
      <c r="AB580" s="117"/>
      <c r="AC580" s="117"/>
      <c r="AD580" s="117"/>
      <c r="AE580" s="115"/>
      <c r="AF580" s="180"/>
      <c r="AG580" s="117"/>
      <c r="AH580" s="117"/>
      <c r="AI580" s="117"/>
      <c r="AJ580" s="115"/>
      <c r="AK580" s="180"/>
      <c r="AL580" s="117"/>
      <c r="AM580" s="117"/>
      <c r="AN580" s="117"/>
      <c r="AO580" s="338"/>
      <c r="AP580" s="338"/>
      <c r="AQ580" s="338"/>
      <c r="AR580" s="338"/>
      <c r="AS580" s="338"/>
      <c r="AT580" s="338"/>
      <c r="AU580" s="338"/>
      <c r="AV580" s="338"/>
      <c r="AW580" s="338"/>
      <c r="AX580" s="338"/>
      <c r="AY580" s="338"/>
      <c r="AZ580" s="338"/>
      <c r="BA580" s="338"/>
      <c r="BB580" s="338"/>
      <c r="BC580" s="338"/>
    </row>
    <row r="581">
      <c r="A581" s="115"/>
      <c r="B581" s="180"/>
      <c r="C581" s="117"/>
      <c r="D581" s="117"/>
      <c r="E581" s="117"/>
      <c r="F581" s="115"/>
      <c r="G581" s="180"/>
      <c r="H581" s="117"/>
      <c r="I581" s="117"/>
      <c r="J581" s="117"/>
      <c r="K581" s="92"/>
      <c r="L581" s="180"/>
      <c r="M581" s="117"/>
      <c r="N581" s="117"/>
      <c r="O581" s="117"/>
      <c r="P581" s="92"/>
      <c r="Q581" s="150"/>
      <c r="R581" s="117"/>
      <c r="S581" s="117"/>
      <c r="T581" s="117"/>
      <c r="U581" s="115"/>
      <c r="V581" s="180"/>
      <c r="W581" s="117"/>
      <c r="X581" s="117"/>
      <c r="Y581" s="117"/>
      <c r="Z581" s="115"/>
      <c r="AA581" s="180"/>
      <c r="AB581" s="117"/>
      <c r="AC581" s="117"/>
      <c r="AD581" s="117"/>
      <c r="AE581" s="115"/>
      <c r="AF581" s="180"/>
      <c r="AG581" s="117"/>
      <c r="AH581" s="117"/>
      <c r="AI581" s="117"/>
      <c r="AJ581" s="115"/>
      <c r="AK581" s="180"/>
      <c r="AL581" s="117"/>
      <c r="AM581" s="117"/>
      <c r="AN581" s="117"/>
      <c r="AO581" s="338"/>
      <c r="AP581" s="338"/>
      <c r="AQ581" s="338"/>
      <c r="AR581" s="338"/>
      <c r="AS581" s="338"/>
      <c r="AT581" s="338"/>
      <c r="AU581" s="338"/>
      <c r="AV581" s="338"/>
      <c r="AW581" s="338"/>
      <c r="AX581" s="338"/>
      <c r="AY581" s="338"/>
      <c r="AZ581" s="338"/>
      <c r="BA581" s="338"/>
      <c r="BB581" s="338"/>
      <c r="BC581" s="338"/>
    </row>
    <row r="582">
      <c r="A582" s="115"/>
      <c r="B582" s="180"/>
      <c r="C582" s="117"/>
      <c r="D582" s="117"/>
      <c r="E582" s="117"/>
      <c r="F582" s="115"/>
      <c r="G582" s="180"/>
      <c r="H582" s="117"/>
      <c r="I582" s="117"/>
      <c r="J582" s="117"/>
      <c r="K582" s="92"/>
      <c r="L582" s="180"/>
      <c r="M582" s="117"/>
      <c r="N582" s="117"/>
      <c r="O582" s="117"/>
      <c r="P582" s="92"/>
      <c r="Q582" s="150"/>
      <c r="R582" s="117"/>
      <c r="S582" s="117"/>
      <c r="T582" s="117"/>
      <c r="U582" s="115"/>
      <c r="V582" s="180"/>
      <c r="W582" s="117"/>
      <c r="X582" s="117"/>
      <c r="Y582" s="117"/>
      <c r="Z582" s="115"/>
      <c r="AA582" s="180"/>
      <c r="AB582" s="117"/>
      <c r="AC582" s="117"/>
      <c r="AD582" s="117"/>
      <c r="AE582" s="115"/>
      <c r="AF582" s="180"/>
      <c r="AG582" s="117"/>
      <c r="AH582" s="117"/>
      <c r="AI582" s="117"/>
      <c r="AJ582" s="115"/>
      <c r="AK582" s="180"/>
      <c r="AL582" s="117"/>
      <c r="AM582" s="117"/>
      <c r="AN582" s="117"/>
      <c r="AO582" s="338"/>
      <c r="AP582" s="338"/>
      <c r="AQ582" s="338"/>
      <c r="AR582" s="338"/>
      <c r="AS582" s="338"/>
      <c r="AT582" s="338"/>
      <c r="AU582" s="338"/>
      <c r="AV582" s="338"/>
      <c r="AW582" s="338"/>
      <c r="AX582" s="338"/>
      <c r="AY582" s="338"/>
      <c r="AZ582" s="338"/>
      <c r="BA582" s="338"/>
      <c r="BB582" s="338"/>
      <c r="BC582" s="338"/>
    </row>
    <row r="583">
      <c r="A583" s="115"/>
      <c r="B583" s="180"/>
      <c r="C583" s="117"/>
      <c r="D583" s="117"/>
      <c r="E583" s="117"/>
      <c r="F583" s="115"/>
      <c r="G583" s="180"/>
      <c r="H583" s="117"/>
      <c r="I583" s="117"/>
      <c r="J583" s="117"/>
      <c r="K583" s="92"/>
      <c r="L583" s="180"/>
      <c r="M583" s="117"/>
      <c r="N583" s="117"/>
      <c r="O583" s="117"/>
      <c r="P583" s="92"/>
      <c r="Q583" s="150"/>
      <c r="R583" s="117"/>
      <c r="S583" s="117"/>
      <c r="T583" s="117"/>
      <c r="U583" s="115"/>
      <c r="V583" s="180"/>
      <c r="W583" s="117"/>
      <c r="X583" s="117"/>
      <c r="Y583" s="117"/>
      <c r="Z583" s="115"/>
      <c r="AA583" s="180"/>
      <c r="AB583" s="117"/>
      <c r="AC583" s="117"/>
      <c r="AD583" s="117"/>
      <c r="AE583" s="115"/>
      <c r="AF583" s="180"/>
      <c r="AG583" s="117"/>
      <c r="AH583" s="117"/>
      <c r="AI583" s="117"/>
      <c r="AJ583" s="115"/>
      <c r="AK583" s="180"/>
      <c r="AL583" s="117"/>
      <c r="AM583" s="117"/>
      <c r="AN583" s="117"/>
      <c r="AO583" s="338"/>
      <c r="AP583" s="338"/>
      <c r="AQ583" s="338"/>
      <c r="AR583" s="338"/>
      <c r="AS583" s="338"/>
      <c r="AT583" s="338"/>
      <c r="AU583" s="338"/>
      <c r="AV583" s="338"/>
      <c r="AW583" s="338"/>
      <c r="AX583" s="338"/>
      <c r="AY583" s="338"/>
      <c r="AZ583" s="338"/>
      <c r="BA583" s="338"/>
      <c r="BB583" s="338"/>
      <c r="BC583" s="338"/>
    </row>
    <row r="584">
      <c r="A584" s="115"/>
      <c r="B584" s="180"/>
      <c r="C584" s="117"/>
      <c r="D584" s="117"/>
      <c r="E584" s="117"/>
      <c r="F584" s="115"/>
      <c r="G584" s="180"/>
      <c r="H584" s="117"/>
      <c r="I584" s="117"/>
      <c r="J584" s="117"/>
      <c r="K584" s="92"/>
      <c r="L584" s="180"/>
      <c r="M584" s="117"/>
      <c r="N584" s="117"/>
      <c r="O584" s="117"/>
      <c r="P584" s="92"/>
      <c r="Q584" s="150"/>
      <c r="R584" s="117"/>
      <c r="S584" s="117"/>
      <c r="T584" s="117"/>
      <c r="U584" s="115"/>
      <c r="V584" s="180"/>
      <c r="W584" s="117"/>
      <c r="X584" s="117"/>
      <c r="Y584" s="117"/>
      <c r="Z584" s="115"/>
      <c r="AA584" s="180"/>
      <c r="AB584" s="117"/>
      <c r="AC584" s="117"/>
      <c r="AD584" s="117"/>
      <c r="AE584" s="115"/>
      <c r="AF584" s="180"/>
      <c r="AG584" s="117"/>
      <c r="AH584" s="117"/>
      <c r="AI584" s="117"/>
      <c r="AJ584" s="115"/>
      <c r="AK584" s="180"/>
      <c r="AL584" s="117"/>
      <c r="AM584" s="117"/>
      <c r="AN584" s="117"/>
      <c r="AO584" s="338"/>
      <c r="AP584" s="338"/>
      <c r="AQ584" s="338"/>
      <c r="AR584" s="338"/>
      <c r="AS584" s="338"/>
      <c r="AT584" s="338"/>
      <c r="AU584" s="338"/>
      <c r="AV584" s="338"/>
      <c r="AW584" s="338"/>
      <c r="AX584" s="338"/>
      <c r="AY584" s="338"/>
      <c r="AZ584" s="338"/>
      <c r="BA584" s="338"/>
      <c r="BB584" s="338"/>
      <c r="BC584" s="338"/>
    </row>
    <row r="585">
      <c r="A585" s="115"/>
      <c r="B585" s="180"/>
      <c r="C585" s="117"/>
      <c r="D585" s="117"/>
      <c r="E585" s="117"/>
      <c r="F585" s="115"/>
      <c r="G585" s="180"/>
      <c r="H585" s="117"/>
      <c r="I585" s="117"/>
      <c r="J585" s="117"/>
      <c r="K585" s="92"/>
      <c r="L585" s="180"/>
      <c r="M585" s="117"/>
      <c r="N585" s="117"/>
      <c r="O585" s="117"/>
      <c r="P585" s="92"/>
      <c r="Q585" s="150"/>
      <c r="R585" s="117"/>
      <c r="S585" s="117"/>
      <c r="T585" s="117"/>
      <c r="U585" s="115"/>
      <c r="V585" s="180"/>
      <c r="W585" s="117"/>
      <c r="X585" s="117"/>
      <c r="Y585" s="117"/>
      <c r="Z585" s="115"/>
      <c r="AA585" s="180"/>
      <c r="AB585" s="117"/>
      <c r="AC585" s="117"/>
      <c r="AD585" s="117"/>
      <c r="AE585" s="115"/>
      <c r="AF585" s="180"/>
      <c r="AG585" s="117"/>
      <c r="AH585" s="117"/>
      <c r="AI585" s="117"/>
      <c r="AJ585" s="115"/>
      <c r="AK585" s="180"/>
      <c r="AL585" s="117"/>
      <c r="AM585" s="117"/>
      <c r="AN585" s="117"/>
      <c r="AO585" s="338"/>
      <c r="AP585" s="338"/>
      <c r="AQ585" s="338"/>
      <c r="AR585" s="338"/>
      <c r="AS585" s="338"/>
      <c r="AT585" s="338"/>
      <c r="AU585" s="338"/>
      <c r="AV585" s="338"/>
      <c r="AW585" s="338"/>
      <c r="AX585" s="338"/>
      <c r="AY585" s="338"/>
      <c r="AZ585" s="338"/>
      <c r="BA585" s="338"/>
      <c r="BB585" s="338"/>
      <c r="BC585" s="338"/>
    </row>
    <row r="586">
      <c r="A586" s="115"/>
      <c r="B586" s="180"/>
      <c r="C586" s="117"/>
      <c r="D586" s="117"/>
      <c r="E586" s="117"/>
      <c r="F586" s="115"/>
      <c r="G586" s="180"/>
      <c r="H586" s="117"/>
      <c r="I586" s="117"/>
      <c r="J586" s="117"/>
      <c r="K586" s="92"/>
      <c r="L586" s="180"/>
      <c r="M586" s="117"/>
      <c r="N586" s="117"/>
      <c r="O586" s="117"/>
      <c r="P586" s="92"/>
      <c r="Q586" s="150"/>
      <c r="R586" s="117"/>
      <c r="S586" s="117"/>
      <c r="T586" s="117"/>
      <c r="U586" s="115"/>
      <c r="V586" s="180"/>
      <c r="W586" s="117"/>
      <c r="X586" s="117"/>
      <c r="Y586" s="117"/>
      <c r="Z586" s="115"/>
      <c r="AA586" s="180"/>
      <c r="AB586" s="117"/>
      <c r="AC586" s="117"/>
      <c r="AD586" s="117"/>
      <c r="AE586" s="115"/>
      <c r="AF586" s="180"/>
      <c r="AG586" s="117"/>
      <c r="AH586" s="117"/>
      <c r="AI586" s="117"/>
      <c r="AJ586" s="115"/>
      <c r="AK586" s="180"/>
      <c r="AL586" s="117"/>
      <c r="AM586" s="117"/>
      <c r="AN586" s="117"/>
      <c r="AO586" s="338"/>
      <c r="AP586" s="338"/>
      <c r="AQ586" s="338"/>
      <c r="AR586" s="338"/>
      <c r="AS586" s="338"/>
      <c r="AT586" s="338"/>
      <c r="AU586" s="338"/>
      <c r="AV586" s="338"/>
      <c r="AW586" s="338"/>
      <c r="AX586" s="338"/>
      <c r="AY586" s="338"/>
      <c r="AZ586" s="338"/>
      <c r="BA586" s="338"/>
      <c r="BB586" s="338"/>
      <c r="BC586" s="338"/>
    </row>
    <row r="587">
      <c r="A587" s="115"/>
      <c r="B587" s="180"/>
      <c r="C587" s="117"/>
      <c r="D587" s="117"/>
      <c r="E587" s="117"/>
      <c r="F587" s="115"/>
      <c r="G587" s="180"/>
      <c r="H587" s="117"/>
      <c r="I587" s="117"/>
      <c r="J587" s="117"/>
      <c r="K587" s="92"/>
      <c r="L587" s="180"/>
      <c r="M587" s="117"/>
      <c r="N587" s="117"/>
      <c r="O587" s="117"/>
      <c r="P587" s="92"/>
      <c r="Q587" s="150"/>
      <c r="R587" s="117"/>
      <c r="S587" s="117"/>
      <c r="T587" s="117"/>
      <c r="U587" s="115"/>
      <c r="V587" s="180"/>
      <c r="W587" s="117"/>
      <c r="X587" s="117"/>
      <c r="Y587" s="117"/>
      <c r="Z587" s="115"/>
      <c r="AA587" s="180"/>
      <c r="AB587" s="117"/>
      <c r="AC587" s="117"/>
      <c r="AD587" s="117"/>
      <c r="AE587" s="115"/>
      <c r="AF587" s="180"/>
      <c r="AG587" s="117"/>
      <c r="AH587" s="117"/>
      <c r="AI587" s="117"/>
      <c r="AJ587" s="115"/>
      <c r="AK587" s="180"/>
      <c r="AL587" s="117"/>
      <c r="AM587" s="117"/>
      <c r="AN587" s="117"/>
      <c r="AO587" s="338"/>
      <c r="AP587" s="338"/>
      <c r="AQ587" s="338"/>
      <c r="AR587" s="338"/>
      <c r="AS587" s="338"/>
      <c r="AT587" s="338"/>
      <c r="AU587" s="338"/>
      <c r="AV587" s="338"/>
      <c r="AW587" s="338"/>
      <c r="AX587" s="338"/>
      <c r="AY587" s="338"/>
      <c r="AZ587" s="338"/>
      <c r="BA587" s="338"/>
      <c r="BB587" s="338"/>
      <c r="BC587" s="338"/>
    </row>
    <row r="588">
      <c r="A588" s="115"/>
      <c r="B588" s="180"/>
      <c r="C588" s="117"/>
      <c r="D588" s="117"/>
      <c r="E588" s="117"/>
      <c r="F588" s="115"/>
      <c r="G588" s="180"/>
      <c r="H588" s="117"/>
      <c r="I588" s="117"/>
      <c r="J588" s="117"/>
      <c r="K588" s="92"/>
      <c r="L588" s="180"/>
      <c r="M588" s="117"/>
      <c r="N588" s="117"/>
      <c r="O588" s="117"/>
      <c r="P588" s="92"/>
      <c r="Q588" s="150"/>
      <c r="R588" s="117"/>
      <c r="S588" s="117"/>
      <c r="T588" s="117"/>
      <c r="U588" s="115"/>
      <c r="V588" s="180"/>
      <c r="W588" s="117"/>
      <c r="X588" s="117"/>
      <c r="Y588" s="117"/>
      <c r="Z588" s="115"/>
      <c r="AA588" s="180"/>
      <c r="AB588" s="117"/>
      <c r="AC588" s="117"/>
      <c r="AD588" s="117"/>
      <c r="AE588" s="115"/>
      <c r="AF588" s="180"/>
      <c r="AG588" s="117"/>
      <c r="AH588" s="117"/>
      <c r="AI588" s="117"/>
      <c r="AJ588" s="115"/>
      <c r="AK588" s="180"/>
      <c r="AL588" s="117"/>
      <c r="AM588" s="117"/>
      <c r="AN588" s="117"/>
      <c r="AO588" s="338"/>
      <c r="AP588" s="338"/>
      <c r="AQ588" s="338"/>
      <c r="AR588" s="338"/>
      <c r="AS588" s="338"/>
      <c r="AT588" s="338"/>
      <c r="AU588" s="338"/>
      <c r="AV588" s="338"/>
      <c r="AW588" s="338"/>
      <c r="AX588" s="338"/>
      <c r="AY588" s="338"/>
      <c r="AZ588" s="338"/>
      <c r="BA588" s="338"/>
      <c r="BB588" s="338"/>
      <c r="BC588" s="338"/>
    </row>
    <row r="589">
      <c r="A589" s="115"/>
      <c r="B589" s="180"/>
      <c r="C589" s="117"/>
      <c r="D589" s="117"/>
      <c r="E589" s="117"/>
      <c r="F589" s="115"/>
      <c r="G589" s="180"/>
      <c r="H589" s="117"/>
      <c r="I589" s="117"/>
      <c r="J589" s="117"/>
      <c r="K589" s="92"/>
      <c r="L589" s="180"/>
      <c r="M589" s="117"/>
      <c r="N589" s="117"/>
      <c r="O589" s="117"/>
      <c r="P589" s="92"/>
      <c r="Q589" s="150"/>
      <c r="R589" s="117"/>
      <c r="S589" s="117"/>
      <c r="T589" s="117"/>
      <c r="U589" s="115"/>
      <c r="V589" s="180"/>
      <c r="W589" s="117"/>
      <c r="X589" s="117"/>
      <c r="Y589" s="117"/>
      <c r="Z589" s="115"/>
      <c r="AA589" s="180"/>
      <c r="AB589" s="117"/>
      <c r="AC589" s="117"/>
      <c r="AD589" s="117"/>
      <c r="AE589" s="115"/>
      <c r="AF589" s="180"/>
      <c r="AG589" s="117"/>
      <c r="AH589" s="117"/>
      <c r="AI589" s="117"/>
      <c r="AJ589" s="115"/>
      <c r="AK589" s="180"/>
      <c r="AL589" s="117"/>
      <c r="AM589" s="117"/>
      <c r="AN589" s="117"/>
      <c r="AO589" s="338"/>
      <c r="AP589" s="338"/>
      <c r="AQ589" s="338"/>
      <c r="AR589" s="338"/>
      <c r="AS589" s="338"/>
      <c r="AT589" s="338"/>
      <c r="AU589" s="338"/>
      <c r="AV589" s="338"/>
      <c r="AW589" s="338"/>
      <c r="AX589" s="338"/>
      <c r="AY589" s="338"/>
      <c r="AZ589" s="338"/>
      <c r="BA589" s="338"/>
      <c r="BB589" s="338"/>
      <c r="BC589" s="338"/>
    </row>
    <row r="590">
      <c r="A590" s="115"/>
      <c r="B590" s="180"/>
      <c r="C590" s="117"/>
      <c r="D590" s="117"/>
      <c r="E590" s="117"/>
      <c r="F590" s="115"/>
      <c r="G590" s="180"/>
      <c r="H590" s="117"/>
      <c r="I590" s="117"/>
      <c r="J590" s="117"/>
      <c r="K590" s="92"/>
      <c r="L590" s="180"/>
      <c r="M590" s="117"/>
      <c r="N590" s="117"/>
      <c r="O590" s="117"/>
      <c r="P590" s="92"/>
      <c r="Q590" s="150"/>
      <c r="R590" s="117"/>
      <c r="S590" s="117"/>
      <c r="T590" s="117"/>
      <c r="U590" s="115"/>
      <c r="V590" s="180"/>
      <c r="W590" s="117"/>
      <c r="X590" s="117"/>
      <c r="Y590" s="117"/>
      <c r="Z590" s="115"/>
      <c r="AA590" s="180"/>
      <c r="AB590" s="117"/>
      <c r="AC590" s="117"/>
      <c r="AD590" s="117"/>
      <c r="AE590" s="115"/>
      <c r="AF590" s="180"/>
      <c r="AG590" s="117"/>
      <c r="AH590" s="117"/>
      <c r="AI590" s="117"/>
      <c r="AJ590" s="115"/>
      <c r="AK590" s="180"/>
      <c r="AL590" s="117"/>
      <c r="AM590" s="117"/>
      <c r="AN590" s="117"/>
      <c r="AO590" s="338"/>
      <c r="AP590" s="338"/>
      <c r="AQ590" s="338"/>
      <c r="AR590" s="338"/>
      <c r="AS590" s="338"/>
      <c r="AT590" s="338"/>
      <c r="AU590" s="338"/>
      <c r="AV590" s="338"/>
      <c r="AW590" s="338"/>
      <c r="AX590" s="338"/>
      <c r="AY590" s="338"/>
      <c r="AZ590" s="338"/>
      <c r="BA590" s="338"/>
      <c r="BB590" s="338"/>
      <c r="BC590" s="338"/>
    </row>
    <row r="591">
      <c r="A591" s="115"/>
      <c r="B591" s="180"/>
      <c r="C591" s="117"/>
      <c r="D591" s="117"/>
      <c r="E591" s="117"/>
      <c r="F591" s="115"/>
      <c r="G591" s="180"/>
      <c r="H591" s="117"/>
      <c r="I591" s="117"/>
      <c r="J591" s="117"/>
      <c r="K591" s="92"/>
      <c r="L591" s="180"/>
      <c r="M591" s="117"/>
      <c r="N591" s="117"/>
      <c r="O591" s="117"/>
      <c r="P591" s="92"/>
      <c r="Q591" s="150"/>
      <c r="R591" s="117"/>
      <c r="S591" s="117"/>
      <c r="T591" s="117"/>
      <c r="U591" s="115"/>
      <c r="V591" s="180"/>
      <c r="W591" s="117"/>
      <c r="X591" s="117"/>
      <c r="Y591" s="117"/>
      <c r="Z591" s="115"/>
      <c r="AA591" s="180"/>
      <c r="AB591" s="117"/>
      <c r="AC591" s="117"/>
      <c r="AD591" s="117"/>
      <c r="AE591" s="115"/>
      <c r="AF591" s="180"/>
      <c r="AG591" s="117"/>
      <c r="AH591" s="117"/>
      <c r="AI591" s="117"/>
      <c r="AJ591" s="115"/>
      <c r="AK591" s="180"/>
      <c r="AL591" s="117"/>
      <c r="AM591" s="117"/>
      <c r="AN591" s="117"/>
      <c r="AO591" s="338"/>
      <c r="AP591" s="338"/>
      <c r="AQ591" s="338"/>
      <c r="AR591" s="338"/>
      <c r="AS591" s="338"/>
      <c r="AT591" s="338"/>
      <c r="AU591" s="338"/>
      <c r="AV591" s="338"/>
      <c r="AW591" s="338"/>
      <c r="AX591" s="338"/>
      <c r="AY591" s="338"/>
      <c r="AZ591" s="338"/>
      <c r="BA591" s="338"/>
      <c r="BB591" s="338"/>
      <c r="BC591" s="338"/>
    </row>
    <row r="592">
      <c r="A592" s="115"/>
      <c r="B592" s="180"/>
      <c r="C592" s="117"/>
      <c r="D592" s="117"/>
      <c r="E592" s="117"/>
      <c r="F592" s="115"/>
      <c r="G592" s="180"/>
      <c r="H592" s="117"/>
      <c r="I592" s="117"/>
      <c r="J592" s="117"/>
      <c r="K592" s="92"/>
      <c r="L592" s="180"/>
      <c r="M592" s="117"/>
      <c r="N592" s="117"/>
      <c r="O592" s="117"/>
      <c r="P592" s="92"/>
      <c r="Q592" s="150"/>
      <c r="R592" s="117"/>
      <c r="S592" s="117"/>
      <c r="T592" s="117"/>
      <c r="U592" s="115"/>
      <c r="V592" s="180"/>
      <c r="W592" s="117"/>
      <c r="X592" s="117"/>
      <c r="Y592" s="117"/>
      <c r="Z592" s="115"/>
      <c r="AA592" s="180"/>
      <c r="AB592" s="117"/>
      <c r="AC592" s="117"/>
      <c r="AD592" s="117"/>
      <c r="AE592" s="115"/>
      <c r="AF592" s="180"/>
      <c r="AG592" s="117"/>
      <c r="AH592" s="117"/>
      <c r="AI592" s="117"/>
      <c r="AJ592" s="115"/>
      <c r="AK592" s="180"/>
      <c r="AL592" s="117"/>
      <c r="AM592" s="117"/>
      <c r="AN592" s="117"/>
      <c r="AO592" s="338"/>
      <c r="AP592" s="338"/>
      <c r="AQ592" s="338"/>
      <c r="AR592" s="338"/>
      <c r="AS592" s="338"/>
      <c r="AT592" s="338"/>
      <c r="AU592" s="338"/>
      <c r="AV592" s="338"/>
      <c r="AW592" s="338"/>
      <c r="AX592" s="338"/>
      <c r="AY592" s="338"/>
      <c r="AZ592" s="338"/>
      <c r="BA592" s="338"/>
      <c r="BB592" s="338"/>
      <c r="BC592" s="338"/>
    </row>
    <row r="593">
      <c r="A593" s="115"/>
      <c r="B593" s="180"/>
      <c r="C593" s="117"/>
      <c r="D593" s="117"/>
      <c r="E593" s="117"/>
      <c r="F593" s="115"/>
      <c r="G593" s="180"/>
      <c r="H593" s="117"/>
      <c r="I593" s="117"/>
      <c r="J593" s="117"/>
      <c r="K593" s="92"/>
      <c r="L593" s="180"/>
      <c r="M593" s="117"/>
      <c r="N593" s="117"/>
      <c r="O593" s="117"/>
      <c r="P593" s="92"/>
      <c r="Q593" s="150"/>
      <c r="R593" s="117"/>
      <c r="S593" s="117"/>
      <c r="T593" s="117"/>
      <c r="U593" s="115"/>
      <c r="V593" s="180"/>
      <c r="W593" s="117"/>
      <c r="X593" s="117"/>
      <c r="Y593" s="117"/>
      <c r="Z593" s="115"/>
      <c r="AA593" s="180"/>
      <c r="AB593" s="117"/>
      <c r="AC593" s="117"/>
      <c r="AD593" s="117"/>
      <c r="AE593" s="115"/>
      <c r="AF593" s="180"/>
      <c r="AG593" s="117"/>
      <c r="AH593" s="117"/>
      <c r="AI593" s="117"/>
      <c r="AJ593" s="115"/>
      <c r="AK593" s="180"/>
      <c r="AL593" s="117"/>
      <c r="AM593" s="117"/>
      <c r="AN593" s="117"/>
      <c r="AO593" s="338"/>
      <c r="AP593" s="338"/>
      <c r="AQ593" s="338"/>
      <c r="AR593" s="338"/>
      <c r="AS593" s="338"/>
      <c r="AT593" s="338"/>
      <c r="AU593" s="338"/>
      <c r="AV593" s="338"/>
      <c r="AW593" s="338"/>
      <c r="AX593" s="338"/>
      <c r="AY593" s="338"/>
      <c r="AZ593" s="338"/>
      <c r="BA593" s="338"/>
      <c r="BB593" s="338"/>
      <c r="BC593" s="338"/>
    </row>
    <row r="594">
      <c r="A594" s="115"/>
      <c r="B594" s="180"/>
      <c r="C594" s="117"/>
      <c r="D594" s="117"/>
      <c r="E594" s="117"/>
      <c r="F594" s="115"/>
      <c r="G594" s="180"/>
      <c r="H594" s="117"/>
      <c r="I594" s="117"/>
      <c r="J594" s="117"/>
      <c r="K594" s="92"/>
      <c r="L594" s="180"/>
      <c r="M594" s="117"/>
      <c r="N594" s="117"/>
      <c r="O594" s="117"/>
      <c r="P594" s="92"/>
      <c r="Q594" s="150"/>
      <c r="R594" s="117"/>
      <c r="S594" s="117"/>
      <c r="T594" s="117"/>
      <c r="U594" s="115"/>
      <c r="V594" s="180"/>
      <c r="W594" s="117"/>
      <c r="X594" s="117"/>
      <c r="Y594" s="117"/>
      <c r="Z594" s="115"/>
      <c r="AA594" s="180"/>
      <c r="AB594" s="117"/>
      <c r="AC594" s="117"/>
      <c r="AD594" s="117"/>
      <c r="AE594" s="115"/>
      <c r="AF594" s="180"/>
      <c r="AG594" s="117"/>
      <c r="AH594" s="117"/>
      <c r="AI594" s="117"/>
      <c r="AJ594" s="115"/>
      <c r="AK594" s="180"/>
      <c r="AL594" s="117"/>
      <c r="AM594" s="117"/>
      <c r="AN594" s="117"/>
      <c r="AO594" s="338"/>
      <c r="AP594" s="338"/>
      <c r="AQ594" s="338"/>
      <c r="AR594" s="338"/>
      <c r="AS594" s="338"/>
      <c r="AT594" s="338"/>
      <c r="AU594" s="338"/>
      <c r="AV594" s="338"/>
      <c r="AW594" s="338"/>
      <c r="AX594" s="338"/>
      <c r="AY594" s="338"/>
      <c r="AZ594" s="338"/>
      <c r="BA594" s="338"/>
      <c r="BB594" s="338"/>
      <c r="BC594" s="338"/>
    </row>
    <row r="595">
      <c r="A595" s="115"/>
      <c r="B595" s="180"/>
      <c r="C595" s="117"/>
      <c r="D595" s="117"/>
      <c r="E595" s="117"/>
      <c r="F595" s="115"/>
      <c r="G595" s="180"/>
      <c r="H595" s="117"/>
      <c r="I595" s="117"/>
      <c r="J595" s="117"/>
      <c r="K595" s="92"/>
      <c r="L595" s="180"/>
      <c r="M595" s="117"/>
      <c r="N595" s="117"/>
      <c r="O595" s="117"/>
      <c r="P595" s="92"/>
      <c r="Q595" s="150"/>
      <c r="R595" s="117"/>
      <c r="S595" s="117"/>
      <c r="T595" s="117"/>
      <c r="U595" s="115"/>
      <c r="V595" s="180"/>
      <c r="W595" s="117"/>
      <c r="X595" s="117"/>
      <c r="Y595" s="117"/>
      <c r="Z595" s="115"/>
      <c r="AA595" s="180"/>
      <c r="AB595" s="117"/>
      <c r="AC595" s="117"/>
      <c r="AD595" s="117"/>
      <c r="AE595" s="115"/>
      <c r="AF595" s="180"/>
      <c r="AG595" s="117"/>
      <c r="AH595" s="117"/>
      <c r="AI595" s="117"/>
      <c r="AJ595" s="115"/>
      <c r="AK595" s="180"/>
      <c r="AL595" s="117"/>
      <c r="AM595" s="117"/>
      <c r="AN595" s="117"/>
      <c r="AO595" s="338"/>
      <c r="AP595" s="338"/>
      <c r="AQ595" s="338"/>
      <c r="AR595" s="338"/>
      <c r="AS595" s="338"/>
      <c r="AT595" s="338"/>
      <c r="AU595" s="338"/>
      <c r="AV595" s="338"/>
      <c r="AW595" s="338"/>
      <c r="AX595" s="338"/>
      <c r="AY595" s="338"/>
      <c r="AZ595" s="338"/>
      <c r="BA595" s="338"/>
      <c r="BB595" s="338"/>
      <c r="BC595" s="338"/>
    </row>
    <row r="596">
      <c r="A596" s="115"/>
      <c r="B596" s="180"/>
      <c r="C596" s="117"/>
      <c r="D596" s="117"/>
      <c r="E596" s="117"/>
      <c r="F596" s="115"/>
      <c r="G596" s="180"/>
      <c r="H596" s="117"/>
      <c r="I596" s="117"/>
      <c r="J596" s="117"/>
      <c r="K596" s="92"/>
      <c r="L596" s="180"/>
      <c r="M596" s="117"/>
      <c r="N596" s="117"/>
      <c r="O596" s="117"/>
      <c r="P596" s="92"/>
      <c r="Q596" s="150"/>
      <c r="R596" s="117"/>
      <c r="S596" s="117"/>
      <c r="T596" s="117"/>
      <c r="U596" s="115"/>
      <c r="V596" s="180"/>
      <c r="W596" s="117"/>
      <c r="X596" s="117"/>
      <c r="Y596" s="117"/>
      <c r="Z596" s="115"/>
      <c r="AA596" s="180"/>
      <c r="AB596" s="117"/>
      <c r="AC596" s="117"/>
      <c r="AD596" s="117"/>
      <c r="AE596" s="115"/>
      <c r="AF596" s="180"/>
      <c r="AG596" s="117"/>
      <c r="AH596" s="117"/>
      <c r="AI596" s="117"/>
      <c r="AJ596" s="115"/>
      <c r="AK596" s="180"/>
      <c r="AL596" s="117"/>
      <c r="AM596" s="117"/>
      <c r="AN596" s="117"/>
      <c r="AO596" s="338"/>
      <c r="AP596" s="338"/>
      <c r="AQ596" s="338"/>
      <c r="AR596" s="338"/>
      <c r="AS596" s="338"/>
      <c r="AT596" s="338"/>
      <c r="AU596" s="338"/>
      <c r="AV596" s="338"/>
      <c r="AW596" s="338"/>
      <c r="AX596" s="338"/>
      <c r="AY596" s="338"/>
      <c r="AZ596" s="338"/>
      <c r="BA596" s="338"/>
      <c r="BB596" s="338"/>
      <c r="BC596" s="338"/>
    </row>
    <row r="597">
      <c r="A597" s="115"/>
      <c r="B597" s="180"/>
      <c r="C597" s="117"/>
      <c r="D597" s="117"/>
      <c r="E597" s="117"/>
      <c r="F597" s="115"/>
      <c r="G597" s="180"/>
      <c r="H597" s="117"/>
      <c r="I597" s="117"/>
      <c r="J597" s="117"/>
      <c r="K597" s="92"/>
      <c r="L597" s="180"/>
      <c r="M597" s="117"/>
      <c r="N597" s="117"/>
      <c r="O597" s="117"/>
      <c r="P597" s="92"/>
      <c r="Q597" s="150"/>
      <c r="R597" s="117"/>
      <c r="S597" s="117"/>
      <c r="T597" s="117"/>
      <c r="U597" s="115"/>
      <c r="V597" s="180"/>
      <c r="W597" s="117"/>
      <c r="X597" s="117"/>
      <c r="Y597" s="117"/>
      <c r="Z597" s="115"/>
      <c r="AA597" s="180"/>
      <c r="AB597" s="117"/>
      <c r="AC597" s="117"/>
      <c r="AD597" s="117"/>
      <c r="AE597" s="115"/>
      <c r="AF597" s="180"/>
      <c r="AG597" s="117"/>
      <c r="AH597" s="117"/>
      <c r="AI597" s="117"/>
      <c r="AJ597" s="115"/>
      <c r="AK597" s="180"/>
      <c r="AL597" s="117"/>
      <c r="AM597" s="117"/>
      <c r="AN597" s="117"/>
      <c r="AO597" s="338"/>
      <c r="AP597" s="338"/>
      <c r="AQ597" s="338"/>
      <c r="AR597" s="338"/>
      <c r="AS597" s="338"/>
      <c r="AT597" s="338"/>
      <c r="AU597" s="338"/>
      <c r="AV597" s="338"/>
      <c r="AW597" s="338"/>
      <c r="AX597" s="338"/>
      <c r="AY597" s="338"/>
      <c r="AZ597" s="338"/>
      <c r="BA597" s="338"/>
      <c r="BB597" s="338"/>
      <c r="BC597" s="338"/>
    </row>
    <row r="598">
      <c r="A598" s="115"/>
      <c r="B598" s="180"/>
      <c r="C598" s="117"/>
      <c r="D598" s="117"/>
      <c r="E598" s="117"/>
      <c r="F598" s="115"/>
      <c r="G598" s="180"/>
      <c r="H598" s="117"/>
      <c r="I598" s="117"/>
      <c r="J598" s="117"/>
      <c r="K598" s="92"/>
      <c r="L598" s="180"/>
      <c r="M598" s="117"/>
      <c r="N598" s="117"/>
      <c r="O598" s="117"/>
      <c r="P598" s="92"/>
      <c r="Q598" s="150"/>
      <c r="R598" s="117"/>
      <c r="S598" s="117"/>
      <c r="T598" s="117"/>
      <c r="U598" s="115"/>
      <c r="V598" s="180"/>
      <c r="W598" s="117"/>
      <c r="X598" s="117"/>
      <c r="Y598" s="117"/>
      <c r="Z598" s="115"/>
      <c r="AA598" s="180"/>
      <c r="AB598" s="117"/>
      <c r="AC598" s="117"/>
      <c r="AD598" s="117"/>
      <c r="AE598" s="115"/>
      <c r="AF598" s="180"/>
      <c r="AG598" s="117"/>
      <c r="AH598" s="117"/>
      <c r="AI598" s="117"/>
      <c r="AJ598" s="115"/>
      <c r="AK598" s="180"/>
      <c r="AL598" s="117"/>
      <c r="AM598" s="117"/>
      <c r="AN598" s="117"/>
      <c r="AO598" s="338"/>
      <c r="AP598" s="338"/>
      <c r="AQ598" s="338"/>
      <c r="AR598" s="338"/>
      <c r="AS598" s="338"/>
      <c r="AT598" s="338"/>
      <c r="AU598" s="338"/>
      <c r="AV598" s="338"/>
      <c r="AW598" s="338"/>
      <c r="AX598" s="338"/>
      <c r="AY598" s="338"/>
      <c r="AZ598" s="338"/>
      <c r="BA598" s="338"/>
      <c r="BB598" s="338"/>
      <c r="BC598" s="338"/>
    </row>
    <row r="599">
      <c r="A599" s="115"/>
      <c r="B599" s="180"/>
      <c r="C599" s="117"/>
      <c r="D599" s="117"/>
      <c r="E599" s="117"/>
      <c r="F599" s="115"/>
      <c r="G599" s="180"/>
      <c r="H599" s="117"/>
      <c r="I599" s="117"/>
      <c r="J599" s="117"/>
      <c r="K599" s="92"/>
      <c r="L599" s="180"/>
      <c r="M599" s="117"/>
      <c r="N599" s="117"/>
      <c r="O599" s="117"/>
      <c r="P599" s="92"/>
      <c r="Q599" s="150"/>
      <c r="R599" s="117"/>
      <c r="S599" s="117"/>
      <c r="T599" s="117"/>
      <c r="U599" s="115"/>
      <c r="V599" s="180"/>
      <c r="W599" s="117"/>
      <c r="X599" s="117"/>
      <c r="Y599" s="117"/>
      <c r="Z599" s="115"/>
      <c r="AA599" s="180"/>
      <c r="AB599" s="117"/>
      <c r="AC599" s="117"/>
      <c r="AD599" s="117"/>
      <c r="AE599" s="115"/>
      <c r="AF599" s="180"/>
      <c r="AG599" s="117"/>
      <c r="AH599" s="117"/>
      <c r="AI599" s="117"/>
      <c r="AJ599" s="115"/>
      <c r="AK599" s="180"/>
      <c r="AL599" s="117"/>
      <c r="AM599" s="117"/>
      <c r="AN599" s="117"/>
      <c r="AO599" s="338"/>
      <c r="AP599" s="338"/>
      <c r="AQ599" s="338"/>
      <c r="AR599" s="338"/>
      <c r="AS599" s="338"/>
      <c r="AT599" s="338"/>
      <c r="AU599" s="338"/>
      <c r="AV599" s="338"/>
      <c r="AW599" s="338"/>
      <c r="AX599" s="338"/>
      <c r="AY599" s="338"/>
      <c r="AZ599" s="338"/>
      <c r="BA599" s="338"/>
      <c r="BB599" s="338"/>
      <c r="BC599" s="338"/>
    </row>
    <row r="600">
      <c r="A600" s="115"/>
      <c r="B600" s="180"/>
      <c r="C600" s="117"/>
      <c r="D600" s="117"/>
      <c r="E600" s="117"/>
      <c r="F600" s="115"/>
      <c r="G600" s="180"/>
      <c r="H600" s="117"/>
      <c r="I600" s="117"/>
      <c r="J600" s="117"/>
      <c r="K600" s="92"/>
      <c r="L600" s="180"/>
      <c r="M600" s="117"/>
      <c r="N600" s="117"/>
      <c r="O600" s="117"/>
      <c r="P600" s="92"/>
      <c r="Q600" s="150"/>
      <c r="R600" s="117"/>
      <c r="S600" s="117"/>
      <c r="T600" s="117"/>
      <c r="U600" s="115"/>
      <c r="V600" s="180"/>
      <c r="W600" s="117"/>
      <c r="X600" s="117"/>
      <c r="Y600" s="117"/>
      <c r="Z600" s="115"/>
      <c r="AA600" s="180"/>
      <c r="AB600" s="117"/>
      <c r="AC600" s="117"/>
      <c r="AD600" s="117"/>
      <c r="AE600" s="115"/>
      <c r="AF600" s="180"/>
      <c r="AG600" s="117"/>
      <c r="AH600" s="117"/>
      <c r="AI600" s="117"/>
      <c r="AJ600" s="115"/>
      <c r="AK600" s="180"/>
      <c r="AL600" s="117"/>
      <c r="AM600" s="117"/>
      <c r="AN600" s="117"/>
      <c r="AO600" s="338"/>
      <c r="AP600" s="338"/>
      <c r="AQ600" s="338"/>
      <c r="AR600" s="338"/>
      <c r="AS600" s="338"/>
      <c r="AT600" s="338"/>
      <c r="AU600" s="338"/>
      <c r="AV600" s="338"/>
      <c r="AW600" s="338"/>
      <c r="AX600" s="338"/>
      <c r="AY600" s="338"/>
      <c r="AZ600" s="338"/>
      <c r="BA600" s="338"/>
      <c r="BB600" s="338"/>
      <c r="BC600" s="338"/>
    </row>
    <row r="601">
      <c r="A601" s="115"/>
      <c r="B601" s="180"/>
      <c r="C601" s="117"/>
      <c r="D601" s="117"/>
      <c r="E601" s="117"/>
      <c r="F601" s="115"/>
      <c r="G601" s="180"/>
      <c r="H601" s="117"/>
      <c r="I601" s="117"/>
      <c r="J601" s="117"/>
      <c r="K601" s="92"/>
      <c r="L601" s="180"/>
      <c r="M601" s="117"/>
      <c r="N601" s="117"/>
      <c r="O601" s="117"/>
      <c r="P601" s="92"/>
      <c r="Q601" s="150"/>
      <c r="R601" s="117"/>
      <c r="S601" s="117"/>
      <c r="T601" s="117"/>
      <c r="U601" s="115"/>
      <c r="V601" s="180"/>
      <c r="W601" s="117"/>
      <c r="X601" s="117"/>
      <c r="Y601" s="117"/>
      <c r="Z601" s="115"/>
      <c r="AA601" s="180"/>
      <c r="AB601" s="117"/>
      <c r="AC601" s="117"/>
      <c r="AD601" s="117"/>
      <c r="AE601" s="115"/>
      <c r="AF601" s="180"/>
      <c r="AG601" s="117"/>
      <c r="AH601" s="117"/>
      <c r="AI601" s="117"/>
      <c r="AJ601" s="115"/>
      <c r="AK601" s="180"/>
      <c r="AL601" s="117"/>
      <c r="AM601" s="117"/>
      <c r="AN601" s="117"/>
      <c r="AO601" s="338"/>
      <c r="AP601" s="338"/>
      <c r="AQ601" s="338"/>
      <c r="AR601" s="338"/>
      <c r="AS601" s="338"/>
      <c r="AT601" s="338"/>
      <c r="AU601" s="338"/>
      <c r="AV601" s="338"/>
      <c r="AW601" s="338"/>
      <c r="AX601" s="338"/>
      <c r="AY601" s="338"/>
      <c r="AZ601" s="338"/>
      <c r="BA601" s="338"/>
      <c r="BB601" s="338"/>
      <c r="BC601" s="338"/>
    </row>
    <row r="602">
      <c r="A602" s="115"/>
      <c r="B602" s="180"/>
      <c r="C602" s="117"/>
      <c r="D602" s="117"/>
      <c r="E602" s="117"/>
      <c r="F602" s="115"/>
      <c r="G602" s="180"/>
      <c r="H602" s="117"/>
      <c r="I602" s="117"/>
      <c r="J602" s="117"/>
      <c r="K602" s="92"/>
      <c r="L602" s="180"/>
      <c r="M602" s="117"/>
      <c r="N602" s="117"/>
      <c r="O602" s="117"/>
      <c r="P602" s="92"/>
      <c r="Q602" s="150"/>
      <c r="R602" s="117"/>
      <c r="S602" s="117"/>
      <c r="T602" s="117"/>
      <c r="U602" s="115"/>
      <c r="V602" s="180"/>
      <c r="W602" s="117"/>
      <c r="X602" s="117"/>
      <c r="Y602" s="117"/>
      <c r="Z602" s="115"/>
      <c r="AA602" s="180"/>
      <c r="AB602" s="117"/>
      <c r="AC602" s="117"/>
      <c r="AD602" s="117"/>
      <c r="AE602" s="115"/>
      <c r="AF602" s="180"/>
      <c r="AG602" s="117"/>
      <c r="AH602" s="117"/>
      <c r="AI602" s="117"/>
      <c r="AJ602" s="115"/>
      <c r="AK602" s="180"/>
      <c r="AL602" s="117"/>
      <c r="AM602" s="117"/>
      <c r="AN602" s="117"/>
      <c r="AO602" s="338"/>
      <c r="AP602" s="338"/>
      <c r="AQ602" s="338"/>
      <c r="AR602" s="338"/>
      <c r="AS602" s="338"/>
      <c r="AT602" s="338"/>
      <c r="AU602" s="338"/>
      <c r="AV602" s="338"/>
      <c r="AW602" s="338"/>
      <c r="AX602" s="338"/>
      <c r="AY602" s="338"/>
      <c r="AZ602" s="338"/>
      <c r="BA602" s="338"/>
      <c r="BB602" s="338"/>
      <c r="BC602" s="338"/>
    </row>
    <row r="603">
      <c r="A603" s="115"/>
      <c r="B603" s="180"/>
      <c r="C603" s="117"/>
      <c r="D603" s="117"/>
      <c r="E603" s="117"/>
      <c r="F603" s="115"/>
      <c r="G603" s="180"/>
      <c r="H603" s="117"/>
      <c r="I603" s="117"/>
      <c r="J603" s="117"/>
      <c r="K603" s="92"/>
      <c r="L603" s="180"/>
      <c r="M603" s="117"/>
      <c r="N603" s="117"/>
      <c r="O603" s="117"/>
      <c r="P603" s="92"/>
      <c r="Q603" s="150"/>
      <c r="R603" s="117"/>
      <c r="S603" s="117"/>
      <c r="T603" s="117"/>
      <c r="U603" s="115"/>
      <c r="V603" s="180"/>
      <c r="W603" s="117"/>
      <c r="X603" s="117"/>
      <c r="Y603" s="117"/>
      <c r="Z603" s="115"/>
      <c r="AA603" s="180"/>
      <c r="AB603" s="117"/>
      <c r="AC603" s="117"/>
      <c r="AD603" s="117"/>
      <c r="AE603" s="115"/>
      <c r="AF603" s="180"/>
      <c r="AG603" s="117"/>
      <c r="AH603" s="117"/>
      <c r="AI603" s="117"/>
      <c r="AJ603" s="115"/>
      <c r="AK603" s="180"/>
      <c r="AL603" s="117"/>
      <c r="AM603" s="117"/>
      <c r="AN603" s="117"/>
      <c r="AO603" s="338"/>
      <c r="AP603" s="338"/>
      <c r="AQ603" s="338"/>
      <c r="AR603" s="338"/>
      <c r="AS603" s="338"/>
      <c r="AT603" s="338"/>
      <c r="AU603" s="338"/>
      <c r="AV603" s="338"/>
      <c r="AW603" s="338"/>
      <c r="AX603" s="338"/>
      <c r="AY603" s="338"/>
      <c r="AZ603" s="338"/>
      <c r="BA603" s="338"/>
      <c r="BB603" s="338"/>
      <c r="BC603" s="338"/>
    </row>
    <row r="604">
      <c r="A604" s="115"/>
      <c r="B604" s="180"/>
      <c r="C604" s="117"/>
      <c r="D604" s="117"/>
      <c r="E604" s="117"/>
      <c r="F604" s="115"/>
      <c r="G604" s="180"/>
      <c r="H604" s="117"/>
      <c r="I604" s="117"/>
      <c r="J604" s="117"/>
      <c r="K604" s="92"/>
      <c r="L604" s="180"/>
      <c r="M604" s="117"/>
      <c r="N604" s="117"/>
      <c r="O604" s="117"/>
      <c r="P604" s="92"/>
      <c r="Q604" s="150"/>
      <c r="R604" s="117"/>
      <c r="S604" s="117"/>
      <c r="T604" s="117"/>
      <c r="U604" s="115"/>
      <c r="V604" s="180"/>
      <c r="W604" s="117"/>
      <c r="X604" s="117"/>
      <c r="Y604" s="117"/>
      <c r="Z604" s="115"/>
      <c r="AA604" s="180"/>
      <c r="AB604" s="117"/>
      <c r="AC604" s="117"/>
      <c r="AD604" s="117"/>
      <c r="AE604" s="115"/>
      <c r="AF604" s="180"/>
      <c r="AG604" s="117"/>
      <c r="AH604" s="117"/>
      <c r="AI604" s="117"/>
      <c r="AJ604" s="115"/>
      <c r="AK604" s="180"/>
      <c r="AL604" s="117"/>
      <c r="AM604" s="117"/>
      <c r="AN604" s="117"/>
      <c r="AO604" s="338"/>
      <c r="AP604" s="338"/>
      <c r="AQ604" s="338"/>
      <c r="AR604" s="338"/>
      <c r="AS604" s="338"/>
      <c r="AT604" s="338"/>
      <c r="AU604" s="338"/>
      <c r="AV604" s="338"/>
      <c r="AW604" s="338"/>
      <c r="AX604" s="338"/>
      <c r="AY604" s="338"/>
      <c r="AZ604" s="338"/>
      <c r="BA604" s="338"/>
      <c r="BB604" s="338"/>
      <c r="BC604" s="338"/>
    </row>
    <row r="605">
      <c r="A605" s="115"/>
      <c r="B605" s="180"/>
      <c r="C605" s="117"/>
      <c r="D605" s="117"/>
      <c r="E605" s="117"/>
      <c r="F605" s="115"/>
      <c r="G605" s="180"/>
      <c r="H605" s="117"/>
      <c r="I605" s="117"/>
      <c r="J605" s="117"/>
      <c r="K605" s="92"/>
      <c r="L605" s="180"/>
      <c r="M605" s="117"/>
      <c r="N605" s="117"/>
      <c r="O605" s="117"/>
      <c r="P605" s="92"/>
      <c r="Q605" s="150"/>
      <c r="R605" s="117"/>
      <c r="S605" s="117"/>
      <c r="T605" s="117"/>
      <c r="U605" s="115"/>
      <c r="V605" s="180"/>
      <c r="W605" s="117"/>
      <c r="X605" s="117"/>
      <c r="Y605" s="117"/>
      <c r="Z605" s="115"/>
      <c r="AA605" s="180"/>
      <c r="AB605" s="117"/>
      <c r="AC605" s="117"/>
      <c r="AD605" s="117"/>
      <c r="AE605" s="115"/>
      <c r="AF605" s="180"/>
      <c r="AG605" s="117"/>
      <c r="AH605" s="117"/>
      <c r="AI605" s="117"/>
      <c r="AJ605" s="115"/>
      <c r="AK605" s="180"/>
      <c r="AL605" s="117"/>
      <c r="AM605" s="117"/>
      <c r="AN605" s="117"/>
      <c r="AO605" s="338"/>
      <c r="AP605" s="338"/>
      <c r="AQ605" s="338"/>
      <c r="AR605" s="338"/>
      <c r="AS605" s="338"/>
      <c r="AT605" s="338"/>
      <c r="AU605" s="338"/>
      <c r="AV605" s="338"/>
      <c r="AW605" s="338"/>
      <c r="AX605" s="338"/>
      <c r="AY605" s="338"/>
      <c r="AZ605" s="338"/>
      <c r="BA605" s="338"/>
      <c r="BB605" s="338"/>
      <c r="BC605" s="338"/>
    </row>
    <row r="606">
      <c r="A606" s="115"/>
      <c r="B606" s="180"/>
      <c r="C606" s="117"/>
      <c r="D606" s="117"/>
      <c r="E606" s="117"/>
      <c r="F606" s="115"/>
      <c r="G606" s="180"/>
      <c r="H606" s="117"/>
      <c r="I606" s="117"/>
      <c r="J606" s="117"/>
      <c r="K606" s="92"/>
      <c r="L606" s="180"/>
      <c r="M606" s="117"/>
      <c r="N606" s="117"/>
      <c r="O606" s="117"/>
      <c r="P606" s="92"/>
      <c r="Q606" s="150"/>
      <c r="R606" s="117"/>
      <c r="S606" s="117"/>
      <c r="T606" s="117"/>
      <c r="U606" s="115"/>
      <c r="V606" s="180"/>
      <c r="W606" s="117"/>
      <c r="X606" s="117"/>
      <c r="Y606" s="117"/>
      <c r="Z606" s="115"/>
      <c r="AA606" s="180"/>
      <c r="AB606" s="117"/>
      <c r="AC606" s="117"/>
      <c r="AD606" s="117"/>
      <c r="AE606" s="115"/>
      <c r="AF606" s="180"/>
      <c r="AG606" s="117"/>
      <c r="AH606" s="117"/>
      <c r="AI606" s="117"/>
      <c r="AJ606" s="115"/>
      <c r="AK606" s="180"/>
      <c r="AL606" s="117"/>
      <c r="AM606" s="117"/>
      <c r="AN606" s="117"/>
      <c r="AO606" s="338"/>
      <c r="AP606" s="338"/>
      <c r="AQ606" s="338"/>
      <c r="AR606" s="338"/>
      <c r="AS606" s="338"/>
      <c r="AT606" s="338"/>
      <c r="AU606" s="338"/>
      <c r="AV606" s="338"/>
      <c r="AW606" s="338"/>
      <c r="AX606" s="338"/>
      <c r="AY606" s="338"/>
      <c r="AZ606" s="338"/>
      <c r="BA606" s="338"/>
      <c r="BB606" s="338"/>
      <c r="BC606" s="338"/>
    </row>
    <row r="607">
      <c r="A607" s="115"/>
      <c r="B607" s="180"/>
      <c r="C607" s="117"/>
      <c r="D607" s="117"/>
      <c r="E607" s="117"/>
      <c r="F607" s="115"/>
      <c r="G607" s="180"/>
      <c r="H607" s="117"/>
      <c r="I607" s="117"/>
      <c r="J607" s="117"/>
      <c r="K607" s="92"/>
      <c r="L607" s="180"/>
      <c r="M607" s="117"/>
      <c r="N607" s="117"/>
      <c r="O607" s="117"/>
      <c r="P607" s="92"/>
      <c r="Q607" s="150"/>
      <c r="R607" s="117"/>
      <c r="S607" s="117"/>
      <c r="T607" s="117"/>
      <c r="U607" s="115"/>
      <c r="V607" s="180"/>
      <c r="W607" s="117"/>
      <c r="X607" s="117"/>
      <c r="Y607" s="117"/>
      <c r="Z607" s="115"/>
      <c r="AA607" s="180"/>
      <c r="AB607" s="117"/>
      <c r="AC607" s="117"/>
      <c r="AD607" s="117"/>
      <c r="AE607" s="115"/>
      <c r="AF607" s="180"/>
      <c r="AG607" s="117"/>
      <c r="AH607" s="117"/>
      <c r="AI607" s="117"/>
      <c r="AJ607" s="115"/>
      <c r="AK607" s="180"/>
      <c r="AL607" s="117"/>
      <c r="AM607" s="117"/>
      <c r="AN607" s="117"/>
      <c r="AO607" s="338"/>
      <c r="AP607" s="338"/>
      <c r="AQ607" s="338"/>
      <c r="AR607" s="338"/>
      <c r="AS607" s="338"/>
      <c r="AT607" s="338"/>
      <c r="AU607" s="338"/>
      <c r="AV607" s="338"/>
      <c r="AW607" s="338"/>
      <c r="AX607" s="338"/>
      <c r="AY607" s="338"/>
      <c r="AZ607" s="338"/>
      <c r="BA607" s="338"/>
      <c r="BB607" s="338"/>
      <c r="BC607" s="338"/>
    </row>
    <row r="608">
      <c r="A608" s="115"/>
      <c r="B608" s="180"/>
      <c r="C608" s="117"/>
      <c r="D608" s="117"/>
      <c r="E608" s="117"/>
      <c r="F608" s="115"/>
      <c r="G608" s="180"/>
      <c r="H608" s="117"/>
      <c r="I608" s="117"/>
      <c r="J608" s="117"/>
      <c r="K608" s="92"/>
      <c r="L608" s="180"/>
      <c r="M608" s="117"/>
      <c r="N608" s="117"/>
      <c r="O608" s="117"/>
      <c r="P608" s="92"/>
      <c r="Q608" s="150"/>
      <c r="R608" s="117"/>
      <c r="S608" s="117"/>
      <c r="T608" s="117"/>
      <c r="U608" s="115"/>
      <c r="V608" s="180"/>
      <c r="W608" s="117"/>
      <c r="X608" s="117"/>
      <c r="Y608" s="117"/>
      <c r="Z608" s="115"/>
      <c r="AA608" s="180"/>
      <c r="AB608" s="117"/>
      <c r="AC608" s="117"/>
      <c r="AD608" s="117"/>
      <c r="AE608" s="115"/>
      <c r="AF608" s="180"/>
      <c r="AG608" s="117"/>
      <c r="AH608" s="117"/>
      <c r="AI608" s="117"/>
      <c r="AJ608" s="115"/>
      <c r="AK608" s="180"/>
      <c r="AL608" s="117"/>
      <c r="AM608" s="117"/>
      <c r="AN608" s="117"/>
      <c r="AO608" s="338"/>
      <c r="AP608" s="338"/>
      <c r="AQ608" s="338"/>
      <c r="AR608" s="338"/>
      <c r="AS608" s="338"/>
      <c r="AT608" s="338"/>
      <c r="AU608" s="338"/>
      <c r="AV608" s="338"/>
      <c r="AW608" s="338"/>
      <c r="AX608" s="338"/>
      <c r="AY608" s="338"/>
      <c r="AZ608" s="338"/>
      <c r="BA608" s="338"/>
      <c r="BB608" s="338"/>
      <c r="BC608" s="338"/>
    </row>
    <row r="609">
      <c r="A609" s="115"/>
      <c r="B609" s="180"/>
      <c r="C609" s="117"/>
      <c r="D609" s="117"/>
      <c r="E609" s="117"/>
      <c r="F609" s="115"/>
      <c r="G609" s="180"/>
      <c r="H609" s="117"/>
      <c r="I609" s="117"/>
      <c r="J609" s="117"/>
      <c r="K609" s="92"/>
      <c r="L609" s="180"/>
      <c r="M609" s="117"/>
      <c r="N609" s="117"/>
      <c r="O609" s="117"/>
      <c r="P609" s="92"/>
      <c r="Q609" s="150"/>
      <c r="R609" s="117"/>
      <c r="S609" s="117"/>
      <c r="T609" s="117"/>
      <c r="U609" s="115"/>
      <c r="V609" s="180"/>
      <c r="W609" s="117"/>
      <c r="X609" s="117"/>
      <c r="Y609" s="117"/>
      <c r="Z609" s="115"/>
      <c r="AA609" s="180"/>
      <c r="AB609" s="117"/>
      <c r="AC609" s="117"/>
      <c r="AD609" s="117"/>
      <c r="AE609" s="115"/>
      <c r="AF609" s="180"/>
      <c r="AG609" s="117"/>
      <c r="AH609" s="117"/>
      <c r="AI609" s="117"/>
      <c r="AJ609" s="115"/>
      <c r="AK609" s="180"/>
      <c r="AL609" s="117"/>
      <c r="AM609" s="117"/>
      <c r="AN609" s="117"/>
      <c r="AO609" s="338"/>
      <c r="AP609" s="338"/>
      <c r="AQ609" s="338"/>
      <c r="AR609" s="338"/>
      <c r="AS609" s="338"/>
      <c r="AT609" s="338"/>
      <c r="AU609" s="338"/>
      <c r="AV609" s="338"/>
      <c r="AW609" s="338"/>
      <c r="AX609" s="338"/>
      <c r="AY609" s="338"/>
      <c r="AZ609" s="338"/>
      <c r="BA609" s="338"/>
      <c r="BB609" s="338"/>
      <c r="BC609" s="338"/>
    </row>
    <row r="610">
      <c r="A610" s="115"/>
      <c r="B610" s="180"/>
      <c r="C610" s="117"/>
      <c r="D610" s="117"/>
      <c r="E610" s="117"/>
      <c r="F610" s="115"/>
      <c r="G610" s="180"/>
      <c r="H610" s="117"/>
      <c r="I610" s="117"/>
      <c r="J610" s="117"/>
      <c r="K610" s="92"/>
      <c r="L610" s="180"/>
      <c r="M610" s="117"/>
      <c r="N610" s="117"/>
      <c r="O610" s="117"/>
      <c r="P610" s="92"/>
      <c r="Q610" s="150"/>
      <c r="R610" s="117"/>
      <c r="S610" s="117"/>
      <c r="T610" s="117"/>
      <c r="U610" s="115"/>
      <c r="V610" s="180"/>
      <c r="W610" s="117"/>
      <c r="X610" s="117"/>
      <c r="Y610" s="117"/>
      <c r="Z610" s="115"/>
      <c r="AA610" s="180"/>
      <c r="AB610" s="117"/>
      <c r="AC610" s="117"/>
      <c r="AD610" s="117"/>
      <c r="AE610" s="115"/>
      <c r="AF610" s="180"/>
      <c r="AG610" s="117"/>
      <c r="AH610" s="117"/>
      <c r="AI610" s="117"/>
      <c r="AJ610" s="115"/>
      <c r="AK610" s="180"/>
      <c r="AL610" s="117"/>
      <c r="AM610" s="117"/>
      <c r="AN610" s="117"/>
      <c r="AO610" s="338"/>
      <c r="AP610" s="338"/>
      <c r="AQ610" s="338"/>
      <c r="AR610" s="338"/>
      <c r="AS610" s="338"/>
      <c r="AT610" s="338"/>
      <c r="AU610" s="338"/>
      <c r="AV610" s="338"/>
      <c r="AW610" s="338"/>
      <c r="AX610" s="338"/>
      <c r="AY610" s="338"/>
      <c r="AZ610" s="338"/>
      <c r="BA610" s="338"/>
      <c r="BB610" s="338"/>
      <c r="BC610" s="338"/>
    </row>
    <row r="611">
      <c r="A611" s="115"/>
      <c r="B611" s="180"/>
      <c r="C611" s="117"/>
      <c r="D611" s="117"/>
      <c r="E611" s="117"/>
      <c r="F611" s="115"/>
      <c r="G611" s="180"/>
      <c r="H611" s="117"/>
      <c r="I611" s="117"/>
      <c r="J611" s="117"/>
      <c r="K611" s="92"/>
      <c r="L611" s="180"/>
      <c r="M611" s="117"/>
      <c r="N611" s="117"/>
      <c r="O611" s="117"/>
      <c r="P611" s="92"/>
      <c r="Q611" s="150"/>
      <c r="R611" s="117"/>
      <c r="S611" s="117"/>
      <c r="T611" s="117"/>
      <c r="U611" s="115"/>
      <c r="V611" s="180"/>
      <c r="W611" s="117"/>
      <c r="X611" s="117"/>
      <c r="Y611" s="117"/>
      <c r="Z611" s="115"/>
      <c r="AA611" s="180"/>
      <c r="AB611" s="117"/>
      <c r="AC611" s="117"/>
      <c r="AD611" s="117"/>
      <c r="AE611" s="115"/>
      <c r="AF611" s="180"/>
      <c r="AG611" s="117"/>
      <c r="AH611" s="117"/>
      <c r="AI611" s="117"/>
      <c r="AJ611" s="115"/>
      <c r="AK611" s="180"/>
      <c r="AL611" s="117"/>
      <c r="AM611" s="117"/>
      <c r="AN611" s="117"/>
      <c r="AO611" s="338"/>
      <c r="AP611" s="338"/>
      <c r="AQ611" s="338"/>
      <c r="AR611" s="338"/>
      <c r="AS611" s="338"/>
      <c r="AT611" s="338"/>
      <c r="AU611" s="338"/>
      <c r="AV611" s="338"/>
      <c r="AW611" s="338"/>
      <c r="AX611" s="338"/>
      <c r="AY611" s="338"/>
      <c r="AZ611" s="338"/>
      <c r="BA611" s="338"/>
      <c r="BB611" s="338"/>
      <c r="BC611" s="338"/>
    </row>
    <row r="612">
      <c r="A612" s="115"/>
      <c r="B612" s="180"/>
      <c r="C612" s="117"/>
      <c r="D612" s="117"/>
      <c r="E612" s="117"/>
      <c r="F612" s="115"/>
      <c r="G612" s="180"/>
      <c r="H612" s="117"/>
      <c r="I612" s="117"/>
      <c r="J612" s="117"/>
      <c r="K612" s="92"/>
      <c r="L612" s="180"/>
      <c r="M612" s="117"/>
      <c r="N612" s="117"/>
      <c r="O612" s="117"/>
      <c r="P612" s="92"/>
      <c r="Q612" s="150"/>
      <c r="R612" s="117"/>
      <c r="S612" s="117"/>
      <c r="T612" s="117"/>
      <c r="U612" s="115"/>
      <c r="V612" s="180"/>
      <c r="W612" s="117"/>
      <c r="X612" s="117"/>
      <c r="Y612" s="117"/>
      <c r="Z612" s="115"/>
      <c r="AA612" s="180"/>
      <c r="AB612" s="117"/>
      <c r="AC612" s="117"/>
      <c r="AD612" s="117"/>
      <c r="AE612" s="115"/>
      <c r="AF612" s="180"/>
      <c r="AG612" s="117"/>
      <c r="AH612" s="117"/>
      <c r="AI612" s="117"/>
      <c r="AJ612" s="115"/>
      <c r="AK612" s="180"/>
      <c r="AL612" s="117"/>
      <c r="AM612" s="117"/>
      <c r="AN612" s="117"/>
      <c r="AO612" s="338"/>
      <c r="AP612" s="338"/>
      <c r="AQ612" s="338"/>
      <c r="AR612" s="338"/>
      <c r="AS612" s="338"/>
      <c r="AT612" s="338"/>
      <c r="AU612" s="338"/>
      <c r="AV612" s="338"/>
      <c r="AW612" s="338"/>
      <c r="AX612" s="338"/>
      <c r="AY612" s="338"/>
      <c r="AZ612" s="338"/>
      <c r="BA612" s="338"/>
      <c r="BB612" s="338"/>
      <c r="BC612" s="338"/>
    </row>
    <row r="613">
      <c r="A613" s="115"/>
      <c r="B613" s="180"/>
      <c r="C613" s="117"/>
      <c r="D613" s="117"/>
      <c r="E613" s="117"/>
      <c r="F613" s="115"/>
      <c r="G613" s="180"/>
      <c r="H613" s="117"/>
      <c r="I613" s="117"/>
      <c r="J613" s="117"/>
      <c r="K613" s="92"/>
      <c r="L613" s="180"/>
      <c r="M613" s="117"/>
      <c r="N613" s="117"/>
      <c r="O613" s="117"/>
      <c r="P613" s="92"/>
      <c r="Q613" s="150"/>
      <c r="R613" s="117"/>
      <c r="S613" s="117"/>
      <c r="T613" s="117"/>
      <c r="U613" s="115"/>
      <c r="V613" s="180"/>
      <c r="W613" s="117"/>
      <c r="X613" s="117"/>
      <c r="Y613" s="117"/>
      <c r="Z613" s="115"/>
      <c r="AA613" s="180"/>
      <c r="AB613" s="117"/>
      <c r="AC613" s="117"/>
      <c r="AD613" s="117"/>
      <c r="AE613" s="115"/>
      <c r="AF613" s="180"/>
      <c r="AG613" s="117"/>
      <c r="AH613" s="117"/>
      <c r="AI613" s="117"/>
      <c r="AJ613" s="115"/>
      <c r="AK613" s="180"/>
      <c r="AL613" s="117"/>
      <c r="AM613" s="117"/>
      <c r="AN613" s="117"/>
      <c r="AO613" s="338"/>
      <c r="AP613" s="338"/>
      <c r="AQ613" s="338"/>
      <c r="AR613" s="338"/>
      <c r="AS613" s="338"/>
      <c r="AT613" s="338"/>
      <c r="AU613" s="338"/>
      <c r="AV613" s="338"/>
      <c r="AW613" s="338"/>
      <c r="AX613" s="338"/>
      <c r="AY613" s="338"/>
      <c r="AZ613" s="338"/>
      <c r="BA613" s="338"/>
      <c r="BB613" s="338"/>
      <c r="BC613" s="338"/>
    </row>
    <row r="614">
      <c r="A614" s="115"/>
      <c r="B614" s="180"/>
      <c r="C614" s="117"/>
      <c r="D614" s="117"/>
      <c r="E614" s="117"/>
      <c r="F614" s="115"/>
      <c r="G614" s="180"/>
      <c r="H614" s="117"/>
      <c r="I614" s="117"/>
      <c r="J614" s="117"/>
      <c r="K614" s="92"/>
      <c r="L614" s="180"/>
      <c r="M614" s="117"/>
      <c r="N614" s="117"/>
      <c r="O614" s="117"/>
      <c r="P614" s="92"/>
      <c r="Q614" s="150"/>
      <c r="R614" s="117"/>
      <c r="S614" s="117"/>
      <c r="T614" s="117"/>
      <c r="U614" s="115"/>
      <c r="V614" s="180"/>
      <c r="W614" s="117"/>
      <c r="X614" s="117"/>
      <c r="Y614" s="117"/>
      <c r="Z614" s="115"/>
      <c r="AA614" s="180"/>
      <c r="AB614" s="117"/>
      <c r="AC614" s="117"/>
      <c r="AD614" s="117"/>
      <c r="AE614" s="115"/>
      <c r="AF614" s="180"/>
      <c r="AG614" s="117"/>
      <c r="AH614" s="117"/>
      <c r="AI614" s="117"/>
      <c r="AJ614" s="115"/>
      <c r="AK614" s="180"/>
      <c r="AL614" s="117"/>
      <c r="AM614" s="117"/>
      <c r="AN614" s="117"/>
      <c r="AO614" s="338"/>
      <c r="AP614" s="338"/>
      <c r="AQ614" s="338"/>
      <c r="AR614" s="338"/>
      <c r="AS614" s="338"/>
      <c r="AT614" s="338"/>
      <c r="AU614" s="338"/>
      <c r="AV614" s="338"/>
      <c r="AW614" s="338"/>
      <c r="AX614" s="338"/>
      <c r="AY614" s="338"/>
      <c r="AZ614" s="338"/>
      <c r="BA614" s="338"/>
      <c r="BB614" s="338"/>
      <c r="BC614" s="338"/>
    </row>
    <row r="615">
      <c r="A615" s="115"/>
      <c r="B615" s="180"/>
      <c r="C615" s="117"/>
      <c r="D615" s="117"/>
      <c r="E615" s="117"/>
      <c r="F615" s="115"/>
      <c r="G615" s="180"/>
      <c r="H615" s="117"/>
      <c r="I615" s="117"/>
      <c r="J615" s="117"/>
      <c r="K615" s="92"/>
      <c r="L615" s="180"/>
      <c r="M615" s="117"/>
      <c r="N615" s="117"/>
      <c r="O615" s="117"/>
      <c r="P615" s="92"/>
      <c r="Q615" s="150"/>
      <c r="R615" s="117"/>
      <c r="S615" s="117"/>
      <c r="T615" s="117"/>
      <c r="U615" s="115"/>
      <c r="V615" s="180"/>
      <c r="W615" s="117"/>
      <c r="X615" s="117"/>
      <c r="Y615" s="117"/>
      <c r="Z615" s="115"/>
      <c r="AA615" s="180"/>
      <c r="AB615" s="117"/>
      <c r="AC615" s="117"/>
      <c r="AD615" s="117"/>
      <c r="AE615" s="115"/>
      <c r="AF615" s="180"/>
      <c r="AG615" s="117"/>
      <c r="AH615" s="117"/>
      <c r="AI615" s="117"/>
      <c r="AJ615" s="115"/>
      <c r="AK615" s="180"/>
      <c r="AL615" s="117"/>
      <c r="AM615" s="117"/>
      <c r="AN615" s="117"/>
      <c r="AO615" s="338"/>
      <c r="AP615" s="338"/>
      <c r="AQ615" s="338"/>
      <c r="AR615" s="338"/>
      <c r="AS615" s="338"/>
      <c r="AT615" s="338"/>
      <c r="AU615" s="338"/>
      <c r="AV615" s="338"/>
      <c r="AW615" s="338"/>
      <c r="AX615" s="338"/>
      <c r="AY615" s="338"/>
      <c r="AZ615" s="338"/>
      <c r="BA615" s="338"/>
      <c r="BB615" s="338"/>
      <c r="BC615" s="338"/>
    </row>
    <row r="616">
      <c r="A616" s="115"/>
      <c r="B616" s="180"/>
      <c r="C616" s="117"/>
      <c r="D616" s="117"/>
      <c r="E616" s="117"/>
      <c r="F616" s="115"/>
      <c r="G616" s="180"/>
      <c r="H616" s="117"/>
      <c r="I616" s="117"/>
      <c r="J616" s="117"/>
      <c r="K616" s="92"/>
      <c r="L616" s="180"/>
      <c r="M616" s="117"/>
      <c r="N616" s="117"/>
      <c r="O616" s="117"/>
      <c r="P616" s="92"/>
      <c r="Q616" s="150"/>
      <c r="R616" s="117"/>
      <c r="S616" s="117"/>
      <c r="T616" s="117"/>
      <c r="U616" s="115"/>
      <c r="V616" s="180"/>
      <c r="W616" s="117"/>
      <c r="X616" s="117"/>
      <c r="Y616" s="117"/>
      <c r="Z616" s="115"/>
      <c r="AA616" s="180"/>
      <c r="AB616" s="117"/>
      <c r="AC616" s="117"/>
      <c r="AD616" s="117"/>
      <c r="AE616" s="115"/>
      <c r="AF616" s="180"/>
      <c r="AG616" s="117"/>
      <c r="AH616" s="117"/>
      <c r="AI616" s="117"/>
      <c r="AJ616" s="115"/>
      <c r="AK616" s="180"/>
      <c r="AL616" s="117"/>
      <c r="AM616" s="117"/>
      <c r="AN616" s="117"/>
      <c r="AO616" s="338"/>
      <c r="AP616" s="338"/>
      <c r="AQ616" s="338"/>
      <c r="AR616" s="338"/>
      <c r="AS616" s="338"/>
      <c r="AT616" s="338"/>
      <c r="AU616" s="338"/>
      <c r="AV616" s="338"/>
      <c r="AW616" s="338"/>
      <c r="AX616" s="338"/>
      <c r="AY616" s="338"/>
      <c r="AZ616" s="338"/>
      <c r="BA616" s="338"/>
      <c r="BB616" s="338"/>
      <c r="BC616" s="338"/>
    </row>
    <row r="617">
      <c r="A617" s="115"/>
      <c r="B617" s="180"/>
      <c r="C617" s="117"/>
      <c r="D617" s="117"/>
      <c r="E617" s="117"/>
      <c r="F617" s="115"/>
      <c r="G617" s="180"/>
      <c r="H617" s="117"/>
      <c r="I617" s="117"/>
      <c r="J617" s="117"/>
      <c r="K617" s="92"/>
      <c r="L617" s="180"/>
      <c r="M617" s="117"/>
      <c r="N617" s="117"/>
      <c r="O617" s="117"/>
      <c r="P617" s="92"/>
      <c r="Q617" s="150"/>
      <c r="R617" s="117"/>
      <c r="S617" s="117"/>
      <c r="T617" s="117"/>
      <c r="U617" s="115"/>
      <c r="V617" s="180"/>
      <c r="W617" s="117"/>
      <c r="X617" s="117"/>
      <c r="Y617" s="117"/>
      <c r="Z617" s="115"/>
      <c r="AA617" s="180"/>
      <c r="AB617" s="117"/>
      <c r="AC617" s="117"/>
      <c r="AD617" s="117"/>
      <c r="AE617" s="115"/>
      <c r="AF617" s="180"/>
      <c r="AG617" s="117"/>
      <c r="AH617" s="117"/>
      <c r="AI617" s="117"/>
      <c r="AJ617" s="115"/>
      <c r="AK617" s="180"/>
      <c r="AL617" s="117"/>
      <c r="AM617" s="117"/>
      <c r="AN617" s="117"/>
      <c r="AO617" s="338"/>
      <c r="AP617" s="338"/>
      <c r="AQ617" s="338"/>
      <c r="AR617" s="338"/>
      <c r="AS617" s="338"/>
      <c r="AT617" s="338"/>
      <c r="AU617" s="338"/>
      <c r="AV617" s="338"/>
      <c r="AW617" s="338"/>
      <c r="AX617" s="338"/>
      <c r="AY617" s="338"/>
      <c r="AZ617" s="338"/>
      <c r="BA617" s="338"/>
      <c r="BB617" s="338"/>
      <c r="BC617" s="338"/>
    </row>
    <row r="618">
      <c r="A618" s="115"/>
      <c r="B618" s="180"/>
      <c r="C618" s="117"/>
      <c r="D618" s="117"/>
      <c r="E618" s="117"/>
      <c r="F618" s="115"/>
      <c r="G618" s="180"/>
      <c r="H618" s="117"/>
      <c r="I618" s="117"/>
      <c r="J618" s="117"/>
      <c r="K618" s="92"/>
      <c r="L618" s="180"/>
      <c r="M618" s="117"/>
      <c r="N618" s="117"/>
      <c r="O618" s="117"/>
      <c r="P618" s="92"/>
      <c r="Q618" s="150"/>
      <c r="R618" s="117"/>
      <c r="S618" s="117"/>
      <c r="T618" s="117"/>
      <c r="U618" s="115"/>
      <c r="V618" s="180"/>
      <c r="W618" s="117"/>
      <c r="X618" s="117"/>
      <c r="Y618" s="117"/>
      <c r="Z618" s="115"/>
      <c r="AA618" s="180"/>
      <c r="AB618" s="117"/>
      <c r="AC618" s="117"/>
      <c r="AD618" s="117"/>
      <c r="AE618" s="115"/>
      <c r="AF618" s="180"/>
      <c r="AG618" s="117"/>
      <c r="AH618" s="117"/>
      <c r="AI618" s="117"/>
      <c r="AJ618" s="115"/>
      <c r="AK618" s="180"/>
      <c r="AL618" s="117"/>
      <c r="AM618" s="117"/>
      <c r="AN618" s="117"/>
      <c r="AO618" s="338"/>
      <c r="AP618" s="338"/>
      <c r="AQ618" s="338"/>
      <c r="AR618" s="338"/>
      <c r="AS618" s="338"/>
      <c r="AT618" s="338"/>
      <c r="AU618" s="338"/>
      <c r="AV618" s="338"/>
      <c r="AW618" s="338"/>
      <c r="AX618" s="338"/>
      <c r="AY618" s="338"/>
      <c r="AZ618" s="338"/>
      <c r="BA618" s="338"/>
      <c r="BB618" s="338"/>
      <c r="BC618" s="338"/>
    </row>
    <row r="619">
      <c r="A619" s="115"/>
      <c r="B619" s="180"/>
      <c r="C619" s="117"/>
      <c r="D619" s="117"/>
      <c r="E619" s="117"/>
      <c r="F619" s="115"/>
      <c r="G619" s="180"/>
      <c r="H619" s="117"/>
      <c r="I619" s="117"/>
      <c r="J619" s="117"/>
      <c r="K619" s="92"/>
      <c r="L619" s="180"/>
      <c r="M619" s="117"/>
      <c r="N619" s="117"/>
      <c r="O619" s="117"/>
      <c r="P619" s="92"/>
      <c r="Q619" s="150"/>
      <c r="R619" s="117"/>
      <c r="S619" s="117"/>
      <c r="T619" s="117"/>
      <c r="U619" s="115"/>
      <c r="V619" s="180"/>
      <c r="W619" s="117"/>
      <c r="X619" s="117"/>
      <c r="Y619" s="117"/>
      <c r="Z619" s="115"/>
      <c r="AA619" s="180"/>
      <c r="AB619" s="117"/>
      <c r="AC619" s="117"/>
      <c r="AD619" s="117"/>
      <c r="AE619" s="115"/>
      <c r="AF619" s="180"/>
      <c r="AG619" s="117"/>
      <c r="AH619" s="117"/>
      <c r="AI619" s="117"/>
      <c r="AJ619" s="115"/>
      <c r="AK619" s="180"/>
      <c r="AL619" s="117"/>
      <c r="AM619" s="117"/>
      <c r="AN619" s="117"/>
      <c r="AO619" s="338"/>
      <c r="AP619" s="338"/>
      <c r="AQ619" s="338"/>
      <c r="AR619" s="338"/>
      <c r="AS619" s="338"/>
      <c r="AT619" s="338"/>
      <c r="AU619" s="338"/>
      <c r="AV619" s="338"/>
      <c r="AW619" s="338"/>
      <c r="AX619" s="338"/>
      <c r="AY619" s="338"/>
      <c r="AZ619" s="338"/>
      <c r="BA619" s="338"/>
      <c r="BB619" s="338"/>
      <c r="BC619" s="338"/>
    </row>
    <row r="620">
      <c r="A620" s="115"/>
      <c r="B620" s="180"/>
      <c r="C620" s="117"/>
      <c r="D620" s="117"/>
      <c r="E620" s="117"/>
      <c r="F620" s="115"/>
      <c r="G620" s="180"/>
      <c r="H620" s="117"/>
      <c r="I620" s="117"/>
      <c r="J620" s="117"/>
      <c r="K620" s="92"/>
      <c r="L620" s="180"/>
      <c r="M620" s="117"/>
      <c r="N620" s="117"/>
      <c r="O620" s="117"/>
      <c r="P620" s="92"/>
      <c r="Q620" s="150"/>
      <c r="R620" s="117"/>
      <c r="S620" s="117"/>
      <c r="T620" s="117"/>
      <c r="U620" s="115"/>
      <c r="V620" s="180"/>
      <c r="W620" s="117"/>
      <c r="X620" s="117"/>
      <c r="Y620" s="117"/>
      <c r="Z620" s="115"/>
      <c r="AA620" s="180"/>
      <c r="AB620" s="117"/>
      <c r="AC620" s="117"/>
      <c r="AD620" s="117"/>
      <c r="AE620" s="115"/>
      <c r="AF620" s="180"/>
      <c r="AG620" s="117"/>
      <c r="AH620" s="117"/>
      <c r="AI620" s="117"/>
      <c r="AJ620" s="115"/>
      <c r="AK620" s="180"/>
      <c r="AL620" s="117"/>
      <c r="AM620" s="117"/>
      <c r="AN620" s="117"/>
      <c r="AO620" s="338"/>
      <c r="AP620" s="338"/>
      <c r="AQ620" s="338"/>
      <c r="AR620" s="338"/>
      <c r="AS620" s="338"/>
      <c r="AT620" s="338"/>
      <c r="AU620" s="338"/>
      <c r="AV620" s="338"/>
      <c r="AW620" s="338"/>
      <c r="AX620" s="338"/>
      <c r="AY620" s="338"/>
      <c r="AZ620" s="338"/>
      <c r="BA620" s="338"/>
      <c r="BB620" s="338"/>
      <c r="BC620" s="338"/>
    </row>
    <row r="621">
      <c r="A621" s="115"/>
      <c r="B621" s="180"/>
      <c r="C621" s="117"/>
      <c r="D621" s="117"/>
      <c r="E621" s="117"/>
      <c r="F621" s="115"/>
      <c r="G621" s="180"/>
      <c r="H621" s="117"/>
      <c r="I621" s="117"/>
      <c r="J621" s="117"/>
      <c r="K621" s="92"/>
      <c r="L621" s="180"/>
      <c r="M621" s="117"/>
      <c r="N621" s="117"/>
      <c r="O621" s="117"/>
      <c r="P621" s="92"/>
      <c r="Q621" s="150"/>
      <c r="R621" s="117"/>
      <c r="S621" s="117"/>
      <c r="T621" s="117"/>
      <c r="U621" s="115"/>
      <c r="V621" s="180"/>
      <c r="W621" s="117"/>
      <c r="X621" s="117"/>
      <c r="Y621" s="117"/>
      <c r="Z621" s="115"/>
      <c r="AA621" s="180"/>
      <c r="AB621" s="117"/>
      <c r="AC621" s="117"/>
      <c r="AD621" s="117"/>
      <c r="AE621" s="115"/>
      <c r="AF621" s="180"/>
      <c r="AG621" s="117"/>
      <c r="AH621" s="117"/>
      <c r="AI621" s="117"/>
      <c r="AJ621" s="115"/>
      <c r="AK621" s="180"/>
      <c r="AL621" s="117"/>
      <c r="AM621" s="117"/>
      <c r="AN621" s="117"/>
      <c r="AO621" s="338"/>
      <c r="AP621" s="338"/>
      <c r="AQ621" s="338"/>
      <c r="AR621" s="338"/>
      <c r="AS621" s="338"/>
      <c r="AT621" s="338"/>
      <c r="AU621" s="338"/>
      <c r="AV621" s="338"/>
      <c r="AW621" s="338"/>
      <c r="AX621" s="338"/>
      <c r="AY621" s="338"/>
      <c r="AZ621" s="338"/>
      <c r="BA621" s="338"/>
      <c r="BB621" s="338"/>
      <c r="BC621" s="338"/>
    </row>
    <row r="622">
      <c r="A622" s="115"/>
      <c r="B622" s="180"/>
      <c r="C622" s="117"/>
      <c r="D622" s="117"/>
      <c r="E622" s="117"/>
      <c r="F622" s="115"/>
      <c r="G622" s="180"/>
      <c r="H622" s="117"/>
      <c r="I622" s="117"/>
      <c r="J622" s="117"/>
      <c r="K622" s="92"/>
      <c r="L622" s="180"/>
      <c r="M622" s="117"/>
      <c r="N622" s="117"/>
      <c r="O622" s="117"/>
      <c r="P622" s="92"/>
      <c r="Q622" s="150"/>
      <c r="R622" s="117"/>
      <c r="S622" s="117"/>
      <c r="T622" s="117"/>
      <c r="U622" s="115"/>
      <c r="V622" s="180"/>
      <c r="W622" s="117"/>
      <c r="X622" s="117"/>
      <c r="Y622" s="117"/>
      <c r="Z622" s="115"/>
      <c r="AA622" s="180"/>
      <c r="AB622" s="117"/>
      <c r="AC622" s="117"/>
      <c r="AD622" s="117"/>
      <c r="AE622" s="115"/>
      <c r="AF622" s="180"/>
      <c r="AG622" s="117"/>
      <c r="AH622" s="117"/>
      <c r="AI622" s="117"/>
      <c r="AJ622" s="115"/>
      <c r="AK622" s="180"/>
      <c r="AL622" s="117"/>
      <c r="AM622" s="117"/>
      <c r="AN622" s="117"/>
      <c r="AO622" s="338"/>
      <c r="AP622" s="338"/>
      <c r="AQ622" s="338"/>
      <c r="AR622" s="338"/>
      <c r="AS622" s="338"/>
      <c r="AT622" s="338"/>
      <c r="AU622" s="338"/>
      <c r="AV622" s="338"/>
      <c r="AW622" s="338"/>
      <c r="AX622" s="338"/>
      <c r="AY622" s="338"/>
      <c r="AZ622" s="338"/>
      <c r="BA622" s="338"/>
      <c r="BB622" s="338"/>
      <c r="BC622" s="338"/>
    </row>
    <row r="623">
      <c r="A623" s="115"/>
      <c r="B623" s="180"/>
      <c r="C623" s="117"/>
      <c r="D623" s="117"/>
      <c r="E623" s="117"/>
      <c r="F623" s="115"/>
      <c r="G623" s="180"/>
      <c r="H623" s="117"/>
      <c r="I623" s="117"/>
      <c r="J623" s="117"/>
      <c r="K623" s="92"/>
      <c r="L623" s="180"/>
      <c r="M623" s="117"/>
      <c r="N623" s="117"/>
      <c r="O623" s="117"/>
      <c r="P623" s="92"/>
      <c r="Q623" s="150"/>
      <c r="R623" s="117"/>
      <c r="S623" s="117"/>
      <c r="T623" s="117"/>
      <c r="U623" s="115"/>
      <c r="V623" s="180"/>
      <c r="W623" s="117"/>
      <c r="X623" s="117"/>
      <c r="Y623" s="117"/>
      <c r="Z623" s="115"/>
      <c r="AA623" s="180"/>
      <c r="AB623" s="117"/>
      <c r="AC623" s="117"/>
      <c r="AD623" s="117"/>
      <c r="AE623" s="115"/>
      <c r="AF623" s="180"/>
      <c r="AG623" s="117"/>
      <c r="AH623" s="117"/>
      <c r="AI623" s="117"/>
      <c r="AJ623" s="115"/>
      <c r="AK623" s="180"/>
      <c r="AL623" s="117"/>
      <c r="AM623" s="117"/>
      <c r="AN623" s="117"/>
      <c r="AO623" s="338"/>
      <c r="AP623" s="338"/>
      <c r="AQ623" s="338"/>
      <c r="AR623" s="338"/>
      <c r="AS623" s="338"/>
      <c r="AT623" s="338"/>
      <c r="AU623" s="338"/>
      <c r="AV623" s="338"/>
      <c r="AW623" s="338"/>
      <c r="AX623" s="338"/>
      <c r="AY623" s="338"/>
      <c r="AZ623" s="338"/>
      <c r="BA623" s="338"/>
      <c r="BB623" s="338"/>
      <c r="BC623" s="338"/>
    </row>
    <row r="624">
      <c r="A624" s="115"/>
      <c r="B624" s="180"/>
      <c r="C624" s="117"/>
      <c r="D624" s="117"/>
      <c r="E624" s="117"/>
      <c r="F624" s="115"/>
      <c r="G624" s="180"/>
      <c r="H624" s="117"/>
      <c r="I624" s="117"/>
      <c r="J624" s="117"/>
      <c r="K624" s="92"/>
      <c r="L624" s="180"/>
      <c r="M624" s="117"/>
      <c r="N624" s="117"/>
      <c r="O624" s="117"/>
      <c r="P624" s="92"/>
      <c r="Q624" s="150"/>
      <c r="R624" s="117"/>
      <c r="S624" s="117"/>
      <c r="T624" s="117"/>
      <c r="U624" s="115"/>
      <c r="V624" s="180"/>
      <c r="W624" s="117"/>
      <c r="X624" s="117"/>
      <c r="Y624" s="117"/>
      <c r="Z624" s="115"/>
      <c r="AA624" s="180"/>
      <c r="AB624" s="117"/>
      <c r="AC624" s="117"/>
      <c r="AD624" s="117"/>
      <c r="AE624" s="115"/>
      <c r="AF624" s="180"/>
      <c r="AG624" s="117"/>
      <c r="AH624" s="117"/>
      <c r="AI624" s="117"/>
      <c r="AJ624" s="115"/>
      <c r="AK624" s="180"/>
      <c r="AL624" s="117"/>
      <c r="AM624" s="117"/>
      <c r="AN624" s="117"/>
      <c r="AO624" s="338"/>
      <c r="AP624" s="338"/>
      <c r="AQ624" s="338"/>
      <c r="AR624" s="338"/>
      <c r="AS624" s="338"/>
      <c r="AT624" s="338"/>
      <c r="AU624" s="338"/>
      <c r="AV624" s="338"/>
      <c r="AW624" s="338"/>
      <c r="AX624" s="338"/>
      <c r="AY624" s="338"/>
      <c r="AZ624" s="338"/>
      <c r="BA624" s="338"/>
      <c r="BB624" s="338"/>
      <c r="BC624" s="338"/>
    </row>
    <row r="625">
      <c r="A625" s="115"/>
      <c r="B625" s="180"/>
      <c r="C625" s="117"/>
      <c r="D625" s="117"/>
      <c r="E625" s="117"/>
      <c r="F625" s="115"/>
      <c r="G625" s="180"/>
      <c r="H625" s="117"/>
      <c r="I625" s="117"/>
      <c r="J625" s="117"/>
      <c r="K625" s="92"/>
      <c r="L625" s="180"/>
      <c r="M625" s="117"/>
      <c r="N625" s="117"/>
      <c r="O625" s="117"/>
      <c r="P625" s="92"/>
      <c r="Q625" s="150"/>
      <c r="R625" s="117"/>
      <c r="S625" s="117"/>
      <c r="T625" s="117"/>
      <c r="U625" s="115"/>
      <c r="V625" s="180"/>
      <c r="W625" s="117"/>
      <c r="X625" s="117"/>
      <c r="Y625" s="117"/>
      <c r="Z625" s="115"/>
      <c r="AA625" s="180"/>
      <c r="AB625" s="117"/>
      <c r="AC625" s="117"/>
      <c r="AD625" s="117"/>
      <c r="AE625" s="115"/>
      <c r="AF625" s="180"/>
      <c r="AG625" s="117"/>
      <c r="AH625" s="117"/>
      <c r="AI625" s="117"/>
      <c r="AJ625" s="115"/>
      <c r="AK625" s="180"/>
      <c r="AL625" s="117"/>
      <c r="AM625" s="117"/>
      <c r="AN625" s="117"/>
      <c r="AO625" s="338"/>
      <c r="AP625" s="338"/>
      <c r="AQ625" s="338"/>
      <c r="AR625" s="338"/>
      <c r="AS625" s="338"/>
      <c r="AT625" s="338"/>
      <c r="AU625" s="338"/>
      <c r="AV625" s="338"/>
      <c r="AW625" s="338"/>
      <c r="AX625" s="338"/>
      <c r="AY625" s="338"/>
      <c r="AZ625" s="338"/>
      <c r="BA625" s="338"/>
      <c r="BB625" s="338"/>
      <c r="BC625" s="338"/>
    </row>
    <row r="626">
      <c r="A626" s="115"/>
      <c r="B626" s="180"/>
      <c r="C626" s="117"/>
      <c r="D626" s="117"/>
      <c r="E626" s="117"/>
      <c r="F626" s="115"/>
      <c r="G626" s="180"/>
      <c r="H626" s="117"/>
      <c r="I626" s="117"/>
      <c r="J626" s="117"/>
      <c r="K626" s="92"/>
      <c r="L626" s="180"/>
      <c r="M626" s="117"/>
      <c r="N626" s="117"/>
      <c r="O626" s="117"/>
      <c r="P626" s="92"/>
      <c r="Q626" s="150"/>
      <c r="R626" s="117"/>
      <c r="S626" s="117"/>
      <c r="T626" s="117"/>
      <c r="U626" s="115"/>
      <c r="V626" s="180"/>
      <c r="W626" s="117"/>
      <c r="X626" s="117"/>
      <c r="Y626" s="117"/>
      <c r="Z626" s="115"/>
      <c r="AA626" s="180"/>
      <c r="AB626" s="117"/>
      <c r="AC626" s="117"/>
      <c r="AD626" s="117"/>
      <c r="AE626" s="115"/>
      <c r="AF626" s="180"/>
      <c r="AG626" s="117"/>
      <c r="AH626" s="117"/>
      <c r="AI626" s="117"/>
      <c r="AJ626" s="115"/>
      <c r="AK626" s="180"/>
      <c r="AL626" s="117"/>
      <c r="AM626" s="117"/>
      <c r="AN626" s="117"/>
      <c r="AO626" s="338"/>
      <c r="AP626" s="338"/>
      <c r="AQ626" s="338"/>
      <c r="AR626" s="338"/>
      <c r="AS626" s="338"/>
      <c r="AT626" s="338"/>
      <c r="AU626" s="338"/>
      <c r="AV626" s="338"/>
      <c r="AW626" s="338"/>
      <c r="AX626" s="338"/>
      <c r="AY626" s="338"/>
      <c r="AZ626" s="338"/>
      <c r="BA626" s="338"/>
      <c r="BB626" s="338"/>
      <c r="BC626" s="338"/>
    </row>
    <row r="627">
      <c r="A627" s="115"/>
      <c r="B627" s="180"/>
      <c r="C627" s="117"/>
      <c r="D627" s="117"/>
      <c r="E627" s="117"/>
      <c r="F627" s="115"/>
      <c r="G627" s="180"/>
      <c r="H627" s="117"/>
      <c r="I627" s="117"/>
      <c r="J627" s="117"/>
      <c r="K627" s="92"/>
      <c r="L627" s="180"/>
      <c r="M627" s="117"/>
      <c r="N627" s="117"/>
      <c r="O627" s="117"/>
      <c r="P627" s="92"/>
      <c r="Q627" s="150"/>
      <c r="R627" s="117"/>
      <c r="S627" s="117"/>
      <c r="T627" s="117"/>
      <c r="U627" s="115"/>
      <c r="V627" s="180"/>
      <c r="W627" s="117"/>
      <c r="X627" s="117"/>
      <c r="Y627" s="117"/>
      <c r="Z627" s="115"/>
      <c r="AA627" s="180"/>
      <c r="AB627" s="117"/>
      <c r="AC627" s="117"/>
      <c r="AD627" s="117"/>
      <c r="AE627" s="115"/>
      <c r="AF627" s="180"/>
      <c r="AG627" s="117"/>
      <c r="AH627" s="117"/>
      <c r="AI627" s="117"/>
      <c r="AJ627" s="115"/>
      <c r="AK627" s="180"/>
      <c r="AL627" s="117"/>
      <c r="AM627" s="117"/>
      <c r="AN627" s="117"/>
      <c r="AO627" s="338"/>
      <c r="AP627" s="338"/>
      <c r="AQ627" s="338"/>
      <c r="AR627" s="338"/>
      <c r="AS627" s="338"/>
      <c r="AT627" s="338"/>
      <c r="AU627" s="338"/>
      <c r="AV627" s="338"/>
      <c r="AW627" s="338"/>
      <c r="AX627" s="338"/>
      <c r="AY627" s="338"/>
      <c r="AZ627" s="338"/>
      <c r="BA627" s="338"/>
      <c r="BB627" s="338"/>
      <c r="BC627" s="338"/>
    </row>
    <row r="628">
      <c r="A628" s="115"/>
      <c r="B628" s="180"/>
      <c r="C628" s="117"/>
      <c r="D628" s="117"/>
      <c r="E628" s="117"/>
      <c r="F628" s="115"/>
      <c r="G628" s="180"/>
      <c r="H628" s="117"/>
      <c r="I628" s="117"/>
      <c r="J628" s="117"/>
      <c r="K628" s="92"/>
      <c r="L628" s="180"/>
      <c r="M628" s="117"/>
      <c r="N628" s="117"/>
      <c r="O628" s="117"/>
      <c r="P628" s="92"/>
      <c r="Q628" s="150"/>
      <c r="R628" s="117"/>
      <c r="S628" s="117"/>
      <c r="T628" s="117"/>
      <c r="U628" s="115"/>
      <c r="V628" s="180"/>
      <c r="W628" s="117"/>
      <c r="X628" s="117"/>
      <c r="Y628" s="117"/>
      <c r="Z628" s="115"/>
      <c r="AA628" s="180"/>
      <c r="AB628" s="117"/>
      <c r="AC628" s="117"/>
      <c r="AD628" s="117"/>
      <c r="AE628" s="115"/>
      <c r="AF628" s="180"/>
      <c r="AG628" s="117"/>
      <c r="AH628" s="117"/>
      <c r="AI628" s="117"/>
      <c r="AJ628" s="115"/>
      <c r="AK628" s="180"/>
      <c r="AL628" s="117"/>
      <c r="AM628" s="117"/>
      <c r="AN628" s="117"/>
      <c r="AO628" s="338"/>
      <c r="AP628" s="338"/>
      <c r="AQ628" s="338"/>
      <c r="AR628" s="338"/>
      <c r="AS628" s="338"/>
      <c r="AT628" s="338"/>
      <c r="AU628" s="338"/>
      <c r="AV628" s="338"/>
      <c r="AW628" s="338"/>
      <c r="AX628" s="338"/>
      <c r="AY628" s="338"/>
      <c r="AZ628" s="338"/>
      <c r="BA628" s="338"/>
      <c r="BB628" s="338"/>
      <c r="BC628" s="338"/>
    </row>
    <row r="629">
      <c r="A629" s="115"/>
      <c r="B629" s="180"/>
      <c r="C629" s="117"/>
      <c r="D629" s="117"/>
      <c r="E629" s="117"/>
      <c r="F629" s="115"/>
      <c r="G629" s="180"/>
      <c r="H629" s="117"/>
      <c r="I629" s="117"/>
      <c r="J629" s="117"/>
      <c r="K629" s="92"/>
      <c r="L629" s="180"/>
      <c r="M629" s="117"/>
      <c r="N629" s="117"/>
      <c r="O629" s="117"/>
      <c r="P629" s="92"/>
      <c r="Q629" s="150"/>
      <c r="R629" s="117"/>
      <c r="S629" s="117"/>
      <c r="T629" s="117"/>
      <c r="U629" s="115"/>
      <c r="V629" s="180"/>
      <c r="W629" s="117"/>
      <c r="X629" s="117"/>
      <c r="Y629" s="117"/>
      <c r="Z629" s="115"/>
      <c r="AA629" s="180"/>
      <c r="AB629" s="117"/>
      <c r="AC629" s="117"/>
      <c r="AD629" s="117"/>
      <c r="AE629" s="115"/>
      <c r="AF629" s="180"/>
      <c r="AG629" s="117"/>
      <c r="AH629" s="117"/>
      <c r="AI629" s="117"/>
      <c r="AJ629" s="115"/>
      <c r="AK629" s="180"/>
      <c r="AL629" s="117"/>
      <c r="AM629" s="117"/>
      <c r="AN629" s="117"/>
      <c r="AO629" s="338"/>
      <c r="AP629" s="338"/>
      <c r="AQ629" s="338"/>
      <c r="AR629" s="338"/>
      <c r="AS629" s="338"/>
      <c r="AT629" s="338"/>
      <c r="AU629" s="338"/>
      <c r="AV629" s="338"/>
      <c r="AW629" s="338"/>
      <c r="AX629" s="338"/>
      <c r="AY629" s="338"/>
      <c r="AZ629" s="338"/>
      <c r="BA629" s="338"/>
      <c r="BB629" s="338"/>
      <c r="BC629" s="338"/>
    </row>
    <row r="630">
      <c r="A630" s="115"/>
      <c r="B630" s="180"/>
      <c r="C630" s="117"/>
      <c r="D630" s="117"/>
      <c r="E630" s="117"/>
      <c r="F630" s="115"/>
      <c r="G630" s="180"/>
      <c r="H630" s="117"/>
      <c r="I630" s="117"/>
      <c r="J630" s="117"/>
      <c r="K630" s="92"/>
      <c r="L630" s="180"/>
      <c r="M630" s="117"/>
      <c r="N630" s="117"/>
      <c r="O630" s="117"/>
      <c r="P630" s="92"/>
      <c r="Q630" s="150"/>
      <c r="R630" s="117"/>
      <c r="S630" s="117"/>
      <c r="T630" s="117"/>
      <c r="U630" s="115"/>
      <c r="V630" s="180"/>
      <c r="W630" s="117"/>
      <c r="X630" s="117"/>
      <c r="Y630" s="117"/>
      <c r="Z630" s="115"/>
      <c r="AA630" s="180"/>
      <c r="AB630" s="117"/>
      <c r="AC630" s="117"/>
      <c r="AD630" s="117"/>
      <c r="AE630" s="115"/>
      <c r="AF630" s="180"/>
      <c r="AG630" s="117"/>
      <c r="AH630" s="117"/>
      <c r="AI630" s="117"/>
      <c r="AJ630" s="115"/>
      <c r="AK630" s="180"/>
      <c r="AL630" s="117"/>
      <c r="AM630" s="117"/>
      <c r="AN630" s="117"/>
      <c r="AO630" s="338"/>
      <c r="AP630" s="338"/>
      <c r="AQ630" s="338"/>
      <c r="AR630" s="338"/>
      <c r="AS630" s="338"/>
      <c r="AT630" s="338"/>
      <c r="AU630" s="338"/>
      <c r="AV630" s="338"/>
      <c r="AW630" s="338"/>
      <c r="AX630" s="338"/>
      <c r="AY630" s="338"/>
      <c r="AZ630" s="338"/>
      <c r="BA630" s="338"/>
      <c r="BB630" s="338"/>
      <c r="BC630" s="338"/>
    </row>
    <row r="631">
      <c r="A631" s="115"/>
      <c r="B631" s="180"/>
      <c r="C631" s="117"/>
      <c r="D631" s="117"/>
      <c r="E631" s="117"/>
      <c r="F631" s="115"/>
      <c r="G631" s="180"/>
      <c r="H631" s="117"/>
      <c r="I631" s="117"/>
      <c r="J631" s="117"/>
      <c r="K631" s="92"/>
      <c r="L631" s="180"/>
      <c r="M631" s="117"/>
      <c r="N631" s="117"/>
      <c r="O631" s="117"/>
      <c r="P631" s="92"/>
      <c r="Q631" s="150"/>
      <c r="R631" s="117"/>
      <c r="S631" s="117"/>
      <c r="T631" s="117"/>
      <c r="U631" s="115"/>
      <c r="V631" s="180"/>
      <c r="W631" s="117"/>
      <c r="X631" s="117"/>
      <c r="Y631" s="117"/>
      <c r="Z631" s="115"/>
      <c r="AA631" s="180"/>
      <c r="AB631" s="117"/>
      <c r="AC631" s="117"/>
      <c r="AD631" s="117"/>
      <c r="AE631" s="115"/>
      <c r="AF631" s="180"/>
      <c r="AG631" s="117"/>
      <c r="AH631" s="117"/>
      <c r="AI631" s="117"/>
      <c r="AJ631" s="115"/>
      <c r="AK631" s="180"/>
      <c r="AL631" s="117"/>
      <c r="AM631" s="117"/>
      <c r="AN631" s="117"/>
      <c r="AO631" s="338"/>
      <c r="AP631" s="338"/>
      <c r="AQ631" s="338"/>
      <c r="AR631" s="338"/>
      <c r="AS631" s="338"/>
      <c r="AT631" s="338"/>
      <c r="AU631" s="338"/>
      <c r="AV631" s="338"/>
      <c r="AW631" s="338"/>
      <c r="AX631" s="338"/>
      <c r="AY631" s="338"/>
      <c r="AZ631" s="338"/>
      <c r="BA631" s="338"/>
      <c r="BB631" s="338"/>
      <c r="BC631" s="338"/>
    </row>
    <row r="632">
      <c r="A632" s="115"/>
      <c r="B632" s="180"/>
      <c r="C632" s="117"/>
      <c r="D632" s="117"/>
      <c r="E632" s="117"/>
      <c r="F632" s="115"/>
      <c r="G632" s="180"/>
      <c r="H632" s="117"/>
      <c r="I632" s="117"/>
      <c r="J632" s="117"/>
      <c r="K632" s="92"/>
      <c r="L632" s="180"/>
      <c r="M632" s="117"/>
      <c r="N632" s="117"/>
      <c r="O632" s="117"/>
      <c r="P632" s="92"/>
      <c r="Q632" s="150"/>
      <c r="R632" s="117"/>
      <c r="S632" s="117"/>
      <c r="T632" s="117"/>
      <c r="U632" s="115"/>
      <c r="V632" s="180"/>
      <c r="W632" s="117"/>
      <c r="X632" s="117"/>
      <c r="Y632" s="117"/>
      <c r="Z632" s="115"/>
      <c r="AA632" s="180"/>
      <c r="AB632" s="117"/>
      <c r="AC632" s="117"/>
      <c r="AD632" s="117"/>
      <c r="AE632" s="115"/>
      <c r="AF632" s="180"/>
      <c r="AG632" s="117"/>
      <c r="AH632" s="117"/>
      <c r="AI632" s="117"/>
      <c r="AJ632" s="115"/>
      <c r="AK632" s="180"/>
      <c r="AL632" s="117"/>
      <c r="AM632" s="117"/>
      <c r="AN632" s="117"/>
      <c r="AO632" s="338"/>
      <c r="AP632" s="338"/>
      <c r="AQ632" s="338"/>
      <c r="AR632" s="338"/>
      <c r="AS632" s="338"/>
      <c r="AT632" s="338"/>
      <c r="AU632" s="338"/>
      <c r="AV632" s="338"/>
      <c r="AW632" s="338"/>
      <c r="AX632" s="338"/>
      <c r="AY632" s="338"/>
      <c r="AZ632" s="338"/>
      <c r="BA632" s="338"/>
      <c r="BB632" s="338"/>
      <c r="BC632" s="338"/>
    </row>
    <row r="633">
      <c r="A633" s="115"/>
      <c r="B633" s="180"/>
      <c r="C633" s="117"/>
      <c r="D633" s="117"/>
      <c r="E633" s="117"/>
      <c r="F633" s="115"/>
      <c r="G633" s="180"/>
      <c r="H633" s="117"/>
      <c r="I633" s="117"/>
      <c r="J633" s="117"/>
      <c r="K633" s="92"/>
      <c r="L633" s="180"/>
      <c r="M633" s="117"/>
      <c r="N633" s="117"/>
      <c r="O633" s="117"/>
      <c r="P633" s="92"/>
      <c r="Q633" s="150"/>
      <c r="R633" s="117"/>
      <c r="S633" s="117"/>
      <c r="T633" s="117"/>
      <c r="U633" s="115"/>
      <c r="V633" s="180"/>
      <c r="W633" s="117"/>
      <c r="X633" s="117"/>
      <c r="Y633" s="117"/>
      <c r="Z633" s="115"/>
      <c r="AA633" s="180"/>
      <c r="AB633" s="117"/>
      <c r="AC633" s="117"/>
      <c r="AD633" s="117"/>
      <c r="AE633" s="115"/>
      <c r="AF633" s="180"/>
      <c r="AG633" s="117"/>
      <c r="AH633" s="117"/>
      <c r="AI633" s="117"/>
      <c r="AJ633" s="115"/>
      <c r="AK633" s="180"/>
      <c r="AL633" s="117"/>
      <c r="AM633" s="117"/>
      <c r="AN633" s="117"/>
      <c r="AO633" s="338"/>
      <c r="AP633" s="338"/>
      <c r="AQ633" s="338"/>
      <c r="AR633" s="338"/>
      <c r="AS633" s="338"/>
      <c r="AT633" s="338"/>
      <c r="AU633" s="338"/>
      <c r="AV633" s="338"/>
      <c r="AW633" s="338"/>
      <c r="AX633" s="338"/>
      <c r="AY633" s="338"/>
      <c r="AZ633" s="338"/>
      <c r="BA633" s="338"/>
      <c r="BB633" s="338"/>
      <c r="BC633" s="338"/>
    </row>
    <row r="634">
      <c r="A634" s="115"/>
      <c r="B634" s="180"/>
      <c r="C634" s="117"/>
      <c r="D634" s="117"/>
      <c r="E634" s="117"/>
      <c r="F634" s="115"/>
      <c r="G634" s="180"/>
      <c r="H634" s="117"/>
      <c r="I634" s="117"/>
      <c r="J634" s="117"/>
      <c r="K634" s="92"/>
      <c r="L634" s="180"/>
      <c r="M634" s="117"/>
      <c r="N634" s="117"/>
      <c r="O634" s="117"/>
      <c r="P634" s="92"/>
      <c r="Q634" s="150"/>
      <c r="R634" s="117"/>
      <c r="S634" s="117"/>
      <c r="T634" s="117"/>
      <c r="U634" s="115"/>
      <c r="V634" s="180"/>
      <c r="W634" s="117"/>
      <c r="X634" s="117"/>
      <c r="Y634" s="117"/>
      <c r="Z634" s="115"/>
      <c r="AA634" s="180"/>
      <c r="AB634" s="117"/>
      <c r="AC634" s="117"/>
      <c r="AD634" s="117"/>
      <c r="AE634" s="115"/>
      <c r="AF634" s="180"/>
      <c r="AG634" s="117"/>
      <c r="AH634" s="117"/>
      <c r="AI634" s="117"/>
      <c r="AJ634" s="115"/>
      <c r="AK634" s="180"/>
      <c r="AL634" s="117"/>
      <c r="AM634" s="117"/>
      <c r="AN634" s="117"/>
      <c r="AO634" s="338"/>
      <c r="AP634" s="338"/>
      <c r="AQ634" s="338"/>
      <c r="AR634" s="338"/>
      <c r="AS634" s="338"/>
      <c r="AT634" s="338"/>
      <c r="AU634" s="338"/>
      <c r="AV634" s="338"/>
      <c r="AW634" s="338"/>
      <c r="AX634" s="338"/>
      <c r="AY634" s="338"/>
      <c r="AZ634" s="338"/>
      <c r="BA634" s="338"/>
      <c r="BB634" s="338"/>
      <c r="BC634" s="338"/>
    </row>
    <row r="635">
      <c r="A635" s="115"/>
      <c r="B635" s="180"/>
      <c r="C635" s="117"/>
      <c r="D635" s="117"/>
      <c r="E635" s="117"/>
      <c r="F635" s="115"/>
      <c r="G635" s="180"/>
      <c r="H635" s="117"/>
      <c r="I635" s="117"/>
      <c r="J635" s="117"/>
      <c r="K635" s="92"/>
      <c r="L635" s="180"/>
      <c r="M635" s="117"/>
      <c r="N635" s="117"/>
      <c r="O635" s="117"/>
      <c r="P635" s="92"/>
      <c r="Q635" s="150"/>
      <c r="R635" s="117"/>
      <c r="S635" s="117"/>
      <c r="T635" s="117"/>
      <c r="U635" s="115"/>
      <c r="V635" s="180"/>
      <c r="W635" s="117"/>
      <c r="X635" s="117"/>
      <c r="Y635" s="117"/>
      <c r="Z635" s="115"/>
      <c r="AA635" s="180"/>
      <c r="AB635" s="117"/>
      <c r="AC635" s="117"/>
      <c r="AD635" s="117"/>
      <c r="AE635" s="115"/>
      <c r="AF635" s="180"/>
      <c r="AG635" s="117"/>
      <c r="AH635" s="117"/>
      <c r="AI635" s="117"/>
      <c r="AJ635" s="115"/>
      <c r="AK635" s="180"/>
      <c r="AL635" s="117"/>
      <c r="AM635" s="117"/>
      <c r="AN635" s="117"/>
      <c r="AO635" s="338"/>
      <c r="AP635" s="338"/>
      <c r="AQ635" s="338"/>
      <c r="AR635" s="338"/>
      <c r="AS635" s="338"/>
      <c r="AT635" s="338"/>
      <c r="AU635" s="338"/>
      <c r="AV635" s="338"/>
      <c r="AW635" s="338"/>
      <c r="AX635" s="338"/>
      <c r="AY635" s="338"/>
      <c r="AZ635" s="338"/>
      <c r="BA635" s="338"/>
      <c r="BB635" s="338"/>
      <c r="BC635" s="338"/>
    </row>
    <row r="636">
      <c r="A636" s="115"/>
      <c r="B636" s="180"/>
      <c r="C636" s="117"/>
      <c r="D636" s="117"/>
      <c r="E636" s="117"/>
      <c r="F636" s="115"/>
      <c r="G636" s="180"/>
      <c r="H636" s="117"/>
      <c r="I636" s="117"/>
      <c r="J636" s="117"/>
      <c r="K636" s="92"/>
      <c r="L636" s="180"/>
      <c r="M636" s="117"/>
      <c r="N636" s="117"/>
      <c r="O636" s="117"/>
      <c r="P636" s="92"/>
      <c r="Q636" s="150"/>
      <c r="R636" s="117"/>
      <c r="S636" s="117"/>
      <c r="T636" s="117"/>
      <c r="U636" s="115"/>
      <c r="V636" s="180"/>
      <c r="W636" s="117"/>
      <c r="X636" s="117"/>
      <c r="Y636" s="117"/>
      <c r="Z636" s="115"/>
      <c r="AA636" s="180"/>
      <c r="AB636" s="117"/>
      <c r="AC636" s="117"/>
      <c r="AD636" s="117"/>
      <c r="AE636" s="115"/>
      <c r="AF636" s="180"/>
      <c r="AG636" s="117"/>
      <c r="AH636" s="117"/>
      <c r="AI636" s="117"/>
      <c r="AJ636" s="115"/>
      <c r="AK636" s="180"/>
      <c r="AL636" s="117"/>
      <c r="AM636" s="117"/>
      <c r="AN636" s="117"/>
      <c r="AO636" s="338"/>
      <c r="AP636" s="338"/>
      <c r="AQ636" s="338"/>
      <c r="AR636" s="338"/>
      <c r="AS636" s="338"/>
      <c r="AT636" s="338"/>
      <c r="AU636" s="338"/>
      <c r="AV636" s="338"/>
      <c r="AW636" s="338"/>
      <c r="AX636" s="338"/>
      <c r="AY636" s="338"/>
      <c r="AZ636" s="338"/>
      <c r="BA636" s="338"/>
      <c r="BB636" s="338"/>
      <c r="BC636" s="338"/>
    </row>
    <row r="637">
      <c r="A637" s="115"/>
      <c r="B637" s="180"/>
      <c r="C637" s="117"/>
      <c r="D637" s="117"/>
      <c r="E637" s="117"/>
      <c r="F637" s="115"/>
      <c r="G637" s="180"/>
      <c r="H637" s="117"/>
      <c r="I637" s="117"/>
      <c r="J637" s="117"/>
      <c r="K637" s="92"/>
      <c r="L637" s="180"/>
      <c r="M637" s="117"/>
      <c r="N637" s="117"/>
      <c r="O637" s="117"/>
      <c r="P637" s="92"/>
      <c r="Q637" s="150"/>
      <c r="R637" s="117"/>
      <c r="S637" s="117"/>
      <c r="T637" s="117"/>
      <c r="U637" s="115"/>
      <c r="V637" s="180"/>
      <c r="W637" s="117"/>
      <c r="X637" s="117"/>
      <c r="Y637" s="117"/>
      <c r="Z637" s="115"/>
      <c r="AA637" s="180"/>
      <c r="AB637" s="117"/>
      <c r="AC637" s="117"/>
      <c r="AD637" s="117"/>
      <c r="AE637" s="115"/>
      <c r="AF637" s="180"/>
      <c r="AG637" s="117"/>
      <c r="AH637" s="117"/>
      <c r="AI637" s="117"/>
      <c r="AJ637" s="115"/>
      <c r="AK637" s="180"/>
      <c r="AL637" s="117"/>
      <c r="AM637" s="117"/>
      <c r="AN637" s="117"/>
      <c r="AO637" s="338"/>
      <c r="AP637" s="338"/>
      <c r="AQ637" s="338"/>
      <c r="AR637" s="338"/>
      <c r="AS637" s="338"/>
      <c r="AT637" s="338"/>
      <c r="AU637" s="338"/>
      <c r="AV637" s="338"/>
      <c r="AW637" s="338"/>
      <c r="AX637" s="338"/>
      <c r="AY637" s="338"/>
      <c r="AZ637" s="338"/>
      <c r="BA637" s="338"/>
      <c r="BB637" s="338"/>
      <c r="BC637" s="338"/>
    </row>
    <row r="638">
      <c r="A638" s="115"/>
      <c r="B638" s="180"/>
      <c r="C638" s="117"/>
      <c r="D638" s="117"/>
      <c r="E638" s="117"/>
      <c r="F638" s="115"/>
      <c r="G638" s="180"/>
      <c r="H638" s="117"/>
      <c r="I638" s="117"/>
      <c r="J638" s="117"/>
      <c r="K638" s="92"/>
      <c r="L638" s="180"/>
      <c r="M638" s="117"/>
      <c r="N638" s="117"/>
      <c r="O638" s="117"/>
      <c r="P638" s="92"/>
      <c r="Q638" s="150"/>
      <c r="R638" s="117"/>
      <c r="S638" s="117"/>
      <c r="T638" s="117"/>
      <c r="U638" s="115"/>
      <c r="V638" s="180"/>
      <c r="W638" s="117"/>
      <c r="X638" s="117"/>
      <c r="Y638" s="117"/>
      <c r="Z638" s="115"/>
      <c r="AA638" s="180"/>
      <c r="AB638" s="117"/>
      <c r="AC638" s="117"/>
      <c r="AD638" s="117"/>
      <c r="AE638" s="115"/>
      <c r="AF638" s="180"/>
      <c r="AG638" s="117"/>
      <c r="AH638" s="117"/>
      <c r="AI638" s="117"/>
      <c r="AJ638" s="115"/>
      <c r="AK638" s="180"/>
      <c r="AL638" s="117"/>
      <c r="AM638" s="117"/>
      <c r="AN638" s="117"/>
      <c r="AO638" s="338"/>
      <c r="AP638" s="338"/>
      <c r="AQ638" s="338"/>
      <c r="AR638" s="338"/>
      <c r="AS638" s="338"/>
      <c r="AT638" s="338"/>
      <c r="AU638" s="338"/>
      <c r="AV638" s="338"/>
      <c r="AW638" s="338"/>
      <c r="AX638" s="338"/>
      <c r="AY638" s="338"/>
      <c r="AZ638" s="338"/>
      <c r="BA638" s="338"/>
      <c r="BB638" s="338"/>
      <c r="BC638" s="338"/>
    </row>
    <row r="639">
      <c r="A639" s="115"/>
      <c r="B639" s="180"/>
      <c r="C639" s="117"/>
      <c r="D639" s="117"/>
      <c r="E639" s="117"/>
      <c r="F639" s="115"/>
      <c r="G639" s="180"/>
      <c r="H639" s="117"/>
      <c r="I639" s="117"/>
      <c r="J639" s="117"/>
      <c r="K639" s="92"/>
      <c r="L639" s="180"/>
      <c r="M639" s="117"/>
      <c r="N639" s="117"/>
      <c r="O639" s="117"/>
      <c r="P639" s="92"/>
      <c r="Q639" s="150"/>
      <c r="R639" s="117"/>
      <c r="S639" s="117"/>
      <c r="T639" s="117"/>
      <c r="U639" s="115"/>
      <c r="V639" s="180"/>
      <c r="W639" s="117"/>
      <c r="X639" s="117"/>
      <c r="Y639" s="117"/>
      <c r="Z639" s="115"/>
      <c r="AA639" s="180"/>
      <c r="AB639" s="117"/>
      <c r="AC639" s="117"/>
      <c r="AD639" s="117"/>
      <c r="AE639" s="115"/>
      <c r="AF639" s="180"/>
      <c r="AG639" s="117"/>
      <c r="AH639" s="117"/>
      <c r="AI639" s="117"/>
      <c r="AJ639" s="115"/>
      <c r="AK639" s="180"/>
      <c r="AL639" s="117"/>
      <c r="AM639" s="117"/>
      <c r="AN639" s="117"/>
      <c r="AO639" s="338"/>
      <c r="AP639" s="338"/>
      <c r="AQ639" s="338"/>
      <c r="AR639" s="338"/>
      <c r="AS639" s="338"/>
      <c r="AT639" s="338"/>
      <c r="AU639" s="338"/>
      <c r="AV639" s="338"/>
      <c r="AW639" s="338"/>
      <c r="AX639" s="338"/>
      <c r="AY639" s="338"/>
      <c r="AZ639" s="338"/>
      <c r="BA639" s="338"/>
      <c r="BB639" s="338"/>
      <c r="BC639" s="338"/>
    </row>
    <row r="640">
      <c r="A640" s="115"/>
      <c r="B640" s="180"/>
      <c r="C640" s="117"/>
      <c r="D640" s="117"/>
      <c r="E640" s="117"/>
      <c r="F640" s="115"/>
      <c r="G640" s="180"/>
      <c r="H640" s="117"/>
      <c r="I640" s="117"/>
      <c r="J640" s="117"/>
      <c r="K640" s="92"/>
      <c r="L640" s="180"/>
      <c r="M640" s="117"/>
      <c r="N640" s="117"/>
      <c r="O640" s="117"/>
      <c r="P640" s="92"/>
      <c r="Q640" s="150"/>
      <c r="R640" s="117"/>
      <c r="S640" s="117"/>
      <c r="T640" s="117"/>
      <c r="U640" s="115"/>
      <c r="V640" s="180"/>
      <c r="W640" s="117"/>
      <c r="X640" s="117"/>
      <c r="Y640" s="117"/>
      <c r="Z640" s="115"/>
      <c r="AA640" s="180"/>
      <c r="AB640" s="117"/>
      <c r="AC640" s="117"/>
      <c r="AD640" s="117"/>
      <c r="AE640" s="115"/>
      <c r="AF640" s="180"/>
      <c r="AG640" s="117"/>
      <c r="AH640" s="117"/>
      <c r="AI640" s="117"/>
      <c r="AJ640" s="115"/>
      <c r="AK640" s="180"/>
      <c r="AL640" s="117"/>
      <c r="AM640" s="117"/>
      <c r="AN640" s="117"/>
      <c r="AO640" s="338"/>
      <c r="AP640" s="338"/>
      <c r="AQ640" s="338"/>
      <c r="AR640" s="338"/>
      <c r="AS640" s="338"/>
      <c r="AT640" s="338"/>
      <c r="AU640" s="338"/>
      <c r="AV640" s="338"/>
      <c r="AW640" s="338"/>
      <c r="AX640" s="338"/>
      <c r="AY640" s="338"/>
      <c r="AZ640" s="338"/>
      <c r="BA640" s="338"/>
      <c r="BB640" s="338"/>
      <c r="BC640" s="338"/>
    </row>
    <row r="641">
      <c r="A641" s="115"/>
      <c r="B641" s="180"/>
      <c r="C641" s="117"/>
      <c r="D641" s="117"/>
      <c r="E641" s="117"/>
      <c r="F641" s="115"/>
      <c r="G641" s="180"/>
      <c r="H641" s="117"/>
      <c r="I641" s="117"/>
      <c r="J641" s="117"/>
      <c r="K641" s="92"/>
      <c r="L641" s="180"/>
      <c r="M641" s="117"/>
      <c r="N641" s="117"/>
      <c r="O641" s="117"/>
      <c r="P641" s="92"/>
      <c r="Q641" s="150"/>
      <c r="R641" s="117"/>
      <c r="S641" s="117"/>
      <c r="T641" s="117"/>
      <c r="U641" s="115"/>
      <c r="V641" s="180"/>
      <c r="W641" s="117"/>
      <c r="X641" s="117"/>
      <c r="Y641" s="117"/>
      <c r="Z641" s="115"/>
      <c r="AA641" s="180"/>
      <c r="AB641" s="117"/>
      <c r="AC641" s="117"/>
      <c r="AD641" s="117"/>
      <c r="AE641" s="115"/>
      <c r="AF641" s="180"/>
      <c r="AG641" s="117"/>
      <c r="AH641" s="117"/>
      <c r="AI641" s="117"/>
      <c r="AJ641" s="115"/>
      <c r="AK641" s="180"/>
      <c r="AL641" s="117"/>
      <c r="AM641" s="117"/>
      <c r="AN641" s="117"/>
      <c r="AO641" s="338"/>
      <c r="AP641" s="338"/>
      <c r="AQ641" s="338"/>
      <c r="AR641" s="338"/>
      <c r="AS641" s="338"/>
      <c r="AT641" s="338"/>
      <c r="AU641" s="338"/>
      <c r="AV641" s="338"/>
      <c r="AW641" s="338"/>
      <c r="AX641" s="338"/>
      <c r="AY641" s="338"/>
      <c r="AZ641" s="338"/>
      <c r="BA641" s="338"/>
      <c r="BB641" s="338"/>
      <c r="BC641" s="338"/>
    </row>
    <row r="642">
      <c r="A642" s="115"/>
      <c r="B642" s="180"/>
      <c r="C642" s="117"/>
      <c r="D642" s="117"/>
      <c r="E642" s="117"/>
      <c r="F642" s="115"/>
      <c r="G642" s="180"/>
      <c r="H642" s="117"/>
      <c r="I642" s="117"/>
      <c r="J642" s="117"/>
      <c r="K642" s="92"/>
      <c r="L642" s="180"/>
      <c r="M642" s="117"/>
      <c r="N642" s="117"/>
      <c r="O642" s="117"/>
      <c r="P642" s="92"/>
      <c r="Q642" s="150"/>
      <c r="R642" s="117"/>
      <c r="S642" s="117"/>
      <c r="T642" s="117"/>
      <c r="U642" s="115"/>
      <c r="V642" s="180"/>
      <c r="W642" s="117"/>
      <c r="X642" s="117"/>
      <c r="Y642" s="117"/>
      <c r="Z642" s="115"/>
      <c r="AA642" s="180"/>
      <c r="AB642" s="117"/>
      <c r="AC642" s="117"/>
      <c r="AD642" s="117"/>
      <c r="AE642" s="115"/>
      <c r="AF642" s="180"/>
      <c r="AG642" s="117"/>
      <c r="AH642" s="117"/>
      <c r="AI642" s="117"/>
      <c r="AJ642" s="115"/>
      <c r="AK642" s="180"/>
      <c r="AL642" s="117"/>
      <c r="AM642" s="117"/>
      <c r="AN642" s="117"/>
      <c r="AO642" s="338"/>
      <c r="AP642" s="338"/>
      <c r="AQ642" s="338"/>
      <c r="AR642" s="338"/>
      <c r="AS642" s="338"/>
      <c r="AT642" s="338"/>
      <c r="AU642" s="338"/>
      <c r="AV642" s="338"/>
      <c r="AW642" s="338"/>
      <c r="AX642" s="338"/>
      <c r="AY642" s="338"/>
      <c r="AZ642" s="338"/>
      <c r="BA642" s="338"/>
      <c r="BB642" s="338"/>
      <c r="BC642" s="338"/>
    </row>
    <row r="643">
      <c r="A643" s="115"/>
      <c r="B643" s="180"/>
      <c r="C643" s="117"/>
      <c r="D643" s="117"/>
      <c r="E643" s="117"/>
      <c r="F643" s="115"/>
      <c r="G643" s="180"/>
      <c r="H643" s="117"/>
      <c r="I643" s="117"/>
      <c r="J643" s="117"/>
      <c r="K643" s="92"/>
      <c r="L643" s="180"/>
      <c r="M643" s="117"/>
      <c r="N643" s="117"/>
      <c r="O643" s="117"/>
      <c r="P643" s="92"/>
      <c r="Q643" s="150"/>
      <c r="R643" s="117"/>
      <c r="S643" s="117"/>
      <c r="T643" s="117"/>
      <c r="U643" s="115"/>
      <c r="V643" s="180"/>
      <c r="W643" s="117"/>
      <c r="X643" s="117"/>
      <c r="Y643" s="117"/>
      <c r="Z643" s="115"/>
      <c r="AA643" s="180"/>
      <c r="AB643" s="117"/>
      <c r="AC643" s="117"/>
      <c r="AD643" s="117"/>
      <c r="AE643" s="115"/>
      <c r="AF643" s="180"/>
      <c r="AG643" s="117"/>
      <c r="AH643" s="117"/>
      <c r="AI643" s="117"/>
      <c r="AJ643" s="115"/>
      <c r="AK643" s="180"/>
      <c r="AL643" s="117"/>
      <c r="AM643" s="117"/>
      <c r="AN643" s="117"/>
      <c r="AO643" s="338"/>
      <c r="AP643" s="338"/>
      <c r="AQ643" s="338"/>
      <c r="AR643" s="338"/>
      <c r="AS643" s="338"/>
      <c r="AT643" s="338"/>
      <c r="AU643" s="338"/>
      <c r="AV643" s="338"/>
      <c r="AW643" s="338"/>
      <c r="AX643" s="338"/>
      <c r="AY643" s="338"/>
      <c r="AZ643" s="338"/>
      <c r="BA643" s="338"/>
      <c r="BB643" s="338"/>
      <c r="BC643" s="338"/>
    </row>
    <row r="644">
      <c r="A644" s="115"/>
      <c r="B644" s="180"/>
      <c r="C644" s="117"/>
      <c r="D644" s="117"/>
      <c r="E644" s="117"/>
      <c r="F644" s="115"/>
      <c r="G644" s="180"/>
      <c r="H644" s="117"/>
      <c r="I644" s="117"/>
      <c r="J644" s="117"/>
      <c r="K644" s="92"/>
      <c r="L644" s="180"/>
      <c r="M644" s="117"/>
      <c r="N644" s="117"/>
      <c r="O644" s="117"/>
      <c r="P644" s="92"/>
      <c r="Q644" s="150"/>
      <c r="R644" s="117"/>
      <c r="S644" s="117"/>
      <c r="T644" s="117"/>
      <c r="U644" s="115"/>
      <c r="V644" s="180"/>
      <c r="W644" s="117"/>
      <c r="X644" s="117"/>
      <c r="Y644" s="117"/>
      <c r="Z644" s="115"/>
      <c r="AA644" s="180"/>
      <c r="AB644" s="117"/>
      <c r="AC644" s="117"/>
      <c r="AD644" s="117"/>
      <c r="AE644" s="115"/>
      <c r="AF644" s="180"/>
      <c r="AG644" s="117"/>
      <c r="AH644" s="117"/>
      <c r="AI644" s="117"/>
      <c r="AJ644" s="115"/>
      <c r="AK644" s="180"/>
      <c r="AL644" s="117"/>
      <c r="AM644" s="117"/>
      <c r="AN644" s="117"/>
      <c r="AO644" s="338"/>
      <c r="AP644" s="338"/>
      <c r="AQ644" s="338"/>
      <c r="AR644" s="338"/>
      <c r="AS644" s="338"/>
      <c r="AT644" s="338"/>
      <c r="AU644" s="338"/>
      <c r="AV644" s="338"/>
      <c r="AW644" s="338"/>
      <c r="AX644" s="338"/>
      <c r="AY644" s="338"/>
      <c r="AZ644" s="338"/>
      <c r="BA644" s="338"/>
      <c r="BB644" s="338"/>
      <c r="BC644" s="338"/>
    </row>
    <row r="645">
      <c r="A645" s="115"/>
      <c r="B645" s="180"/>
      <c r="C645" s="117"/>
      <c r="D645" s="117"/>
      <c r="E645" s="117"/>
      <c r="F645" s="115"/>
      <c r="G645" s="180"/>
      <c r="H645" s="117"/>
      <c r="I645" s="117"/>
      <c r="J645" s="117"/>
      <c r="K645" s="92"/>
      <c r="L645" s="180"/>
      <c r="M645" s="117"/>
      <c r="N645" s="117"/>
      <c r="O645" s="117"/>
      <c r="P645" s="92"/>
      <c r="Q645" s="150"/>
      <c r="R645" s="117"/>
      <c r="S645" s="117"/>
      <c r="T645" s="117"/>
      <c r="U645" s="115"/>
      <c r="V645" s="180"/>
      <c r="W645" s="117"/>
      <c r="X645" s="117"/>
      <c r="Y645" s="117"/>
      <c r="Z645" s="115"/>
      <c r="AA645" s="180"/>
      <c r="AB645" s="117"/>
      <c r="AC645" s="117"/>
      <c r="AD645" s="117"/>
      <c r="AE645" s="115"/>
      <c r="AF645" s="180"/>
      <c r="AG645" s="117"/>
      <c r="AH645" s="117"/>
      <c r="AI645" s="117"/>
      <c r="AJ645" s="115"/>
      <c r="AK645" s="180"/>
      <c r="AL645" s="117"/>
      <c r="AM645" s="117"/>
      <c r="AN645" s="117"/>
      <c r="AO645" s="338"/>
      <c r="AP645" s="338"/>
      <c r="AQ645" s="338"/>
      <c r="AR645" s="338"/>
      <c r="AS645" s="338"/>
      <c r="AT645" s="338"/>
      <c r="AU645" s="338"/>
      <c r="AV645" s="338"/>
      <c r="AW645" s="338"/>
      <c r="AX645" s="338"/>
      <c r="AY645" s="338"/>
      <c r="AZ645" s="338"/>
      <c r="BA645" s="338"/>
      <c r="BB645" s="338"/>
      <c r="BC645" s="338"/>
    </row>
    <row r="646">
      <c r="A646" s="115"/>
      <c r="B646" s="180"/>
      <c r="C646" s="117"/>
      <c r="D646" s="117"/>
      <c r="E646" s="117"/>
      <c r="F646" s="115"/>
      <c r="G646" s="180"/>
      <c r="H646" s="117"/>
      <c r="I646" s="117"/>
      <c r="J646" s="117"/>
      <c r="K646" s="92"/>
      <c r="L646" s="180"/>
      <c r="M646" s="117"/>
      <c r="N646" s="117"/>
      <c r="O646" s="117"/>
      <c r="P646" s="92"/>
      <c r="Q646" s="150"/>
      <c r="R646" s="117"/>
      <c r="S646" s="117"/>
      <c r="T646" s="117"/>
      <c r="U646" s="115"/>
      <c r="V646" s="180"/>
      <c r="W646" s="117"/>
      <c r="X646" s="117"/>
      <c r="Y646" s="117"/>
      <c r="Z646" s="115"/>
      <c r="AA646" s="180"/>
      <c r="AB646" s="117"/>
      <c r="AC646" s="117"/>
      <c r="AD646" s="117"/>
      <c r="AE646" s="115"/>
      <c r="AF646" s="180"/>
      <c r="AG646" s="117"/>
      <c r="AH646" s="117"/>
      <c r="AI646" s="117"/>
      <c r="AJ646" s="115"/>
      <c r="AK646" s="180"/>
      <c r="AL646" s="117"/>
      <c r="AM646" s="117"/>
      <c r="AN646" s="117"/>
      <c r="AO646" s="338"/>
      <c r="AP646" s="338"/>
      <c r="AQ646" s="338"/>
      <c r="AR646" s="338"/>
      <c r="AS646" s="338"/>
      <c r="AT646" s="338"/>
      <c r="AU646" s="338"/>
      <c r="AV646" s="338"/>
      <c r="AW646" s="338"/>
      <c r="AX646" s="338"/>
      <c r="AY646" s="338"/>
      <c r="AZ646" s="338"/>
      <c r="BA646" s="338"/>
      <c r="BB646" s="338"/>
      <c r="BC646" s="338"/>
    </row>
    <row r="647">
      <c r="A647" s="115"/>
      <c r="B647" s="180"/>
      <c r="C647" s="117"/>
      <c r="D647" s="117"/>
      <c r="E647" s="117"/>
      <c r="F647" s="115"/>
      <c r="G647" s="180"/>
      <c r="H647" s="117"/>
      <c r="I647" s="117"/>
      <c r="J647" s="117"/>
      <c r="K647" s="92"/>
      <c r="L647" s="180"/>
      <c r="M647" s="117"/>
      <c r="N647" s="117"/>
      <c r="O647" s="117"/>
      <c r="P647" s="92"/>
      <c r="Q647" s="150"/>
      <c r="R647" s="117"/>
      <c r="S647" s="117"/>
      <c r="T647" s="117"/>
      <c r="U647" s="115"/>
      <c r="V647" s="180"/>
      <c r="W647" s="117"/>
      <c r="X647" s="117"/>
      <c r="Y647" s="117"/>
      <c r="Z647" s="115"/>
      <c r="AA647" s="180"/>
      <c r="AB647" s="117"/>
      <c r="AC647" s="117"/>
      <c r="AD647" s="117"/>
      <c r="AE647" s="115"/>
      <c r="AF647" s="180"/>
      <c r="AG647" s="117"/>
      <c r="AH647" s="117"/>
      <c r="AI647" s="117"/>
      <c r="AJ647" s="115"/>
      <c r="AK647" s="180"/>
      <c r="AL647" s="117"/>
      <c r="AM647" s="117"/>
      <c r="AN647" s="117"/>
      <c r="AO647" s="338"/>
      <c r="AP647" s="338"/>
      <c r="AQ647" s="338"/>
      <c r="AR647" s="338"/>
      <c r="AS647" s="338"/>
      <c r="AT647" s="338"/>
      <c r="AU647" s="338"/>
      <c r="AV647" s="338"/>
      <c r="AW647" s="338"/>
      <c r="AX647" s="338"/>
      <c r="AY647" s="338"/>
      <c r="AZ647" s="338"/>
      <c r="BA647" s="338"/>
      <c r="BB647" s="338"/>
      <c r="BC647" s="338"/>
    </row>
    <row r="648">
      <c r="A648" s="115"/>
      <c r="B648" s="180"/>
      <c r="C648" s="117"/>
      <c r="D648" s="117"/>
      <c r="E648" s="117"/>
      <c r="F648" s="115"/>
      <c r="G648" s="180"/>
      <c r="H648" s="117"/>
      <c r="I648" s="117"/>
      <c r="J648" s="117"/>
      <c r="K648" s="92"/>
      <c r="L648" s="180"/>
      <c r="M648" s="117"/>
      <c r="N648" s="117"/>
      <c r="O648" s="117"/>
      <c r="P648" s="92"/>
      <c r="Q648" s="150"/>
      <c r="R648" s="117"/>
      <c r="S648" s="117"/>
      <c r="T648" s="117"/>
      <c r="U648" s="115"/>
      <c r="V648" s="180"/>
      <c r="W648" s="117"/>
      <c r="X648" s="117"/>
      <c r="Y648" s="117"/>
      <c r="Z648" s="115"/>
      <c r="AA648" s="180"/>
      <c r="AB648" s="117"/>
      <c r="AC648" s="117"/>
      <c r="AD648" s="117"/>
      <c r="AE648" s="115"/>
      <c r="AF648" s="180"/>
      <c r="AG648" s="117"/>
      <c r="AH648" s="117"/>
      <c r="AI648" s="117"/>
      <c r="AJ648" s="115"/>
      <c r="AK648" s="180"/>
      <c r="AL648" s="117"/>
      <c r="AM648" s="117"/>
      <c r="AN648" s="117"/>
      <c r="AO648" s="338"/>
      <c r="AP648" s="338"/>
      <c r="AQ648" s="338"/>
      <c r="AR648" s="338"/>
      <c r="AS648" s="338"/>
      <c r="AT648" s="338"/>
      <c r="AU648" s="338"/>
      <c r="AV648" s="338"/>
      <c r="AW648" s="338"/>
      <c r="AX648" s="338"/>
      <c r="AY648" s="338"/>
      <c r="AZ648" s="338"/>
      <c r="BA648" s="338"/>
      <c r="BB648" s="338"/>
      <c r="BC648" s="338"/>
    </row>
    <row r="649">
      <c r="A649" s="115"/>
      <c r="B649" s="180"/>
      <c r="C649" s="117"/>
      <c r="D649" s="117"/>
      <c r="E649" s="117"/>
      <c r="F649" s="115"/>
      <c r="G649" s="180"/>
      <c r="H649" s="117"/>
      <c r="I649" s="117"/>
      <c r="J649" s="117"/>
      <c r="K649" s="92"/>
      <c r="L649" s="180"/>
      <c r="M649" s="117"/>
      <c r="N649" s="117"/>
      <c r="O649" s="117"/>
      <c r="P649" s="92"/>
      <c r="Q649" s="150"/>
      <c r="R649" s="117"/>
      <c r="S649" s="117"/>
      <c r="T649" s="117"/>
      <c r="U649" s="115"/>
      <c r="V649" s="180"/>
      <c r="W649" s="117"/>
      <c r="X649" s="117"/>
      <c r="Y649" s="117"/>
      <c r="Z649" s="115"/>
      <c r="AA649" s="180"/>
      <c r="AB649" s="117"/>
      <c r="AC649" s="117"/>
      <c r="AD649" s="117"/>
      <c r="AE649" s="115"/>
      <c r="AF649" s="180"/>
      <c r="AG649" s="117"/>
      <c r="AH649" s="117"/>
      <c r="AI649" s="117"/>
      <c r="AJ649" s="115"/>
      <c r="AK649" s="180"/>
      <c r="AL649" s="117"/>
      <c r="AM649" s="117"/>
      <c r="AN649" s="117"/>
      <c r="AO649" s="338"/>
      <c r="AP649" s="338"/>
      <c r="AQ649" s="338"/>
      <c r="AR649" s="338"/>
      <c r="AS649" s="338"/>
      <c r="AT649" s="338"/>
      <c r="AU649" s="338"/>
      <c r="AV649" s="338"/>
      <c r="AW649" s="338"/>
      <c r="AX649" s="338"/>
      <c r="AY649" s="338"/>
      <c r="AZ649" s="338"/>
      <c r="BA649" s="338"/>
      <c r="BB649" s="338"/>
      <c r="BC649" s="338"/>
    </row>
    <row r="650">
      <c r="A650" s="115"/>
      <c r="B650" s="180"/>
      <c r="C650" s="117"/>
      <c r="D650" s="117"/>
      <c r="E650" s="117"/>
      <c r="F650" s="115"/>
      <c r="G650" s="180"/>
      <c r="H650" s="117"/>
      <c r="I650" s="117"/>
      <c r="J650" s="117"/>
      <c r="K650" s="92"/>
      <c r="L650" s="180"/>
      <c r="M650" s="117"/>
      <c r="N650" s="117"/>
      <c r="O650" s="117"/>
      <c r="P650" s="92"/>
      <c r="Q650" s="150"/>
      <c r="R650" s="117"/>
      <c r="S650" s="117"/>
      <c r="T650" s="117"/>
      <c r="U650" s="115"/>
      <c r="V650" s="180"/>
      <c r="W650" s="117"/>
      <c r="X650" s="117"/>
      <c r="Y650" s="117"/>
      <c r="Z650" s="115"/>
      <c r="AA650" s="180"/>
      <c r="AB650" s="117"/>
      <c r="AC650" s="117"/>
      <c r="AD650" s="117"/>
      <c r="AE650" s="115"/>
      <c r="AF650" s="180"/>
      <c r="AG650" s="117"/>
      <c r="AH650" s="117"/>
      <c r="AI650" s="117"/>
      <c r="AJ650" s="115"/>
      <c r="AK650" s="180"/>
      <c r="AL650" s="117"/>
      <c r="AM650" s="117"/>
      <c r="AN650" s="117"/>
      <c r="AO650" s="338"/>
      <c r="AP650" s="338"/>
      <c r="AQ650" s="338"/>
      <c r="AR650" s="338"/>
      <c r="AS650" s="338"/>
      <c r="AT650" s="338"/>
      <c r="AU650" s="338"/>
      <c r="AV650" s="338"/>
      <c r="AW650" s="338"/>
      <c r="AX650" s="338"/>
      <c r="AY650" s="338"/>
      <c r="AZ650" s="338"/>
      <c r="BA650" s="338"/>
      <c r="BB650" s="338"/>
      <c r="BC650" s="338"/>
    </row>
    <row r="651">
      <c r="A651" s="115"/>
      <c r="B651" s="180"/>
      <c r="C651" s="117"/>
      <c r="D651" s="117"/>
      <c r="E651" s="117"/>
      <c r="F651" s="115"/>
      <c r="G651" s="180"/>
      <c r="H651" s="117"/>
      <c r="I651" s="117"/>
      <c r="J651" s="117"/>
      <c r="K651" s="92"/>
      <c r="L651" s="180"/>
      <c r="M651" s="117"/>
      <c r="N651" s="117"/>
      <c r="O651" s="117"/>
      <c r="P651" s="92"/>
      <c r="Q651" s="150"/>
      <c r="R651" s="117"/>
      <c r="S651" s="117"/>
      <c r="T651" s="117"/>
      <c r="U651" s="115"/>
      <c r="V651" s="180"/>
      <c r="W651" s="117"/>
      <c r="X651" s="117"/>
      <c r="Y651" s="117"/>
      <c r="Z651" s="115"/>
      <c r="AA651" s="180"/>
      <c r="AB651" s="117"/>
      <c r="AC651" s="117"/>
      <c r="AD651" s="117"/>
      <c r="AE651" s="115"/>
      <c r="AF651" s="180"/>
      <c r="AG651" s="117"/>
      <c r="AH651" s="117"/>
      <c r="AI651" s="117"/>
      <c r="AJ651" s="115"/>
      <c r="AK651" s="180"/>
      <c r="AL651" s="117"/>
      <c r="AM651" s="117"/>
      <c r="AN651" s="117"/>
      <c r="AO651" s="338"/>
      <c r="AP651" s="338"/>
      <c r="AQ651" s="338"/>
      <c r="AR651" s="338"/>
      <c r="AS651" s="338"/>
      <c r="AT651" s="338"/>
      <c r="AU651" s="338"/>
      <c r="AV651" s="338"/>
      <c r="AW651" s="338"/>
      <c r="AX651" s="338"/>
      <c r="AY651" s="338"/>
      <c r="AZ651" s="338"/>
      <c r="BA651" s="338"/>
      <c r="BB651" s="338"/>
      <c r="BC651" s="338"/>
    </row>
    <row r="652">
      <c r="A652" s="115"/>
      <c r="B652" s="180"/>
      <c r="C652" s="117"/>
      <c r="D652" s="117"/>
      <c r="E652" s="117"/>
      <c r="F652" s="115"/>
      <c r="G652" s="180"/>
      <c r="H652" s="117"/>
      <c r="I652" s="117"/>
      <c r="J652" s="117"/>
      <c r="K652" s="92"/>
      <c r="L652" s="180"/>
      <c r="M652" s="117"/>
      <c r="N652" s="117"/>
      <c r="O652" s="117"/>
      <c r="P652" s="92"/>
      <c r="Q652" s="150"/>
      <c r="R652" s="117"/>
      <c r="S652" s="117"/>
      <c r="T652" s="117"/>
      <c r="U652" s="115"/>
      <c r="V652" s="180"/>
      <c r="W652" s="117"/>
      <c r="X652" s="117"/>
      <c r="Y652" s="117"/>
      <c r="Z652" s="115"/>
      <c r="AA652" s="180"/>
      <c r="AB652" s="117"/>
      <c r="AC652" s="117"/>
      <c r="AD652" s="117"/>
      <c r="AE652" s="115"/>
      <c r="AF652" s="180"/>
      <c r="AG652" s="117"/>
      <c r="AH652" s="117"/>
      <c r="AI652" s="117"/>
      <c r="AJ652" s="115"/>
      <c r="AK652" s="180"/>
      <c r="AL652" s="117"/>
      <c r="AM652" s="117"/>
      <c r="AN652" s="117"/>
      <c r="AO652" s="338"/>
      <c r="AP652" s="338"/>
      <c r="AQ652" s="338"/>
      <c r="AR652" s="338"/>
      <c r="AS652" s="338"/>
      <c r="AT652" s="338"/>
      <c r="AU652" s="338"/>
      <c r="AV652" s="338"/>
      <c r="AW652" s="338"/>
      <c r="AX652" s="338"/>
      <c r="AY652" s="338"/>
      <c r="AZ652" s="338"/>
      <c r="BA652" s="338"/>
      <c r="BB652" s="338"/>
      <c r="BC652" s="338"/>
    </row>
    <row r="653">
      <c r="A653" s="115"/>
      <c r="B653" s="180"/>
      <c r="C653" s="117"/>
      <c r="D653" s="117"/>
      <c r="E653" s="117"/>
      <c r="F653" s="115"/>
      <c r="G653" s="180"/>
      <c r="H653" s="117"/>
      <c r="I653" s="117"/>
      <c r="J653" s="117"/>
      <c r="K653" s="92"/>
      <c r="L653" s="180"/>
      <c r="M653" s="117"/>
      <c r="N653" s="117"/>
      <c r="O653" s="117"/>
      <c r="P653" s="92"/>
      <c r="Q653" s="150"/>
      <c r="R653" s="117"/>
      <c r="S653" s="117"/>
      <c r="T653" s="117"/>
      <c r="U653" s="115"/>
      <c r="V653" s="180"/>
      <c r="W653" s="117"/>
      <c r="X653" s="117"/>
      <c r="Y653" s="117"/>
      <c r="Z653" s="115"/>
      <c r="AA653" s="180"/>
      <c r="AB653" s="117"/>
      <c r="AC653" s="117"/>
      <c r="AD653" s="117"/>
      <c r="AE653" s="115"/>
      <c r="AF653" s="180"/>
      <c r="AG653" s="117"/>
      <c r="AH653" s="117"/>
      <c r="AI653" s="117"/>
      <c r="AJ653" s="115"/>
      <c r="AK653" s="180"/>
      <c r="AL653" s="117"/>
      <c r="AM653" s="117"/>
      <c r="AN653" s="117"/>
      <c r="AO653" s="338"/>
      <c r="AP653" s="338"/>
      <c r="AQ653" s="338"/>
      <c r="AR653" s="338"/>
      <c r="AS653" s="338"/>
      <c r="AT653" s="338"/>
      <c r="AU653" s="338"/>
      <c r="AV653" s="338"/>
      <c r="AW653" s="338"/>
      <c r="AX653" s="338"/>
      <c r="AY653" s="338"/>
      <c r="AZ653" s="338"/>
      <c r="BA653" s="338"/>
      <c r="BB653" s="338"/>
      <c r="BC653" s="338"/>
    </row>
    <row r="654">
      <c r="A654" s="115"/>
      <c r="B654" s="180"/>
      <c r="C654" s="117"/>
      <c r="D654" s="117"/>
      <c r="E654" s="117"/>
      <c r="F654" s="115"/>
      <c r="G654" s="180"/>
      <c r="H654" s="117"/>
      <c r="I654" s="117"/>
      <c r="J654" s="117"/>
      <c r="K654" s="92"/>
      <c r="L654" s="180"/>
      <c r="M654" s="117"/>
      <c r="N654" s="117"/>
      <c r="O654" s="117"/>
      <c r="P654" s="92"/>
      <c r="Q654" s="150"/>
      <c r="R654" s="117"/>
      <c r="S654" s="117"/>
      <c r="T654" s="117"/>
      <c r="U654" s="115"/>
      <c r="V654" s="180"/>
      <c r="W654" s="117"/>
      <c r="X654" s="117"/>
      <c r="Y654" s="117"/>
      <c r="Z654" s="115"/>
      <c r="AA654" s="180"/>
      <c r="AB654" s="117"/>
      <c r="AC654" s="117"/>
      <c r="AD654" s="117"/>
      <c r="AE654" s="115"/>
      <c r="AF654" s="180"/>
      <c r="AG654" s="117"/>
      <c r="AH654" s="117"/>
      <c r="AI654" s="117"/>
      <c r="AJ654" s="115"/>
      <c r="AK654" s="180"/>
      <c r="AL654" s="117"/>
      <c r="AM654" s="117"/>
      <c r="AN654" s="117"/>
      <c r="AO654" s="338"/>
      <c r="AP654" s="338"/>
      <c r="AQ654" s="338"/>
      <c r="AR654" s="338"/>
      <c r="AS654" s="338"/>
      <c r="AT654" s="338"/>
      <c r="AU654" s="338"/>
      <c r="AV654" s="338"/>
      <c r="AW654" s="338"/>
      <c r="AX654" s="338"/>
      <c r="AY654" s="338"/>
      <c r="AZ654" s="338"/>
      <c r="BA654" s="338"/>
      <c r="BB654" s="338"/>
      <c r="BC654" s="338"/>
    </row>
    <row r="655">
      <c r="A655" s="115"/>
      <c r="B655" s="180"/>
      <c r="C655" s="117"/>
      <c r="D655" s="117"/>
      <c r="E655" s="117"/>
      <c r="F655" s="115"/>
      <c r="G655" s="180"/>
      <c r="H655" s="117"/>
      <c r="I655" s="117"/>
      <c r="J655" s="117"/>
      <c r="K655" s="92"/>
      <c r="L655" s="180"/>
      <c r="M655" s="117"/>
      <c r="N655" s="117"/>
      <c r="O655" s="117"/>
      <c r="P655" s="92"/>
      <c r="Q655" s="150"/>
      <c r="R655" s="117"/>
      <c r="S655" s="117"/>
      <c r="T655" s="117"/>
      <c r="U655" s="115"/>
      <c r="V655" s="180"/>
      <c r="W655" s="117"/>
      <c r="X655" s="117"/>
      <c r="Y655" s="117"/>
      <c r="Z655" s="115"/>
      <c r="AA655" s="180"/>
      <c r="AB655" s="117"/>
      <c r="AC655" s="117"/>
      <c r="AD655" s="117"/>
      <c r="AE655" s="115"/>
      <c r="AF655" s="180"/>
      <c r="AG655" s="117"/>
      <c r="AH655" s="117"/>
      <c r="AI655" s="117"/>
      <c r="AJ655" s="115"/>
      <c r="AK655" s="180"/>
      <c r="AL655" s="117"/>
      <c r="AM655" s="117"/>
      <c r="AN655" s="117"/>
      <c r="AO655" s="338"/>
      <c r="AP655" s="338"/>
      <c r="AQ655" s="338"/>
      <c r="AR655" s="338"/>
      <c r="AS655" s="338"/>
      <c r="AT655" s="338"/>
      <c r="AU655" s="338"/>
      <c r="AV655" s="338"/>
      <c r="AW655" s="338"/>
      <c r="AX655" s="338"/>
      <c r="AY655" s="338"/>
      <c r="AZ655" s="338"/>
      <c r="BA655" s="338"/>
      <c r="BB655" s="338"/>
      <c r="BC655" s="338"/>
    </row>
    <row r="656">
      <c r="A656" s="115"/>
      <c r="B656" s="180"/>
      <c r="C656" s="117"/>
      <c r="D656" s="117"/>
      <c r="E656" s="117"/>
      <c r="F656" s="115"/>
      <c r="G656" s="180"/>
      <c r="H656" s="117"/>
      <c r="I656" s="117"/>
      <c r="J656" s="117"/>
      <c r="K656" s="92"/>
      <c r="L656" s="180"/>
      <c r="M656" s="117"/>
      <c r="N656" s="117"/>
      <c r="O656" s="117"/>
      <c r="P656" s="92"/>
      <c r="Q656" s="150"/>
      <c r="R656" s="117"/>
      <c r="S656" s="117"/>
      <c r="T656" s="117"/>
      <c r="U656" s="115"/>
      <c r="V656" s="180"/>
      <c r="W656" s="117"/>
      <c r="X656" s="117"/>
      <c r="Y656" s="117"/>
      <c r="Z656" s="115"/>
      <c r="AA656" s="180"/>
      <c r="AB656" s="117"/>
      <c r="AC656" s="117"/>
      <c r="AD656" s="117"/>
      <c r="AE656" s="115"/>
      <c r="AF656" s="180"/>
      <c r="AG656" s="117"/>
      <c r="AH656" s="117"/>
      <c r="AI656" s="117"/>
      <c r="AJ656" s="115"/>
      <c r="AK656" s="180"/>
      <c r="AL656" s="117"/>
      <c r="AM656" s="117"/>
      <c r="AN656" s="117"/>
      <c r="AO656" s="338"/>
      <c r="AP656" s="338"/>
      <c r="AQ656" s="338"/>
      <c r="AR656" s="338"/>
      <c r="AS656" s="338"/>
      <c r="AT656" s="338"/>
      <c r="AU656" s="338"/>
      <c r="AV656" s="338"/>
      <c r="AW656" s="338"/>
      <c r="AX656" s="338"/>
      <c r="AY656" s="338"/>
      <c r="AZ656" s="338"/>
      <c r="BA656" s="338"/>
      <c r="BB656" s="338"/>
      <c r="BC656" s="338"/>
    </row>
    <row r="657">
      <c r="A657" s="115"/>
      <c r="B657" s="180"/>
      <c r="C657" s="117"/>
      <c r="D657" s="117"/>
      <c r="E657" s="117"/>
      <c r="F657" s="115"/>
      <c r="G657" s="180"/>
      <c r="H657" s="117"/>
      <c r="I657" s="117"/>
      <c r="J657" s="117"/>
      <c r="K657" s="92"/>
      <c r="L657" s="180"/>
      <c r="M657" s="117"/>
      <c r="N657" s="117"/>
      <c r="O657" s="117"/>
      <c r="P657" s="92"/>
      <c r="Q657" s="150"/>
      <c r="R657" s="117"/>
      <c r="S657" s="117"/>
      <c r="T657" s="117"/>
      <c r="U657" s="115"/>
      <c r="V657" s="180"/>
      <c r="W657" s="117"/>
      <c r="X657" s="117"/>
      <c r="Y657" s="117"/>
      <c r="Z657" s="115"/>
      <c r="AA657" s="180"/>
      <c r="AB657" s="117"/>
      <c r="AC657" s="117"/>
      <c r="AD657" s="117"/>
      <c r="AE657" s="115"/>
      <c r="AF657" s="180"/>
      <c r="AG657" s="117"/>
      <c r="AH657" s="117"/>
      <c r="AI657" s="117"/>
      <c r="AJ657" s="115"/>
      <c r="AK657" s="180"/>
      <c r="AL657" s="117"/>
      <c r="AM657" s="117"/>
      <c r="AN657" s="117"/>
      <c r="AO657" s="338"/>
      <c r="AP657" s="338"/>
      <c r="AQ657" s="338"/>
      <c r="AR657" s="338"/>
      <c r="AS657" s="338"/>
      <c r="AT657" s="338"/>
      <c r="AU657" s="338"/>
      <c r="AV657" s="338"/>
      <c r="AW657" s="338"/>
      <c r="AX657" s="338"/>
      <c r="AY657" s="338"/>
      <c r="AZ657" s="338"/>
      <c r="BA657" s="338"/>
      <c r="BB657" s="338"/>
      <c r="BC657" s="338"/>
    </row>
    <row r="658">
      <c r="A658" s="115"/>
      <c r="B658" s="180"/>
      <c r="C658" s="117"/>
      <c r="D658" s="117"/>
      <c r="E658" s="117"/>
      <c r="F658" s="115"/>
      <c r="G658" s="180"/>
      <c r="H658" s="117"/>
      <c r="I658" s="117"/>
      <c r="J658" s="117"/>
      <c r="K658" s="92"/>
      <c r="L658" s="180"/>
      <c r="M658" s="117"/>
      <c r="N658" s="117"/>
      <c r="O658" s="117"/>
      <c r="P658" s="92"/>
      <c r="Q658" s="150"/>
      <c r="R658" s="117"/>
      <c r="S658" s="117"/>
      <c r="T658" s="117"/>
      <c r="U658" s="115"/>
      <c r="V658" s="180"/>
      <c r="W658" s="117"/>
      <c r="X658" s="117"/>
      <c r="Y658" s="117"/>
      <c r="Z658" s="115"/>
      <c r="AA658" s="180"/>
      <c r="AB658" s="117"/>
      <c r="AC658" s="117"/>
      <c r="AD658" s="117"/>
      <c r="AE658" s="115"/>
      <c r="AF658" s="180"/>
      <c r="AG658" s="117"/>
      <c r="AH658" s="117"/>
      <c r="AI658" s="117"/>
      <c r="AJ658" s="115"/>
      <c r="AK658" s="180"/>
      <c r="AL658" s="117"/>
      <c r="AM658" s="117"/>
      <c r="AN658" s="117"/>
      <c r="AO658" s="338"/>
      <c r="AP658" s="338"/>
      <c r="AQ658" s="338"/>
      <c r="AR658" s="338"/>
      <c r="AS658" s="338"/>
      <c r="AT658" s="338"/>
      <c r="AU658" s="338"/>
      <c r="AV658" s="338"/>
      <c r="AW658" s="338"/>
      <c r="AX658" s="338"/>
      <c r="AY658" s="338"/>
      <c r="AZ658" s="338"/>
      <c r="BA658" s="338"/>
      <c r="BB658" s="338"/>
      <c r="BC658" s="338"/>
    </row>
    <row r="659">
      <c r="A659" s="115"/>
      <c r="B659" s="180"/>
      <c r="C659" s="117"/>
      <c r="D659" s="117"/>
      <c r="E659" s="117"/>
      <c r="F659" s="115"/>
      <c r="G659" s="180"/>
      <c r="H659" s="117"/>
      <c r="I659" s="117"/>
      <c r="J659" s="117"/>
      <c r="K659" s="92"/>
      <c r="L659" s="180"/>
      <c r="M659" s="117"/>
      <c r="N659" s="117"/>
      <c r="O659" s="117"/>
      <c r="P659" s="92"/>
      <c r="Q659" s="150"/>
      <c r="R659" s="117"/>
      <c r="S659" s="117"/>
      <c r="T659" s="117"/>
      <c r="U659" s="115"/>
      <c r="V659" s="180"/>
      <c r="W659" s="117"/>
      <c r="X659" s="117"/>
      <c r="Y659" s="117"/>
      <c r="Z659" s="115"/>
      <c r="AA659" s="180"/>
      <c r="AB659" s="117"/>
      <c r="AC659" s="117"/>
      <c r="AD659" s="117"/>
      <c r="AE659" s="115"/>
      <c r="AF659" s="180"/>
      <c r="AG659" s="117"/>
      <c r="AH659" s="117"/>
      <c r="AI659" s="117"/>
      <c r="AJ659" s="115"/>
      <c r="AK659" s="180"/>
      <c r="AL659" s="117"/>
      <c r="AM659" s="117"/>
      <c r="AN659" s="117"/>
      <c r="AO659" s="338"/>
      <c r="AP659" s="338"/>
      <c r="AQ659" s="338"/>
      <c r="AR659" s="338"/>
      <c r="AS659" s="338"/>
      <c r="AT659" s="338"/>
      <c r="AU659" s="338"/>
      <c r="AV659" s="338"/>
      <c r="AW659" s="338"/>
      <c r="AX659" s="338"/>
      <c r="AY659" s="338"/>
      <c r="AZ659" s="338"/>
      <c r="BA659" s="338"/>
      <c r="BB659" s="338"/>
      <c r="BC659" s="338"/>
    </row>
    <row r="660">
      <c r="A660" s="115"/>
      <c r="B660" s="180"/>
      <c r="C660" s="117"/>
      <c r="D660" s="117"/>
      <c r="E660" s="117"/>
      <c r="F660" s="115"/>
      <c r="G660" s="180"/>
      <c r="H660" s="117"/>
      <c r="I660" s="117"/>
      <c r="J660" s="117"/>
      <c r="K660" s="92"/>
      <c r="L660" s="180"/>
      <c r="M660" s="117"/>
      <c r="N660" s="117"/>
      <c r="O660" s="117"/>
      <c r="P660" s="92"/>
      <c r="Q660" s="150"/>
      <c r="R660" s="117"/>
      <c r="S660" s="117"/>
      <c r="T660" s="117"/>
      <c r="U660" s="115"/>
      <c r="V660" s="180"/>
      <c r="W660" s="117"/>
      <c r="X660" s="117"/>
      <c r="Y660" s="117"/>
      <c r="Z660" s="115"/>
      <c r="AA660" s="180"/>
      <c r="AB660" s="117"/>
      <c r="AC660" s="117"/>
      <c r="AD660" s="117"/>
      <c r="AE660" s="115"/>
      <c r="AF660" s="180"/>
      <c r="AG660" s="117"/>
      <c r="AH660" s="117"/>
      <c r="AI660" s="117"/>
      <c r="AJ660" s="115"/>
      <c r="AK660" s="180"/>
      <c r="AL660" s="117"/>
      <c r="AM660" s="117"/>
      <c r="AN660" s="117"/>
      <c r="AO660" s="338"/>
      <c r="AP660" s="338"/>
      <c r="AQ660" s="338"/>
      <c r="AR660" s="338"/>
      <c r="AS660" s="338"/>
      <c r="AT660" s="338"/>
      <c r="AU660" s="338"/>
      <c r="AV660" s="338"/>
      <c r="AW660" s="338"/>
      <c r="AX660" s="338"/>
      <c r="AY660" s="338"/>
      <c r="AZ660" s="338"/>
      <c r="BA660" s="338"/>
      <c r="BB660" s="338"/>
      <c r="BC660" s="338"/>
    </row>
    <row r="661">
      <c r="A661" s="115"/>
      <c r="B661" s="180"/>
      <c r="C661" s="117"/>
      <c r="D661" s="117"/>
      <c r="E661" s="117"/>
      <c r="F661" s="115"/>
      <c r="G661" s="180"/>
      <c r="H661" s="117"/>
      <c r="I661" s="117"/>
      <c r="J661" s="117"/>
      <c r="K661" s="92"/>
      <c r="L661" s="180"/>
      <c r="M661" s="117"/>
      <c r="N661" s="117"/>
      <c r="O661" s="117"/>
      <c r="P661" s="92"/>
      <c r="Q661" s="150"/>
      <c r="R661" s="117"/>
      <c r="S661" s="117"/>
      <c r="T661" s="117"/>
      <c r="U661" s="115"/>
      <c r="V661" s="180"/>
      <c r="W661" s="117"/>
      <c r="X661" s="117"/>
      <c r="Y661" s="117"/>
      <c r="Z661" s="115"/>
      <c r="AA661" s="180"/>
      <c r="AB661" s="117"/>
      <c r="AC661" s="117"/>
      <c r="AD661" s="117"/>
      <c r="AE661" s="115"/>
      <c r="AF661" s="180"/>
      <c r="AG661" s="117"/>
      <c r="AH661" s="117"/>
      <c r="AI661" s="117"/>
      <c r="AJ661" s="115"/>
      <c r="AK661" s="180"/>
      <c r="AL661" s="117"/>
      <c r="AM661" s="117"/>
      <c r="AN661" s="117"/>
      <c r="AO661" s="338"/>
      <c r="AP661" s="338"/>
      <c r="AQ661" s="338"/>
      <c r="AR661" s="338"/>
      <c r="AS661" s="338"/>
      <c r="AT661" s="338"/>
      <c r="AU661" s="338"/>
      <c r="AV661" s="338"/>
      <c r="AW661" s="338"/>
      <c r="AX661" s="338"/>
      <c r="AY661" s="338"/>
      <c r="AZ661" s="338"/>
      <c r="BA661" s="338"/>
      <c r="BB661" s="338"/>
      <c r="BC661" s="338"/>
    </row>
    <row r="662">
      <c r="A662" s="115"/>
      <c r="B662" s="180"/>
      <c r="C662" s="117"/>
      <c r="D662" s="117"/>
      <c r="E662" s="117"/>
      <c r="F662" s="115"/>
      <c r="G662" s="180"/>
      <c r="H662" s="117"/>
      <c r="I662" s="117"/>
      <c r="J662" s="117"/>
      <c r="K662" s="92"/>
      <c r="L662" s="180"/>
      <c r="M662" s="117"/>
      <c r="N662" s="117"/>
      <c r="O662" s="117"/>
      <c r="P662" s="92"/>
      <c r="Q662" s="150"/>
      <c r="R662" s="117"/>
      <c r="S662" s="117"/>
      <c r="T662" s="117"/>
      <c r="U662" s="115"/>
      <c r="V662" s="180"/>
      <c r="W662" s="117"/>
      <c r="X662" s="117"/>
      <c r="Y662" s="117"/>
      <c r="Z662" s="115"/>
      <c r="AA662" s="180"/>
      <c r="AB662" s="117"/>
      <c r="AC662" s="117"/>
      <c r="AD662" s="117"/>
      <c r="AE662" s="115"/>
      <c r="AF662" s="180"/>
      <c r="AG662" s="117"/>
      <c r="AH662" s="117"/>
      <c r="AI662" s="117"/>
      <c r="AJ662" s="115"/>
      <c r="AK662" s="180"/>
      <c r="AL662" s="117"/>
      <c r="AM662" s="117"/>
      <c r="AN662" s="117"/>
      <c r="AO662" s="338"/>
      <c r="AP662" s="338"/>
      <c r="AQ662" s="338"/>
      <c r="AR662" s="338"/>
      <c r="AS662" s="338"/>
      <c r="AT662" s="338"/>
      <c r="AU662" s="338"/>
      <c r="AV662" s="338"/>
      <c r="AW662" s="338"/>
      <c r="AX662" s="338"/>
      <c r="AY662" s="338"/>
      <c r="AZ662" s="338"/>
      <c r="BA662" s="338"/>
      <c r="BB662" s="338"/>
      <c r="BC662" s="338"/>
    </row>
    <row r="663">
      <c r="A663" s="115"/>
      <c r="B663" s="180"/>
      <c r="C663" s="117"/>
      <c r="D663" s="117"/>
      <c r="E663" s="117"/>
      <c r="F663" s="115"/>
      <c r="G663" s="180"/>
      <c r="H663" s="117"/>
      <c r="I663" s="117"/>
      <c r="J663" s="117"/>
      <c r="K663" s="92"/>
      <c r="L663" s="180"/>
      <c r="M663" s="117"/>
      <c r="N663" s="117"/>
      <c r="O663" s="117"/>
      <c r="P663" s="92"/>
      <c r="Q663" s="150"/>
      <c r="R663" s="117"/>
      <c r="S663" s="117"/>
      <c r="T663" s="117"/>
      <c r="U663" s="115"/>
      <c r="V663" s="180"/>
      <c r="W663" s="117"/>
      <c r="X663" s="117"/>
      <c r="Y663" s="117"/>
      <c r="Z663" s="115"/>
      <c r="AA663" s="180"/>
      <c r="AB663" s="117"/>
      <c r="AC663" s="117"/>
      <c r="AD663" s="117"/>
      <c r="AE663" s="115"/>
      <c r="AF663" s="180"/>
      <c r="AG663" s="117"/>
      <c r="AH663" s="117"/>
      <c r="AI663" s="117"/>
      <c r="AJ663" s="115"/>
      <c r="AK663" s="180"/>
      <c r="AL663" s="117"/>
      <c r="AM663" s="117"/>
      <c r="AN663" s="117"/>
      <c r="AO663" s="338"/>
      <c r="AP663" s="338"/>
      <c r="AQ663" s="338"/>
      <c r="AR663" s="338"/>
      <c r="AS663" s="338"/>
      <c r="AT663" s="338"/>
      <c r="AU663" s="338"/>
      <c r="AV663" s="338"/>
      <c r="AW663" s="338"/>
      <c r="AX663" s="338"/>
      <c r="AY663" s="338"/>
      <c r="AZ663" s="338"/>
      <c r="BA663" s="338"/>
      <c r="BB663" s="338"/>
      <c r="BC663" s="338"/>
    </row>
    <row r="664">
      <c r="A664" s="115"/>
      <c r="B664" s="180"/>
      <c r="C664" s="117"/>
      <c r="D664" s="117"/>
      <c r="E664" s="117"/>
      <c r="F664" s="115"/>
      <c r="G664" s="180"/>
      <c r="H664" s="117"/>
      <c r="I664" s="117"/>
      <c r="J664" s="117"/>
      <c r="K664" s="92"/>
      <c r="L664" s="180"/>
      <c r="M664" s="117"/>
      <c r="N664" s="117"/>
      <c r="O664" s="117"/>
      <c r="P664" s="92"/>
      <c r="Q664" s="150"/>
      <c r="R664" s="117"/>
      <c r="S664" s="117"/>
      <c r="T664" s="117"/>
      <c r="U664" s="115"/>
      <c r="V664" s="180"/>
      <c r="W664" s="117"/>
      <c r="X664" s="117"/>
      <c r="Y664" s="117"/>
      <c r="Z664" s="115"/>
      <c r="AA664" s="180"/>
      <c r="AB664" s="117"/>
      <c r="AC664" s="117"/>
      <c r="AD664" s="117"/>
      <c r="AE664" s="115"/>
      <c r="AF664" s="180"/>
      <c r="AG664" s="117"/>
      <c r="AH664" s="117"/>
      <c r="AI664" s="117"/>
      <c r="AJ664" s="115"/>
      <c r="AK664" s="180"/>
      <c r="AL664" s="117"/>
      <c r="AM664" s="117"/>
      <c r="AN664" s="117"/>
      <c r="AO664" s="338"/>
      <c r="AP664" s="338"/>
      <c r="AQ664" s="338"/>
      <c r="AR664" s="338"/>
      <c r="AS664" s="338"/>
      <c r="AT664" s="338"/>
      <c r="AU664" s="338"/>
      <c r="AV664" s="338"/>
      <c r="AW664" s="338"/>
      <c r="AX664" s="338"/>
      <c r="AY664" s="338"/>
      <c r="AZ664" s="338"/>
      <c r="BA664" s="338"/>
      <c r="BB664" s="338"/>
      <c r="BC664" s="338"/>
    </row>
    <row r="665">
      <c r="A665" s="115"/>
      <c r="B665" s="180"/>
      <c r="C665" s="117"/>
      <c r="D665" s="117"/>
      <c r="E665" s="117"/>
      <c r="F665" s="115"/>
      <c r="G665" s="180"/>
      <c r="H665" s="117"/>
      <c r="I665" s="117"/>
      <c r="J665" s="117"/>
      <c r="K665" s="92"/>
      <c r="L665" s="180"/>
      <c r="M665" s="117"/>
      <c r="N665" s="117"/>
      <c r="O665" s="117"/>
      <c r="P665" s="92"/>
      <c r="Q665" s="150"/>
      <c r="R665" s="117"/>
      <c r="S665" s="117"/>
      <c r="T665" s="117"/>
      <c r="U665" s="115"/>
      <c r="V665" s="180"/>
      <c r="W665" s="117"/>
      <c r="X665" s="117"/>
      <c r="Y665" s="117"/>
      <c r="Z665" s="115"/>
      <c r="AA665" s="180"/>
      <c r="AB665" s="117"/>
      <c r="AC665" s="117"/>
      <c r="AD665" s="117"/>
      <c r="AE665" s="115"/>
      <c r="AF665" s="180"/>
      <c r="AG665" s="117"/>
      <c r="AH665" s="117"/>
      <c r="AI665" s="117"/>
      <c r="AJ665" s="115"/>
      <c r="AK665" s="180"/>
      <c r="AL665" s="117"/>
      <c r="AM665" s="117"/>
      <c r="AN665" s="117"/>
      <c r="AO665" s="338"/>
      <c r="AP665" s="338"/>
      <c r="AQ665" s="338"/>
      <c r="AR665" s="338"/>
      <c r="AS665" s="338"/>
      <c r="AT665" s="338"/>
      <c r="AU665" s="338"/>
      <c r="AV665" s="338"/>
      <c r="AW665" s="338"/>
      <c r="AX665" s="338"/>
      <c r="AY665" s="338"/>
      <c r="AZ665" s="338"/>
      <c r="BA665" s="338"/>
      <c r="BB665" s="338"/>
      <c r="BC665" s="338"/>
    </row>
    <row r="666">
      <c r="A666" s="115"/>
      <c r="B666" s="180"/>
      <c r="C666" s="117"/>
      <c r="D666" s="117"/>
      <c r="E666" s="117"/>
      <c r="F666" s="115"/>
      <c r="G666" s="180"/>
      <c r="H666" s="117"/>
      <c r="I666" s="117"/>
      <c r="J666" s="117"/>
      <c r="K666" s="92"/>
      <c r="L666" s="180"/>
      <c r="M666" s="117"/>
      <c r="N666" s="117"/>
      <c r="O666" s="117"/>
      <c r="P666" s="92"/>
      <c r="Q666" s="150"/>
      <c r="R666" s="117"/>
      <c r="S666" s="117"/>
      <c r="T666" s="117"/>
      <c r="U666" s="115"/>
      <c r="V666" s="180"/>
      <c r="W666" s="117"/>
      <c r="X666" s="117"/>
      <c r="Y666" s="117"/>
      <c r="Z666" s="115"/>
      <c r="AA666" s="180"/>
      <c r="AB666" s="117"/>
      <c r="AC666" s="117"/>
      <c r="AD666" s="117"/>
      <c r="AE666" s="115"/>
      <c r="AF666" s="180"/>
      <c r="AG666" s="117"/>
      <c r="AH666" s="117"/>
      <c r="AI666" s="117"/>
      <c r="AJ666" s="115"/>
      <c r="AK666" s="180"/>
      <c r="AL666" s="117"/>
      <c r="AM666" s="117"/>
      <c r="AN666" s="117"/>
      <c r="AO666" s="338"/>
      <c r="AP666" s="338"/>
      <c r="AQ666" s="338"/>
      <c r="AR666" s="338"/>
      <c r="AS666" s="338"/>
      <c r="AT666" s="338"/>
      <c r="AU666" s="338"/>
      <c r="AV666" s="338"/>
      <c r="AW666" s="338"/>
      <c r="AX666" s="338"/>
      <c r="AY666" s="338"/>
      <c r="AZ666" s="338"/>
      <c r="BA666" s="338"/>
      <c r="BB666" s="338"/>
      <c r="BC666" s="338"/>
    </row>
    <row r="667">
      <c r="A667" s="115"/>
      <c r="B667" s="180"/>
      <c r="C667" s="117"/>
      <c r="D667" s="117"/>
      <c r="E667" s="117"/>
      <c r="F667" s="115"/>
      <c r="G667" s="180"/>
      <c r="H667" s="117"/>
      <c r="I667" s="117"/>
      <c r="J667" s="117"/>
      <c r="K667" s="92"/>
      <c r="L667" s="180"/>
      <c r="M667" s="117"/>
      <c r="N667" s="117"/>
      <c r="O667" s="117"/>
      <c r="P667" s="92"/>
      <c r="Q667" s="150"/>
      <c r="R667" s="117"/>
      <c r="S667" s="117"/>
      <c r="T667" s="117"/>
      <c r="U667" s="115"/>
      <c r="V667" s="180"/>
      <c r="W667" s="117"/>
      <c r="X667" s="117"/>
      <c r="Y667" s="117"/>
      <c r="Z667" s="115"/>
      <c r="AA667" s="180"/>
      <c r="AB667" s="117"/>
      <c r="AC667" s="117"/>
      <c r="AD667" s="117"/>
      <c r="AE667" s="115"/>
      <c r="AF667" s="180"/>
      <c r="AG667" s="117"/>
      <c r="AH667" s="117"/>
      <c r="AI667" s="117"/>
      <c r="AJ667" s="115"/>
      <c r="AK667" s="180"/>
      <c r="AL667" s="117"/>
      <c r="AM667" s="117"/>
      <c r="AN667" s="117"/>
      <c r="AO667" s="338"/>
      <c r="AP667" s="338"/>
      <c r="AQ667" s="338"/>
      <c r="AR667" s="338"/>
      <c r="AS667" s="338"/>
      <c r="AT667" s="338"/>
      <c r="AU667" s="338"/>
      <c r="AV667" s="338"/>
      <c r="AW667" s="338"/>
      <c r="AX667" s="338"/>
      <c r="AY667" s="338"/>
      <c r="AZ667" s="338"/>
      <c r="BA667" s="338"/>
      <c r="BB667" s="338"/>
      <c r="BC667" s="338"/>
    </row>
    <row r="668">
      <c r="A668" s="115"/>
      <c r="B668" s="180"/>
      <c r="C668" s="117"/>
      <c r="D668" s="117"/>
      <c r="E668" s="117"/>
      <c r="F668" s="115"/>
      <c r="G668" s="180"/>
      <c r="H668" s="117"/>
      <c r="I668" s="117"/>
      <c r="J668" s="117"/>
      <c r="K668" s="92"/>
      <c r="L668" s="180"/>
      <c r="M668" s="117"/>
      <c r="N668" s="117"/>
      <c r="O668" s="117"/>
      <c r="P668" s="92"/>
      <c r="Q668" s="150"/>
      <c r="R668" s="117"/>
      <c r="S668" s="117"/>
      <c r="T668" s="117"/>
      <c r="U668" s="115"/>
      <c r="V668" s="180"/>
      <c r="W668" s="117"/>
      <c r="X668" s="117"/>
      <c r="Y668" s="117"/>
      <c r="Z668" s="115"/>
      <c r="AA668" s="180"/>
      <c r="AB668" s="117"/>
      <c r="AC668" s="117"/>
      <c r="AD668" s="117"/>
      <c r="AE668" s="115"/>
      <c r="AF668" s="180"/>
      <c r="AG668" s="117"/>
      <c r="AH668" s="117"/>
      <c r="AI668" s="117"/>
      <c r="AJ668" s="115"/>
      <c r="AK668" s="180"/>
      <c r="AL668" s="117"/>
      <c r="AM668" s="117"/>
      <c r="AN668" s="117"/>
      <c r="AO668" s="338"/>
      <c r="AP668" s="338"/>
      <c r="AQ668" s="338"/>
      <c r="AR668" s="338"/>
      <c r="AS668" s="338"/>
      <c r="AT668" s="338"/>
      <c r="AU668" s="338"/>
      <c r="AV668" s="338"/>
      <c r="AW668" s="338"/>
      <c r="AX668" s="338"/>
      <c r="AY668" s="338"/>
      <c r="AZ668" s="338"/>
      <c r="BA668" s="338"/>
      <c r="BB668" s="338"/>
      <c r="BC668" s="338"/>
    </row>
    <row r="669">
      <c r="A669" s="115"/>
      <c r="B669" s="180"/>
      <c r="C669" s="117"/>
      <c r="D669" s="117"/>
      <c r="E669" s="117"/>
      <c r="F669" s="115"/>
      <c r="G669" s="180"/>
      <c r="H669" s="117"/>
      <c r="I669" s="117"/>
      <c r="J669" s="117"/>
      <c r="K669" s="92"/>
      <c r="L669" s="180"/>
      <c r="M669" s="117"/>
      <c r="N669" s="117"/>
      <c r="O669" s="117"/>
      <c r="P669" s="92"/>
      <c r="Q669" s="150"/>
      <c r="R669" s="117"/>
      <c r="S669" s="117"/>
      <c r="T669" s="117"/>
      <c r="U669" s="115"/>
      <c r="V669" s="180"/>
      <c r="W669" s="117"/>
      <c r="X669" s="117"/>
      <c r="Y669" s="117"/>
      <c r="Z669" s="115"/>
      <c r="AA669" s="180"/>
      <c r="AB669" s="117"/>
      <c r="AC669" s="117"/>
      <c r="AD669" s="117"/>
      <c r="AE669" s="115"/>
      <c r="AF669" s="180"/>
      <c r="AG669" s="117"/>
      <c r="AH669" s="117"/>
      <c r="AI669" s="117"/>
      <c r="AJ669" s="115"/>
      <c r="AK669" s="180"/>
      <c r="AL669" s="117"/>
      <c r="AM669" s="117"/>
      <c r="AN669" s="117"/>
      <c r="AO669" s="338"/>
      <c r="AP669" s="338"/>
      <c r="AQ669" s="338"/>
      <c r="AR669" s="338"/>
      <c r="AS669" s="338"/>
      <c r="AT669" s="338"/>
      <c r="AU669" s="338"/>
      <c r="AV669" s="338"/>
      <c r="AW669" s="338"/>
      <c r="AX669" s="338"/>
      <c r="AY669" s="338"/>
      <c r="AZ669" s="338"/>
      <c r="BA669" s="338"/>
      <c r="BB669" s="338"/>
      <c r="BC669" s="338"/>
    </row>
    <row r="670">
      <c r="A670" s="115"/>
      <c r="B670" s="180"/>
      <c r="C670" s="117"/>
      <c r="D670" s="117"/>
      <c r="E670" s="117"/>
      <c r="F670" s="115"/>
      <c r="G670" s="180"/>
      <c r="H670" s="117"/>
      <c r="I670" s="117"/>
      <c r="J670" s="117"/>
      <c r="K670" s="92"/>
      <c r="L670" s="180"/>
      <c r="M670" s="117"/>
      <c r="N670" s="117"/>
      <c r="O670" s="117"/>
      <c r="P670" s="92"/>
      <c r="Q670" s="150"/>
      <c r="R670" s="117"/>
      <c r="S670" s="117"/>
      <c r="T670" s="117"/>
      <c r="U670" s="115"/>
      <c r="V670" s="180"/>
      <c r="W670" s="117"/>
      <c r="X670" s="117"/>
      <c r="Y670" s="117"/>
      <c r="Z670" s="115"/>
      <c r="AA670" s="180"/>
      <c r="AB670" s="117"/>
      <c r="AC670" s="117"/>
      <c r="AD670" s="117"/>
      <c r="AE670" s="115"/>
      <c r="AF670" s="180"/>
      <c r="AG670" s="117"/>
      <c r="AH670" s="117"/>
      <c r="AI670" s="117"/>
      <c r="AJ670" s="115"/>
      <c r="AK670" s="180"/>
      <c r="AL670" s="117"/>
      <c r="AM670" s="117"/>
      <c r="AN670" s="117"/>
      <c r="AO670" s="338"/>
      <c r="AP670" s="338"/>
      <c r="AQ670" s="338"/>
      <c r="AR670" s="338"/>
      <c r="AS670" s="338"/>
      <c r="AT670" s="338"/>
      <c r="AU670" s="338"/>
      <c r="AV670" s="338"/>
      <c r="AW670" s="338"/>
      <c r="AX670" s="338"/>
      <c r="AY670" s="338"/>
      <c r="AZ670" s="338"/>
      <c r="BA670" s="338"/>
      <c r="BB670" s="338"/>
      <c r="BC670" s="338"/>
    </row>
    <row r="671">
      <c r="A671" s="115"/>
      <c r="B671" s="180"/>
      <c r="C671" s="117"/>
      <c r="D671" s="117"/>
      <c r="E671" s="117"/>
      <c r="F671" s="115"/>
      <c r="G671" s="180"/>
      <c r="H671" s="117"/>
      <c r="I671" s="117"/>
      <c r="J671" s="117"/>
      <c r="K671" s="92"/>
      <c r="L671" s="180"/>
      <c r="M671" s="117"/>
      <c r="N671" s="117"/>
      <c r="O671" s="117"/>
      <c r="P671" s="92"/>
      <c r="Q671" s="150"/>
      <c r="R671" s="117"/>
      <c r="S671" s="117"/>
      <c r="T671" s="117"/>
      <c r="U671" s="115"/>
      <c r="V671" s="180"/>
      <c r="W671" s="117"/>
      <c r="X671" s="117"/>
      <c r="Y671" s="117"/>
      <c r="Z671" s="115"/>
      <c r="AA671" s="180"/>
      <c r="AB671" s="117"/>
      <c r="AC671" s="117"/>
      <c r="AD671" s="117"/>
      <c r="AE671" s="115"/>
      <c r="AF671" s="180"/>
      <c r="AG671" s="117"/>
      <c r="AH671" s="117"/>
      <c r="AI671" s="117"/>
      <c r="AJ671" s="115"/>
      <c r="AK671" s="180"/>
      <c r="AL671" s="117"/>
      <c r="AM671" s="117"/>
      <c r="AN671" s="117"/>
      <c r="AO671" s="338"/>
      <c r="AP671" s="338"/>
      <c r="AQ671" s="338"/>
      <c r="AR671" s="338"/>
      <c r="AS671" s="338"/>
      <c r="AT671" s="338"/>
      <c r="AU671" s="338"/>
      <c r="AV671" s="338"/>
      <c r="AW671" s="338"/>
      <c r="AX671" s="338"/>
      <c r="AY671" s="338"/>
      <c r="AZ671" s="338"/>
      <c r="BA671" s="338"/>
      <c r="BB671" s="338"/>
      <c r="BC671" s="338"/>
    </row>
    <row r="672">
      <c r="A672" s="115"/>
      <c r="B672" s="180"/>
      <c r="C672" s="117"/>
      <c r="D672" s="117"/>
      <c r="E672" s="117"/>
      <c r="F672" s="115"/>
      <c r="G672" s="180"/>
      <c r="H672" s="117"/>
      <c r="I672" s="117"/>
      <c r="J672" s="117"/>
      <c r="K672" s="92"/>
      <c r="L672" s="180"/>
      <c r="M672" s="117"/>
      <c r="N672" s="117"/>
      <c r="O672" s="117"/>
      <c r="P672" s="92"/>
      <c r="Q672" s="150"/>
      <c r="R672" s="117"/>
      <c r="S672" s="117"/>
      <c r="T672" s="117"/>
      <c r="U672" s="115"/>
      <c r="V672" s="180"/>
      <c r="W672" s="117"/>
      <c r="X672" s="117"/>
      <c r="Y672" s="117"/>
      <c r="Z672" s="115"/>
      <c r="AA672" s="180"/>
      <c r="AB672" s="117"/>
      <c r="AC672" s="117"/>
      <c r="AD672" s="117"/>
      <c r="AE672" s="115"/>
      <c r="AF672" s="180"/>
      <c r="AG672" s="117"/>
      <c r="AH672" s="117"/>
      <c r="AI672" s="117"/>
      <c r="AJ672" s="115"/>
      <c r="AK672" s="180"/>
      <c r="AL672" s="117"/>
      <c r="AM672" s="117"/>
      <c r="AN672" s="117"/>
      <c r="AO672" s="338"/>
      <c r="AP672" s="338"/>
      <c r="AQ672" s="338"/>
      <c r="AR672" s="338"/>
      <c r="AS672" s="338"/>
      <c r="AT672" s="338"/>
      <c r="AU672" s="338"/>
      <c r="AV672" s="338"/>
      <c r="AW672" s="338"/>
      <c r="AX672" s="338"/>
      <c r="AY672" s="338"/>
      <c r="AZ672" s="338"/>
      <c r="BA672" s="338"/>
      <c r="BB672" s="338"/>
      <c r="BC672" s="338"/>
    </row>
    <row r="673">
      <c r="A673" s="115"/>
      <c r="B673" s="180"/>
      <c r="C673" s="117"/>
      <c r="D673" s="117"/>
      <c r="E673" s="117"/>
      <c r="F673" s="115"/>
      <c r="G673" s="180"/>
      <c r="H673" s="117"/>
      <c r="I673" s="117"/>
      <c r="J673" s="117"/>
      <c r="K673" s="92"/>
      <c r="L673" s="180"/>
      <c r="M673" s="117"/>
      <c r="N673" s="117"/>
      <c r="O673" s="117"/>
      <c r="P673" s="92"/>
      <c r="Q673" s="150"/>
      <c r="R673" s="117"/>
      <c r="S673" s="117"/>
      <c r="T673" s="117"/>
      <c r="U673" s="115"/>
      <c r="V673" s="180"/>
      <c r="W673" s="117"/>
      <c r="X673" s="117"/>
      <c r="Y673" s="117"/>
      <c r="Z673" s="115"/>
      <c r="AA673" s="180"/>
      <c r="AB673" s="117"/>
      <c r="AC673" s="117"/>
      <c r="AD673" s="117"/>
      <c r="AE673" s="115"/>
      <c r="AF673" s="180"/>
      <c r="AG673" s="117"/>
      <c r="AH673" s="117"/>
      <c r="AI673" s="117"/>
      <c r="AJ673" s="115"/>
      <c r="AK673" s="180"/>
      <c r="AL673" s="117"/>
      <c r="AM673" s="117"/>
      <c r="AN673" s="117"/>
      <c r="AO673" s="338"/>
      <c r="AP673" s="338"/>
      <c r="AQ673" s="338"/>
      <c r="AR673" s="338"/>
      <c r="AS673" s="338"/>
      <c r="AT673" s="338"/>
      <c r="AU673" s="338"/>
      <c r="AV673" s="338"/>
      <c r="AW673" s="338"/>
      <c r="AX673" s="338"/>
      <c r="AY673" s="338"/>
      <c r="AZ673" s="338"/>
      <c r="BA673" s="338"/>
      <c r="BB673" s="338"/>
      <c r="BC673" s="338"/>
    </row>
    <row r="674">
      <c r="A674" s="115"/>
      <c r="B674" s="180"/>
      <c r="C674" s="117"/>
      <c r="D674" s="117"/>
      <c r="E674" s="117"/>
      <c r="F674" s="115"/>
      <c r="G674" s="180"/>
      <c r="H674" s="117"/>
      <c r="I674" s="117"/>
      <c r="J674" s="117"/>
      <c r="K674" s="92"/>
      <c r="L674" s="180"/>
      <c r="M674" s="117"/>
      <c r="N674" s="117"/>
      <c r="O674" s="117"/>
      <c r="P674" s="92"/>
      <c r="Q674" s="150"/>
      <c r="R674" s="117"/>
      <c r="S674" s="117"/>
      <c r="T674" s="117"/>
      <c r="U674" s="115"/>
      <c r="V674" s="180"/>
      <c r="W674" s="117"/>
      <c r="X674" s="117"/>
      <c r="Y674" s="117"/>
      <c r="Z674" s="115"/>
      <c r="AA674" s="180"/>
      <c r="AB674" s="117"/>
      <c r="AC674" s="117"/>
      <c r="AD674" s="117"/>
      <c r="AE674" s="115"/>
      <c r="AF674" s="180"/>
      <c r="AG674" s="117"/>
      <c r="AH674" s="117"/>
      <c r="AI674" s="117"/>
      <c r="AJ674" s="115"/>
      <c r="AK674" s="180"/>
      <c r="AL674" s="117"/>
      <c r="AM674" s="117"/>
      <c r="AN674" s="117"/>
      <c r="AO674" s="338"/>
      <c r="AP674" s="338"/>
      <c r="AQ674" s="338"/>
      <c r="AR674" s="338"/>
      <c r="AS674" s="338"/>
      <c r="AT674" s="338"/>
      <c r="AU674" s="338"/>
      <c r="AV674" s="338"/>
      <c r="AW674" s="338"/>
      <c r="AX674" s="338"/>
      <c r="AY674" s="338"/>
      <c r="AZ674" s="338"/>
      <c r="BA674" s="338"/>
      <c r="BB674" s="338"/>
      <c r="BC674" s="338"/>
    </row>
    <row r="675">
      <c r="A675" s="115"/>
      <c r="B675" s="180"/>
      <c r="C675" s="117"/>
      <c r="D675" s="117"/>
      <c r="E675" s="117"/>
      <c r="F675" s="115"/>
      <c r="G675" s="180"/>
      <c r="H675" s="117"/>
      <c r="I675" s="117"/>
      <c r="J675" s="117"/>
      <c r="K675" s="92"/>
      <c r="L675" s="180"/>
      <c r="M675" s="117"/>
      <c r="N675" s="117"/>
      <c r="O675" s="117"/>
      <c r="P675" s="92"/>
      <c r="Q675" s="150"/>
      <c r="R675" s="117"/>
      <c r="S675" s="117"/>
      <c r="T675" s="117"/>
      <c r="U675" s="115"/>
      <c r="V675" s="180"/>
      <c r="W675" s="117"/>
      <c r="X675" s="117"/>
      <c r="Y675" s="117"/>
      <c r="Z675" s="115"/>
      <c r="AA675" s="180"/>
      <c r="AB675" s="117"/>
      <c r="AC675" s="117"/>
      <c r="AD675" s="117"/>
      <c r="AE675" s="115"/>
      <c r="AF675" s="180"/>
      <c r="AG675" s="117"/>
      <c r="AH675" s="117"/>
      <c r="AI675" s="117"/>
      <c r="AJ675" s="115"/>
      <c r="AK675" s="180"/>
      <c r="AL675" s="117"/>
      <c r="AM675" s="117"/>
      <c r="AN675" s="117"/>
      <c r="AO675" s="338"/>
      <c r="AP675" s="338"/>
      <c r="AQ675" s="338"/>
      <c r="AR675" s="338"/>
      <c r="AS675" s="338"/>
      <c r="AT675" s="338"/>
      <c r="AU675" s="338"/>
      <c r="AV675" s="338"/>
      <c r="AW675" s="338"/>
      <c r="AX675" s="338"/>
      <c r="AY675" s="338"/>
      <c r="AZ675" s="338"/>
      <c r="BA675" s="338"/>
      <c r="BB675" s="338"/>
      <c r="BC675" s="338"/>
    </row>
    <row r="676">
      <c r="A676" s="115"/>
      <c r="B676" s="180"/>
      <c r="C676" s="117"/>
      <c r="D676" s="117"/>
      <c r="E676" s="117"/>
      <c r="F676" s="115"/>
      <c r="G676" s="180"/>
      <c r="H676" s="117"/>
      <c r="I676" s="117"/>
      <c r="J676" s="117"/>
      <c r="K676" s="92"/>
      <c r="L676" s="180"/>
      <c r="M676" s="117"/>
      <c r="N676" s="117"/>
      <c r="O676" s="117"/>
      <c r="P676" s="92"/>
      <c r="Q676" s="150"/>
      <c r="R676" s="117"/>
      <c r="S676" s="117"/>
      <c r="T676" s="117"/>
      <c r="U676" s="115"/>
      <c r="V676" s="180"/>
      <c r="W676" s="117"/>
      <c r="X676" s="117"/>
      <c r="Y676" s="117"/>
      <c r="Z676" s="115"/>
      <c r="AA676" s="180"/>
      <c r="AB676" s="117"/>
      <c r="AC676" s="117"/>
      <c r="AD676" s="117"/>
      <c r="AE676" s="115"/>
      <c r="AF676" s="180"/>
      <c r="AG676" s="117"/>
      <c r="AH676" s="117"/>
      <c r="AI676" s="117"/>
      <c r="AJ676" s="115"/>
      <c r="AK676" s="180"/>
      <c r="AL676" s="117"/>
      <c r="AM676" s="117"/>
      <c r="AN676" s="117"/>
      <c r="AO676" s="338"/>
      <c r="AP676" s="338"/>
      <c r="AQ676" s="338"/>
      <c r="AR676" s="338"/>
      <c r="AS676" s="338"/>
      <c r="AT676" s="338"/>
      <c r="AU676" s="338"/>
      <c r="AV676" s="338"/>
      <c r="AW676" s="338"/>
      <c r="AX676" s="338"/>
      <c r="AY676" s="338"/>
      <c r="AZ676" s="338"/>
      <c r="BA676" s="338"/>
      <c r="BB676" s="338"/>
      <c r="BC676" s="338"/>
    </row>
    <row r="677">
      <c r="A677" s="115"/>
      <c r="B677" s="180"/>
      <c r="C677" s="117"/>
      <c r="D677" s="117"/>
      <c r="E677" s="117"/>
      <c r="F677" s="115"/>
      <c r="G677" s="180"/>
      <c r="H677" s="117"/>
      <c r="I677" s="117"/>
      <c r="J677" s="117"/>
      <c r="K677" s="92"/>
      <c r="L677" s="180"/>
      <c r="M677" s="117"/>
      <c r="N677" s="117"/>
      <c r="O677" s="117"/>
      <c r="P677" s="92"/>
      <c r="Q677" s="150"/>
      <c r="R677" s="117"/>
      <c r="S677" s="117"/>
      <c r="T677" s="117"/>
      <c r="U677" s="115"/>
      <c r="V677" s="180"/>
      <c r="W677" s="117"/>
      <c r="X677" s="117"/>
      <c r="Y677" s="117"/>
      <c r="Z677" s="115"/>
      <c r="AA677" s="180"/>
      <c r="AB677" s="117"/>
      <c r="AC677" s="117"/>
      <c r="AD677" s="117"/>
      <c r="AE677" s="115"/>
      <c r="AF677" s="180"/>
      <c r="AG677" s="117"/>
      <c r="AH677" s="117"/>
      <c r="AI677" s="117"/>
      <c r="AJ677" s="115"/>
      <c r="AK677" s="180"/>
      <c r="AL677" s="117"/>
      <c r="AM677" s="117"/>
      <c r="AN677" s="117"/>
      <c r="AO677" s="338"/>
      <c r="AP677" s="338"/>
      <c r="AQ677" s="338"/>
      <c r="AR677" s="338"/>
      <c r="AS677" s="338"/>
      <c r="AT677" s="338"/>
      <c r="AU677" s="338"/>
      <c r="AV677" s="338"/>
      <c r="AW677" s="338"/>
      <c r="AX677" s="338"/>
      <c r="AY677" s="338"/>
      <c r="AZ677" s="338"/>
      <c r="BA677" s="338"/>
      <c r="BB677" s="338"/>
      <c r="BC677" s="338"/>
    </row>
    <row r="678">
      <c r="A678" s="115"/>
      <c r="B678" s="180"/>
      <c r="C678" s="117"/>
      <c r="D678" s="117"/>
      <c r="E678" s="117"/>
      <c r="F678" s="115"/>
      <c r="G678" s="180"/>
      <c r="H678" s="117"/>
      <c r="I678" s="117"/>
      <c r="J678" s="117"/>
      <c r="K678" s="92"/>
      <c r="L678" s="180"/>
      <c r="M678" s="117"/>
      <c r="N678" s="117"/>
      <c r="O678" s="117"/>
      <c r="P678" s="92"/>
      <c r="Q678" s="150"/>
      <c r="R678" s="117"/>
      <c r="S678" s="117"/>
      <c r="T678" s="117"/>
      <c r="U678" s="115"/>
      <c r="V678" s="180"/>
      <c r="W678" s="117"/>
      <c r="X678" s="117"/>
      <c r="Y678" s="117"/>
      <c r="Z678" s="115"/>
      <c r="AA678" s="180"/>
      <c r="AB678" s="117"/>
      <c r="AC678" s="117"/>
      <c r="AD678" s="117"/>
      <c r="AE678" s="115"/>
      <c r="AF678" s="180"/>
      <c r="AG678" s="117"/>
      <c r="AH678" s="117"/>
      <c r="AI678" s="117"/>
      <c r="AJ678" s="115"/>
      <c r="AK678" s="180"/>
      <c r="AL678" s="117"/>
      <c r="AM678" s="117"/>
      <c r="AN678" s="117"/>
      <c r="AO678" s="338"/>
      <c r="AP678" s="338"/>
      <c r="AQ678" s="338"/>
      <c r="AR678" s="338"/>
      <c r="AS678" s="338"/>
      <c r="AT678" s="338"/>
      <c r="AU678" s="338"/>
      <c r="AV678" s="338"/>
      <c r="AW678" s="338"/>
      <c r="AX678" s="338"/>
      <c r="AY678" s="338"/>
      <c r="AZ678" s="338"/>
      <c r="BA678" s="338"/>
      <c r="BB678" s="338"/>
      <c r="BC678" s="338"/>
    </row>
    <row r="679">
      <c r="A679" s="115"/>
      <c r="B679" s="180"/>
      <c r="C679" s="117"/>
      <c r="D679" s="117"/>
      <c r="E679" s="117"/>
      <c r="F679" s="115"/>
      <c r="G679" s="180"/>
      <c r="H679" s="117"/>
      <c r="I679" s="117"/>
      <c r="J679" s="117"/>
      <c r="K679" s="92"/>
      <c r="L679" s="180"/>
      <c r="M679" s="117"/>
      <c r="N679" s="117"/>
      <c r="O679" s="117"/>
      <c r="P679" s="92"/>
      <c r="Q679" s="150"/>
      <c r="R679" s="117"/>
      <c r="S679" s="117"/>
      <c r="T679" s="117"/>
      <c r="U679" s="115"/>
      <c r="V679" s="180"/>
      <c r="W679" s="117"/>
      <c r="X679" s="117"/>
      <c r="Y679" s="117"/>
      <c r="Z679" s="115"/>
      <c r="AA679" s="180"/>
      <c r="AB679" s="117"/>
      <c r="AC679" s="117"/>
      <c r="AD679" s="117"/>
      <c r="AE679" s="115"/>
      <c r="AF679" s="180"/>
      <c r="AG679" s="117"/>
      <c r="AH679" s="117"/>
      <c r="AI679" s="117"/>
      <c r="AJ679" s="115"/>
      <c r="AK679" s="180"/>
      <c r="AL679" s="117"/>
      <c r="AM679" s="117"/>
      <c r="AN679" s="117"/>
      <c r="AO679" s="338"/>
      <c r="AP679" s="338"/>
      <c r="AQ679" s="338"/>
      <c r="AR679" s="338"/>
      <c r="AS679" s="338"/>
      <c r="AT679" s="338"/>
      <c r="AU679" s="338"/>
      <c r="AV679" s="338"/>
      <c r="AW679" s="338"/>
      <c r="AX679" s="338"/>
      <c r="AY679" s="338"/>
      <c r="AZ679" s="338"/>
      <c r="BA679" s="338"/>
      <c r="BB679" s="338"/>
      <c r="BC679" s="338"/>
    </row>
    <row r="680">
      <c r="A680" s="115"/>
      <c r="B680" s="180"/>
      <c r="C680" s="117"/>
      <c r="D680" s="117"/>
      <c r="E680" s="117"/>
      <c r="F680" s="115"/>
      <c r="G680" s="180"/>
      <c r="H680" s="117"/>
      <c r="I680" s="117"/>
      <c r="J680" s="117"/>
      <c r="K680" s="92"/>
      <c r="L680" s="180"/>
      <c r="M680" s="117"/>
      <c r="N680" s="117"/>
      <c r="O680" s="117"/>
      <c r="P680" s="92"/>
      <c r="Q680" s="150"/>
      <c r="R680" s="117"/>
      <c r="S680" s="117"/>
      <c r="T680" s="117"/>
      <c r="U680" s="115"/>
      <c r="V680" s="180"/>
      <c r="W680" s="117"/>
      <c r="X680" s="117"/>
      <c r="Y680" s="117"/>
      <c r="Z680" s="115"/>
      <c r="AA680" s="180"/>
      <c r="AB680" s="117"/>
      <c r="AC680" s="117"/>
      <c r="AD680" s="117"/>
      <c r="AE680" s="115"/>
      <c r="AF680" s="180"/>
      <c r="AG680" s="117"/>
      <c r="AH680" s="117"/>
      <c r="AI680" s="117"/>
      <c r="AJ680" s="115"/>
      <c r="AK680" s="180"/>
      <c r="AL680" s="117"/>
      <c r="AM680" s="117"/>
      <c r="AN680" s="117"/>
      <c r="AO680" s="338"/>
      <c r="AP680" s="338"/>
      <c r="AQ680" s="338"/>
      <c r="AR680" s="338"/>
      <c r="AS680" s="338"/>
      <c r="AT680" s="338"/>
      <c r="AU680" s="338"/>
      <c r="AV680" s="338"/>
      <c r="AW680" s="338"/>
      <c r="AX680" s="338"/>
      <c r="AY680" s="338"/>
      <c r="AZ680" s="338"/>
      <c r="BA680" s="338"/>
      <c r="BB680" s="338"/>
      <c r="BC680" s="338"/>
    </row>
    <row r="681">
      <c r="A681" s="115"/>
      <c r="B681" s="180"/>
      <c r="C681" s="117"/>
      <c r="D681" s="117"/>
      <c r="E681" s="117"/>
      <c r="F681" s="115"/>
      <c r="G681" s="180"/>
      <c r="H681" s="117"/>
      <c r="I681" s="117"/>
      <c r="J681" s="117"/>
      <c r="K681" s="92"/>
      <c r="L681" s="180"/>
      <c r="M681" s="117"/>
      <c r="N681" s="117"/>
      <c r="O681" s="117"/>
      <c r="P681" s="92"/>
      <c r="Q681" s="150"/>
      <c r="R681" s="117"/>
      <c r="S681" s="117"/>
      <c r="T681" s="117"/>
      <c r="U681" s="115"/>
      <c r="V681" s="180"/>
      <c r="W681" s="117"/>
      <c r="X681" s="117"/>
      <c r="Y681" s="117"/>
      <c r="Z681" s="115"/>
      <c r="AA681" s="180"/>
      <c r="AB681" s="117"/>
      <c r="AC681" s="117"/>
      <c r="AD681" s="117"/>
      <c r="AE681" s="115"/>
      <c r="AF681" s="180"/>
      <c r="AG681" s="117"/>
      <c r="AH681" s="117"/>
      <c r="AI681" s="117"/>
      <c r="AJ681" s="115"/>
      <c r="AK681" s="180"/>
      <c r="AL681" s="117"/>
      <c r="AM681" s="117"/>
      <c r="AN681" s="117"/>
      <c r="AO681" s="338"/>
      <c r="AP681" s="338"/>
      <c r="AQ681" s="338"/>
      <c r="AR681" s="338"/>
      <c r="AS681" s="338"/>
      <c r="AT681" s="338"/>
      <c r="AU681" s="338"/>
      <c r="AV681" s="338"/>
      <c r="AW681" s="338"/>
      <c r="AX681" s="338"/>
      <c r="AY681" s="338"/>
      <c r="AZ681" s="338"/>
      <c r="BA681" s="338"/>
      <c r="BB681" s="338"/>
      <c r="BC681" s="338"/>
    </row>
    <row r="682">
      <c r="A682" s="115"/>
      <c r="B682" s="180"/>
      <c r="C682" s="117"/>
      <c r="D682" s="117"/>
      <c r="E682" s="117"/>
      <c r="F682" s="115"/>
      <c r="G682" s="180"/>
      <c r="H682" s="117"/>
      <c r="I682" s="117"/>
      <c r="J682" s="117"/>
      <c r="K682" s="92"/>
      <c r="L682" s="180"/>
      <c r="M682" s="117"/>
      <c r="N682" s="117"/>
      <c r="O682" s="117"/>
      <c r="P682" s="92"/>
      <c r="Q682" s="150"/>
      <c r="R682" s="117"/>
      <c r="S682" s="117"/>
      <c r="T682" s="117"/>
      <c r="U682" s="115"/>
      <c r="V682" s="180"/>
      <c r="W682" s="117"/>
      <c r="X682" s="117"/>
      <c r="Y682" s="117"/>
      <c r="Z682" s="115"/>
      <c r="AA682" s="180"/>
      <c r="AB682" s="117"/>
      <c r="AC682" s="117"/>
      <c r="AD682" s="117"/>
      <c r="AE682" s="115"/>
      <c r="AF682" s="180"/>
      <c r="AG682" s="117"/>
      <c r="AH682" s="117"/>
      <c r="AI682" s="117"/>
      <c r="AJ682" s="115"/>
      <c r="AK682" s="180"/>
      <c r="AL682" s="117"/>
      <c r="AM682" s="117"/>
      <c r="AN682" s="117"/>
      <c r="AO682" s="338"/>
      <c r="AP682" s="338"/>
      <c r="AQ682" s="338"/>
      <c r="AR682" s="338"/>
      <c r="AS682" s="338"/>
      <c r="AT682" s="338"/>
      <c r="AU682" s="338"/>
      <c r="AV682" s="338"/>
      <c r="AW682" s="338"/>
      <c r="AX682" s="338"/>
      <c r="AY682" s="338"/>
      <c r="AZ682" s="338"/>
      <c r="BA682" s="338"/>
      <c r="BB682" s="338"/>
      <c r="BC682" s="338"/>
    </row>
    <row r="683">
      <c r="A683" s="115"/>
      <c r="B683" s="180"/>
      <c r="C683" s="117"/>
      <c r="D683" s="117"/>
      <c r="E683" s="117"/>
      <c r="F683" s="115"/>
      <c r="G683" s="180"/>
      <c r="H683" s="117"/>
      <c r="I683" s="117"/>
      <c r="J683" s="117"/>
      <c r="K683" s="92"/>
      <c r="L683" s="180"/>
      <c r="M683" s="117"/>
      <c r="N683" s="117"/>
      <c r="O683" s="117"/>
      <c r="P683" s="92"/>
      <c r="Q683" s="150"/>
      <c r="R683" s="117"/>
      <c r="S683" s="117"/>
      <c r="T683" s="117"/>
      <c r="U683" s="115"/>
      <c r="V683" s="180"/>
      <c r="W683" s="117"/>
      <c r="X683" s="117"/>
      <c r="Y683" s="117"/>
      <c r="Z683" s="115"/>
      <c r="AA683" s="180"/>
      <c r="AB683" s="117"/>
      <c r="AC683" s="117"/>
      <c r="AD683" s="117"/>
      <c r="AE683" s="115"/>
      <c r="AF683" s="180"/>
      <c r="AG683" s="117"/>
      <c r="AH683" s="117"/>
      <c r="AI683" s="117"/>
      <c r="AJ683" s="115"/>
      <c r="AK683" s="180"/>
      <c r="AL683" s="117"/>
      <c r="AM683" s="117"/>
      <c r="AN683" s="117"/>
      <c r="AO683" s="338"/>
      <c r="AP683" s="338"/>
      <c r="AQ683" s="338"/>
      <c r="AR683" s="338"/>
      <c r="AS683" s="338"/>
      <c r="AT683" s="338"/>
      <c r="AU683" s="338"/>
      <c r="AV683" s="338"/>
      <c r="AW683" s="338"/>
      <c r="AX683" s="338"/>
      <c r="AY683" s="338"/>
      <c r="AZ683" s="338"/>
      <c r="BA683" s="338"/>
      <c r="BB683" s="338"/>
      <c r="BC683" s="338"/>
    </row>
    <row r="684">
      <c r="A684" s="115"/>
      <c r="B684" s="180"/>
      <c r="C684" s="117"/>
      <c r="D684" s="117"/>
      <c r="E684" s="117"/>
      <c r="F684" s="115"/>
      <c r="G684" s="180"/>
      <c r="H684" s="117"/>
      <c r="I684" s="117"/>
      <c r="J684" s="117"/>
      <c r="K684" s="92"/>
      <c r="L684" s="180"/>
      <c r="M684" s="117"/>
      <c r="N684" s="117"/>
      <c r="O684" s="117"/>
      <c r="P684" s="92"/>
      <c r="Q684" s="150"/>
      <c r="R684" s="117"/>
      <c r="S684" s="117"/>
      <c r="T684" s="117"/>
      <c r="U684" s="115"/>
      <c r="V684" s="180"/>
      <c r="W684" s="117"/>
      <c r="X684" s="117"/>
      <c r="Y684" s="117"/>
      <c r="Z684" s="115"/>
      <c r="AA684" s="180"/>
      <c r="AB684" s="117"/>
      <c r="AC684" s="117"/>
      <c r="AD684" s="117"/>
      <c r="AE684" s="115"/>
      <c r="AF684" s="180"/>
      <c r="AG684" s="117"/>
      <c r="AH684" s="117"/>
      <c r="AI684" s="117"/>
      <c r="AJ684" s="115"/>
      <c r="AK684" s="180"/>
      <c r="AL684" s="117"/>
      <c r="AM684" s="117"/>
      <c r="AN684" s="117"/>
      <c r="AO684" s="338"/>
      <c r="AP684" s="338"/>
      <c r="AQ684" s="338"/>
      <c r="AR684" s="338"/>
      <c r="AS684" s="338"/>
      <c r="AT684" s="338"/>
      <c r="AU684" s="338"/>
      <c r="AV684" s="338"/>
      <c r="AW684" s="338"/>
      <c r="AX684" s="338"/>
      <c r="AY684" s="338"/>
      <c r="AZ684" s="338"/>
      <c r="BA684" s="338"/>
      <c r="BB684" s="338"/>
      <c r="BC684" s="338"/>
    </row>
    <row r="685">
      <c r="A685" s="115"/>
      <c r="B685" s="180"/>
      <c r="C685" s="117"/>
      <c r="D685" s="117"/>
      <c r="E685" s="117"/>
      <c r="F685" s="115"/>
      <c r="G685" s="180"/>
      <c r="H685" s="117"/>
      <c r="I685" s="117"/>
      <c r="J685" s="117"/>
      <c r="K685" s="92"/>
      <c r="L685" s="180"/>
      <c r="M685" s="117"/>
      <c r="N685" s="117"/>
      <c r="O685" s="117"/>
      <c r="P685" s="92"/>
      <c r="Q685" s="150"/>
      <c r="R685" s="117"/>
      <c r="S685" s="117"/>
      <c r="T685" s="117"/>
      <c r="U685" s="115"/>
      <c r="V685" s="180"/>
      <c r="W685" s="117"/>
      <c r="X685" s="117"/>
      <c r="Y685" s="117"/>
      <c r="Z685" s="115"/>
      <c r="AA685" s="180"/>
      <c r="AB685" s="117"/>
      <c r="AC685" s="117"/>
      <c r="AD685" s="117"/>
      <c r="AE685" s="115"/>
      <c r="AF685" s="180"/>
      <c r="AG685" s="117"/>
      <c r="AH685" s="117"/>
      <c r="AI685" s="117"/>
      <c r="AJ685" s="115"/>
      <c r="AK685" s="180"/>
      <c r="AL685" s="117"/>
      <c r="AM685" s="117"/>
      <c r="AN685" s="117"/>
      <c r="AO685" s="338"/>
      <c r="AP685" s="338"/>
      <c r="AQ685" s="338"/>
      <c r="AR685" s="338"/>
      <c r="AS685" s="338"/>
      <c r="AT685" s="338"/>
      <c r="AU685" s="338"/>
      <c r="AV685" s="338"/>
      <c r="AW685" s="338"/>
      <c r="AX685" s="338"/>
      <c r="AY685" s="338"/>
      <c r="AZ685" s="338"/>
      <c r="BA685" s="338"/>
      <c r="BB685" s="338"/>
      <c r="BC685" s="338"/>
    </row>
    <row r="686">
      <c r="A686" s="115"/>
      <c r="B686" s="180"/>
      <c r="C686" s="117"/>
      <c r="D686" s="117"/>
      <c r="E686" s="117"/>
      <c r="F686" s="115"/>
      <c r="G686" s="180"/>
      <c r="H686" s="117"/>
      <c r="I686" s="117"/>
      <c r="J686" s="117"/>
      <c r="K686" s="92"/>
      <c r="L686" s="180"/>
      <c r="M686" s="117"/>
      <c r="N686" s="117"/>
      <c r="O686" s="117"/>
      <c r="P686" s="92"/>
      <c r="Q686" s="150"/>
      <c r="R686" s="117"/>
      <c r="S686" s="117"/>
      <c r="T686" s="117"/>
      <c r="U686" s="115"/>
      <c r="V686" s="180"/>
      <c r="W686" s="117"/>
      <c r="X686" s="117"/>
      <c r="Y686" s="117"/>
      <c r="Z686" s="115"/>
      <c r="AA686" s="180"/>
      <c r="AB686" s="117"/>
      <c r="AC686" s="117"/>
      <c r="AD686" s="117"/>
      <c r="AE686" s="115"/>
      <c r="AF686" s="180"/>
      <c r="AG686" s="117"/>
      <c r="AH686" s="117"/>
      <c r="AI686" s="117"/>
      <c r="AJ686" s="115"/>
      <c r="AK686" s="180"/>
      <c r="AL686" s="117"/>
      <c r="AM686" s="117"/>
      <c r="AN686" s="117"/>
      <c r="AO686" s="338"/>
      <c r="AP686" s="338"/>
      <c r="AQ686" s="338"/>
      <c r="AR686" s="338"/>
      <c r="AS686" s="338"/>
      <c r="AT686" s="338"/>
      <c r="AU686" s="338"/>
      <c r="AV686" s="338"/>
      <c r="AW686" s="338"/>
      <c r="AX686" s="338"/>
      <c r="AY686" s="338"/>
      <c r="AZ686" s="338"/>
      <c r="BA686" s="338"/>
      <c r="BB686" s="338"/>
      <c r="BC686" s="338"/>
    </row>
    <row r="687">
      <c r="A687" s="115"/>
      <c r="B687" s="180"/>
      <c r="C687" s="117"/>
      <c r="D687" s="117"/>
      <c r="E687" s="117"/>
      <c r="F687" s="115"/>
      <c r="G687" s="180"/>
      <c r="H687" s="117"/>
      <c r="I687" s="117"/>
      <c r="J687" s="117"/>
      <c r="K687" s="92"/>
      <c r="L687" s="180"/>
      <c r="M687" s="117"/>
      <c r="N687" s="117"/>
      <c r="O687" s="117"/>
      <c r="P687" s="92"/>
      <c r="Q687" s="150"/>
      <c r="R687" s="117"/>
      <c r="S687" s="117"/>
      <c r="T687" s="117"/>
      <c r="U687" s="115"/>
      <c r="V687" s="180"/>
      <c r="W687" s="117"/>
      <c r="X687" s="117"/>
      <c r="Y687" s="117"/>
      <c r="Z687" s="115"/>
      <c r="AA687" s="180"/>
      <c r="AB687" s="117"/>
      <c r="AC687" s="117"/>
      <c r="AD687" s="117"/>
      <c r="AE687" s="115"/>
      <c r="AF687" s="180"/>
      <c r="AG687" s="117"/>
      <c r="AH687" s="117"/>
      <c r="AI687" s="117"/>
      <c r="AJ687" s="115"/>
      <c r="AK687" s="180"/>
      <c r="AL687" s="117"/>
      <c r="AM687" s="117"/>
      <c r="AN687" s="117"/>
      <c r="AO687" s="338"/>
      <c r="AP687" s="338"/>
      <c r="AQ687" s="338"/>
      <c r="AR687" s="338"/>
      <c r="AS687" s="338"/>
      <c r="AT687" s="338"/>
      <c r="AU687" s="338"/>
      <c r="AV687" s="338"/>
      <c r="AW687" s="338"/>
      <c r="AX687" s="338"/>
      <c r="AY687" s="338"/>
      <c r="AZ687" s="338"/>
      <c r="BA687" s="338"/>
      <c r="BB687" s="338"/>
      <c r="BC687" s="338"/>
    </row>
    <row r="688">
      <c r="A688" s="115"/>
      <c r="B688" s="180"/>
      <c r="C688" s="117"/>
      <c r="D688" s="117"/>
      <c r="E688" s="117"/>
      <c r="F688" s="115"/>
      <c r="G688" s="180"/>
      <c r="H688" s="117"/>
      <c r="I688" s="117"/>
      <c r="J688" s="117"/>
      <c r="K688" s="92"/>
      <c r="L688" s="180"/>
      <c r="M688" s="117"/>
      <c r="N688" s="117"/>
      <c r="O688" s="117"/>
      <c r="P688" s="92"/>
      <c r="Q688" s="150"/>
      <c r="R688" s="117"/>
      <c r="S688" s="117"/>
      <c r="T688" s="117"/>
      <c r="U688" s="115"/>
      <c r="V688" s="180"/>
      <c r="W688" s="117"/>
      <c r="X688" s="117"/>
      <c r="Y688" s="117"/>
      <c r="Z688" s="115"/>
      <c r="AA688" s="180"/>
      <c r="AB688" s="117"/>
      <c r="AC688" s="117"/>
      <c r="AD688" s="117"/>
      <c r="AE688" s="115"/>
      <c r="AF688" s="180"/>
      <c r="AG688" s="117"/>
      <c r="AH688" s="117"/>
      <c r="AI688" s="117"/>
      <c r="AJ688" s="115"/>
      <c r="AK688" s="180"/>
      <c r="AL688" s="117"/>
      <c r="AM688" s="117"/>
      <c r="AN688" s="117"/>
      <c r="AO688" s="338"/>
      <c r="AP688" s="338"/>
      <c r="AQ688" s="338"/>
      <c r="AR688" s="338"/>
      <c r="AS688" s="338"/>
      <c r="AT688" s="338"/>
      <c r="AU688" s="338"/>
      <c r="AV688" s="338"/>
      <c r="AW688" s="338"/>
      <c r="AX688" s="338"/>
      <c r="AY688" s="338"/>
      <c r="AZ688" s="338"/>
      <c r="BA688" s="338"/>
      <c r="BB688" s="338"/>
      <c r="BC688" s="338"/>
    </row>
    <row r="689">
      <c r="A689" s="115"/>
      <c r="B689" s="180"/>
      <c r="C689" s="117"/>
      <c r="D689" s="117"/>
      <c r="E689" s="117"/>
      <c r="F689" s="115"/>
      <c r="G689" s="180"/>
      <c r="H689" s="117"/>
      <c r="I689" s="117"/>
      <c r="J689" s="117"/>
      <c r="K689" s="92"/>
      <c r="L689" s="180"/>
      <c r="M689" s="117"/>
      <c r="N689" s="117"/>
      <c r="O689" s="117"/>
      <c r="P689" s="92"/>
      <c r="Q689" s="150"/>
      <c r="R689" s="117"/>
      <c r="S689" s="117"/>
      <c r="T689" s="117"/>
      <c r="U689" s="115"/>
      <c r="V689" s="180"/>
      <c r="W689" s="117"/>
      <c r="X689" s="117"/>
      <c r="Y689" s="117"/>
      <c r="Z689" s="115"/>
      <c r="AA689" s="180"/>
      <c r="AB689" s="117"/>
      <c r="AC689" s="117"/>
      <c r="AD689" s="117"/>
      <c r="AE689" s="115"/>
      <c r="AF689" s="180"/>
      <c r="AG689" s="117"/>
      <c r="AH689" s="117"/>
      <c r="AI689" s="117"/>
      <c r="AJ689" s="115"/>
      <c r="AK689" s="180"/>
      <c r="AL689" s="117"/>
      <c r="AM689" s="117"/>
      <c r="AN689" s="117"/>
      <c r="AO689" s="338"/>
      <c r="AP689" s="338"/>
      <c r="AQ689" s="338"/>
      <c r="AR689" s="338"/>
      <c r="AS689" s="338"/>
      <c r="AT689" s="338"/>
      <c r="AU689" s="338"/>
      <c r="AV689" s="338"/>
      <c r="AW689" s="338"/>
      <c r="AX689" s="338"/>
      <c r="AY689" s="338"/>
      <c r="AZ689" s="338"/>
      <c r="BA689" s="338"/>
      <c r="BB689" s="338"/>
      <c r="BC689" s="338"/>
    </row>
    <row r="690">
      <c r="A690" s="115"/>
      <c r="B690" s="180"/>
      <c r="C690" s="117"/>
      <c r="D690" s="117"/>
      <c r="E690" s="117"/>
      <c r="F690" s="115"/>
      <c r="G690" s="180"/>
      <c r="H690" s="117"/>
      <c r="I690" s="117"/>
      <c r="J690" s="117"/>
      <c r="K690" s="92"/>
      <c r="L690" s="180"/>
      <c r="M690" s="117"/>
      <c r="N690" s="117"/>
      <c r="O690" s="117"/>
      <c r="P690" s="92"/>
      <c r="Q690" s="150"/>
      <c r="R690" s="117"/>
      <c r="S690" s="117"/>
      <c r="T690" s="117"/>
      <c r="U690" s="115"/>
      <c r="V690" s="180"/>
      <c r="W690" s="117"/>
      <c r="X690" s="117"/>
      <c r="Y690" s="117"/>
      <c r="Z690" s="115"/>
      <c r="AA690" s="180"/>
      <c r="AB690" s="117"/>
      <c r="AC690" s="117"/>
      <c r="AD690" s="117"/>
      <c r="AE690" s="115"/>
      <c r="AF690" s="180"/>
      <c r="AG690" s="117"/>
      <c r="AH690" s="117"/>
      <c r="AI690" s="117"/>
      <c r="AJ690" s="115"/>
      <c r="AK690" s="180"/>
      <c r="AL690" s="117"/>
      <c r="AM690" s="117"/>
      <c r="AN690" s="117"/>
      <c r="AO690" s="338"/>
      <c r="AP690" s="338"/>
      <c r="AQ690" s="338"/>
      <c r="AR690" s="338"/>
      <c r="AS690" s="338"/>
      <c r="AT690" s="338"/>
      <c r="AU690" s="338"/>
      <c r="AV690" s="338"/>
      <c r="AW690" s="338"/>
      <c r="AX690" s="338"/>
      <c r="AY690" s="338"/>
      <c r="AZ690" s="338"/>
      <c r="BA690" s="338"/>
      <c r="BB690" s="338"/>
      <c r="BC690" s="338"/>
    </row>
    <row r="691">
      <c r="A691" s="115"/>
      <c r="B691" s="180"/>
      <c r="C691" s="117"/>
      <c r="D691" s="117"/>
      <c r="E691" s="117"/>
      <c r="F691" s="115"/>
      <c r="G691" s="180"/>
      <c r="H691" s="117"/>
      <c r="I691" s="117"/>
      <c r="J691" s="117"/>
      <c r="K691" s="92"/>
      <c r="L691" s="180"/>
      <c r="M691" s="117"/>
      <c r="N691" s="117"/>
      <c r="O691" s="117"/>
      <c r="P691" s="92"/>
      <c r="Q691" s="150"/>
      <c r="R691" s="117"/>
      <c r="S691" s="117"/>
      <c r="T691" s="117"/>
      <c r="U691" s="115"/>
      <c r="V691" s="180"/>
      <c r="W691" s="117"/>
      <c r="X691" s="117"/>
      <c r="Y691" s="117"/>
      <c r="Z691" s="115"/>
      <c r="AA691" s="180"/>
      <c r="AB691" s="117"/>
      <c r="AC691" s="117"/>
      <c r="AD691" s="117"/>
      <c r="AE691" s="115"/>
      <c r="AF691" s="180"/>
      <c r="AG691" s="117"/>
      <c r="AH691" s="117"/>
      <c r="AI691" s="117"/>
      <c r="AJ691" s="115"/>
      <c r="AK691" s="180"/>
      <c r="AL691" s="117"/>
      <c r="AM691" s="117"/>
      <c r="AN691" s="117"/>
      <c r="AO691" s="338"/>
      <c r="AP691" s="338"/>
      <c r="AQ691" s="338"/>
      <c r="AR691" s="338"/>
      <c r="AS691" s="338"/>
      <c r="AT691" s="338"/>
      <c r="AU691" s="338"/>
      <c r="AV691" s="338"/>
      <c r="AW691" s="338"/>
      <c r="AX691" s="338"/>
      <c r="AY691" s="338"/>
      <c r="AZ691" s="338"/>
      <c r="BA691" s="338"/>
      <c r="BB691" s="338"/>
      <c r="BC691" s="338"/>
    </row>
    <row r="692">
      <c r="A692" s="115"/>
      <c r="B692" s="180"/>
      <c r="C692" s="117"/>
      <c r="D692" s="117"/>
      <c r="E692" s="117"/>
      <c r="F692" s="115"/>
      <c r="G692" s="180"/>
      <c r="H692" s="117"/>
      <c r="I692" s="117"/>
      <c r="J692" s="117"/>
      <c r="K692" s="92"/>
      <c r="L692" s="180"/>
      <c r="M692" s="117"/>
      <c r="N692" s="117"/>
      <c r="O692" s="117"/>
      <c r="P692" s="92"/>
      <c r="Q692" s="150"/>
      <c r="R692" s="117"/>
      <c r="S692" s="117"/>
      <c r="T692" s="117"/>
      <c r="U692" s="115"/>
      <c r="V692" s="180"/>
      <c r="W692" s="117"/>
      <c r="X692" s="117"/>
      <c r="Y692" s="117"/>
      <c r="Z692" s="115"/>
      <c r="AA692" s="180"/>
      <c r="AB692" s="117"/>
      <c r="AC692" s="117"/>
      <c r="AD692" s="117"/>
      <c r="AE692" s="115"/>
      <c r="AF692" s="180"/>
      <c r="AG692" s="117"/>
      <c r="AH692" s="117"/>
      <c r="AI692" s="117"/>
      <c r="AJ692" s="115"/>
      <c r="AK692" s="180"/>
      <c r="AL692" s="117"/>
      <c r="AM692" s="117"/>
      <c r="AN692" s="117"/>
      <c r="AO692" s="338"/>
      <c r="AP692" s="338"/>
      <c r="AQ692" s="338"/>
      <c r="AR692" s="338"/>
      <c r="AS692" s="338"/>
      <c r="AT692" s="338"/>
      <c r="AU692" s="338"/>
      <c r="AV692" s="338"/>
      <c r="AW692" s="338"/>
      <c r="AX692" s="338"/>
      <c r="AY692" s="338"/>
      <c r="AZ692" s="338"/>
      <c r="BA692" s="338"/>
      <c r="BB692" s="338"/>
      <c r="BC692" s="338"/>
    </row>
    <row r="693">
      <c r="A693" s="115"/>
      <c r="B693" s="180"/>
      <c r="C693" s="117"/>
      <c r="D693" s="117"/>
      <c r="E693" s="117"/>
      <c r="F693" s="115"/>
      <c r="G693" s="180"/>
      <c r="H693" s="117"/>
      <c r="I693" s="117"/>
      <c r="J693" s="117"/>
      <c r="K693" s="92"/>
      <c r="L693" s="180"/>
      <c r="M693" s="117"/>
      <c r="N693" s="117"/>
      <c r="O693" s="117"/>
      <c r="P693" s="92"/>
      <c r="Q693" s="150"/>
      <c r="R693" s="117"/>
      <c r="S693" s="117"/>
      <c r="T693" s="117"/>
      <c r="U693" s="115"/>
      <c r="V693" s="180"/>
      <c r="W693" s="117"/>
      <c r="X693" s="117"/>
      <c r="Y693" s="117"/>
      <c r="Z693" s="115"/>
      <c r="AA693" s="180"/>
      <c r="AB693" s="117"/>
      <c r="AC693" s="117"/>
      <c r="AD693" s="117"/>
      <c r="AE693" s="115"/>
      <c r="AF693" s="180"/>
      <c r="AG693" s="117"/>
      <c r="AH693" s="117"/>
      <c r="AI693" s="117"/>
      <c r="AJ693" s="115"/>
      <c r="AK693" s="180"/>
      <c r="AL693" s="117"/>
      <c r="AM693" s="117"/>
      <c r="AN693" s="117"/>
      <c r="AO693" s="338"/>
      <c r="AP693" s="338"/>
      <c r="AQ693" s="338"/>
      <c r="AR693" s="338"/>
      <c r="AS693" s="338"/>
      <c r="AT693" s="338"/>
      <c r="AU693" s="338"/>
      <c r="AV693" s="338"/>
      <c r="AW693" s="338"/>
      <c r="AX693" s="338"/>
      <c r="AY693" s="338"/>
      <c r="AZ693" s="338"/>
      <c r="BA693" s="338"/>
      <c r="BB693" s="338"/>
      <c r="BC693" s="338"/>
    </row>
    <row r="694">
      <c r="A694" s="115"/>
      <c r="B694" s="180"/>
      <c r="C694" s="117"/>
      <c r="D694" s="117"/>
      <c r="E694" s="117"/>
      <c r="F694" s="115"/>
      <c r="G694" s="180"/>
      <c r="H694" s="117"/>
      <c r="I694" s="117"/>
      <c r="J694" s="117"/>
      <c r="K694" s="92"/>
      <c r="L694" s="180"/>
      <c r="M694" s="117"/>
      <c r="N694" s="117"/>
      <c r="O694" s="117"/>
      <c r="P694" s="92"/>
      <c r="Q694" s="150"/>
      <c r="R694" s="117"/>
      <c r="S694" s="117"/>
      <c r="T694" s="117"/>
      <c r="U694" s="115"/>
      <c r="V694" s="180"/>
      <c r="W694" s="117"/>
      <c r="X694" s="117"/>
      <c r="Y694" s="117"/>
      <c r="Z694" s="115"/>
      <c r="AA694" s="180"/>
      <c r="AB694" s="117"/>
      <c r="AC694" s="117"/>
      <c r="AD694" s="117"/>
      <c r="AE694" s="115"/>
      <c r="AF694" s="180"/>
      <c r="AG694" s="117"/>
      <c r="AH694" s="117"/>
      <c r="AI694" s="117"/>
      <c r="AJ694" s="115"/>
      <c r="AK694" s="180"/>
      <c r="AL694" s="117"/>
      <c r="AM694" s="117"/>
      <c r="AN694" s="117"/>
      <c r="AO694" s="338"/>
      <c r="AP694" s="338"/>
      <c r="AQ694" s="338"/>
      <c r="AR694" s="338"/>
      <c r="AS694" s="338"/>
      <c r="AT694" s="338"/>
      <c r="AU694" s="338"/>
      <c r="AV694" s="338"/>
      <c r="AW694" s="338"/>
      <c r="AX694" s="338"/>
      <c r="AY694" s="338"/>
      <c r="AZ694" s="338"/>
      <c r="BA694" s="338"/>
      <c r="BB694" s="338"/>
      <c r="BC694" s="338"/>
    </row>
    <row r="695">
      <c r="A695" s="115"/>
      <c r="B695" s="180"/>
      <c r="C695" s="117"/>
      <c r="D695" s="117"/>
      <c r="E695" s="117"/>
      <c r="F695" s="115"/>
      <c r="G695" s="180"/>
      <c r="H695" s="117"/>
      <c r="I695" s="117"/>
      <c r="J695" s="117"/>
      <c r="K695" s="92"/>
      <c r="L695" s="180"/>
      <c r="M695" s="117"/>
      <c r="N695" s="117"/>
      <c r="O695" s="117"/>
      <c r="P695" s="92"/>
      <c r="Q695" s="150"/>
      <c r="R695" s="117"/>
      <c r="S695" s="117"/>
      <c r="T695" s="117"/>
      <c r="U695" s="115"/>
      <c r="V695" s="180"/>
      <c r="W695" s="117"/>
      <c r="X695" s="117"/>
      <c r="Y695" s="117"/>
      <c r="Z695" s="115"/>
      <c r="AA695" s="180"/>
      <c r="AB695" s="117"/>
      <c r="AC695" s="117"/>
      <c r="AD695" s="117"/>
      <c r="AE695" s="115"/>
      <c r="AF695" s="180"/>
      <c r="AG695" s="117"/>
      <c r="AH695" s="117"/>
      <c r="AI695" s="117"/>
      <c r="AJ695" s="115"/>
      <c r="AK695" s="180"/>
      <c r="AL695" s="117"/>
      <c r="AM695" s="117"/>
      <c r="AN695" s="117"/>
      <c r="AO695" s="338"/>
      <c r="AP695" s="338"/>
      <c r="AQ695" s="338"/>
      <c r="AR695" s="338"/>
      <c r="AS695" s="338"/>
      <c r="AT695" s="338"/>
      <c r="AU695" s="338"/>
      <c r="AV695" s="338"/>
      <c r="AW695" s="338"/>
      <c r="AX695" s="338"/>
      <c r="AY695" s="338"/>
      <c r="AZ695" s="338"/>
      <c r="BA695" s="338"/>
      <c r="BB695" s="338"/>
      <c r="BC695" s="338"/>
    </row>
    <row r="696">
      <c r="A696" s="115"/>
      <c r="B696" s="180"/>
      <c r="C696" s="117"/>
      <c r="D696" s="117"/>
      <c r="E696" s="117"/>
      <c r="F696" s="115"/>
      <c r="G696" s="180"/>
      <c r="H696" s="117"/>
      <c r="I696" s="117"/>
      <c r="J696" s="117"/>
      <c r="K696" s="92"/>
      <c r="L696" s="180"/>
      <c r="M696" s="117"/>
      <c r="N696" s="117"/>
      <c r="O696" s="117"/>
      <c r="P696" s="92"/>
      <c r="Q696" s="150"/>
      <c r="R696" s="117"/>
      <c r="S696" s="117"/>
      <c r="T696" s="117"/>
      <c r="U696" s="115"/>
      <c r="V696" s="180"/>
      <c r="W696" s="117"/>
      <c r="X696" s="117"/>
      <c r="Y696" s="117"/>
      <c r="Z696" s="115"/>
      <c r="AA696" s="180"/>
      <c r="AB696" s="117"/>
      <c r="AC696" s="117"/>
      <c r="AD696" s="117"/>
      <c r="AE696" s="115"/>
      <c r="AF696" s="180"/>
      <c r="AG696" s="117"/>
      <c r="AH696" s="117"/>
      <c r="AI696" s="117"/>
      <c r="AJ696" s="115"/>
      <c r="AK696" s="180"/>
      <c r="AL696" s="117"/>
      <c r="AM696" s="117"/>
      <c r="AN696" s="117"/>
      <c r="AO696" s="338"/>
      <c r="AP696" s="338"/>
      <c r="AQ696" s="338"/>
      <c r="AR696" s="338"/>
      <c r="AS696" s="338"/>
      <c r="AT696" s="338"/>
      <c r="AU696" s="338"/>
      <c r="AV696" s="338"/>
      <c r="AW696" s="338"/>
      <c r="AX696" s="338"/>
      <c r="AY696" s="338"/>
      <c r="AZ696" s="338"/>
      <c r="BA696" s="338"/>
      <c r="BB696" s="338"/>
      <c r="BC696" s="338"/>
    </row>
    <row r="697">
      <c r="A697" s="115"/>
      <c r="B697" s="180"/>
      <c r="C697" s="117"/>
      <c r="D697" s="117"/>
      <c r="E697" s="117"/>
      <c r="F697" s="115"/>
      <c r="G697" s="180"/>
      <c r="H697" s="117"/>
      <c r="I697" s="117"/>
      <c r="J697" s="117"/>
      <c r="K697" s="92"/>
      <c r="L697" s="180"/>
      <c r="M697" s="117"/>
      <c r="N697" s="117"/>
      <c r="O697" s="117"/>
      <c r="P697" s="92"/>
      <c r="Q697" s="150"/>
      <c r="R697" s="117"/>
      <c r="S697" s="117"/>
      <c r="T697" s="117"/>
      <c r="U697" s="115"/>
      <c r="V697" s="180"/>
      <c r="W697" s="117"/>
      <c r="X697" s="117"/>
      <c r="Y697" s="117"/>
      <c r="Z697" s="115"/>
      <c r="AA697" s="180"/>
      <c r="AB697" s="117"/>
      <c r="AC697" s="117"/>
      <c r="AD697" s="117"/>
      <c r="AE697" s="115"/>
      <c r="AF697" s="180"/>
      <c r="AG697" s="117"/>
      <c r="AH697" s="117"/>
      <c r="AI697" s="117"/>
      <c r="AJ697" s="115"/>
      <c r="AK697" s="180"/>
      <c r="AL697" s="117"/>
      <c r="AM697" s="117"/>
      <c r="AN697" s="117"/>
      <c r="AO697" s="338"/>
      <c r="AP697" s="338"/>
      <c r="AQ697" s="338"/>
      <c r="AR697" s="338"/>
      <c r="AS697" s="338"/>
      <c r="AT697" s="338"/>
      <c r="AU697" s="338"/>
      <c r="AV697" s="338"/>
      <c r="AW697" s="338"/>
      <c r="AX697" s="338"/>
      <c r="AY697" s="338"/>
      <c r="AZ697" s="338"/>
      <c r="BA697" s="338"/>
      <c r="BB697" s="338"/>
      <c r="BC697" s="338"/>
    </row>
    <row r="698">
      <c r="A698" s="115"/>
      <c r="B698" s="180"/>
      <c r="C698" s="117"/>
      <c r="D698" s="117"/>
      <c r="E698" s="117"/>
      <c r="F698" s="115"/>
      <c r="G698" s="180"/>
      <c r="H698" s="117"/>
      <c r="I698" s="117"/>
      <c r="J698" s="117"/>
      <c r="K698" s="92"/>
      <c r="L698" s="180"/>
      <c r="M698" s="117"/>
      <c r="N698" s="117"/>
      <c r="O698" s="117"/>
      <c r="P698" s="92"/>
      <c r="Q698" s="150"/>
      <c r="R698" s="117"/>
      <c r="S698" s="117"/>
      <c r="T698" s="117"/>
      <c r="U698" s="115"/>
      <c r="V698" s="180"/>
      <c r="W698" s="117"/>
      <c r="X698" s="117"/>
      <c r="Y698" s="117"/>
      <c r="Z698" s="115"/>
      <c r="AA698" s="180"/>
      <c r="AB698" s="117"/>
      <c r="AC698" s="117"/>
      <c r="AD698" s="117"/>
      <c r="AE698" s="115"/>
      <c r="AF698" s="180"/>
      <c r="AG698" s="117"/>
      <c r="AH698" s="117"/>
      <c r="AI698" s="117"/>
      <c r="AJ698" s="115"/>
      <c r="AK698" s="180"/>
      <c r="AL698" s="117"/>
      <c r="AM698" s="117"/>
      <c r="AN698" s="117"/>
      <c r="AO698" s="338"/>
      <c r="AP698" s="338"/>
      <c r="AQ698" s="338"/>
      <c r="AR698" s="338"/>
      <c r="AS698" s="338"/>
      <c r="AT698" s="338"/>
      <c r="AU698" s="338"/>
      <c r="AV698" s="338"/>
      <c r="AW698" s="338"/>
      <c r="AX698" s="338"/>
      <c r="AY698" s="338"/>
      <c r="AZ698" s="338"/>
      <c r="BA698" s="338"/>
      <c r="BB698" s="338"/>
      <c r="BC698" s="338"/>
    </row>
    <row r="699">
      <c r="A699" s="115"/>
      <c r="B699" s="180"/>
      <c r="C699" s="117"/>
      <c r="D699" s="117"/>
      <c r="E699" s="117"/>
      <c r="F699" s="115"/>
      <c r="G699" s="180"/>
      <c r="H699" s="117"/>
      <c r="I699" s="117"/>
      <c r="J699" s="117"/>
      <c r="K699" s="92"/>
      <c r="L699" s="180"/>
      <c r="M699" s="117"/>
      <c r="N699" s="117"/>
      <c r="O699" s="117"/>
      <c r="P699" s="92"/>
      <c r="Q699" s="150"/>
      <c r="R699" s="117"/>
      <c r="S699" s="117"/>
      <c r="T699" s="117"/>
      <c r="U699" s="115"/>
      <c r="V699" s="180"/>
      <c r="W699" s="117"/>
      <c r="X699" s="117"/>
      <c r="Y699" s="117"/>
      <c r="Z699" s="115"/>
      <c r="AA699" s="180"/>
      <c r="AB699" s="117"/>
      <c r="AC699" s="117"/>
      <c r="AD699" s="117"/>
      <c r="AE699" s="115"/>
      <c r="AF699" s="180"/>
      <c r="AG699" s="117"/>
      <c r="AH699" s="117"/>
      <c r="AI699" s="117"/>
      <c r="AJ699" s="115"/>
      <c r="AK699" s="180"/>
      <c r="AL699" s="117"/>
      <c r="AM699" s="117"/>
      <c r="AN699" s="117"/>
      <c r="AO699" s="338"/>
      <c r="AP699" s="338"/>
      <c r="AQ699" s="338"/>
      <c r="AR699" s="338"/>
      <c r="AS699" s="338"/>
      <c r="AT699" s="338"/>
      <c r="AU699" s="338"/>
      <c r="AV699" s="338"/>
      <c r="AW699" s="338"/>
      <c r="AX699" s="338"/>
      <c r="AY699" s="338"/>
      <c r="AZ699" s="338"/>
      <c r="BA699" s="338"/>
      <c r="BB699" s="338"/>
      <c r="BC699" s="338"/>
    </row>
    <row r="700">
      <c r="A700" s="115"/>
      <c r="B700" s="180"/>
      <c r="C700" s="117"/>
      <c r="D700" s="117"/>
      <c r="E700" s="117"/>
      <c r="F700" s="115"/>
      <c r="G700" s="180"/>
      <c r="H700" s="117"/>
      <c r="I700" s="117"/>
      <c r="J700" s="117"/>
      <c r="K700" s="92"/>
      <c r="L700" s="180"/>
      <c r="M700" s="117"/>
      <c r="N700" s="117"/>
      <c r="O700" s="117"/>
      <c r="P700" s="92"/>
      <c r="Q700" s="150"/>
      <c r="R700" s="117"/>
      <c r="S700" s="117"/>
      <c r="T700" s="117"/>
      <c r="U700" s="115"/>
      <c r="V700" s="180"/>
      <c r="W700" s="117"/>
      <c r="X700" s="117"/>
      <c r="Y700" s="117"/>
      <c r="Z700" s="115"/>
      <c r="AA700" s="180"/>
      <c r="AB700" s="117"/>
      <c r="AC700" s="117"/>
      <c r="AD700" s="117"/>
      <c r="AE700" s="115"/>
      <c r="AF700" s="180"/>
      <c r="AG700" s="117"/>
      <c r="AH700" s="117"/>
      <c r="AI700" s="117"/>
      <c r="AJ700" s="115"/>
      <c r="AK700" s="180"/>
      <c r="AL700" s="117"/>
      <c r="AM700" s="117"/>
      <c r="AN700" s="117"/>
      <c r="AO700" s="338"/>
      <c r="AP700" s="338"/>
      <c r="AQ700" s="338"/>
      <c r="AR700" s="338"/>
      <c r="AS700" s="338"/>
      <c r="AT700" s="338"/>
      <c r="AU700" s="338"/>
      <c r="AV700" s="338"/>
      <c r="AW700" s="338"/>
      <c r="AX700" s="338"/>
      <c r="AY700" s="338"/>
      <c r="AZ700" s="338"/>
      <c r="BA700" s="338"/>
      <c r="BB700" s="338"/>
      <c r="BC700" s="338"/>
    </row>
    <row r="701">
      <c r="A701" s="115"/>
      <c r="B701" s="180"/>
      <c r="C701" s="117"/>
      <c r="D701" s="117"/>
      <c r="E701" s="117"/>
      <c r="F701" s="115"/>
      <c r="G701" s="180"/>
      <c r="H701" s="117"/>
      <c r="I701" s="117"/>
      <c r="J701" s="117"/>
      <c r="K701" s="92"/>
      <c r="L701" s="180"/>
      <c r="M701" s="117"/>
      <c r="N701" s="117"/>
      <c r="O701" s="117"/>
      <c r="P701" s="92"/>
      <c r="Q701" s="150"/>
      <c r="R701" s="117"/>
      <c r="S701" s="117"/>
      <c r="T701" s="117"/>
      <c r="U701" s="115"/>
      <c r="V701" s="180"/>
      <c r="W701" s="117"/>
      <c r="X701" s="117"/>
      <c r="Y701" s="117"/>
      <c r="Z701" s="115"/>
      <c r="AA701" s="180"/>
      <c r="AB701" s="117"/>
      <c r="AC701" s="117"/>
      <c r="AD701" s="117"/>
      <c r="AE701" s="115"/>
      <c r="AF701" s="180"/>
      <c r="AG701" s="117"/>
      <c r="AH701" s="117"/>
      <c r="AI701" s="117"/>
      <c r="AJ701" s="115"/>
      <c r="AK701" s="180"/>
      <c r="AL701" s="117"/>
      <c r="AM701" s="117"/>
      <c r="AN701" s="117"/>
      <c r="AO701" s="338"/>
      <c r="AP701" s="338"/>
      <c r="AQ701" s="338"/>
      <c r="AR701" s="338"/>
      <c r="AS701" s="338"/>
      <c r="AT701" s="338"/>
      <c r="AU701" s="338"/>
      <c r="AV701" s="338"/>
      <c r="AW701" s="338"/>
      <c r="AX701" s="338"/>
      <c r="AY701" s="338"/>
      <c r="AZ701" s="338"/>
      <c r="BA701" s="338"/>
      <c r="BB701" s="338"/>
      <c r="BC701" s="338"/>
    </row>
    <row r="702">
      <c r="A702" s="115"/>
      <c r="B702" s="180"/>
      <c r="C702" s="117"/>
      <c r="D702" s="117"/>
      <c r="E702" s="117"/>
      <c r="F702" s="115"/>
      <c r="G702" s="180"/>
      <c r="H702" s="117"/>
      <c r="I702" s="117"/>
      <c r="J702" s="117"/>
      <c r="K702" s="92"/>
      <c r="L702" s="180"/>
      <c r="M702" s="117"/>
      <c r="N702" s="117"/>
      <c r="O702" s="117"/>
      <c r="P702" s="92"/>
      <c r="Q702" s="150"/>
      <c r="R702" s="117"/>
      <c r="S702" s="117"/>
      <c r="T702" s="117"/>
      <c r="U702" s="115"/>
      <c r="V702" s="180"/>
      <c r="W702" s="117"/>
      <c r="X702" s="117"/>
      <c r="Y702" s="117"/>
      <c r="Z702" s="115"/>
      <c r="AA702" s="180"/>
      <c r="AB702" s="117"/>
      <c r="AC702" s="117"/>
      <c r="AD702" s="117"/>
      <c r="AE702" s="115"/>
      <c r="AF702" s="180"/>
      <c r="AG702" s="117"/>
      <c r="AH702" s="117"/>
      <c r="AI702" s="117"/>
      <c r="AJ702" s="115"/>
      <c r="AK702" s="180"/>
      <c r="AL702" s="117"/>
      <c r="AM702" s="117"/>
      <c r="AN702" s="117"/>
      <c r="AO702" s="338"/>
      <c r="AP702" s="338"/>
      <c r="AQ702" s="338"/>
      <c r="AR702" s="338"/>
      <c r="AS702" s="338"/>
      <c r="AT702" s="338"/>
      <c r="AU702" s="338"/>
      <c r="AV702" s="338"/>
      <c r="AW702" s="338"/>
      <c r="AX702" s="338"/>
      <c r="AY702" s="338"/>
      <c r="AZ702" s="338"/>
      <c r="BA702" s="338"/>
      <c r="BB702" s="338"/>
      <c r="BC702" s="338"/>
    </row>
    <row r="703">
      <c r="A703" s="115"/>
      <c r="B703" s="180"/>
      <c r="C703" s="117"/>
      <c r="D703" s="117"/>
      <c r="E703" s="117"/>
      <c r="F703" s="115"/>
      <c r="G703" s="180"/>
      <c r="H703" s="117"/>
      <c r="I703" s="117"/>
      <c r="J703" s="117"/>
      <c r="K703" s="92"/>
      <c r="L703" s="180"/>
      <c r="M703" s="117"/>
      <c r="N703" s="117"/>
      <c r="O703" s="117"/>
      <c r="P703" s="92"/>
      <c r="Q703" s="150"/>
      <c r="R703" s="117"/>
      <c r="S703" s="117"/>
      <c r="T703" s="117"/>
      <c r="U703" s="115"/>
      <c r="V703" s="180"/>
      <c r="W703" s="117"/>
      <c r="X703" s="117"/>
      <c r="Y703" s="117"/>
      <c r="Z703" s="115"/>
      <c r="AA703" s="180"/>
      <c r="AB703" s="117"/>
      <c r="AC703" s="117"/>
      <c r="AD703" s="117"/>
      <c r="AE703" s="115"/>
      <c r="AF703" s="180"/>
      <c r="AG703" s="117"/>
      <c r="AH703" s="117"/>
      <c r="AI703" s="117"/>
      <c r="AJ703" s="115"/>
      <c r="AK703" s="180"/>
      <c r="AL703" s="117"/>
      <c r="AM703" s="117"/>
      <c r="AN703" s="117"/>
      <c r="AO703" s="338"/>
      <c r="AP703" s="338"/>
      <c r="AQ703" s="338"/>
      <c r="AR703" s="338"/>
      <c r="AS703" s="338"/>
      <c r="AT703" s="338"/>
      <c r="AU703" s="338"/>
      <c r="AV703" s="338"/>
      <c r="AW703" s="338"/>
      <c r="AX703" s="338"/>
      <c r="AY703" s="338"/>
      <c r="AZ703" s="338"/>
      <c r="BA703" s="338"/>
      <c r="BB703" s="338"/>
      <c r="BC703" s="338"/>
    </row>
    <row r="704">
      <c r="A704" s="115"/>
      <c r="B704" s="180"/>
      <c r="C704" s="117"/>
      <c r="D704" s="117"/>
      <c r="E704" s="117"/>
      <c r="F704" s="115"/>
      <c r="G704" s="180"/>
      <c r="H704" s="117"/>
      <c r="I704" s="117"/>
      <c r="J704" s="117"/>
      <c r="K704" s="92"/>
      <c r="L704" s="180"/>
      <c r="M704" s="117"/>
      <c r="N704" s="117"/>
      <c r="O704" s="117"/>
      <c r="P704" s="92"/>
      <c r="Q704" s="150"/>
      <c r="R704" s="117"/>
      <c r="S704" s="117"/>
      <c r="T704" s="117"/>
      <c r="U704" s="115"/>
      <c r="V704" s="180"/>
      <c r="W704" s="117"/>
      <c r="X704" s="117"/>
      <c r="Y704" s="117"/>
      <c r="Z704" s="115"/>
      <c r="AA704" s="180"/>
      <c r="AB704" s="117"/>
      <c r="AC704" s="117"/>
      <c r="AD704" s="117"/>
      <c r="AE704" s="115"/>
      <c r="AF704" s="180"/>
      <c r="AG704" s="117"/>
      <c r="AH704" s="117"/>
      <c r="AI704" s="117"/>
      <c r="AJ704" s="115"/>
      <c r="AK704" s="180"/>
      <c r="AL704" s="117"/>
      <c r="AM704" s="117"/>
      <c r="AN704" s="117"/>
      <c r="AO704" s="338"/>
      <c r="AP704" s="338"/>
      <c r="AQ704" s="338"/>
      <c r="AR704" s="338"/>
      <c r="AS704" s="338"/>
      <c r="AT704" s="338"/>
      <c r="AU704" s="338"/>
      <c r="AV704" s="338"/>
      <c r="AW704" s="338"/>
      <c r="AX704" s="338"/>
      <c r="AY704" s="338"/>
      <c r="AZ704" s="338"/>
      <c r="BA704" s="338"/>
      <c r="BB704" s="338"/>
      <c r="BC704" s="338"/>
    </row>
    <row r="705">
      <c r="A705" s="115"/>
      <c r="B705" s="180"/>
      <c r="C705" s="117"/>
      <c r="D705" s="117"/>
      <c r="E705" s="117"/>
      <c r="F705" s="115"/>
      <c r="G705" s="180"/>
      <c r="H705" s="117"/>
      <c r="I705" s="117"/>
      <c r="J705" s="117"/>
      <c r="K705" s="92"/>
      <c r="L705" s="180"/>
      <c r="M705" s="117"/>
      <c r="N705" s="117"/>
      <c r="O705" s="117"/>
      <c r="P705" s="92"/>
      <c r="Q705" s="150"/>
      <c r="R705" s="117"/>
      <c r="S705" s="117"/>
      <c r="T705" s="117"/>
      <c r="U705" s="115"/>
      <c r="V705" s="180"/>
      <c r="W705" s="117"/>
      <c r="X705" s="117"/>
      <c r="Y705" s="117"/>
      <c r="Z705" s="115"/>
      <c r="AA705" s="180"/>
      <c r="AB705" s="117"/>
      <c r="AC705" s="117"/>
      <c r="AD705" s="117"/>
      <c r="AE705" s="115"/>
      <c r="AF705" s="180"/>
      <c r="AG705" s="117"/>
      <c r="AH705" s="117"/>
      <c r="AI705" s="117"/>
      <c r="AJ705" s="115"/>
      <c r="AK705" s="180"/>
      <c r="AL705" s="117"/>
      <c r="AM705" s="117"/>
      <c r="AN705" s="117"/>
      <c r="AO705" s="338"/>
      <c r="AP705" s="338"/>
      <c r="AQ705" s="338"/>
      <c r="AR705" s="338"/>
      <c r="AS705" s="338"/>
      <c r="AT705" s="338"/>
      <c r="AU705" s="338"/>
      <c r="AV705" s="338"/>
      <c r="AW705" s="338"/>
      <c r="AX705" s="338"/>
      <c r="AY705" s="338"/>
      <c r="AZ705" s="338"/>
      <c r="BA705" s="338"/>
      <c r="BB705" s="338"/>
      <c r="BC705" s="338"/>
    </row>
    <row r="706">
      <c r="A706" s="115"/>
      <c r="B706" s="180"/>
      <c r="C706" s="117"/>
      <c r="D706" s="117"/>
      <c r="E706" s="117"/>
      <c r="F706" s="115"/>
      <c r="G706" s="180"/>
      <c r="H706" s="117"/>
      <c r="I706" s="117"/>
      <c r="J706" s="117"/>
      <c r="K706" s="92"/>
      <c r="L706" s="180"/>
      <c r="M706" s="117"/>
      <c r="N706" s="117"/>
      <c r="O706" s="117"/>
      <c r="P706" s="92"/>
      <c r="Q706" s="150"/>
      <c r="R706" s="117"/>
      <c r="S706" s="117"/>
      <c r="T706" s="117"/>
      <c r="U706" s="115"/>
      <c r="V706" s="180"/>
      <c r="W706" s="117"/>
      <c r="X706" s="117"/>
      <c r="Y706" s="117"/>
      <c r="Z706" s="115"/>
      <c r="AA706" s="180"/>
      <c r="AB706" s="117"/>
      <c r="AC706" s="117"/>
      <c r="AD706" s="117"/>
      <c r="AE706" s="115"/>
      <c r="AF706" s="180"/>
      <c r="AG706" s="117"/>
      <c r="AH706" s="117"/>
      <c r="AI706" s="117"/>
      <c r="AJ706" s="115"/>
      <c r="AK706" s="180"/>
      <c r="AL706" s="117"/>
      <c r="AM706" s="117"/>
      <c r="AN706" s="117"/>
      <c r="AO706" s="338"/>
      <c r="AP706" s="338"/>
      <c r="AQ706" s="338"/>
      <c r="AR706" s="338"/>
      <c r="AS706" s="338"/>
      <c r="AT706" s="338"/>
      <c r="AU706" s="338"/>
      <c r="AV706" s="338"/>
      <c r="AW706" s="338"/>
      <c r="AX706" s="338"/>
      <c r="AY706" s="338"/>
      <c r="AZ706" s="338"/>
      <c r="BA706" s="338"/>
      <c r="BB706" s="338"/>
      <c r="BC706" s="338"/>
    </row>
    <row r="707">
      <c r="A707" s="115"/>
      <c r="B707" s="180"/>
      <c r="C707" s="117"/>
      <c r="D707" s="117"/>
      <c r="E707" s="117"/>
      <c r="F707" s="115"/>
      <c r="G707" s="180"/>
      <c r="H707" s="117"/>
      <c r="I707" s="117"/>
      <c r="J707" s="117"/>
      <c r="K707" s="92"/>
      <c r="L707" s="180"/>
      <c r="M707" s="117"/>
      <c r="N707" s="117"/>
      <c r="O707" s="117"/>
      <c r="P707" s="92"/>
      <c r="Q707" s="150"/>
      <c r="R707" s="117"/>
      <c r="S707" s="117"/>
      <c r="T707" s="117"/>
      <c r="U707" s="115"/>
      <c r="V707" s="180"/>
      <c r="W707" s="117"/>
      <c r="X707" s="117"/>
      <c r="Y707" s="117"/>
      <c r="Z707" s="115"/>
      <c r="AA707" s="180"/>
      <c r="AB707" s="117"/>
      <c r="AC707" s="117"/>
      <c r="AD707" s="117"/>
      <c r="AE707" s="115"/>
      <c r="AF707" s="180"/>
      <c r="AG707" s="117"/>
      <c r="AH707" s="117"/>
      <c r="AI707" s="117"/>
      <c r="AJ707" s="115"/>
      <c r="AK707" s="180"/>
      <c r="AL707" s="117"/>
      <c r="AM707" s="117"/>
      <c r="AN707" s="117"/>
      <c r="AO707" s="338"/>
      <c r="AP707" s="338"/>
      <c r="AQ707" s="338"/>
      <c r="AR707" s="338"/>
      <c r="AS707" s="338"/>
      <c r="AT707" s="338"/>
      <c r="AU707" s="338"/>
      <c r="AV707" s="338"/>
      <c r="AW707" s="338"/>
      <c r="AX707" s="338"/>
      <c r="AY707" s="338"/>
      <c r="AZ707" s="338"/>
      <c r="BA707" s="338"/>
      <c r="BB707" s="338"/>
      <c r="BC707" s="338"/>
    </row>
    <row r="708">
      <c r="A708" s="115"/>
      <c r="B708" s="180"/>
      <c r="C708" s="117"/>
      <c r="D708" s="117"/>
      <c r="E708" s="117"/>
      <c r="F708" s="115"/>
      <c r="G708" s="180"/>
      <c r="H708" s="117"/>
      <c r="I708" s="117"/>
      <c r="J708" s="117"/>
      <c r="K708" s="92"/>
      <c r="L708" s="180"/>
      <c r="M708" s="117"/>
      <c r="N708" s="117"/>
      <c r="O708" s="117"/>
      <c r="P708" s="92"/>
      <c r="Q708" s="150"/>
      <c r="R708" s="117"/>
      <c r="S708" s="117"/>
      <c r="T708" s="117"/>
      <c r="U708" s="115"/>
      <c r="V708" s="180"/>
      <c r="W708" s="117"/>
      <c r="X708" s="117"/>
      <c r="Y708" s="117"/>
      <c r="Z708" s="115"/>
      <c r="AA708" s="180"/>
      <c r="AB708" s="117"/>
      <c r="AC708" s="117"/>
      <c r="AD708" s="117"/>
      <c r="AE708" s="115"/>
      <c r="AF708" s="180"/>
      <c r="AG708" s="117"/>
      <c r="AH708" s="117"/>
      <c r="AI708" s="117"/>
      <c r="AJ708" s="115"/>
      <c r="AK708" s="180"/>
      <c r="AL708" s="117"/>
      <c r="AM708" s="117"/>
      <c r="AN708" s="117"/>
      <c r="AO708" s="338"/>
      <c r="AP708" s="338"/>
      <c r="AQ708" s="338"/>
      <c r="AR708" s="338"/>
      <c r="AS708" s="338"/>
      <c r="AT708" s="338"/>
      <c r="AU708" s="338"/>
      <c r="AV708" s="338"/>
      <c r="AW708" s="338"/>
      <c r="AX708" s="338"/>
      <c r="AY708" s="338"/>
      <c r="AZ708" s="338"/>
      <c r="BA708" s="338"/>
      <c r="BB708" s="338"/>
      <c r="BC708" s="338"/>
    </row>
    <row r="709">
      <c r="A709" s="115"/>
      <c r="B709" s="180"/>
      <c r="C709" s="117"/>
      <c r="D709" s="117"/>
      <c r="E709" s="117"/>
      <c r="F709" s="115"/>
      <c r="G709" s="180"/>
      <c r="H709" s="117"/>
      <c r="I709" s="117"/>
      <c r="J709" s="117"/>
      <c r="K709" s="92"/>
      <c r="L709" s="180"/>
      <c r="M709" s="117"/>
      <c r="N709" s="117"/>
      <c r="O709" s="117"/>
      <c r="P709" s="92"/>
      <c r="Q709" s="150"/>
      <c r="R709" s="117"/>
      <c r="S709" s="117"/>
      <c r="T709" s="117"/>
      <c r="U709" s="115"/>
      <c r="V709" s="180"/>
      <c r="W709" s="117"/>
      <c r="X709" s="117"/>
      <c r="Y709" s="117"/>
      <c r="Z709" s="115"/>
      <c r="AA709" s="180"/>
      <c r="AB709" s="117"/>
      <c r="AC709" s="117"/>
      <c r="AD709" s="117"/>
      <c r="AE709" s="115"/>
      <c r="AF709" s="180"/>
      <c r="AG709" s="117"/>
      <c r="AH709" s="117"/>
      <c r="AI709" s="117"/>
      <c r="AJ709" s="115"/>
      <c r="AK709" s="180"/>
      <c r="AL709" s="117"/>
      <c r="AM709" s="117"/>
      <c r="AN709" s="117"/>
      <c r="AO709" s="338"/>
      <c r="AP709" s="338"/>
      <c r="AQ709" s="338"/>
      <c r="AR709" s="338"/>
      <c r="AS709" s="338"/>
      <c r="AT709" s="338"/>
      <c r="AU709" s="338"/>
      <c r="AV709" s="338"/>
      <c r="AW709" s="338"/>
      <c r="AX709" s="338"/>
      <c r="AY709" s="338"/>
      <c r="AZ709" s="338"/>
      <c r="BA709" s="338"/>
      <c r="BB709" s="338"/>
      <c r="BC709" s="338"/>
    </row>
    <row r="710">
      <c r="A710" s="115"/>
      <c r="B710" s="180"/>
      <c r="C710" s="117"/>
      <c r="D710" s="117"/>
      <c r="E710" s="117"/>
      <c r="F710" s="115"/>
      <c r="G710" s="180"/>
      <c r="H710" s="117"/>
      <c r="I710" s="117"/>
      <c r="J710" s="117"/>
      <c r="K710" s="92"/>
      <c r="L710" s="180"/>
      <c r="M710" s="117"/>
      <c r="N710" s="117"/>
      <c r="O710" s="117"/>
      <c r="P710" s="92"/>
      <c r="Q710" s="150"/>
      <c r="R710" s="117"/>
      <c r="S710" s="117"/>
      <c r="T710" s="117"/>
      <c r="U710" s="115"/>
      <c r="V710" s="180"/>
      <c r="W710" s="117"/>
      <c r="X710" s="117"/>
      <c r="Y710" s="117"/>
      <c r="Z710" s="115"/>
      <c r="AA710" s="180"/>
      <c r="AB710" s="117"/>
      <c r="AC710" s="117"/>
      <c r="AD710" s="117"/>
      <c r="AE710" s="115"/>
      <c r="AF710" s="180"/>
      <c r="AG710" s="117"/>
      <c r="AH710" s="117"/>
      <c r="AI710" s="117"/>
      <c r="AJ710" s="115"/>
      <c r="AK710" s="180"/>
      <c r="AL710" s="117"/>
      <c r="AM710" s="117"/>
      <c r="AN710" s="117"/>
      <c r="AO710" s="338"/>
      <c r="AP710" s="338"/>
      <c r="AQ710" s="338"/>
      <c r="AR710" s="338"/>
      <c r="AS710" s="338"/>
      <c r="AT710" s="338"/>
      <c r="AU710" s="338"/>
      <c r="AV710" s="338"/>
      <c r="AW710" s="338"/>
      <c r="AX710" s="338"/>
      <c r="AY710" s="338"/>
      <c r="AZ710" s="338"/>
      <c r="BA710" s="338"/>
      <c r="BB710" s="338"/>
      <c r="BC710" s="338"/>
    </row>
    <row r="711">
      <c r="A711" s="115"/>
      <c r="B711" s="180"/>
      <c r="C711" s="117"/>
      <c r="D711" s="117"/>
      <c r="E711" s="117"/>
      <c r="F711" s="115"/>
      <c r="G711" s="180"/>
      <c r="H711" s="117"/>
      <c r="I711" s="117"/>
      <c r="J711" s="117"/>
      <c r="K711" s="92"/>
      <c r="L711" s="180"/>
      <c r="M711" s="117"/>
      <c r="N711" s="117"/>
      <c r="O711" s="117"/>
      <c r="P711" s="92"/>
      <c r="Q711" s="150"/>
      <c r="R711" s="117"/>
      <c r="S711" s="117"/>
      <c r="T711" s="117"/>
      <c r="U711" s="115"/>
      <c r="V711" s="180"/>
      <c r="W711" s="117"/>
      <c r="X711" s="117"/>
      <c r="Y711" s="117"/>
      <c r="Z711" s="115"/>
      <c r="AA711" s="180"/>
      <c r="AB711" s="117"/>
      <c r="AC711" s="117"/>
      <c r="AD711" s="117"/>
      <c r="AE711" s="115"/>
      <c r="AF711" s="180"/>
      <c r="AG711" s="117"/>
      <c r="AH711" s="117"/>
      <c r="AI711" s="117"/>
      <c r="AJ711" s="115"/>
      <c r="AK711" s="180"/>
      <c r="AL711" s="117"/>
      <c r="AM711" s="117"/>
      <c r="AN711" s="117"/>
      <c r="AO711" s="338"/>
      <c r="AP711" s="338"/>
      <c r="AQ711" s="338"/>
      <c r="AR711" s="338"/>
      <c r="AS711" s="338"/>
      <c r="AT711" s="338"/>
      <c r="AU711" s="338"/>
      <c r="AV711" s="338"/>
      <c r="AW711" s="338"/>
      <c r="AX711" s="338"/>
      <c r="AY711" s="338"/>
      <c r="AZ711" s="338"/>
      <c r="BA711" s="338"/>
      <c r="BB711" s="338"/>
      <c r="BC711" s="338"/>
    </row>
    <row r="712">
      <c r="A712" s="115"/>
      <c r="B712" s="180"/>
      <c r="C712" s="117"/>
      <c r="D712" s="117"/>
      <c r="E712" s="117"/>
      <c r="F712" s="115"/>
      <c r="G712" s="180"/>
      <c r="H712" s="117"/>
      <c r="I712" s="117"/>
      <c r="J712" s="117"/>
      <c r="K712" s="92"/>
      <c r="L712" s="180"/>
      <c r="M712" s="117"/>
      <c r="N712" s="117"/>
      <c r="O712" s="117"/>
      <c r="P712" s="92"/>
      <c r="Q712" s="150"/>
      <c r="R712" s="117"/>
      <c r="S712" s="117"/>
      <c r="T712" s="117"/>
      <c r="U712" s="115"/>
      <c r="V712" s="180"/>
      <c r="W712" s="117"/>
      <c r="X712" s="117"/>
      <c r="Y712" s="117"/>
      <c r="Z712" s="115"/>
      <c r="AA712" s="180"/>
      <c r="AB712" s="117"/>
      <c r="AC712" s="117"/>
      <c r="AD712" s="117"/>
      <c r="AE712" s="115"/>
      <c r="AF712" s="180"/>
      <c r="AG712" s="117"/>
      <c r="AH712" s="117"/>
      <c r="AI712" s="117"/>
      <c r="AJ712" s="115"/>
      <c r="AK712" s="180"/>
      <c r="AL712" s="117"/>
      <c r="AM712" s="117"/>
      <c r="AN712" s="117"/>
      <c r="AO712" s="338"/>
      <c r="AP712" s="338"/>
      <c r="AQ712" s="338"/>
      <c r="AR712" s="338"/>
      <c r="AS712" s="338"/>
      <c r="AT712" s="338"/>
      <c r="AU712" s="338"/>
      <c r="AV712" s="338"/>
      <c r="AW712" s="338"/>
      <c r="AX712" s="338"/>
      <c r="AY712" s="338"/>
      <c r="AZ712" s="338"/>
      <c r="BA712" s="338"/>
      <c r="BB712" s="338"/>
      <c r="BC712" s="338"/>
    </row>
    <row r="713">
      <c r="A713" s="115"/>
      <c r="B713" s="180"/>
      <c r="C713" s="117"/>
      <c r="D713" s="117"/>
      <c r="E713" s="117"/>
      <c r="F713" s="115"/>
      <c r="G713" s="180"/>
      <c r="H713" s="117"/>
      <c r="I713" s="117"/>
      <c r="J713" s="117"/>
      <c r="K713" s="92"/>
      <c r="L713" s="180"/>
      <c r="M713" s="117"/>
      <c r="N713" s="117"/>
      <c r="O713" s="117"/>
      <c r="P713" s="92"/>
      <c r="Q713" s="150"/>
      <c r="R713" s="117"/>
      <c r="S713" s="117"/>
      <c r="T713" s="117"/>
      <c r="U713" s="115"/>
      <c r="V713" s="180"/>
      <c r="W713" s="117"/>
      <c r="X713" s="117"/>
      <c r="Y713" s="117"/>
      <c r="Z713" s="115"/>
      <c r="AA713" s="180"/>
      <c r="AB713" s="117"/>
      <c r="AC713" s="117"/>
      <c r="AD713" s="117"/>
      <c r="AE713" s="115"/>
      <c r="AF713" s="180"/>
      <c r="AG713" s="117"/>
      <c r="AH713" s="117"/>
      <c r="AI713" s="117"/>
      <c r="AJ713" s="115"/>
      <c r="AK713" s="180"/>
      <c r="AL713" s="117"/>
      <c r="AM713" s="117"/>
      <c r="AN713" s="117"/>
      <c r="AO713" s="338"/>
      <c r="AP713" s="338"/>
      <c r="AQ713" s="338"/>
      <c r="AR713" s="338"/>
      <c r="AS713" s="338"/>
      <c r="AT713" s="338"/>
      <c r="AU713" s="338"/>
      <c r="AV713" s="338"/>
      <c r="AW713" s="338"/>
      <c r="AX713" s="338"/>
      <c r="AY713" s="338"/>
      <c r="AZ713" s="338"/>
      <c r="BA713" s="338"/>
      <c r="BB713" s="338"/>
      <c r="BC713" s="338"/>
    </row>
    <row r="714">
      <c r="A714" s="115"/>
      <c r="B714" s="180"/>
      <c r="C714" s="117"/>
      <c r="D714" s="117"/>
      <c r="E714" s="117"/>
      <c r="F714" s="115"/>
      <c r="G714" s="180"/>
      <c r="H714" s="117"/>
      <c r="I714" s="117"/>
      <c r="J714" s="117"/>
      <c r="K714" s="92"/>
      <c r="L714" s="180"/>
      <c r="M714" s="117"/>
      <c r="N714" s="117"/>
      <c r="O714" s="117"/>
      <c r="P714" s="92"/>
      <c r="Q714" s="150"/>
      <c r="R714" s="117"/>
      <c r="S714" s="117"/>
      <c r="T714" s="117"/>
      <c r="U714" s="115"/>
      <c r="V714" s="180"/>
      <c r="W714" s="117"/>
      <c r="X714" s="117"/>
      <c r="Y714" s="117"/>
      <c r="Z714" s="115"/>
      <c r="AA714" s="180"/>
      <c r="AB714" s="117"/>
      <c r="AC714" s="117"/>
      <c r="AD714" s="117"/>
      <c r="AE714" s="115"/>
      <c r="AF714" s="180"/>
      <c r="AG714" s="117"/>
      <c r="AH714" s="117"/>
      <c r="AI714" s="117"/>
      <c r="AJ714" s="115"/>
      <c r="AK714" s="180"/>
      <c r="AL714" s="117"/>
      <c r="AM714" s="117"/>
      <c r="AN714" s="117"/>
      <c r="AO714" s="338"/>
      <c r="AP714" s="338"/>
      <c r="AQ714" s="338"/>
      <c r="AR714" s="338"/>
      <c r="AS714" s="338"/>
      <c r="AT714" s="338"/>
      <c r="AU714" s="338"/>
      <c r="AV714" s="338"/>
      <c r="AW714" s="338"/>
      <c r="AX714" s="338"/>
      <c r="AY714" s="338"/>
      <c r="AZ714" s="338"/>
      <c r="BA714" s="338"/>
      <c r="BB714" s="338"/>
      <c r="BC714" s="338"/>
    </row>
    <row r="715">
      <c r="A715" s="115"/>
      <c r="B715" s="180"/>
      <c r="C715" s="117"/>
      <c r="D715" s="117"/>
      <c r="E715" s="117"/>
      <c r="F715" s="115"/>
      <c r="G715" s="180"/>
      <c r="H715" s="117"/>
      <c r="I715" s="117"/>
      <c r="J715" s="117"/>
      <c r="K715" s="92"/>
      <c r="L715" s="180"/>
      <c r="M715" s="117"/>
      <c r="N715" s="117"/>
      <c r="O715" s="117"/>
      <c r="P715" s="92"/>
      <c r="Q715" s="150"/>
      <c r="R715" s="117"/>
      <c r="S715" s="117"/>
      <c r="T715" s="117"/>
      <c r="U715" s="115"/>
      <c r="V715" s="180"/>
      <c r="W715" s="117"/>
      <c r="X715" s="117"/>
      <c r="Y715" s="117"/>
      <c r="Z715" s="115"/>
      <c r="AA715" s="180"/>
      <c r="AB715" s="117"/>
      <c r="AC715" s="117"/>
      <c r="AD715" s="117"/>
      <c r="AE715" s="115"/>
      <c r="AF715" s="180"/>
      <c r="AG715" s="117"/>
      <c r="AH715" s="117"/>
      <c r="AI715" s="117"/>
      <c r="AJ715" s="115"/>
      <c r="AK715" s="180"/>
      <c r="AL715" s="117"/>
      <c r="AM715" s="117"/>
      <c r="AN715" s="117"/>
      <c r="AO715" s="338"/>
      <c r="AP715" s="338"/>
      <c r="AQ715" s="338"/>
      <c r="AR715" s="338"/>
      <c r="AS715" s="338"/>
      <c r="AT715" s="338"/>
      <c r="AU715" s="338"/>
      <c r="AV715" s="338"/>
      <c r="AW715" s="338"/>
      <c r="AX715" s="338"/>
      <c r="AY715" s="338"/>
      <c r="AZ715" s="338"/>
      <c r="BA715" s="338"/>
      <c r="BB715" s="338"/>
      <c r="BC715" s="338"/>
    </row>
    <row r="716">
      <c r="A716" s="115"/>
      <c r="B716" s="180"/>
      <c r="C716" s="117"/>
      <c r="D716" s="117"/>
      <c r="E716" s="117"/>
      <c r="F716" s="115"/>
      <c r="G716" s="180"/>
      <c r="H716" s="117"/>
      <c r="I716" s="117"/>
      <c r="J716" s="117"/>
      <c r="K716" s="92"/>
      <c r="L716" s="180"/>
      <c r="M716" s="117"/>
      <c r="N716" s="117"/>
      <c r="O716" s="117"/>
      <c r="P716" s="92"/>
      <c r="Q716" s="150"/>
      <c r="R716" s="117"/>
      <c r="S716" s="117"/>
      <c r="T716" s="117"/>
      <c r="U716" s="115"/>
      <c r="V716" s="180"/>
      <c r="W716" s="117"/>
      <c r="X716" s="117"/>
      <c r="Y716" s="117"/>
      <c r="Z716" s="115"/>
      <c r="AA716" s="180"/>
      <c r="AB716" s="117"/>
      <c r="AC716" s="117"/>
      <c r="AD716" s="117"/>
      <c r="AE716" s="115"/>
      <c r="AF716" s="180"/>
      <c r="AG716" s="117"/>
      <c r="AH716" s="117"/>
      <c r="AI716" s="117"/>
      <c r="AJ716" s="115"/>
      <c r="AK716" s="180"/>
      <c r="AL716" s="117"/>
      <c r="AM716" s="117"/>
      <c r="AN716" s="117"/>
      <c r="AO716" s="338"/>
      <c r="AP716" s="338"/>
      <c r="AQ716" s="338"/>
      <c r="AR716" s="338"/>
      <c r="AS716" s="338"/>
      <c r="AT716" s="338"/>
      <c r="AU716" s="338"/>
      <c r="AV716" s="338"/>
      <c r="AW716" s="338"/>
      <c r="AX716" s="338"/>
      <c r="AY716" s="338"/>
      <c r="AZ716" s="338"/>
      <c r="BA716" s="338"/>
      <c r="BB716" s="338"/>
      <c r="BC716" s="338"/>
    </row>
    <row r="717">
      <c r="A717" s="115"/>
      <c r="B717" s="180"/>
      <c r="C717" s="117"/>
      <c r="D717" s="117"/>
      <c r="E717" s="117"/>
      <c r="F717" s="115"/>
      <c r="G717" s="180"/>
      <c r="H717" s="117"/>
      <c r="I717" s="117"/>
      <c r="J717" s="117"/>
      <c r="K717" s="92"/>
      <c r="L717" s="180"/>
      <c r="M717" s="117"/>
      <c r="N717" s="117"/>
      <c r="O717" s="117"/>
      <c r="P717" s="92"/>
      <c r="Q717" s="150"/>
      <c r="R717" s="117"/>
      <c r="S717" s="117"/>
      <c r="T717" s="117"/>
      <c r="U717" s="115"/>
      <c r="V717" s="180"/>
      <c r="W717" s="117"/>
      <c r="X717" s="117"/>
      <c r="Y717" s="117"/>
      <c r="Z717" s="115"/>
      <c r="AA717" s="180"/>
      <c r="AB717" s="117"/>
      <c r="AC717" s="117"/>
      <c r="AD717" s="117"/>
      <c r="AE717" s="115"/>
      <c r="AF717" s="180"/>
      <c r="AG717" s="117"/>
      <c r="AH717" s="117"/>
      <c r="AI717" s="117"/>
      <c r="AJ717" s="115"/>
      <c r="AK717" s="180"/>
      <c r="AL717" s="117"/>
      <c r="AM717" s="117"/>
      <c r="AN717" s="117"/>
      <c r="AO717" s="338"/>
      <c r="AP717" s="338"/>
      <c r="AQ717" s="338"/>
      <c r="AR717" s="338"/>
      <c r="AS717" s="338"/>
      <c r="AT717" s="338"/>
      <c r="AU717" s="338"/>
      <c r="AV717" s="338"/>
      <c r="AW717" s="338"/>
      <c r="AX717" s="338"/>
      <c r="AY717" s="338"/>
      <c r="AZ717" s="338"/>
      <c r="BA717" s="338"/>
      <c r="BB717" s="338"/>
      <c r="BC717" s="338"/>
    </row>
    <row r="718">
      <c r="A718" s="115"/>
      <c r="B718" s="180"/>
      <c r="C718" s="117"/>
      <c r="D718" s="117"/>
      <c r="E718" s="117"/>
      <c r="F718" s="115"/>
      <c r="G718" s="180"/>
      <c r="H718" s="117"/>
      <c r="I718" s="117"/>
      <c r="J718" s="117"/>
      <c r="K718" s="92"/>
      <c r="L718" s="180"/>
      <c r="M718" s="117"/>
      <c r="N718" s="117"/>
      <c r="O718" s="117"/>
      <c r="P718" s="92"/>
      <c r="Q718" s="150"/>
      <c r="R718" s="117"/>
      <c r="S718" s="117"/>
      <c r="T718" s="117"/>
      <c r="U718" s="115"/>
      <c r="V718" s="180"/>
      <c r="W718" s="117"/>
      <c r="X718" s="117"/>
      <c r="Y718" s="117"/>
      <c r="Z718" s="115"/>
      <c r="AA718" s="180"/>
      <c r="AB718" s="117"/>
      <c r="AC718" s="117"/>
      <c r="AD718" s="117"/>
      <c r="AE718" s="115"/>
      <c r="AF718" s="180"/>
      <c r="AG718" s="117"/>
      <c r="AH718" s="117"/>
      <c r="AI718" s="117"/>
      <c r="AJ718" s="115"/>
      <c r="AK718" s="180"/>
      <c r="AL718" s="117"/>
      <c r="AM718" s="117"/>
      <c r="AN718" s="117"/>
      <c r="AO718" s="338"/>
      <c r="AP718" s="338"/>
      <c r="AQ718" s="338"/>
      <c r="AR718" s="338"/>
      <c r="AS718" s="338"/>
      <c r="AT718" s="338"/>
      <c r="AU718" s="338"/>
      <c r="AV718" s="338"/>
      <c r="AW718" s="338"/>
      <c r="AX718" s="338"/>
      <c r="AY718" s="338"/>
      <c r="AZ718" s="338"/>
      <c r="BA718" s="338"/>
      <c r="BB718" s="338"/>
      <c r="BC718" s="338"/>
    </row>
    <row r="719">
      <c r="A719" s="115"/>
      <c r="B719" s="180"/>
      <c r="C719" s="117"/>
      <c r="D719" s="117"/>
      <c r="E719" s="117"/>
      <c r="F719" s="115"/>
      <c r="G719" s="180"/>
      <c r="H719" s="117"/>
      <c r="I719" s="117"/>
      <c r="J719" s="117"/>
      <c r="K719" s="92"/>
      <c r="L719" s="180"/>
      <c r="M719" s="117"/>
      <c r="N719" s="117"/>
      <c r="O719" s="117"/>
      <c r="P719" s="92"/>
      <c r="Q719" s="150"/>
      <c r="R719" s="117"/>
      <c r="S719" s="117"/>
      <c r="T719" s="117"/>
      <c r="U719" s="115"/>
      <c r="V719" s="180"/>
      <c r="W719" s="117"/>
      <c r="X719" s="117"/>
      <c r="Y719" s="117"/>
      <c r="Z719" s="115"/>
      <c r="AA719" s="180"/>
      <c r="AB719" s="117"/>
      <c r="AC719" s="117"/>
      <c r="AD719" s="117"/>
      <c r="AE719" s="115"/>
      <c r="AF719" s="180"/>
      <c r="AG719" s="117"/>
      <c r="AH719" s="117"/>
      <c r="AI719" s="117"/>
      <c r="AJ719" s="115"/>
      <c r="AK719" s="180"/>
      <c r="AL719" s="117"/>
      <c r="AM719" s="117"/>
      <c r="AN719" s="117"/>
      <c r="AO719" s="338"/>
      <c r="AP719" s="338"/>
      <c r="AQ719" s="338"/>
      <c r="AR719" s="338"/>
      <c r="AS719" s="338"/>
      <c r="AT719" s="338"/>
      <c r="AU719" s="338"/>
      <c r="AV719" s="338"/>
      <c r="AW719" s="338"/>
      <c r="AX719" s="338"/>
      <c r="AY719" s="338"/>
      <c r="AZ719" s="338"/>
      <c r="BA719" s="338"/>
      <c r="BB719" s="338"/>
      <c r="BC719" s="338"/>
    </row>
    <row r="720">
      <c r="A720" s="115"/>
      <c r="B720" s="180"/>
      <c r="C720" s="117"/>
      <c r="D720" s="117"/>
      <c r="E720" s="117"/>
      <c r="F720" s="115"/>
      <c r="G720" s="180"/>
      <c r="H720" s="117"/>
      <c r="I720" s="117"/>
      <c r="J720" s="117"/>
      <c r="K720" s="92"/>
      <c r="L720" s="180"/>
      <c r="M720" s="117"/>
      <c r="N720" s="117"/>
      <c r="O720" s="117"/>
      <c r="P720" s="92"/>
      <c r="Q720" s="150"/>
      <c r="R720" s="117"/>
      <c r="S720" s="117"/>
      <c r="T720" s="117"/>
      <c r="U720" s="115"/>
      <c r="V720" s="180"/>
      <c r="W720" s="117"/>
      <c r="X720" s="117"/>
      <c r="Y720" s="117"/>
      <c r="Z720" s="115"/>
      <c r="AA720" s="180"/>
      <c r="AB720" s="117"/>
      <c r="AC720" s="117"/>
      <c r="AD720" s="117"/>
      <c r="AE720" s="115"/>
      <c r="AF720" s="180"/>
      <c r="AG720" s="117"/>
      <c r="AH720" s="117"/>
      <c r="AI720" s="117"/>
      <c r="AJ720" s="115"/>
      <c r="AK720" s="180"/>
      <c r="AL720" s="117"/>
      <c r="AM720" s="117"/>
      <c r="AN720" s="117"/>
      <c r="AO720" s="338"/>
      <c r="AP720" s="338"/>
      <c r="AQ720" s="338"/>
      <c r="AR720" s="338"/>
      <c r="AS720" s="338"/>
      <c r="AT720" s="338"/>
      <c r="AU720" s="338"/>
      <c r="AV720" s="338"/>
      <c r="AW720" s="338"/>
      <c r="AX720" s="338"/>
      <c r="AY720" s="338"/>
      <c r="AZ720" s="338"/>
      <c r="BA720" s="338"/>
      <c r="BB720" s="338"/>
      <c r="BC720" s="338"/>
    </row>
    <row r="721">
      <c r="A721" s="115"/>
      <c r="B721" s="180"/>
      <c r="C721" s="117"/>
      <c r="D721" s="117"/>
      <c r="E721" s="117"/>
      <c r="F721" s="115"/>
      <c r="G721" s="180"/>
      <c r="H721" s="117"/>
      <c r="I721" s="117"/>
      <c r="J721" s="117"/>
      <c r="K721" s="92"/>
      <c r="L721" s="180"/>
      <c r="M721" s="117"/>
      <c r="N721" s="117"/>
      <c r="O721" s="117"/>
      <c r="P721" s="92"/>
      <c r="Q721" s="150"/>
      <c r="R721" s="117"/>
      <c r="S721" s="117"/>
      <c r="T721" s="117"/>
      <c r="U721" s="115"/>
      <c r="V721" s="180"/>
      <c r="W721" s="117"/>
      <c r="X721" s="117"/>
      <c r="Y721" s="117"/>
      <c r="Z721" s="115"/>
      <c r="AA721" s="180"/>
      <c r="AB721" s="117"/>
      <c r="AC721" s="117"/>
      <c r="AD721" s="117"/>
      <c r="AE721" s="115"/>
      <c r="AF721" s="180"/>
      <c r="AG721" s="117"/>
      <c r="AH721" s="117"/>
      <c r="AI721" s="117"/>
      <c r="AJ721" s="115"/>
      <c r="AK721" s="180"/>
      <c r="AL721" s="117"/>
      <c r="AM721" s="117"/>
      <c r="AN721" s="117"/>
      <c r="AO721" s="338"/>
      <c r="AP721" s="338"/>
      <c r="AQ721" s="338"/>
      <c r="AR721" s="338"/>
      <c r="AS721" s="338"/>
      <c r="AT721" s="338"/>
      <c r="AU721" s="338"/>
      <c r="AV721" s="338"/>
      <c r="AW721" s="338"/>
      <c r="AX721" s="338"/>
      <c r="AY721" s="338"/>
      <c r="AZ721" s="338"/>
      <c r="BA721" s="338"/>
      <c r="BB721" s="338"/>
      <c r="BC721" s="338"/>
    </row>
    <row r="722">
      <c r="A722" s="115"/>
      <c r="B722" s="180"/>
      <c r="C722" s="117"/>
      <c r="D722" s="117"/>
      <c r="E722" s="117"/>
      <c r="F722" s="115"/>
      <c r="G722" s="180"/>
      <c r="H722" s="117"/>
      <c r="I722" s="117"/>
      <c r="J722" s="117"/>
      <c r="K722" s="92"/>
      <c r="L722" s="180"/>
      <c r="M722" s="117"/>
      <c r="N722" s="117"/>
      <c r="O722" s="117"/>
      <c r="P722" s="92"/>
      <c r="Q722" s="150"/>
      <c r="R722" s="117"/>
      <c r="S722" s="117"/>
      <c r="T722" s="117"/>
      <c r="U722" s="115"/>
      <c r="V722" s="180"/>
      <c r="W722" s="117"/>
      <c r="X722" s="117"/>
      <c r="Y722" s="117"/>
      <c r="Z722" s="115"/>
      <c r="AA722" s="180"/>
      <c r="AB722" s="117"/>
      <c r="AC722" s="117"/>
      <c r="AD722" s="117"/>
      <c r="AE722" s="115"/>
      <c r="AF722" s="180"/>
      <c r="AG722" s="117"/>
      <c r="AH722" s="117"/>
      <c r="AI722" s="117"/>
      <c r="AJ722" s="115"/>
      <c r="AK722" s="180"/>
      <c r="AL722" s="117"/>
      <c r="AM722" s="117"/>
      <c r="AN722" s="117"/>
      <c r="AO722" s="338"/>
      <c r="AP722" s="338"/>
      <c r="AQ722" s="338"/>
      <c r="AR722" s="338"/>
      <c r="AS722" s="338"/>
      <c r="AT722" s="338"/>
      <c r="AU722" s="338"/>
      <c r="AV722" s="338"/>
      <c r="AW722" s="338"/>
      <c r="AX722" s="338"/>
      <c r="AY722" s="338"/>
      <c r="AZ722" s="338"/>
      <c r="BA722" s="338"/>
      <c r="BB722" s="338"/>
      <c r="BC722" s="338"/>
    </row>
    <row r="723">
      <c r="A723" s="115"/>
      <c r="B723" s="180"/>
      <c r="C723" s="117"/>
      <c r="D723" s="117"/>
      <c r="E723" s="117"/>
      <c r="F723" s="115"/>
      <c r="G723" s="180"/>
      <c r="H723" s="117"/>
      <c r="I723" s="117"/>
      <c r="J723" s="117"/>
      <c r="K723" s="92"/>
      <c r="L723" s="180"/>
      <c r="M723" s="117"/>
      <c r="N723" s="117"/>
      <c r="O723" s="117"/>
      <c r="P723" s="92"/>
      <c r="Q723" s="150"/>
      <c r="R723" s="117"/>
      <c r="S723" s="117"/>
      <c r="T723" s="117"/>
      <c r="U723" s="115"/>
      <c r="V723" s="180"/>
      <c r="W723" s="117"/>
      <c r="X723" s="117"/>
      <c r="Y723" s="117"/>
      <c r="Z723" s="115"/>
      <c r="AA723" s="180"/>
      <c r="AB723" s="117"/>
      <c r="AC723" s="117"/>
      <c r="AD723" s="117"/>
      <c r="AE723" s="115"/>
      <c r="AF723" s="180"/>
      <c r="AG723" s="117"/>
      <c r="AH723" s="117"/>
      <c r="AI723" s="117"/>
      <c r="AJ723" s="115"/>
      <c r="AK723" s="180"/>
      <c r="AL723" s="117"/>
      <c r="AM723" s="117"/>
      <c r="AN723" s="117"/>
      <c r="AO723" s="338"/>
      <c r="AP723" s="338"/>
      <c r="AQ723" s="338"/>
      <c r="AR723" s="338"/>
      <c r="AS723" s="338"/>
      <c r="AT723" s="338"/>
      <c r="AU723" s="338"/>
      <c r="AV723" s="338"/>
      <c r="AW723" s="338"/>
      <c r="AX723" s="338"/>
      <c r="AY723" s="338"/>
      <c r="AZ723" s="338"/>
      <c r="BA723" s="338"/>
      <c r="BB723" s="338"/>
      <c r="BC723" s="338"/>
    </row>
    <row r="724">
      <c r="A724" s="115"/>
      <c r="B724" s="180"/>
      <c r="C724" s="117"/>
      <c r="D724" s="117"/>
      <c r="E724" s="117"/>
      <c r="F724" s="115"/>
      <c r="G724" s="180"/>
      <c r="H724" s="117"/>
      <c r="I724" s="117"/>
      <c r="J724" s="117"/>
      <c r="K724" s="92"/>
      <c r="L724" s="180"/>
      <c r="M724" s="117"/>
      <c r="N724" s="117"/>
      <c r="O724" s="117"/>
      <c r="P724" s="92"/>
      <c r="Q724" s="150"/>
      <c r="R724" s="117"/>
      <c r="S724" s="117"/>
      <c r="T724" s="117"/>
      <c r="U724" s="115"/>
      <c r="V724" s="180"/>
      <c r="W724" s="117"/>
      <c r="X724" s="117"/>
      <c r="Y724" s="117"/>
      <c r="Z724" s="115"/>
      <c r="AA724" s="180"/>
      <c r="AB724" s="117"/>
      <c r="AC724" s="117"/>
      <c r="AD724" s="117"/>
      <c r="AE724" s="115"/>
      <c r="AF724" s="180"/>
      <c r="AG724" s="117"/>
      <c r="AH724" s="117"/>
      <c r="AI724" s="117"/>
      <c r="AJ724" s="115"/>
      <c r="AK724" s="180"/>
      <c r="AL724" s="117"/>
      <c r="AM724" s="117"/>
      <c r="AN724" s="117"/>
      <c r="AO724" s="338"/>
      <c r="AP724" s="338"/>
      <c r="AQ724" s="338"/>
      <c r="AR724" s="338"/>
      <c r="AS724" s="338"/>
      <c r="AT724" s="338"/>
      <c r="AU724" s="338"/>
      <c r="AV724" s="338"/>
      <c r="AW724" s="338"/>
      <c r="AX724" s="338"/>
      <c r="AY724" s="338"/>
      <c r="AZ724" s="338"/>
      <c r="BA724" s="338"/>
      <c r="BB724" s="338"/>
      <c r="BC724" s="338"/>
    </row>
    <row r="725">
      <c r="A725" s="115"/>
      <c r="B725" s="180"/>
      <c r="C725" s="117"/>
      <c r="D725" s="117"/>
      <c r="E725" s="117"/>
      <c r="F725" s="115"/>
      <c r="G725" s="180"/>
      <c r="H725" s="117"/>
      <c r="I725" s="117"/>
      <c r="J725" s="117"/>
      <c r="K725" s="92"/>
      <c r="L725" s="180"/>
      <c r="M725" s="117"/>
      <c r="N725" s="117"/>
      <c r="O725" s="117"/>
      <c r="P725" s="92"/>
      <c r="Q725" s="150"/>
      <c r="R725" s="117"/>
      <c r="S725" s="117"/>
      <c r="T725" s="117"/>
      <c r="U725" s="115"/>
      <c r="V725" s="180"/>
      <c r="W725" s="117"/>
      <c r="X725" s="117"/>
      <c r="Y725" s="117"/>
      <c r="Z725" s="115"/>
      <c r="AA725" s="180"/>
      <c r="AB725" s="117"/>
      <c r="AC725" s="117"/>
      <c r="AD725" s="117"/>
      <c r="AE725" s="115"/>
      <c r="AF725" s="180"/>
      <c r="AG725" s="117"/>
      <c r="AH725" s="117"/>
      <c r="AI725" s="117"/>
      <c r="AJ725" s="115"/>
      <c r="AK725" s="180"/>
      <c r="AL725" s="117"/>
      <c r="AM725" s="117"/>
      <c r="AN725" s="117"/>
      <c r="AO725" s="338"/>
      <c r="AP725" s="338"/>
      <c r="AQ725" s="338"/>
      <c r="AR725" s="338"/>
      <c r="AS725" s="338"/>
      <c r="AT725" s="338"/>
      <c r="AU725" s="338"/>
      <c r="AV725" s="338"/>
      <c r="AW725" s="338"/>
      <c r="AX725" s="338"/>
      <c r="AY725" s="338"/>
      <c r="AZ725" s="338"/>
      <c r="BA725" s="338"/>
      <c r="BB725" s="338"/>
      <c r="BC725" s="338"/>
    </row>
    <row r="726">
      <c r="A726" s="115"/>
      <c r="B726" s="180"/>
      <c r="C726" s="117"/>
      <c r="D726" s="117"/>
      <c r="E726" s="117"/>
      <c r="F726" s="115"/>
      <c r="G726" s="180"/>
      <c r="H726" s="117"/>
      <c r="I726" s="117"/>
      <c r="J726" s="117"/>
      <c r="K726" s="92"/>
      <c r="L726" s="180"/>
      <c r="M726" s="117"/>
      <c r="N726" s="117"/>
      <c r="O726" s="117"/>
      <c r="P726" s="92"/>
      <c r="Q726" s="150"/>
      <c r="R726" s="117"/>
      <c r="S726" s="117"/>
      <c r="T726" s="117"/>
      <c r="U726" s="115"/>
      <c r="V726" s="180"/>
      <c r="W726" s="117"/>
      <c r="X726" s="117"/>
      <c r="Y726" s="117"/>
      <c r="Z726" s="115"/>
      <c r="AA726" s="180"/>
      <c r="AB726" s="117"/>
      <c r="AC726" s="117"/>
      <c r="AD726" s="117"/>
      <c r="AE726" s="115"/>
      <c r="AF726" s="180"/>
      <c r="AG726" s="117"/>
      <c r="AH726" s="117"/>
      <c r="AI726" s="117"/>
      <c r="AJ726" s="115"/>
      <c r="AK726" s="180"/>
      <c r="AL726" s="117"/>
      <c r="AM726" s="117"/>
      <c r="AN726" s="117"/>
      <c r="AO726" s="338"/>
      <c r="AP726" s="338"/>
      <c r="AQ726" s="338"/>
      <c r="AR726" s="338"/>
      <c r="AS726" s="338"/>
      <c r="AT726" s="338"/>
      <c r="AU726" s="338"/>
      <c r="AV726" s="338"/>
      <c r="AW726" s="338"/>
      <c r="AX726" s="338"/>
      <c r="AY726" s="338"/>
      <c r="AZ726" s="338"/>
      <c r="BA726" s="338"/>
      <c r="BB726" s="338"/>
      <c r="BC726" s="338"/>
    </row>
    <row r="727">
      <c r="A727" s="115"/>
      <c r="B727" s="180"/>
      <c r="C727" s="117"/>
      <c r="D727" s="117"/>
      <c r="E727" s="117"/>
      <c r="F727" s="115"/>
      <c r="G727" s="180"/>
      <c r="H727" s="117"/>
      <c r="I727" s="117"/>
      <c r="J727" s="117"/>
      <c r="K727" s="92"/>
      <c r="L727" s="180"/>
      <c r="M727" s="117"/>
      <c r="N727" s="117"/>
      <c r="O727" s="117"/>
      <c r="P727" s="92"/>
      <c r="Q727" s="150"/>
      <c r="R727" s="117"/>
      <c r="S727" s="117"/>
      <c r="T727" s="117"/>
      <c r="U727" s="115"/>
      <c r="V727" s="180"/>
      <c r="W727" s="117"/>
      <c r="X727" s="117"/>
      <c r="Y727" s="117"/>
      <c r="Z727" s="115"/>
      <c r="AA727" s="180"/>
      <c r="AB727" s="117"/>
      <c r="AC727" s="117"/>
      <c r="AD727" s="117"/>
      <c r="AE727" s="115"/>
      <c r="AF727" s="180"/>
      <c r="AG727" s="117"/>
      <c r="AH727" s="117"/>
      <c r="AI727" s="117"/>
      <c r="AJ727" s="115"/>
      <c r="AK727" s="180"/>
      <c r="AL727" s="117"/>
      <c r="AM727" s="117"/>
      <c r="AN727" s="117"/>
      <c r="AO727" s="338"/>
      <c r="AP727" s="338"/>
      <c r="AQ727" s="338"/>
      <c r="AR727" s="338"/>
      <c r="AS727" s="338"/>
      <c r="AT727" s="338"/>
      <c r="AU727" s="338"/>
      <c r="AV727" s="338"/>
      <c r="AW727" s="338"/>
      <c r="AX727" s="338"/>
      <c r="AY727" s="338"/>
      <c r="AZ727" s="338"/>
      <c r="BA727" s="338"/>
      <c r="BB727" s="338"/>
      <c r="BC727" s="338"/>
    </row>
    <row r="728">
      <c r="A728" s="115"/>
      <c r="B728" s="180"/>
      <c r="C728" s="117"/>
      <c r="D728" s="117"/>
      <c r="E728" s="117"/>
      <c r="F728" s="115"/>
      <c r="G728" s="180"/>
      <c r="H728" s="117"/>
      <c r="I728" s="117"/>
      <c r="J728" s="117"/>
      <c r="K728" s="92"/>
      <c r="L728" s="180"/>
      <c r="M728" s="117"/>
      <c r="N728" s="117"/>
      <c r="O728" s="117"/>
      <c r="P728" s="92"/>
      <c r="Q728" s="150"/>
      <c r="R728" s="117"/>
      <c r="S728" s="117"/>
      <c r="T728" s="117"/>
      <c r="U728" s="115"/>
      <c r="V728" s="180"/>
      <c r="W728" s="117"/>
      <c r="X728" s="117"/>
      <c r="Y728" s="117"/>
      <c r="Z728" s="115"/>
      <c r="AA728" s="180"/>
      <c r="AB728" s="117"/>
      <c r="AC728" s="117"/>
      <c r="AD728" s="117"/>
      <c r="AE728" s="115"/>
      <c r="AF728" s="180"/>
      <c r="AG728" s="117"/>
      <c r="AH728" s="117"/>
      <c r="AI728" s="117"/>
      <c r="AJ728" s="115"/>
      <c r="AK728" s="180"/>
      <c r="AL728" s="117"/>
      <c r="AM728" s="117"/>
      <c r="AN728" s="117"/>
      <c r="AO728" s="338"/>
      <c r="AP728" s="338"/>
      <c r="AQ728" s="338"/>
      <c r="AR728" s="338"/>
      <c r="AS728" s="338"/>
      <c r="AT728" s="338"/>
      <c r="AU728" s="338"/>
      <c r="AV728" s="338"/>
      <c r="AW728" s="338"/>
      <c r="AX728" s="338"/>
      <c r="AY728" s="338"/>
      <c r="AZ728" s="338"/>
      <c r="BA728" s="338"/>
      <c r="BB728" s="338"/>
      <c r="BC728" s="338"/>
    </row>
    <row r="729">
      <c r="A729" s="115"/>
      <c r="B729" s="180"/>
      <c r="C729" s="117"/>
      <c r="D729" s="117"/>
      <c r="E729" s="117"/>
      <c r="F729" s="115"/>
      <c r="G729" s="180"/>
      <c r="H729" s="117"/>
      <c r="I729" s="117"/>
      <c r="J729" s="117"/>
      <c r="K729" s="92"/>
      <c r="L729" s="180"/>
      <c r="M729" s="117"/>
      <c r="N729" s="117"/>
      <c r="O729" s="117"/>
      <c r="P729" s="92"/>
      <c r="Q729" s="150"/>
      <c r="R729" s="117"/>
      <c r="S729" s="117"/>
      <c r="T729" s="117"/>
      <c r="U729" s="115"/>
      <c r="V729" s="180"/>
      <c r="W729" s="117"/>
      <c r="X729" s="117"/>
      <c r="Y729" s="117"/>
      <c r="Z729" s="115"/>
      <c r="AA729" s="180"/>
      <c r="AB729" s="117"/>
      <c r="AC729" s="117"/>
      <c r="AD729" s="117"/>
      <c r="AE729" s="115"/>
      <c r="AF729" s="180"/>
      <c r="AG729" s="117"/>
      <c r="AH729" s="117"/>
      <c r="AI729" s="117"/>
      <c r="AJ729" s="115"/>
      <c r="AK729" s="180"/>
      <c r="AL729" s="117"/>
      <c r="AM729" s="117"/>
      <c r="AN729" s="117"/>
      <c r="AO729" s="338"/>
      <c r="AP729" s="338"/>
      <c r="AQ729" s="338"/>
      <c r="AR729" s="338"/>
      <c r="AS729" s="338"/>
      <c r="AT729" s="338"/>
      <c r="AU729" s="338"/>
      <c r="AV729" s="338"/>
      <c r="AW729" s="338"/>
      <c r="AX729" s="338"/>
      <c r="AY729" s="338"/>
      <c r="AZ729" s="338"/>
      <c r="BA729" s="338"/>
      <c r="BB729" s="338"/>
      <c r="BC729" s="338"/>
    </row>
    <row r="730">
      <c r="A730" s="115"/>
      <c r="B730" s="180"/>
      <c r="C730" s="117"/>
      <c r="D730" s="117"/>
      <c r="E730" s="117"/>
      <c r="F730" s="115"/>
      <c r="G730" s="180"/>
      <c r="H730" s="117"/>
      <c r="I730" s="117"/>
      <c r="J730" s="117"/>
      <c r="K730" s="92"/>
      <c r="L730" s="180"/>
      <c r="M730" s="117"/>
      <c r="N730" s="117"/>
      <c r="O730" s="117"/>
      <c r="P730" s="92"/>
      <c r="Q730" s="150"/>
      <c r="R730" s="117"/>
      <c r="S730" s="117"/>
      <c r="T730" s="117"/>
      <c r="U730" s="115"/>
      <c r="V730" s="180"/>
      <c r="W730" s="117"/>
      <c r="X730" s="117"/>
      <c r="Y730" s="117"/>
      <c r="Z730" s="115"/>
      <c r="AA730" s="180"/>
      <c r="AB730" s="117"/>
      <c r="AC730" s="117"/>
      <c r="AD730" s="117"/>
      <c r="AE730" s="115"/>
      <c r="AF730" s="180"/>
      <c r="AG730" s="117"/>
      <c r="AH730" s="117"/>
      <c r="AI730" s="117"/>
      <c r="AJ730" s="115"/>
      <c r="AK730" s="180"/>
      <c r="AL730" s="117"/>
      <c r="AM730" s="117"/>
      <c r="AN730" s="117"/>
      <c r="AO730" s="338"/>
      <c r="AP730" s="338"/>
      <c r="AQ730" s="338"/>
      <c r="AR730" s="338"/>
      <c r="AS730" s="338"/>
      <c r="AT730" s="338"/>
      <c r="AU730" s="338"/>
      <c r="AV730" s="338"/>
      <c r="AW730" s="338"/>
      <c r="AX730" s="338"/>
      <c r="AY730" s="338"/>
      <c r="AZ730" s="338"/>
      <c r="BA730" s="338"/>
      <c r="BB730" s="338"/>
      <c r="BC730" s="338"/>
    </row>
    <row r="731">
      <c r="A731" s="115"/>
      <c r="B731" s="180"/>
      <c r="C731" s="117"/>
      <c r="D731" s="117"/>
      <c r="E731" s="117"/>
      <c r="F731" s="115"/>
      <c r="G731" s="180"/>
      <c r="H731" s="117"/>
      <c r="I731" s="117"/>
      <c r="J731" s="117"/>
      <c r="K731" s="92"/>
      <c r="L731" s="180"/>
      <c r="M731" s="117"/>
      <c r="N731" s="117"/>
      <c r="O731" s="117"/>
      <c r="P731" s="92"/>
      <c r="Q731" s="150"/>
      <c r="R731" s="117"/>
      <c r="S731" s="117"/>
      <c r="T731" s="117"/>
      <c r="U731" s="115"/>
      <c r="V731" s="180"/>
      <c r="W731" s="117"/>
      <c r="X731" s="117"/>
      <c r="Y731" s="117"/>
      <c r="Z731" s="115"/>
      <c r="AA731" s="180"/>
      <c r="AB731" s="117"/>
      <c r="AC731" s="117"/>
      <c r="AD731" s="117"/>
      <c r="AE731" s="115"/>
      <c r="AF731" s="180"/>
      <c r="AG731" s="117"/>
      <c r="AH731" s="117"/>
      <c r="AI731" s="117"/>
      <c r="AJ731" s="115"/>
      <c r="AK731" s="180"/>
      <c r="AL731" s="117"/>
      <c r="AM731" s="117"/>
      <c r="AN731" s="117"/>
      <c r="AO731" s="338"/>
      <c r="AP731" s="338"/>
      <c r="AQ731" s="338"/>
      <c r="AR731" s="338"/>
      <c r="AS731" s="338"/>
      <c r="AT731" s="338"/>
      <c r="AU731" s="338"/>
      <c r="AV731" s="338"/>
      <c r="AW731" s="338"/>
      <c r="AX731" s="338"/>
      <c r="AY731" s="338"/>
      <c r="AZ731" s="338"/>
      <c r="BA731" s="338"/>
      <c r="BB731" s="338"/>
      <c r="BC731" s="338"/>
    </row>
    <row r="732">
      <c r="A732" s="115"/>
      <c r="B732" s="180"/>
      <c r="C732" s="117"/>
      <c r="D732" s="117"/>
      <c r="E732" s="117"/>
      <c r="F732" s="115"/>
      <c r="G732" s="180"/>
      <c r="H732" s="117"/>
      <c r="I732" s="117"/>
      <c r="J732" s="117"/>
      <c r="K732" s="92"/>
      <c r="L732" s="180"/>
      <c r="M732" s="117"/>
      <c r="N732" s="117"/>
      <c r="O732" s="117"/>
      <c r="P732" s="92"/>
      <c r="Q732" s="150"/>
      <c r="R732" s="117"/>
      <c r="S732" s="117"/>
      <c r="T732" s="117"/>
      <c r="U732" s="115"/>
      <c r="V732" s="180"/>
      <c r="W732" s="117"/>
      <c r="X732" s="117"/>
      <c r="Y732" s="117"/>
      <c r="Z732" s="115"/>
      <c r="AA732" s="180"/>
      <c r="AB732" s="117"/>
      <c r="AC732" s="117"/>
      <c r="AD732" s="117"/>
      <c r="AE732" s="115"/>
      <c r="AF732" s="180"/>
      <c r="AG732" s="117"/>
      <c r="AH732" s="117"/>
      <c r="AI732" s="117"/>
      <c r="AJ732" s="115"/>
      <c r="AK732" s="180"/>
      <c r="AL732" s="117"/>
      <c r="AM732" s="117"/>
      <c r="AN732" s="117"/>
      <c r="AO732" s="338"/>
      <c r="AP732" s="338"/>
      <c r="AQ732" s="338"/>
      <c r="AR732" s="338"/>
      <c r="AS732" s="338"/>
      <c r="AT732" s="338"/>
      <c r="AU732" s="338"/>
      <c r="AV732" s="338"/>
      <c r="AW732" s="338"/>
      <c r="AX732" s="338"/>
      <c r="AY732" s="338"/>
      <c r="AZ732" s="338"/>
      <c r="BA732" s="338"/>
      <c r="BB732" s="338"/>
      <c r="BC732" s="338"/>
    </row>
    <row r="733">
      <c r="A733" s="115"/>
      <c r="B733" s="180"/>
      <c r="C733" s="117"/>
      <c r="D733" s="117"/>
      <c r="E733" s="117"/>
      <c r="F733" s="115"/>
      <c r="G733" s="180"/>
      <c r="H733" s="117"/>
      <c r="I733" s="117"/>
      <c r="J733" s="117"/>
      <c r="K733" s="92"/>
      <c r="L733" s="180"/>
      <c r="M733" s="117"/>
      <c r="N733" s="117"/>
      <c r="O733" s="117"/>
      <c r="P733" s="92"/>
      <c r="Q733" s="150"/>
      <c r="R733" s="117"/>
      <c r="S733" s="117"/>
      <c r="T733" s="117"/>
      <c r="U733" s="115"/>
      <c r="V733" s="180"/>
      <c r="W733" s="117"/>
      <c r="X733" s="117"/>
      <c r="Y733" s="117"/>
      <c r="Z733" s="115"/>
      <c r="AA733" s="180"/>
      <c r="AB733" s="117"/>
      <c r="AC733" s="117"/>
      <c r="AD733" s="117"/>
      <c r="AE733" s="115"/>
      <c r="AF733" s="180"/>
      <c r="AG733" s="117"/>
      <c r="AH733" s="117"/>
      <c r="AI733" s="117"/>
      <c r="AJ733" s="115"/>
      <c r="AK733" s="180"/>
      <c r="AL733" s="117"/>
      <c r="AM733" s="117"/>
      <c r="AN733" s="117"/>
      <c r="AO733" s="338"/>
      <c r="AP733" s="338"/>
      <c r="AQ733" s="338"/>
      <c r="AR733" s="338"/>
      <c r="AS733" s="338"/>
      <c r="AT733" s="338"/>
      <c r="AU733" s="338"/>
      <c r="AV733" s="338"/>
      <c r="AW733" s="338"/>
      <c r="AX733" s="338"/>
      <c r="AY733" s="338"/>
      <c r="AZ733" s="338"/>
      <c r="BA733" s="338"/>
      <c r="BB733" s="338"/>
      <c r="BC733" s="338"/>
    </row>
    <row r="734">
      <c r="A734" s="115"/>
      <c r="B734" s="180"/>
      <c r="C734" s="117"/>
      <c r="D734" s="117"/>
      <c r="E734" s="117"/>
      <c r="F734" s="115"/>
      <c r="G734" s="180"/>
      <c r="H734" s="117"/>
      <c r="I734" s="117"/>
      <c r="J734" s="117"/>
      <c r="K734" s="92"/>
      <c r="L734" s="180"/>
      <c r="M734" s="117"/>
      <c r="N734" s="117"/>
      <c r="O734" s="117"/>
      <c r="P734" s="92"/>
      <c r="Q734" s="150"/>
      <c r="R734" s="117"/>
      <c r="S734" s="117"/>
      <c r="T734" s="117"/>
      <c r="U734" s="115"/>
      <c r="V734" s="180"/>
      <c r="W734" s="117"/>
      <c r="X734" s="117"/>
      <c r="Y734" s="117"/>
      <c r="Z734" s="115"/>
      <c r="AA734" s="180"/>
      <c r="AB734" s="117"/>
      <c r="AC734" s="117"/>
      <c r="AD734" s="117"/>
      <c r="AE734" s="115"/>
      <c r="AF734" s="180"/>
      <c r="AG734" s="117"/>
      <c r="AH734" s="117"/>
      <c r="AI734" s="117"/>
      <c r="AJ734" s="115"/>
      <c r="AK734" s="180"/>
      <c r="AL734" s="117"/>
      <c r="AM734" s="117"/>
      <c r="AN734" s="117"/>
      <c r="AO734" s="338"/>
      <c r="AP734" s="338"/>
      <c r="AQ734" s="338"/>
      <c r="AR734" s="338"/>
      <c r="AS734" s="338"/>
      <c r="AT734" s="338"/>
      <c r="AU734" s="338"/>
      <c r="AV734" s="338"/>
      <c r="AW734" s="338"/>
      <c r="AX734" s="338"/>
      <c r="AY734" s="338"/>
      <c r="AZ734" s="338"/>
      <c r="BA734" s="338"/>
      <c r="BB734" s="338"/>
      <c r="BC734" s="338"/>
    </row>
    <row r="735">
      <c r="A735" s="115"/>
      <c r="B735" s="180"/>
      <c r="C735" s="117"/>
      <c r="D735" s="117"/>
      <c r="E735" s="117"/>
      <c r="F735" s="115"/>
      <c r="G735" s="180"/>
      <c r="H735" s="117"/>
      <c r="I735" s="117"/>
      <c r="J735" s="117"/>
      <c r="K735" s="92"/>
      <c r="L735" s="180"/>
      <c r="M735" s="117"/>
      <c r="N735" s="117"/>
      <c r="O735" s="117"/>
      <c r="P735" s="92"/>
      <c r="Q735" s="150"/>
      <c r="R735" s="117"/>
      <c r="S735" s="117"/>
      <c r="T735" s="117"/>
      <c r="U735" s="115"/>
      <c r="V735" s="180"/>
      <c r="W735" s="117"/>
      <c r="X735" s="117"/>
      <c r="Y735" s="117"/>
      <c r="Z735" s="115"/>
      <c r="AA735" s="180"/>
      <c r="AB735" s="117"/>
      <c r="AC735" s="117"/>
      <c r="AD735" s="117"/>
      <c r="AE735" s="115"/>
      <c r="AF735" s="180"/>
      <c r="AG735" s="117"/>
      <c r="AH735" s="117"/>
      <c r="AI735" s="117"/>
      <c r="AJ735" s="115"/>
      <c r="AK735" s="180"/>
      <c r="AL735" s="117"/>
      <c r="AM735" s="117"/>
      <c r="AN735" s="117"/>
      <c r="AO735" s="338"/>
      <c r="AP735" s="338"/>
      <c r="AQ735" s="338"/>
      <c r="AR735" s="338"/>
      <c r="AS735" s="338"/>
      <c r="AT735" s="338"/>
      <c r="AU735" s="338"/>
      <c r="AV735" s="338"/>
      <c r="AW735" s="338"/>
      <c r="AX735" s="338"/>
      <c r="AY735" s="338"/>
      <c r="AZ735" s="338"/>
      <c r="BA735" s="338"/>
      <c r="BB735" s="338"/>
      <c r="BC735" s="338"/>
    </row>
    <row r="736">
      <c r="A736" s="115"/>
      <c r="B736" s="180"/>
      <c r="C736" s="117"/>
      <c r="D736" s="117"/>
      <c r="E736" s="117"/>
      <c r="F736" s="115"/>
      <c r="G736" s="180"/>
      <c r="H736" s="117"/>
      <c r="I736" s="117"/>
      <c r="J736" s="117"/>
      <c r="K736" s="92"/>
      <c r="L736" s="180"/>
      <c r="M736" s="117"/>
      <c r="N736" s="117"/>
      <c r="O736" s="117"/>
      <c r="P736" s="92"/>
      <c r="Q736" s="150"/>
      <c r="R736" s="117"/>
      <c r="S736" s="117"/>
      <c r="T736" s="117"/>
      <c r="U736" s="115"/>
      <c r="V736" s="180"/>
      <c r="W736" s="117"/>
      <c r="X736" s="117"/>
      <c r="Y736" s="117"/>
      <c r="Z736" s="115"/>
      <c r="AA736" s="180"/>
      <c r="AB736" s="117"/>
      <c r="AC736" s="117"/>
      <c r="AD736" s="117"/>
      <c r="AE736" s="115"/>
      <c r="AF736" s="180"/>
      <c r="AG736" s="117"/>
      <c r="AH736" s="117"/>
      <c r="AI736" s="117"/>
      <c r="AJ736" s="115"/>
      <c r="AK736" s="180"/>
      <c r="AL736" s="117"/>
      <c r="AM736" s="117"/>
      <c r="AN736" s="117"/>
      <c r="AO736" s="338"/>
      <c r="AP736" s="338"/>
      <c r="AQ736" s="338"/>
      <c r="AR736" s="338"/>
      <c r="AS736" s="338"/>
      <c r="AT736" s="338"/>
      <c r="AU736" s="338"/>
      <c r="AV736" s="338"/>
      <c r="AW736" s="338"/>
      <c r="AX736" s="338"/>
      <c r="AY736" s="338"/>
      <c r="AZ736" s="338"/>
      <c r="BA736" s="338"/>
      <c r="BB736" s="338"/>
      <c r="BC736" s="338"/>
    </row>
    <row r="737">
      <c r="A737" s="115"/>
      <c r="B737" s="180"/>
      <c r="C737" s="117"/>
      <c r="D737" s="117"/>
      <c r="E737" s="117"/>
      <c r="F737" s="115"/>
      <c r="G737" s="180"/>
      <c r="H737" s="117"/>
      <c r="I737" s="117"/>
      <c r="J737" s="117"/>
      <c r="K737" s="92"/>
      <c r="L737" s="180"/>
      <c r="M737" s="117"/>
      <c r="N737" s="117"/>
      <c r="O737" s="117"/>
      <c r="P737" s="92"/>
      <c r="Q737" s="150"/>
      <c r="R737" s="117"/>
      <c r="S737" s="117"/>
      <c r="T737" s="117"/>
      <c r="U737" s="115"/>
      <c r="V737" s="180"/>
      <c r="W737" s="117"/>
      <c r="X737" s="117"/>
      <c r="Y737" s="117"/>
      <c r="Z737" s="115"/>
      <c r="AA737" s="180"/>
      <c r="AB737" s="117"/>
      <c r="AC737" s="117"/>
      <c r="AD737" s="117"/>
      <c r="AE737" s="115"/>
      <c r="AF737" s="180"/>
      <c r="AG737" s="117"/>
      <c r="AH737" s="117"/>
      <c r="AI737" s="117"/>
      <c r="AJ737" s="115"/>
      <c r="AK737" s="180"/>
      <c r="AL737" s="117"/>
      <c r="AM737" s="117"/>
      <c r="AN737" s="117"/>
      <c r="AO737" s="338"/>
      <c r="AP737" s="338"/>
      <c r="AQ737" s="338"/>
      <c r="AR737" s="338"/>
      <c r="AS737" s="338"/>
      <c r="AT737" s="338"/>
      <c r="AU737" s="338"/>
      <c r="AV737" s="338"/>
      <c r="AW737" s="338"/>
      <c r="AX737" s="338"/>
      <c r="AY737" s="338"/>
      <c r="AZ737" s="338"/>
      <c r="BA737" s="338"/>
      <c r="BB737" s="338"/>
      <c r="BC737" s="338"/>
    </row>
    <row r="738">
      <c r="A738" s="115"/>
      <c r="B738" s="180"/>
      <c r="C738" s="117"/>
      <c r="D738" s="117"/>
      <c r="E738" s="117"/>
      <c r="F738" s="115"/>
      <c r="G738" s="180"/>
      <c r="H738" s="117"/>
      <c r="I738" s="117"/>
      <c r="J738" s="117"/>
      <c r="K738" s="92"/>
      <c r="L738" s="180"/>
      <c r="M738" s="117"/>
      <c r="N738" s="117"/>
      <c r="O738" s="117"/>
      <c r="P738" s="92"/>
      <c r="Q738" s="150"/>
      <c r="R738" s="117"/>
      <c r="S738" s="117"/>
      <c r="T738" s="117"/>
      <c r="U738" s="115"/>
      <c r="V738" s="180"/>
      <c r="W738" s="117"/>
      <c r="X738" s="117"/>
      <c r="Y738" s="117"/>
      <c r="Z738" s="115"/>
      <c r="AA738" s="180"/>
      <c r="AB738" s="117"/>
      <c r="AC738" s="117"/>
      <c r="AD738" s="117"/>
      <c r="AE738" s="115"/>
      <c r="AF738" s="180"/>
      <c r="AG738" s="117"/>
      <c r="AH738" s="117"/>
      <c r="AI738" s="117"/>
      <c r="AJ738" s="115"/>
      <c r="AK738" s="180"/>
      <c r="AL738" s="117"/>
      <c r="AM738" s="117"/>
      <c r="AN738" s="117"/>
      <c r="AO738" s="338"/>
      <c r="AP738" s="338"/>
      <c r="AQ738" s="338"/>
      <c r="AR738" s="338"/>
      <c r="AS738" s="338"/>
      <c r="AT738" s="338"/>
      <c r="AU738" s="338"/>
      <c r="AV738" s="338"/>
      <c r="AW738" s="338"/>
      <c r="AX738" s="338"/>
      <c r="AY738" s="338"/>
      <c r="AZ738" s="338"/>
      <c r="BA738" s="338"/>
      <c r="BB738" s="338"/>
      <c r="BC738" s="338"/>
    </row>
    <row r="739">
      <c r="A739" s="115"/>
      <c r="B739" s="180"/>
      <c r="C739" s="117"/>
      <c r="D739" s="117"/>
      <c r="E739" s="117"/>
      <c r="F739" s="115"/>
      <c r="G739" s="180"/>
      <c r="H739" s="117"/>
      <c r="I739" s="117"/>
      <c r="J739" s="117"/>
      <c r="K739" s="92"/>
      <c r="L739" s="180"/>
      <c r="M739" s="117"/>
      <c r="N739" s="117"/>
      <c r="O739" s="117"/>
      <c r="P739" s="92"/>
      <c r="Q739" s="150"/>
      <c r="R739" s="117"/>
      <c r="S739" s="117"/>
      <c r="T739" s="117"/>
      <c r="U739" s="115"/>
      <c r="V739" s="180"/>
      <c r="W739" s="117"/>
      <c r="X739" s="117"/>
      <c r="Y739" s="117"/>
      <c r="Z739" s="115"/>
      <c r="AA739" s="180"/>
      <c r="AB739" s="117"/>
      <c r="AC739" s="117"/>
      <c r="AD739" s="117"/>
      <c r="AE739" s="115"/>
      <c r="AF739" s="180"/>
      <c r="AG739" s="117"/>
      <c r="AH739" s="117"/>
      <c r="AI739" s="117"/>
      <c r="AJ739" s="115"/>
      <c r="AK739" s="180"/>
      <c r="AL739" s="117"/>
      <c r="AM739" s="117"/>
      <c r="AN739" s="117"/>
      <c r="AO739" s="338"/>
      <c r="AP739" s="338"/>
      <c r="AQ739" s="338"/>
      <c r="AR739" s="338"/>
      <c r="AS739" s="338"/>
      <c r="AT739" s="338"/>
      <c r="AU739" s="338"/>
      <c r="AV739" s="338"/>
      <c r="AW739" s="338"/>
      <c r="AX739" s="338"/>
      <c r="AY739" s="338"/>
      <c r="AZ739" s="338"/>
      <c r="BA739" s="338"/>
      <c r="BB739" s="338"/>
      <c r="BC739" s="338"/>
    </row>
    <row r="740">
      <c r="A740" s="115"/>
      <c r="B740" s="180"/>
      <c r="C740" s="117"/>
      <c r="D740" s="117"/>
      <c r="E740" s="117"/>
      <c r="F740" s="115"/>
      <c r="G740" s="180"/>
      <c r="H740" s="117"/>
      <c r="I740" s="117"/>
      <c r="J740" s="117"/>
      <c r="K740" s="92"/>
      <c r="L740" s="180"/>
      <c r="M740" s="117"/>
      <c r="N740" s="117"/>
      <c r="O740" s="117"/>
      <c r="P740" s="92"/>
      <c r="Q740" s="150"/>
      <c r="R740" s="117"/>
      <c r="S740" s="117"/>
      <c r="T740" s="117"/>
      <c r="U740" s="115"/>
      <c r="V740" s="180"/>
      <c r="W740" s="117"/>
      <c r="X740" s="117"/>
      <c r="Y740" s="117"/>
      <c r="Z740" s="115"/>
      <c r="AA740" s="180"/>
      <c r="AB740" s="117"/>
      <c r="AC740" s="117"/>
      <c r="AD740" s="117"/>
      <c r="AE740" s="115"/>
      <c r="AF740" s="180"/>
      <c r="AG740" s="117"/>
      <c r="AH740" s="117"/>
      <c r="AI740" s="117"/>
      <c r="AJ740" s="115"/>
      <c r="AK740" s="180"/>
      <c r="AL740" s="117"/>
      <c r="AM740" s="117"/>
      <c r="AN740" s="117"/>
      <c r="AO740" s="338"/>
      <c r="AP740" s="338"/>
      <c r="AQ740" s="338"/>
      <c r="AR740" s="338"/>
      <c r="AS740" s="338"/>
      <c r="AT740" s="338"/>
      <c r="AU740" s="338"/>
      <c r="AV740" s="338"/>
      <c r="AW740" s="338"/>
      <c r="AX740" s="338"/>
      <c r="AY740" s="338"/>
      <c r="AZ740" s="338"/>
      <c r="BA740" s="338"/>
      <c r="BB740" s="338"/>
      <c r="BC740" s="338"/>
    </row>
    <row r="741">
      <c r="A741" s="115"/>
      <c r="B741" s="180"/>
      <c r="C741" s="117"/>
      <c r="D741" s="117"/>
      <c r="E741" s="117"/>
      <c r="F741" s="115"/>
      <c r="G741" s="180"/>
      <c r="H741" s="117"/>
      <c r="I741" s="117"/>
      <c r="J741" s="117"/>
      <c r="K741" s="92"/>
      <c r="L741" s="180"/>
      <c r="M741" s="117"/>
      <c r="N741" s="117"/>
      <c r="O741" s="117"/>
      <c r="P741" s="92"/>
      <c r="Q741" s="150"/>
      <c r="R741" s="117"/>
      <c r="S741" s="117"/>
      <c r="T741" s="117"/>
      <c r="U741" s="115"/>
      <c r="V741" s="180"/>
      <c r="W741" s="117"/>
      <c r="X741" s="117"/>
      <c r="Y741" s="117"/>
      <c r="Z741" s="115"/>
      <c r="AA741" s="180"/>
      <c r="AB741" s="117"/>
      <c r="AC741" s="117"/>
      <c r="AD741" s="117"/>
      <c r="AE741" s="115"/>
      <c r="AF741" s="180"/>
      <c r="AG741" s="117"/>
      <c r="AH741" s="117"/>
      <c r="AI741" s="117"/>
      <c r="AJ741" s="115"/>
      <c r="AK741" s="180"/>
      <c r="AL741" s="117"/>
      <c r="AM741" s="117"/>
      <c r="AN741" s="117"/>
      <c r="AO741" s="338"/>
      <c r="AP741" s="338"/>
      <c r="AQ741" s="338"/>
      <c r="AR741" s="338"/>
      <c r="AS741" s="338"/>
      <c r="AT741" s="338"/>
      <c r="AU741" s="338"/>
      <c r="AV741" s="338"/>
      <c r="AW741" s="338"/>
      <c r="AX741" s="338"/>
      <c r="AY741" s="338"/>
      <c r="AZ741" s="338"/>
      <c r="BA741" s="338"/>
      <c r="BB741" s="338"/>
      <c r="BC741" s="338"/>
    </row>
    <row r="742">
      <c r="A742" s="115"/>
      <c r="B742" s="180"/>
      <c r="C742" s="117"/>
      <c r="D742" s="117"/>
      <c r="E742" s="117"/>
      <c r="F742" s="115"/>
      <c r="G742" s="180"/>
      <c r="H742" s="117"/>
      <c r="I742" s="117"/>
      <c r="J742" s="117"/>
      <c r="K742" s="92"/>
      <c r="L742" s="180"/>
      <c r="M742" s="117"/>
      <c r="N742" s="117"/>
      <c r="O742" s="117"/>
      <c r="P742" s="92"/>
      <c r="Q742" s="150"/>
      <c r="R742" s="117"/>
      <c r="S742" s="117"/>
      <c r="T742" s="117"/>
      <c r="U742" s="115"/>
      <c r="V742" s="180"/>
      <c r="W742" s="117"/>
      <c r="X742" s="117"/>
      <c r="Y742" s="117"/>
      <c r="Z742" s="115"/>
      <c r="AA742" s="180"/>
      <c r="AB742" s="117"/>
      <c r="AC742" s="117"/>
      <c r="AD742" s="117"/>
      <c r="AE742" s="115"/>
      <c r="AF742" s="180"/>
      <c r="AG742" s="117"/>
      <c r="AH742" s="117"/>
      <c r="AI742" s="117"/>
      <c r="AJ742" s="115"/>
      <c r="AK742" s="180"/>
      <c r="AL742" s="117"/>
      <c r="AM742" s="117"/>
      <c r="AN742" s="117"/>
      <c r="AO742" s="338"/>
      <c r="AP742" s="338"/>
      <c r="AQ742" s="338"/>
      <c r="AR742" s="338"/>
      <c r="AS742" s="338"/>
      <c r="AT742" s="338"/>
      <c r="AU742" s="338"/>
      <c r="AV742" s="338"/>
      <c r="AW742" s="338"/>
      <c r="AX742" s="338"/>
      <c r="AY742" s="338"/>
      <c r="AZ742" s="338"/>
      <c r="BA742" s="338"/>
      <c r="BB742" s="338"/>
      <c r="BC742" s="338"/>
    </row>
    <row r="743">
      <c r="A743" s="115"/>
      <c r="B743" s="180"/>
      <c r="C743" s="117"/>
      <c r="D743" s="117"/>
      <c r="E743" s="117"/>
      <c r="F743" s="115"/>
      <c r="G743" s="180"/>
      <c r="H743" s="117"/>
      <c r="I743" s="117"/>
      <c r="J743" s="117"/>
      <c r="K743" s="92"/>
      <c r="L743" s="180"/>
      <c r="M743" s="117"/>
      <c r="N743" s="117"/>
      <c r="O743" s="117"/>
      <c r="P743" s="92"/>
      <c r="Q743" s="150"/>
      <c r="R743" s="117"/>
      <c r="S743" s="117"/>
      <c r="T743" s="117"/>
      <c r="U743" s="115"/>
      <c r="V743" s="180"/>
      <c r="W743" s="117"/>
      <c r="X743" s="117"/>
      <c r="Y743" s="117"/>
      <c r="Z743" s="115"/>
      <c r="AA743" s="180"/>
      <c r="AB743" s="117"/>
      <c r="AC743" s="117"/>
      <c r="AD743" s="117"/>
      <c r="AE743" s="115"/>
      <c r="AF743" s="180"/>
      <c r="AG743" s="117"/>
      <c r="AH743" s="117"/>
      <c r="AI743" s="117"/>
      <c r="AJ743" s="115"/>
      <c r="AK743" s="180"/>
      <c r="AL743" s="117"/>
      <c r="AM743" s="117"/>
      <c r="AN743" s="117"/>
      <c r="AO743" s="338"/>
      <c r="AP743" s="338"/>
      <c r="AQ743" s="338"/>
      <c r="AR743" s="338"/>
      <c r="AS743" s="338"/>
      <c r="AT743" s="338"/>
      <c r="AU743" s="338"/>
      <c r="AV743" s="338"/>
      <c r="AW743" s="338"/>
      <c r="AX743" s="338"/>
      <c r="AY743" s="338"/>
      <c r="AZ743" s="338"/>
      <c r="BA743" s="338"/>
      <c r="BB743" s="338"/>
      <c r="BC743" s="338"/>
    </row>
    <row r="744">
      <c r="A744" s="115"/>
      <c r="B744" s="180"/>
      <c r="C744" s="117"/>
      <c r="D744" s="117"/>
      <c r="E744" s="117"/>
      <c r="F744" s="115"/>
      <c r="G744" s="180"/>
      <c r="H744" s="117"/>
      <c r="I744" s="117"/>
      <c r="J744" s="117"/>
      <c r="K744" s="92"/>
      <c r="L744" s="180"/>
      <c r="M744" s="117"/>
      <c r="N744" s="117"/>
      <c r="O744" s="117"/>
      <c r="P744" s="92"/>
      <c r="Q744" s="150"/>
      <c r="R744" s="117"/>
      <c r="S744" s="117"/>
      <c r="T744" s="117"/>
      <c r="U744" s="115"/>
      <c r="V744" s="180"/>
      <c r="W744" s="117"/>
      <c r="X744" s="117"/>
      <c r="Y744" s="117"/>
      <c r="Z744" s="115"/>
      <c r="AA744" s="180"/>
      <c r="AB744" s="117"/>
      <c r="AC744" s="117"/>
      <c r="AD744" s="117"/>
      <c r="AE744" s="115"/>
      <c r="AF744" s="180"/>
      <c r="AG744" s="117"/>
      <c r="AH744" s="117"/>
      <c r="AI744" s="117"/>
      <c r="AJ744" s="115"/>
      <c r="AK744" s="180"/>
      <c r="AL744" s="117"/>
      <c r="AM744" s="117"/>
      <c r="AN744" s="117"/>
      <c r="AO744" s="338"/>
      <c r="AP744" s="338"/>
      <c r="AQ744" s="338"/>
      <c r="AR744" s="338"/>
      <c r="AS744" s="338"/>
      <c r="AT744" s="338"/>
      <c r="AU744" s="338"/>
      <c r="AV744" s="338"/>
      <c r="AW744" s="338"/>
      <c r="AX744" s="338"/>
      <c r="AY744" s="338"/>
      <c r="AZ744" s="338"/>
      <c r="BA744" s="338"/>
      <c r="BB744" s="338"/>
      <c r="BC744" s="338"/>
    </row>
    <row r="745">
      <c r="A745" s="115"/>
      <c r="B745" s="180"/>
      <c r="C745" s="117"/>
      <c r="D745" s="117"/>
      <c r="E745" s="117"/>
      <c r="F745" s="115"/>
      <c r="G745" s="180"/>
      <c r="H745" s="117"/>
      <c r="I745" s="117"/>
      <c r="J745" s="117"/>
      <c r="K745" s="92"/>
      <c r="L745" s="180"/>
      <c r="M745" s="117"/>
      <c r="N745" s="117"/>
      <c r="O745" s="117"/>
      <c r="P745" s="92"/>
      <c r="Q745" s="150"/>
      <c r="R745" s="117"/>
      <c r="S745" s="117"/>
      <c r="T745" s="117"/>
      <c r="U745" s="115"/>
      <c r="V745" s="180"/>
      <c r="W745" s="117"/>
      <c r="X745" s="117"/>
      <c r="Y745" s="117"/>
      <c r="Z745" s="115"/>
      <c r="AA745" s="180"/>
      <c r="AB745" s="117"/>
      <c r="AC745" s="117"/>
      <c r="AD745" s="117"/>
      <c r="AE745" s="115"/>
      <c r="AF745" s="180"/>
      <c r="AG745" s="117"/>
      <c r="AH745" s="117"/>
      <c r="AI745" s="117"/>
      <c r="AJ745" s="115"/>
      <c r="AK745" s="180"/>
      <c r="AL745" s="117"/>
      <c r="AM745" s="117"/>
      <c r="AN745" s="117"/>
      <c r="AO745" s="338"/>
      <c r="AP745" s="338"/>
      <c r="AQ745" s="338"/>
      <c r="AR745" s="338"/>
      <c r="AS745" s="338"/>
      <c r="AT745" s="338"/>
      <c r="AU745" s="338"/>
      <c r="AV745" s="338"/>
      <c r="AW745" s="338"/>
      <c r="AX745" s="338"/>
      <c r="AY745" s="338"/>
      <c r="AZ745" s="338"/>
      <c r="BA745" s="338"/>
      <c r="BB745" s="338"/>
      <c r="BC745" s="338"/>
    </row>
    <row r="746">
      <c r="A746" s="115"/>
      <c r="B746" s="180"/>
      <c r="C746" s="117"/>
      <c r="D746" s="117"/>
      <c r="E746" s="117"/>
      <c r="F746" s="115"/>
      <c r="G746" s="180"/>
      <c r="H746" s="117"/>
      <c r="I746" s="117"/>
      <c r="J746" s="117"/>
      <c r="K746" s="92"/>
      <c r="L746" s="180"/>
      <c r="M746" s="117"/>
      <c r="N746" s="117"/>
      <c r="O746" s="117"/>
      <c r="P746" s="92"/>
      <c r="Q746" s="150"/>
      <c r="R746" s="117"/>
      <c r="S746" s="117"/>
      <c r="T746" s="117"/>
      <c r="U746" s="115"/>
      <c r="V746" s="180"/>
      <c r="W746" s="117"/>
      <c r="X746" s="117"/>
      <c r="Y746" s="117"/>
      <c r="Z746" s="115"/>
      <c r="AA746" s="180"/>
      <c r="AB746" s="117"/>
      <c r="AC746" s="117"/>
      <c r="AD746" s="117"/>
      <c r="AE746" s="115"/>
      <c r="AF746" s="180"/>
      <c r="AG746" s="117"/>
      <c r="AH746" s="117"/>
      <c r="AI746" s="117"/>
      <c r="AJ746" s="115"/>
      <c r="AK746" s="180"/>
      <c r="AL746" s="117"/>
      <c r="AM746" s="117"/>
      <c r="AN746" s="117"/>
      <c r="AO746" s="338"/>
      <c r="AP746" s="338"/>
      <c r="AQ746" s="338"/>
      <c r="AR746" s="338"/>
      <c r="AS746" s="338"/>
      <c r="AT746" s="338"/>
      <c r="AU746" s="338"/>
      <c r="AV746" s="338"/>
      <c r="AW746" s="338"/>
      <c r="AX746" s="338"/>
      <c r="AY746" s="338"/>
      <c r="AZ746" s="338"/>
      <c r="BA746" s="338"/>
      <c r="BB746" s="338"/>
      <c r="BC746" s="338"/>
    </row>
    <row r="747">
      <c r="A747" s="115"/>
      <c r="B747" s="180"/>
      <c r="C747" s="117"/>
      <c r="D747" s="117"/>
      <c r="E747" s="117"/>
      <c r="F747" s="115"/>
      <c r="G747" s="180"/>
      <c r="H747" s="117"/>
      <c r="I747" s="117"/>
      <c r="J747" s="117"/>
      <c r="K747" s="92"/>
      <c r="L747" s="180"/>
      <c r="M747" s="117"/>
      <c r="N747" s="117"/>
      <c r="O747" s="117"/>
      <c r="P747" s="92"/>
      <c r="Q747" s="150"/>
      <c r="R747" s="117"/>
      <c r="S747" s="117"/>
      <c r="T747" s="117"/>
      <c r="U747" s="115"/>
      <c r="V747" s="180"/>
      <c r="W747" s="117"/>
      <c r="X747" s="117"/>
      <c r="Y747" s="117"/>
      <c r="Z747" s="115"/>
      <c r="AA747" s="180"/>
      <c r="AB747" s="117"/>
      <c r="AC747" s="117"/>
      <c r="AD747" s="117"/>
      <c r="AE747" s="115"/>
      <c r="AF747" s="180"/>
      <c r="AG747" s="117"/>
      <c r="AH747" s="117"/>
      <c r="AI747" s="117"/>
      <c r="AJ747" s="115"/>
      <c r="AK747" s="180"/>
      <c r="AL747" s="117"/>
      <c r="AM747" s="117"/>
      <c r="AN747" s="117"/>
      <c r="AO747" s="338"/>
      <c r="AP747" s="338"/>
      <c r="AQ747" s="338"/>
      <c r="AR747" s="338"/>
      <c r="AS747" s="338"/>
      <c r="AT747" s="338"/>
      <c r="AU747" s="338"/>
      <c r="AV747" s="338"/>
      <c r="AW747" s="338"/>
      <c r="AX747" s="338"/>
      <c r="AY747" s="338"/>
      <c r="AZ747" s="338"/>
      <c r="BA747" s="338"/>
      <c r="BB747" s="338"/>
      <c r="BC747" s="338"/>
    </row>
    <row r="748">
      <c r="A748" s="115"/>
      <c r="B748" s="180"/>
      <c r="C748" s="117"/>
      <c r="D748" s="117"/>
      <c r="E748" s="117"/>
      <c r="F748" s="115"/>
      <c r="G748" s="180"/>
      <c r="H748" s="117"/>
      <c r="I748" s="117"/>
      <c r="J748" s="117"/>
      <c r="K748" s="92"/>
      <c r="L748" s="180"/>
      <c r="M748" s="117"/>
      <c r="N748" s="117"/>
      <c r="O748" s="117"/>
      <c r="P748" s="92"/>
      <c r="Q748" s="150"/>
      <c r="R748" s="117"/>
      <c r="S748" s="117"/>
      <c r="T748" s="117"/>
      <c r="U748" s="115"/>
      <c r="V748" s="180"/>
      <c r="W748" s="117"/>
      <c r="X748" s="117"/>
      <c r="Y748" s="117"/>
      <c r="Z748" s="115"/>
      <c r="AA748" s="180"/>
      <c r="AB748" s="117"/>
      <c r="AC748" s="117"/>
      <c r="AD748" s="117"/>
      <c r="AE748" s="115"/>
      <c r="AF748" s="180"/>
      <c r="AG748" s="117"/>
      <c r="AH748" s="117"/>
      <c r="AI748" s="117"/>
      <c r="AJ748" s="115"/>
      <c r="AK748" s="180"/>
      <c r="AL748" s="117"/>
      <c r="AM748" s="117"/>
      <c r="AN748" s="117"/>
      <c r="AO748" s="338"/>
      <c r="AP748" s="338"/>
      <c r="AQ748" s="338"/>
      <c r="AR748" s="338"/>
      <c r="AS748" s="338"/>
      <c r="AT748" s="338"/>
      <c r="AU748" s="338"/>
      <c r="AV748" s="338"/>
      <c r="AW748" s="338"/>
      <c r="AX748" s="338"/>
      <c r="AY748" s="338"/>
      <c r="AZ748" s="338"/>
      <c r="BA748" s="338"/>
      <c r="BB748" s="338"/>
      <c r="BC748" s="338"/>
    </row>
    <row r="749">
      <c r="A749" s="115"/>
      <c r="B749" s="180"/>
      <c r="C749" s="117"/>
      <c r="D749" s="117"/>
      <c r="E749" s="117"/>
      <c r="F749" s="115"/>
      <c r="G749" s="180"/>
      <c r="H749" s="117"/>
      <c r="I749" s="117"/>
      <c r="J749" s="117"/>
      <c r="K749" s="92"/>
      <c r="L749" s="180"/>
      <c r="M749" s="117"/>
      <c r="N749" s="117"/>
      <c r="O749" s="117"/>
      <c r="P749" s="92"/>
      <c r="Q749" s="150"/>
      <c r="R749" s="117"/>
      <c r="S749" s="117"/>
      <c r="T749" s="117"/>
      <c r="U749" s="115"/>
      <c r="V749" s="180"/>
      <c r="W749" s="117"/>
      <c r="X749" s="117"/>
      <c r="Y749" s="117"/>
      <c r="Z749" s="115"/>
      <c r="AA749" s="180"/>
      <c r="AB749" s="117"/>
      <c r="AC749" s="117"/>
      <c r="AD749" s="117"/>
      <c r="AE749" s="115"/>
      <c r="AF749" s="180"/>
      <c r="AG749" s="117"/>
      <c r="AH749" s="117"/>
      <c r="AI749" s="117"/>
      <c r="AJ749" s="115"/>
      <c r="AK749" s="180"/>
      <c r="AL749" s="117"/>
      <c r="AM749" s="117"/>
      <c r="AN749" s="117"/>
      <c r="AO749" s="338"/>
      <c r="AP749" s="338"/>
      <c r="AQ749" s="338"/>
      <c r="AR749" s="338"/>
      <c r="AS749" s="338"/>
      <c r="AT749" s="338"/>
      <c r="AU749" s="338"/>
      <c r="AV749" s="338"/>
      <c r="AW749" s="338"/>
      <c r="AX749" s="338"/>
      <c r="AY749" s="338"/>
      <c r="AZ749" s="338"/>
      <c r="BA749" s="338"/>
      <c r="BB749" s="338"/>
      <c r="BC749" s="338"/>
    </row>
    <row r="750">
      <c r="A750" s="115"/>
      <c r="B750" s="180"/>
      <c r="C750" s="117"/>
      <c r="D750" s="117"/>
      <c r="E750" s="117"/>
      <c r="F750" s="115"/>
      <c r="G750" s="180"/>
      <c r="H750" s="117"/>
      <c r="I750" s="117"/>
      <c r="J750" s="117"/>
      <c r="K750" s="92"/>
      <c r="L750" s="180"/>
      <c r="M750" s="117"/>
      <c r="N750" s="117"/>
      <c r="O750" s="117"/>
      <c r="P750" s="92"/>
      <c r="Q750" s="150"/>
      <c r="R750" s="117"/>
      <c r="S750" s="117"/>
      <c r="T750" s="117"/>
      <c r="U750" s="115"/>
      <c r="V750" s="180"/>
      <c r="W750" s="117"/>
      <c r="X750" s="117"/>
      <c r="Y750" s="117"/>
      <c r="Z750" s="115"/>
      <c r="AA750" s="180"/>
      <c r="AB750" s="117"/>
      <c r="AC750" s="117"/>
      <c r="AD750" s="117"/>
      <c r="AE750" s="115"/>
      <c r="AF750" s="180"/>
      <c r="AG750" s="117"/>
      <c r="AH750" s="117"/>
      <c r="AI750" s="117"/>
      <c r="AJ750" s="115"/>
      <c r="AK750" s="180"/>
      <c r="AL750" s="117"/>
      <c r="AM750" s="117"/>
      <c r="AN750" s="117"/>
      <c r="AO750" s="338"/>
      <c r="AP750" s="338"/>
      <c r="AQ750" s="338"/>
      <c r="AR750" s="338"/>
      <c r="AS750" s="338"/>
      <c r="AT750" s="338"/>
      <c r="AU750" s="338"/>
      <c r="AV750" s="338"/>
      <c r="AW750" s="338"/>
      <c r="AX750" s="338"/>
      <c r="AY750" s="338"/>
      <c r="AZ750" s="338"/>
      <c r="BA750" s="338"/>
      <c r="BB750" s="338"/>
      <c r="BC750" s="338"/>
    </row>
    <row r="751">
      <c r="A751" s="115"/>
      <c r="B751" s="180"/>
      <c r="C751" s="117"/>
      <c r="D751" s="117"/>
      <c r="E751" s="117"/>
      <c r="F751" s="115"/>
      <c r="G751" s="180"/>
      <c r="H751" s="117"/>
      <c r="I751" s="117"/>
      <c r="J751" s="117"/>
      <c r="K751" s="92"/>
      <c r="L751" s="180"/>
      <c r="M751" s="117"/>
      <c r="N751" s="117"/>
      <c r="O751" s="117"/>
      <c r="P751" s="92"/>
      <c r="Q751" s="150"/>
      <c r="R751" s="117"/>
      <c r="S751" s="117"/>
      <c r="T751" s="117"/>
      <c r="U751" s="115"/>
      <c r="V751" s="180"/>
      <c r="W751" s="117"/>
      <c r="X751" s="117"/>
      <c r="Y751" s="117"/>
      <c r="Z751" s="115"/>
      <c r="AA751" s="180"/>
      <c r="AB751" s="117"/>
      <c r="AC751" s="117"/>
      <c r="AD751" s="117"/>
      <c r="AE751" s="115"/>
      <c r="AF751" s="180"/>
      <c r="AG751" s="117"/>
      <c r="AH751" s="117"/>
      <c r="AI751" s="117"/>
      <c r="AJ751" s="115"/>
      <c r="AK751" s="180"/>
      <c r="AL751" s="117"/>
      <c r="AM751" s="117"/>
      <c r="AN751" s="117"/>
      <c r="AO751" s="338"/>
      <c r="AP751" s="338"/>
      <c r="AQ751" s="338"/>
      <c r="AR751" s="338"/>
      <c r="AS751" s="338"/>
      <c r="AT751" s="338"/>
      <c r="AU751" s="338"/>
      <c r="AV751" s="338"/>
      <c r="AW751" s="338"/>
      <c r="AX751" s="338"/>
      <c r="AY751" s="338"/>
      <c r="AZ751" s="338"/>
      <c r="BA751" s="338"/>
      <c r="BB751" s="338"/>
      <c r="BC751" s="338"/>
    </row>
    <row r="752">
      <c r="A752" s="115"/>
      <c r="B752" s="180"/>
      <c r="C752" s="117"/>
      <c r="D752" s="117"/>
      <c r="E752" s="117"/>
      <c r="F752" s="115"/>
      <c r="G752" s="180"/>
      <c r="H752" s="117"/>
      <c r="I752" s="117"/>
      <c r="J752" s="117"/>
      <c r="K752" s="92"/>
      <c r="L752" s="180"/>
      <c r="M752" s="117"/>
      <c r="N752" s="117"/>
      <c r="O752" s="117"/>
      <c r="P752" s="92"/>
      <c r="Q752" s="150"/>
      <c r="R752" s="117"/>
      <c r="S752" s="117"/>
      <c r="T752" s="117"/>
      <c r="U752" s="115"/>
      <c r="V752" s="180"/>
      <c r="W752" s="117"/>
      <c r="X752" s="117"/>
      <c r="Y752" s="117"/>
      <c r="Z752" s="115"/>
      <c r="AA752" s="180"/>
      <c r="AB752" s="117"/>
      <c r="AC752" s="117"/>
      <c r="AD752" s="117"/>
      <c r="AE752" s="115"/>
      <c r="AF752" s="180"/>
      <c r="AG752" s="117"/>
      <c r="AH752" s="117"/>
      <c r="AI752" s="117"/>
      <c r="AJ752" s="115"/>
      <c r="AK752" s="180"/>
      <c r="AL752" s="117"/>
      <c r="AM752" s="117"/>
      <c r="AN752" s="117"/>
      <c r="AO752" s="338"/>
      <c r="AP752" s="338"/>
      <c r="AQ752" s="338"/>
      <c r="AR752" s="338"/>
      <c r="AS752" s="338"/>
      <c r="AT752" s="338"/>
      <c r="AU752" s="338"/>
      <c r="AV752" s="338"/>
      <c r="AW752" s="338"/>
      <c r="AX752" s="338"/>
      <c r="AY752" s="338"/>
      <c r="AZ752" s="338"/>
      <c r="BA752" s="338"/>
      <c r="BB752" s="338"/>
      <c r="BC752" s="338"/>
    </row>
    <row r="753">
      <c r="A753" s="115"/>
      <c r="B753" s="180"/>
      <c r="C753" s="117"/>
      <c r="D753" s="117"/>
      <c r="E753" s="117"/>
      <c r="F753" s="115"/>
      <c r="G753" s="180"/>
      <c r="H753" s="117"/>
      <c r="I753" s="117"/>
      <c r="J753" s="117"/>
      <c r="K753" s="92"/>
      <c r="L753" s="180"/>
      <c r="M753" s="117"/>
      <c r="N753" s="117"/>
      <c r="O753" s="117"/>
      <c r="P753" s="92"/>
      <c r="Q753" s="150"/>
      <c r="R753" s="117"/>
      <c r="S753" s="117"/>
      <c r="T753" s="117"/>
      <c r="U753" s="115"/>
      <c r="V753" s="180"/>
      <c r="W753" s="117"/>
      <c r="X753" s="117"/>
      <c r="Y753" s="117"/>
      <c r="Z753" s="115"/>
      <c r="AA753" s="180"/>
      <c r="AB753" s="117"/>
      <c r="AC753" s="117"/>
      <c r="AD753" s="117"/>
      <c r="AE753" s="115"/>
      <c r="AF753" s="180"/>
      <c r="AG753" s="117"/>
      <c r="AH753" s="117"/>
      <c r="AI753" s="117"/>
      <c r="AJ753" s="115"/>
      <c r="AK753" s="180"/>
      <c r="AL753" s="117"/>
      <c r="AM753" s="117"/>
      <c r="AN753" s="117"/>
      <c r="AO753" s="338"/>
      <c r="AP753" s="338"/>
      <c r="AQ753" s="338"/>
      <c r="AR753" s="338"/>
      <c r="AS753" s="338"/>
      <c r="AT753" s="338"/>
      <c r="AU753" s="338"/>
      <c r="AV753" s="338"/>
      <c r="AW753" s="338"/>
      <c r="AX753" s="338"/>
      <c r="AY753" s="338"/>
      <c r="AZ753" s="338"/>
      <c r="BA753" s="338"/>
      <c r="BB753" s="338"/>
      <c r="BC753" s="338"/>
    </row>
    <row r="754">
      <c r="A754" s="115"/>
      <c r="B754" s="180"/>
      <c r="C754" s="117"/>
      <c r="D754" s="117"/>
      <c r="E754" s="117"/>
      <c r="F754" s="115"/>
      <c r="G754" s="180"/>
      <c r="H754" s="117"/>
      <c r="I754" s="117"/>
      <c r="J754" s="117"/>
      <c r="K754" s="92"/>
      <c r="L754" s="180"/>
      <c r="M754" s="117"/>
      <c r="N754" s="117"/>
      <c r="O754" s="117"/>
      <c r="P754" s="92"/>
      <c r="Q754" s="150"/>
      <c r="R754" s="117"/>
      <c r="S754" s="117"/>
      <c r="T754" s="117"/>
      <c r="U754" s="115"/>
      <c r="V754" s="180"/>
      <c r="W754" s="117"/>
      <c r="X754" s="117"/>
      <c r="Y754" s="117"/>
      <c r="Z754" s="115"/>
      <c r="AA754" s="180"/>
      <c r="AB754" s="117"/>
      <c r="AC754" s="117"/>
      <c r="AD754" s="117"/>
      <c r="AE754" s="115"/>
      <c r="AF754" s="180"/>
      <c r="AG754" s="117"/>
      <c r="AH754" s="117"/>
      <c r="AI754" s="117"/>
      <c r="AJ754" s="115"/>
      <c r="AK754" s="180"/>
      <c r="AL754" s="117"/>
      <c r="AM754" s="117"/>
      <c r="AN754" s="117"/>
      <c r="AO754" s="338"/>
      <c r="AP754" s="338"/>
      <c r="AQ754" s="338"/>
      <c r="AR754" s="338"/>
      <c r="AS754" s="338"/>
      <c r="AT754" s="338"/>
      <c r="AU754" s="338"/>
      <c r="AV754" s="338"/>
      <c r="AW754" s="338"/>
      <c r="AX754" s="338"/>
      <c r="AY754" s="338"/>
      <c r="AZ754" s="338"/>
      <c r="BA754" s="338"/>
      <c r="BB754" s="338"/>
      <c r="BC754" s="338"/>
    </row>
    <row r="755">
      <c r="A755" s="115"/>
      <c r="B755" s="180"/>
      <c r="C755" s="117"/>
      <c r="D755" s="117"/>
      <c r="E755" s="117"/>
      <c r="F755" s="115"/>
      <c r="G755" s="180"/>
      <c r="H755" s="117"/>
      <c r="I755" s="117"/>
      <c r="J755" s="117"/>
      <c r="K755" s="92"/>
      <c r="L755" s="180"/>
      <c r="M755" s="117"/>
      <c r="N755" s="117"/>
      <c r="O755" s="117"/>
      <c r="P755" s="92"/>
      <c r="Q755" s="150"/>
      <c r="R755" s="117"/>
      <c r="S755" s="117"/>
      <c r="T755" s="117"/>
      <c r="U755" s="115"/>
      <c r="V755" s="180"/>
      <c r="W755" s="117"/>
      <c r="X755" s="117"/>
      <c r="Y755" s="117"/>
      <c r="Z755" s="115"/>
      <c r="AA755" s="180"/>
      <c r="AB755" s="117"/>
      <c r="AC755" s="117"/>
      <c r="AD755" s="117"/>
      <c r="AE755" s="115"/>
      <c r="AF755" s="180"/>
      <c r="AG755" s="117"/>
      <c r="AH755" s="117"/>
      <c r="AI755" s="117"/>
      <c r="AJ755" s="115"/>
      <c r="AK755" s="180"/>
      <c r="AL755" s="117"/>
      <c r="AM755" s="117"/>
      <c r="AN755" s="117"/>
      <c r="AO755" s="338"/>
      <c r="AP755" s="338"/>
      <c r="AQ755" s="338"/>
      <c r="AR755" s="338"/>
      <c r="AS755" s="338"/>
      <c r="AT755" s="338"/>
      <c r="AU755" s="338"/>
      <c r="AV755" s="338"/>
      <c r="AW755" s="338"/>
      <c r="AX755" s="338"/>
      <c r="AY755" s="338"/>
      <c r="AZ755" s="338"/>
      <c r="BA755" s="338"/>
      <c r="BB755" s="338"/>
      <c r="BC755" s="338"/>
    </row>
    <row r="756">
      <c r="A756" s="115"/>
      <c r="B756" s="180"/>
      <c r="C756" s="117"/>
      <c r="D756" s="117"/>
      <c r="E756" s="117"/>
      <c r="F756" s="115"/>
      <c r="G756" s="180"/>
      <c r="H756" s="117"/>
      <c r="I756" s="117"/>
      <c r="J756" s="117"/>
      <c r="K756" s="92"/>
      <c r="L756" s="180"/>
      <c r="M756" s="117"/>
      <c r="N756" s="117"/>
      <c r="O756" s="117"/>
      <c r="P756" s="92"/>
      <c r="Q756" s="150"/>
      <c r="R756" s="117"/>
      <c r="S756" s="117"/>
      <c r="T756" s="117"/>
      <c r="U756" s="115"/>
      <c r="V756" s="180"/>
      <c r="W756" s="117"/>
      <c r="X756" s="117"/>
      <c r="Y756" s="117"/>
      <c r="Z756" s="115"/>
      <c r="AA756" s="180"/>
      <c r="AB756" s="117"/>
      <c r="AC756" s="117"/>
      <c r="AD756" s="117"/>
      <c r="AE756" s="115"/>
      <c r="AF756" s="180"/>
      <c r="AG756" s="117"/>
      <c r="AH756" s="117"/>
      <c r="AI756" s="117"/>
      <c r="AJ756" s="115"/>
      <c r="AK756" s="180"/>
      <c r="AL756" s="117"/>
      <c r="AM756" s="117"/>
      <c r="AN756" s="117"/>
      <c r="AO756" s="338"/>
      <c r="AP756" s="338"/>
      <c r="AQ756" s="338"/>
      <c r="AR756" s="338"/>
      <c r="AS756" s="338"/>
      <c r="AT756" s="338"/>
      <c r="AU756" s="338"/>
      <c r="AV756" s="338"/>
      <c r="AW756" s="338"/>
      <c r="AX756" s="338"/>
      <c r="AY756" s="338"/>
      <c r="AZ756" s="338"/>
      <c r="BA756" s="338"/>
      <c r="BB756" s="338"/>
      <c r="BC756" s="338"/>
    </row>
    <row r="757">
      <c r="A757" s="115"/>
      <c r="B757" s="180"/>
      <c r="C757" s="117"/>
      <c r="D757" s="117"/>
      <c r="E757" s="117"/>
      <c r="F757" s="115"/>
      <c r="G757" s="180"/>
      <c r="H757" s="117"/>
      <c r="I757" s="117"/>
      <c r="J757" s="117"/>
      <c r="K757" s="92"/>
      <c r="L757" s="180"/>
      <c r="M757" s="117"/>
      <c r="N757" s="117"/>
      <c r="O757" s="117"/>
      <c r="P757" s="92"/>
      <c r="Q757" s="150"/>
      <c r="R757" s="117"/>
      <c r="S757" s="117"/>
      <c r="T757" s="117"/>
      <c r="U757" s="115"/>
      <c r="V757" s="180"/>
      <c r="W757" s="117"/>
      <c r="X757" s="117"/>
      <c r="Y757" s="117"/>
      <c r="Z757" s="115"/>
      <c r="AA757" s="180"/>
      <c r="AB757" s="117"/>
      <c r="AC757" s="117"/>
      <c r="AD757" s="117"/>
      <c r="AE757" s="115"/>
      <c r="AF757" s="180"/>
      <c r="AG757" s="117"/>
      <c r="AH757" s="117"/>
      <c r="AI757" s="117"/>
      <c r="AJ757" s="115"/>
      <c r="AK757" s="180"/>
      <c r="AL757" s="117"/>
      <c r="AM757" s="117"/>
      <c r="AN757" s="117"/>
      <c r="AO757" s="338"/>
      <c r="AP757" s="338"/>
      <c r="AQ757" s="338"/>
      <c r="AR757" s="338"/>
      <c r="AS757" s="338"/>
      <c r="AT757" s="338"/>
      <c r="AU757" s="338"/>
      <c r="AV757" s="338"/>
      <c r="AW757" s="338"/>
      <c r="AX757" s="338"/>
      <c r="AY757" s="338"/>
      <c r="AZ757" s="338"/>
      <c r="BA757" s="338"/>
      <c r="BB757" s="338"/>
      <c r="BC757" s="338"/>
    </row>
    <row r="758">
      <c r="A758" s="115"/>
      <c r="B758" s="180"/>
      <c r="C758" s="117"/>
      <c r="D758" s="117"/>
      <c r="E758" s="117"/>
      <c r="F758" s="115"/>
      <c r="G758" s="180"/>
      <c r="H758" s="117"/>
      <c r="I758" s="117"/>
      <c r="J758" s="117"/>
      <c r="K758" s="92"/>
      <c r="L758" s="180"/>
      <c r="M758" s="117"/>
      <c r="N758" s="117"/>
      <c r="O758" s="117"/>
      <c r="P758" s="92"/>
      <c r="Q758" s="150"/>
      <c r="R758" s="117"/>
      <c r="S758" s="117"/>
      <c r="T758" s="117"/>
      <c r="U758" s="115"/>
      <c r="V758" s="180"/>
      <c r="W758" s="117"/>
      <c r="X758" s="117"/>
      <c r="Y758" s="117"/>
      <c r="Z758" s="115"/>
      <c r="AA758" s="180"/>
      <c r="AB758" s="117"/>
      <c r="AC758" s="117"/>
      <c r="AD758" s="117"/>
      <c r="AE758" s="115"/>
      <c r="AF758" s="180"/>
      <c r="AG758" s="117"/>
      <c r="AH758" s="117"/>
      <c r="AI758" s="117"/>
      <c r="AJ758" s="115"/>
      <c r="AK758" s="180"/>
      <c r="AL758" s="117"/>
      <c r="AM758" s="117"/>
      <c r="AN758" s="117"/>
      <c r="AO758" s="338"/>
      <c r="AP758" s="338"/>
      <c r="AQ758" s="338"/>
      <c r="AR758" s="338"/>
      <c r="AS758" s="338"/>
      <c r="AT758" s="338"/>
      <c r="AU758" s="338"/>
      <c r="AV758" s="338"/>
      <c r="AW758" s="338"/>
      <c r="AX758" s="338"/>
      <c r="AY758" s="338"/>
      <c r="AZ758" s="338"/>
      <c r="BA758" s="338"/>
      <c r="BB758" s="338"/>
      <c r="BC758" s="338"/>
    </row>
    <row r="759">
      <c r="A759" s="115"/>
      <c r="B759" s="180"/>
      <c r="C759" s="117"/>
      <c r="D759" s="117"/>
      <c r="E759" s="117"/>
      <c r="F759" s="115"/>
      <c r="G759" s="180"/>
      <c r="H759" s="117"/>
      <c r="I759" s="117"/>
      <c r="J759" s="117"/>
      <c r="K759" s="92"/>
      <c r="L759" s="180"/>
      <c r="M759" s="117"/>
      <c r="N759" s="117"/>
      <c r="O759" s="117"/>
      <c r="P759" s="92"/>
      <c r="Q759" s="150"/>
      <c r="R759" s="117"/>
      <c r="S759" s="117"/>
      <c r="T759" s="117"/>
      <c r="U759" s="115"/>
      <c r="V759" s="180"/>
      <c r="W759" s="117"/>
      <c r="X759" s="117"/>
      <c r="Y759" s="117"/>
      <c r="Z759" s="115"/>
      <c r="AA759" s="180"/>
      <c r="AB759" s="117"/>
      <c r="AC759" s="117"/>
      <c r="AD759" s="117"/>
      <c r="AE759" s="115"/>
      <c r="AF759" s="180"/>
      <c r="AG759" s="117"/>
      <c r="AH759" s="117"/>
      <c r="AI759" s="117"/>
      <c r="AJ759" s="115"/>
      <c r="AK759" s="180"/>
      <c r="AL759" s="117"/>
      <c r="AM759" s="117"/>
      <c r="AN759" s="117"/>
      <c r="AO759" s="338"/>
      <c r="AP759" s="338"/>
      <c r="AQ759" s="338"/>
      <c r="AR759" s="338"/>
      <c r="AS759" s="338"/>
      <c r="AT759" s="338"/>
      <c r="AU759" s="338"/>
      <c r="AV759" s="338"/>
      <c r="AW759" s="338"/>
      <c r="AX759" s="338"/>
      <c r="AY759" s="338"/>
      <c r="AZ759" s="338"/>
      <c r="BA759" s="338"/>
      <c r="BB759" s="338"/>
      <c r="BC759" s="338"/>
    </row>
    <row r="760">
      <c r="A760" s="115"/>
      <c r="B760" s="180"/>
      <c r="C760" s="117"/>
      <c r="D760" s="117"/>
      <c r="E760" s="117"/>
      <c r="F760" s="115"/>
      <c r="G760" s="180"/>
      <c r="H760" s="117"/>
      <c r="I760" s="117"/>
      <c r="J760" s="117"/>
      <c r="K760" s="92"/>
      <c r="L760" s="180"/>
      <c r="M760" s="117"/>
      <c r="N760" s="117"/>
      <c r="O760" s="117"/>
      <c r="P760" s="92"/>
      <c r="Q760" s="150"/>
      <c r="R760" s="117"/>
      <c r="S760" s="117"/>
      <c r="T760" s="117"/>
      <c r="U760" s="115"/>
      <c r="V760" s="180"/>
      <c r="W760" s="117"/>
      <c r="X760" s="117"/>
      <c r="Y760" s="117"/>
      <c r="Z760" s="115"/>
      <c r="AA760" s="180"/>
      <c r="AB760" s="117"/>
      <c r="AC760" s="117"/>
      <c r="AD760" s="117"/>
      <c r="AE760" s="115"/>
      <c r="AF760" s="180"/>
      <c r="AG760" s="117"/>
      <c r="AH760" s="117"/>
      <c r="AI760" s="117"/>
      <c r="AJ760" s="115"/>
      <c r="AK760" s="180"/>
      <c r="AL760" s="117"/>
      <c r="AM760" s="117"/>
      <c r="AN760" s="117"/>
      <c r="AO760" s="338"/>
      <c r="AP760" s="338"/>
      <c r="AQ760" s="338"/>
      <c r="AR760" s="338"/>
      <c r="AS760" s="338"/>
      <c r="AT760" s="338"/>
      <c r="AU760" s="338"/>
      <c r="AV760" s="338"/>
      <c r="AW760" s="338"/>
      <c r="AX760" s="338"/>
      <c r="AY760" s="338"/>
      <c r="AZ760" s="338"/>
      <c r="BA760" s="338"/>
      <c r="BB760" s="338"/>
      <c r="BC760" s="338"/>
    </row>
    <row r="761">
      <c r="A761" s="115"/>
      <c r="B761" s="180"/>
      <c r="C761" s="117"/>
      <c r="D761" s="117"/>
      <c r="E761" s="117"/>
      <c r="F761" s="115"/>
      <c r="G761" s="180"/>
      <c r="H761" s="117"/>
      <c r="I761" s="117"/>
      <c r="J761" s="117"/>
      <c r="K761" s="92"/>
      <c r="L761" s="180"/>
      <c r="M761" s="117"/>
      <c r="N761" s="117"/>
      <c r="O761" s="117"/>
      <c r="P761" s="92"/>
      <c r="Q761" s="150"/>
      <c r="R761" s="117"/>
      <c r="S761" s="117"/>
      <c r="T761" s="117"/>
      <c r="U761" s="115"/>
      <c r="V761" s="180"/>
      <c r="W761" s="117"/>
      <c r="X761" s="117"/>
      <c r="Y761" s="117"/>
      <c r="Z761" s="115"/>
      <c r="AA761" s="180"/>
      <c r="AB761" s="117"/>
      <c r="AC761" s="117"/>
      <c r="AD761" s="117"/>
      <c r="AE761" s="115"/>
      <c r="AF761" s="180"/>
      <c r="AG761" s="117"/>
      <c r="AH761" s="117"/>
      <c r="AI761" s="117"/>
      <c r="AJ761" s="115"/>
      <c r="AK761" s="180"/>
      <c r="AL761" s="117"/>
      <c r="AM761" s="117"/>
      <c r="AN761" s="117"/>
      <c r="AO761" s="338"/>
      <c r="AP761" s="338"/>
      <c r="AQ761" s="338"/>
      <c r="AR761" s="338"/>
      <c r="AS761" s="338"/>
      <c r="AT761" s="338"/>
      <c r="AU761" s="338"/>
      <c r="AV761" s="338"/>
      <c r="AW761" s="338"/>
      <c r="AX761" s="338"/>
      <c r="AY761" s="338"/>
      <c r="AZ761" s="338"/>
      <c r="BA761" s="338"/>
      <c r="BB761" s="338"/>
      <c r="BC761" s="338"/>
    </row>
    <row r="762">
      <c r="A762" s="115"/>
      <c r="B762" s="180"/>
      <c r="C762" s="117"/>
      <c r="D762" s="117"/>
      <c r="E762" s="117"/>
      <c r="F762" s="115"/>
      <c r="G762" s="180"/>
      <c r="H762" s="117"/>
      <c r="I762" s="117"/>
      <c r="J762" s="117"/>
      <c r="K762" s="92"/>
      <c r="L762" s="180"/>
      <c r="M762" s="117"/>
      <c r="N762" s="117"/>
      <c r="O762" s="117"/>
      <c r="P762" s="92"/>
      <c r="Q762" s="150"/>
      <c r="R762" s="117"/>
      <c r="S762" s="117"/>
      <c r="T762" s="117"/>
      <c r="U762" s="115"/>
      <c r="V762" s="180"/>
      <c r="W762" s="117"/>
      <c r="X762" s="117"/>
      <c r="Y762" s="117"/>
      <c r="Z762" s="115"/>
      <c r="AA762" s="180"/>
      <c r="AB762" s="117"/>
      <c r="AC762" s="117"/>
      <c r="AD762" s="117"/>
      <c r="AE762" s="115"/>
      <c r="AF762" s="180"/>
      <c r="AG762" s="117"/>
      <c r="AH762" s="117"/>
      <c r="AI762" s="117"/>
      <c r="AJ762" s="115"/>
      <c r="AK762" s="180"/>
      <c r="AL762" s="117"/>
      <c r="AM762" s="117"/>
      <c r="AN762" s="117"/>
      <c r="AO762" s="338"/>
      <c r="AP762" s="338"/>
      <c r="AQ762" s="338"/>
      <c r="AR762" s="338"/>
      <c r="AS762" s="338"/>
      <c r="AT762" s="338"/>
      <c r="AU762" s="338"/>
      <c r="AV762" s="338"/>
      <c r="AW762" s="338"/>
      <c r="AX762" s="338"/>
      <c r="AY762" s="338"/>
      <c r="AZ762" s="338"/>
      <c r="BA762" s="338"/>
      <c r="BB762" s="338"/>
      <c r="BC762" s="338"/>
    </row>
    <row r="763">
      <c r="A763" s="115"/>
      <c r="B763" s="180"/>
      <c r="C763" s="117"/>
      <c r="D763" s="117"/>
      <c r="E763" s="117"/>
      <c r="F763" s="115"/>
      <c r="G763" s="180"/>
      <c r="H763" s="117"/>
      <c r="I763" s="117"/>
      <c r="J763" s="117"/>
      <c r="K763" s="92"/>
      <c r="L763" s="180"/>
      <c r="M763" s="117"/>
      <c r="N763" s="117"/>
      <c r="O763" s="117"/>
      <c r="P763" s="92"/>
      <c r="Q763" s="150"/>
      <c r="R763" s="117"/>
      <c r="S763" s="117"/>
      <c r="T763" s="117"/>
      <c r="U763" s="115"/>
      <c r="V763" s="180"/>
      <c r="W763" s="117"/>
      <c r="X763" s="117"/>
      <c r="Y763" s="117"/>
      <c r="Z763" s="115"/>
      <c r="AA763" s="180"/>
      <c r="AB763" s="117"/>
      <c r="AC763" s="117"/>
      <c r="AD763" s="117"/>
      <c r="AE763" s="115"/>
      <c r="AF763" s="180"/>
      <c r="AG763" s="117"/>
      <c r="AH763" s="117"/>
      <c r="AI763" s="117"/>
      <c r="AJ763" s="115"/>
      <c r="AK763" s="180"/>
      <c r="AL763" s="117"/>
      <c r="AM763" s="117"/>
      <c r="AN763" s="117"/>
      <c r="AO763" s="338"/>
      <c r="AP763" s="338"/>
      <c r="AQ763" s="338"/>
      <c r="AR763" s="338"/>
      <c r="AS763" s="338"/>
      <c r="AT763" s="338"/>
      <c r="AU763" s="338"/>
      <c r="AV763" s="338"/>
      <c r="AW763" s="338"/>
      <c r="AX763" s="338"/>
      <c r="AY763" s="338"/>
      <c r="AZ763" s="338"/>
      <c r="BA763" s="338"/>
      <c r="BB763" s="338"/>
      <c r="BC763" s="338"/>
    </row>
    <row r="764">
      <c r="A764" s="115"/>
      <c r="B764" s="180"/>
      <c r="C764" s="117"/>
      <c r="D764" s="117"/>
      <c r="E764" s="117"/>
      <c r="F764" s="115"/>
      <c r="G764" s="180"/>
      <c r="H764" s="117"/>
      <c r="I764" s="117"/>
      <c r="J764" s="117"/>
      <c r="K764" s="92"/>
      <c r="L764" s="180"/>
      <c r="M764" s="117"/>
      <c r="N764" s="117"/>
      <c r="O764" s="117"/>
      <c r="P764" s="92"/>
      <c r="Q764" s="150"/>
      <c r="R764" s="117"/>
      <c r="S764" s="117"/>
      <c r="T764" s="117"/>
      <c r="U764" s="115"/>
      <c r="V764" s="180"/>
      <c r="W764" s="117"/>
      <c r="X764" s="117"/>
      <c r="Y764" s="117"/>
      <c r="Z764" s="115"/>
      <c r="AA764" s="180"/>
      <c r="AB764" s="117"/>
      <c r="AC764" s="117"/>
      <c r="AD764" s="117"/>
      <c r="AE764" s="115"/>
      <c r="AF764" s="180"/>
      <c r="AG764" s="117"/>
      <c r="AH764" s="117"/>
      <c r="AI764" s="117"/>
      <c r="AJ764" s="115"/>
      <c r="AK764" s="180"/>
      <c r="AL764" s="117"/>
      <c r="AM764" s="117"/>
      <c r="AN764" s="117"/>
      <c r="AO764" s="338"/>
      <c r="AP764" s="338"/>
      <c r="AQ764" s="338"/>
      <c r="AR764" s="338"/>
      <c r="AS764" s="338"/>
      <c r="AT764" s="338"/>
      <c r="AU764" s="338"/>
      <c r="AV764" s="338"/>
      <c r="AW764" s="338"/>
      <c r="AX764" s="338"/>
      <c r="AY764" s="338"/>
      <c r="AZ764" s="338"/>
      <c r="BA764" s="338"/>
      <c r="BB764" s="338"/>
      <c r="BC764" s="338"/>
    </row>
    <row r="765">
      <c r="A765" s="115"/>
      <c r="B765" s="180"/>
      <c r="C765" s="117"/>
      <c r="D765" s="117"/>
      <c r="E765" s="117"/>
      <c r="F765" s="115"/>
      <c r="G765" s="180"/>
      <c r="H765" s="117"/>
      <c r="I765" s="117"/>
      <c r="J765" s="117"/>
      <c r="K765" s="92"/>
      <c r="L765" s="180"/>
      <c r="M765" s="117"/>
      <c r="N765" s="117"/>
      <c r="O765" s="117"/>
      <c r="P765" s="92"/>
      <c r="Q765" s="150"/>
      <c r="R765" s="117"/>
      <c r="S765" s="117"/>
      <c r="T765" s="117"/>
      <c r="U765" s="115"/>
      <c r="V765" s="180"/>
      <c r="W765" s="117"/>
      <c r="X765" s="117"/>
      <c r="Y765" s="117"/>
      <c r="Z765" s="115"/>
      <c r="AA765" s="180"/>
      <c r="AB765" s="117"/>
      <c r="AC765" s="117"/>
      <c r="AD765" s="117"/>
      <c r="AE765" s="115"/>
      <c r="AF765" s="180"/>
      <c r="AG765" s="117"/>
      <c r="AH765" s="117"/>
      <c r="AI765" s="117"/>
      <c r="AJ765" s="115"/>
      <c r="AK765" s="180"/>
      <c r="AL765" s="117"/>
      <c r="AM765" s="117"/>
      <c r="AN765" s="117"/>
      <c r="AO765" s="338"/>
      <c r="AP765" s="338"/>
      <c r="AQ765" s="338"/>
      <c r="AR765" s="338"/>
      <c r="AS765" s="338"/>
      <c r="AT765" s="338"/>
      <c r="AU765" s="338"/>
      <c r="AV765" s="338"/>
      <c r="AW765" s="338"/>
      <c r="AX765" s="338"/>
      <c r="AY765" s="338"/>
      <c r="AZ765" s="338"/>
      <c r="BA765" s="338"/>
      <c r="BB765" s="338"/>
      <c r="BC765" s="338"/>
    </row>
    <row r="766">
      <c r="A766" s="115"/>
      <c r="B766" s="180"/>
      <c r="C766" s="117"/>
      <c r="D766" s="117"/>
      <c r="E766" s="117"/>
      <c r="F766" s="115"/>
      <c r="G766" s="180"/>
      <c r="H766" s="117"/>
      <c r="I766" s="117"/>
      <c r="J766" s="117"/>
      <c r="K766" s="92"/>
      <c r="L766" s="180"/>
      <c r="M766" s="117"/>
      <c r="N766" s="117"/>
      <c r="O766" s="117"/>
      <c r="P766" s="92"/>
      <c r="Q766" s="150"/>
      <c r="R766" s="117"/>
      <c r="S766" s="117"/>
      <c r="T766" s="117"/>
      <c r="U766" s="115"/>
      <c r="V766" s="180"/>
      <c r="W766" s="117"/>
      <c r="X766" s="117"/>
      <c r="Y766" s="117"/>
      <c r="Z766" s="115"/>
      <c r="AA766" s="180"/>
      <c r="AB766" s="117"/>
      <c r="AC766" s="117"/>
      <c r="AD766" s="117"/>
      <c r="AE766" s="115"/>
      <c r="AF766" s="180"/>
      <c r="AG766" s="117"/>
      <c r="AH766" s="117"/>
      <c r="AI766" s="117"/>
      <c r="AJ766" s="115"/>
      <c r="AK766" s="180"/>
      <c r="AL766" s="117"/>
      <c r="AM766" s="117"/>
      <c r="AN766" s="117"/>
      <c r="AO766" s="338"/>
      <c r="AP766" s="338"/>
      <c r="AQ766" s="338"/>
      <c r="AR766" s="338"/>
      <c r="AS766" s="338"/>
      <c r="AT766" s="338"/>
      <c r="AU766" s="338"/>
      <c r="AV766" s="338"/>
      <c r="AW766" s="338"/>
      <c r="AX766" s="338"/>
      <c r="AY766" s="338"/>
      <c r="AZ766" s="338"/>
      <c r="BA766" s="338"/>
      <c r="BB766" s="338"/>
      <c r="BC766" s="338"/>
    </row>
    <row r="767">
      <c r="A767" s="115"/>
      <c r="B767" s="180"/>
      <c r="C767" s="117"/>
      <c r="D767" s="117"/>
      <c r="E767" s="117"/>
      <c r="F767" s="115"/>
      <c r="G767" s="180"/>
      <c r="H767" s="117"/>
      <c r="I767" s="117"/>
      <c r="J767" s="117"/>
      <c r="K767" s="92"/>
      <c r="L767" s="180"/>
      <c r="M767" s="117"/>
      <c r="N767" s="117"/>
      <c r="O767" s="117"/>
      <c r="P767" s="92"/>
      <c r="Q767" s="150"/>
      <c r="R767" s="117"/>
      <c r="S767" s="117"/>
      <c r="T767" s="117"/>
      <c r="U767" s="115"/>
      <c r="V767" s="180"/>
      <c r="W767" s="117"/>
      <c r="X767" s="117"/>
      <c r="Y767" s="117"/>
      <c r="Z767" s="115"/>
      <c r="AA767" s="180"/>
      <c r="AB767" s="117"/>
      <c r="AC767" s="117"/>
      <c r="AD767" s="117"/>
      <c r="AE767" s="115"/>
      <c r="AF767" s="180"/>
      <c r="AG767" s="117"/>
      <c r="AH767" s="117"/>
      <c r="AI767" s="117"/>
      <c r="AJ767" s="115"/>
      <c r="AK767" s="180"/>
      <c r="AL767" s="117"/>
      <c r="AM767" s="117"/>
      <c r="AN767" s="117"/>
      <c r="AO767" s="338"/>
      <c r="AP767" s="338"/>
      <c r="AQ767" s="338"/>
      <c r="AR767" s="338"/>
      <c r="AS767" s="338"/>
      <c r="AT767" s="338"/>
      <c r="AU767" s="338"/>
      <c r="AV767" s="338"/>
      <c r="AW767" s="338"/>
      <c r="AX767" s="338"/>
      <c r="AY767" s="338"/>
      <c r="AZ767" s="338"/>
      <c r="BA767" s="338"/>
      <c r="BB767" s="338"/>
      <c r="BC767" s="338"/>
    </row>
    <row r="768">
      <c r="A768" s="115"/>
      <c r="B768" s="180"/>
      <c r="C768" s="117"/>
      <c r="D768" s="117"/>
      <c r="E768" s="117"/>
      <c r="F768" s="115"/>
      <c r="G768" s="180"/>
      <c r="H768" s="117"/>
      <c r="I768" s="117"/>
      <c r="J768" s="117"/>
      <c r="K768" s="92"/>
      <c r="L768" s="180"/>
      <c r="M768" s="117"/>
      <c r="N768" s="117"/>
      <c r="O768" s="117"/>
      <c r="P768" s="92"/>
      <c r="Q768" s="150"/>
      <c r="R768" s="117"/>
      <c r="S768" s="117"/>
      <c r="T768" s="117"/>
      <c r="U768" s="115"/>
      <c r="V768" s="180"/>
      <c r="W768" s="117"/>
      <c r="X768" s="117"/>
      <c r="Y768" s="117"/>
      <c r="Z768" s="115"/>
      <c r="AA768" s="180"/>
      <c r="AB768" s="117"/>
      <c r="AC768" s="117"/>
      <c r="AD768" s="117"/>
      <c r="AE768" s="115"/>
      <c r="AF768" s="180"/>
      <c r="AG768" s="117"/>
      <c r="AH768" s="117"/>
      <c r="AI768" s="117"/>
      <c r="AJ768" s="115"/>
      <c r="AK768" s="180"/>
      <c r="AL768" s="117"/>
      <c r="AM768" s="117"/>
      <c r="AN768" s="117"/>
      <c r="AO768" s="338"/>
      <c r="AP768" s="338"/>
      <c r="AQ768" s="338"/>
      <c r="AR768" s="338"/>
      <c r="AS768" s="338"/>
      <c r="AT768" s="338"/>
      <c r="AU768" s="338"/>
      <c r="AV768" s="338"/>
      <c r="AW768" s="338"/>
      <c r="AX768" s="338"/>
      <c r="AY768" s="338"/>
      <c r="AZ768" s="338"/>
      <c r="BA768" s="338"/>
      <c r="BB768" s="338"/>
      <c r="BC768" s="338"/>
    </row>
    <row r="769">
      <c r="A769" s="115"/>
      <c r="B769" s="180"/>
      <c r="C769" s="117"/>
      <c r="D769" s="117"/>
      <c r="E769" s="117"/>
      <c r="F769" s="115"/>
      <c r="G769" s="180"/>
      <c r="H769" s="117"/>
      <c r="I769" s="117"/>
      <c r="J769" s="117"/>
      <c r="K769" s="92"/>
      <c r="L769" s="180"/>
      <c r="M769" s="117"/>
      <c r="N769" s="117"/>
      <c r="O769" s="117"/>
      <c r="P769" s="92"/>
      <c r="Q769" s="150"/>
      <c r="R769" s="117"/>
      <c r="S769" s="117"/>
      <c r="T769" s="117"/>
      <c r="U769" s="115"/>
      <c r="V769" s="180"/>
      <c r="W769" s="117"/>
      <c r="X769" s="117"/>
      <c r="Y769" s="117"/>
      <c r="Z769" s="115"/>
      <c r="AA769" s="180"/>
      <c r="AB769" s="117"/>
      <c r="AC769" s="117"/>
      <c r="AD769" s="117"/>
      <c r="AE769" s="115"/>
      <c r="AF769" s="180"/>
      <c r="AG769" s="117"/>
      <c r="AH769" s="117"/>
      <c r="AI769" s="117"/>
      <c r="AJ769" s="115"/>
      <c r="AK769" s="180"/>
      <c r="AL769" s="117"/>
      <c r="AM769" s="117"/>
      <c r="AN769" s="117"/>
      <c r="AO769" s="338"/>
      <c r="AP769" s="338"/>
      <c r="AQ769" s="338"/>
      <c r="AR769" s="338"/>
      <c r="AS769" s="338"/>
      <c r="AT769" s="338"/>
      <c r="AU769" s="338"/>
      <c r="AV769" s="338"/>
      <c r="AW769" s="338"/>
      <c r="AX769" s="338"/>
      <c r="AY769" s="338"/>
      <c r="AZ769" s="338"/>
      <c r="BA769" s="338"/>
      <c r="BB769" s="338"/>
      <c r="BC769" s="338"/>
    </row>
    <row r="770">
      <c r="A770" s="115"/>
      <c r="B770" s="180"/>
      <c r="C770" s="117"/>
      <c r="D770" s="117"/>
      <c r="E770" s="117"/>
      <c r="F770" s="115"/>
      <c r="G770" s="180"/>
      <c r="H770" s="117"/>
      <c r="I770" s="117"/>
      <c r="J770" s="117"/>
      <c r="K770" s="92"/>
      <c r="L770" s="180"/>
      <c r="M770" s="117"/>
      <c r="N770" s="117"/>
      <c r="O770" s="117"/>
      <c r="P770" s="92"/>
      <c r="Q770" s="150"/>
      <c r="R770" s="117"/>
      <c r="S770" s="117"/>
      <c r="T770" s="117"/>
      <c r="U770" s="115"/>
      <c r="V770" s="180"/>
      <c r="W770" s="117"/>
      <c r="X770" s="117"/>
      <c r="Y770" s="117"/>
      <c r="Z770" s="115"/>
      <c r="AA770" s="180"/>
      <c r="AB770" s="117"/>
      <c r="AC770" s="117"/>
      <c r="AD770" s="117"/>
      <c r="AE770" s="115"/>
      <c r="AF770" s="180"/>
      <c r="AG770" s="117"/>
      <c r="AH770" s="117"/>
      <c r="AI770" s="117"/>
      <c r="AJ770" s="115"/>
      <c r="AK770" s="180"/>
      <c r="AL770" s="117"/>
      <c r="AM770" s="117"/>
      <c r="AN770" s="117"/>
      <c r="AO770" s="338"/>
      <c r="AP770" s="338"/>
      <c r="AQ770" s="338"/>
      <c r="AR770" s="338"/>
      <c r="AS770" s="338"/>
      <c r="AT770" s="338"/>
      <c r="AU770" s="338"/>
      <c r="AV770" s="338"/>
      <c r="AW770" s="338"/>
      <c r="AX770" s="338"/>
      <c r="AY770" s="338"/>
      <c r="AZ770" s="338"/>
      <c r="BA770" s="338"/>
      <c r="BB770" s="338"/>
      <c r="BC770" s="338"/>
    </row>
    <row r="771">
      <c r="A771" s="115"/>
      <c r="B771" s="180"/>
      <c r="C771" s="117"/>
      <c r="D771" s="117"/>
      <c r="E771" s="117"/>
      <c r="F771" s="115"/>
      <c r="G771" s="180"/>
      <c r="H771" s="117"/>
      <c r="I771" s="117"/>
      <c r="J771" s="117"/>
      <c r="K771" s="92"/>
      <c r="L771" s="180"/>
      <c r="M771" s="117"/>
      <c r="N771" s="117"/>
      <c r="O771" s="117"/>
      <c r="P771" s="92"/>
      <c r="Q771" s="150"/>
      <c r="R771" s="117"/>
      <c r="S771" s="117"/>
      <c r="T771" s="117"/>
      <c r="U771" s="115"/>
      <c r="V771" s="180"/>
      <c r="W771" s="117"/>
      <c r="X771" s="117"/>
      <c r="Y771" s="117"/>
      <c r="Z771" s="115"/>
      <c r="AA771" s="180"/>
      <c r="AB771" s="117"/>
      <c r="AC771" s="117"/>
      <c r="AD771" s="117"/>
      <c r="AE771" s="115"/>
      <c r="AF771" s="180"/>
      <c r="AG771" s="117"/>
      <c r="AH771" s="117"/>
      <c r="AI771" s="117"/>
      <c r="AJ771" s="115"/>
      <c r="AK771" s="180"/>
      <c r="AL771" s="117"/>
      <c r="AM771" s="117"/>
      <c r="AN771" s="117"/>
      <c r="AO771" s="338"/>
      <c r="AP771" s="338"/>
      <c r="AQ771" s="338"/>
      <c r="AR771" s="338"/>
      <c r="AS771" s="338"/>
      <c r="AT771" s="338"/>
      <c r="AU771" s="338"/>
      <c r="AV771" s="338"/>
      <c r="AW771" s="338"/>
      <c r="AX771" s="338"/>
      <c r="AY771" s="338"/>
      <c r="AZ771" s="338"/>
      <c r="BA771" s="338"/>
      <c r="BB771" s="338"/>
      <c r="BC771" s="338"/>
    </row>
    <row r="772">
      <c r="A772" s="115"/>
      <c r="B772" s="180"/>
      <c r="C772" s="117"/>
      <c r="D772" s="117"/>
      <c r="E772" s="117"/>
      <c r="F772" s="115"/>
      <c r="G772" s="180"/>
      <c r="H772" s="117"/>
      <c r="I772" s="117"/>
      <c r="J772" s="117"/>
      <c r="K772" s="92"/>
      <c r="L772" s="180"/>
      <c r="M772" s="117"/>
      <c r="N772" s="117"/>
      <c r="O772" s="117"/>
      <c r="P772" s="92"/>
      <c r="Q772" s="150"/>
      <c r="R772" s="117"/>
      <c r="S772" s="117"/>
      <c r="T772" s="117"/>
      <c r="U772" s="115"/>
      <c r="V772" s="180"/>
      <c r="W772" s="117"/>
      <c r="X772" s="117"/>
      <c r="Y772" s="117"/>
      <c r="Z772" s="115"/>
      <c r="AA772" s="180"/>
      <c r="AB772" s="117"/>
      <c r="AC772" s="117"/>
      <c r="AD772" s="117"/>
      <c r="AE772" s="115"/>
      <c r="AF772" s="180"/>
      <c r="AG772" s="117"/>
      <c r="AH772" s="117"/>
      <c r="AI772" s="117"/>
      <c r="AJ772" s="115"/>
      <c r="AK772" s="180"/>
      <c r="AL772" s="117"/>
      <c r="AM772" s="117"/>
      <c r="AN772" s="117"/>
      <c r="AO772" s="338"/>
      <c r="AP772" s="338"/>
      <c r="AQ772" s="338"/>
      <c r="AR772" s="338"/>
      <c r="AS772" s="338"/>
      <c r="AT772" s="338"/>
      <c r="AU772" s="338"/>
      <c r="AV772" s="338"/>
      <c r="AW772" s="338"/>
      <c r="AX772" s="338"/>
      <c r="AY772" s="338"/>
      <c r="AZ772" s="338"/>
      <c r="BA772" s="338"/>
      <c r="BB772" s="338"/>
      <c r="BC772" s="338"/>
    </row>
    <row r="773">
      <c r="A773" s="115"/>
      <c r="B773" s="180"/>
      <c r="C773" s="117"/>
      <c r="D773" s="117"/>
      <c r="E773" s="117"/>
      <c r="F773" s="115"/>
      <c r="G773" s="180"/>
      <c r="H773" s="117"/>
      <c r="I773" s="117"/>
      <c r="J773" s="117"/>
      <c r="K773" s="92"/>
      <c r="L773" s="180"/>
      <c r="M773" s="117"/>
      <c r="N773" s="117"/>
      <c r="O773" s="117"/>
      <c r="P773" s="92"/>
      <c r="Q773" s="150"/>
      <c r="R773" s="117"/>
      <c r="S773" s="117"/>
      <c r="T773" s="117"/>
      <c r="U773" s="115"/>
      <c r="V773" s="180"/>
      <c r="W773" s="117"/>
      <c r="X773" s="117"/>
      <c r="Y773" s="117"/>
      <c r="Z773" s="115"/>
      <c r="AA773" s="180"/>
      <c r="AB773" s="117"/>
      <c r="AC773" s="117"/>
      <c r="AD773" s="117"/>
      <c r="AE773" s="115"/>
      <c r="AF773" s="180"/>
      <c r="AG773" s="117"/>
      <c r="AH773" s="117"/>
      <c r="AI773" s="117"/>
      <c r="AJ773" s="115"/>
      <c r="AK773" s="180"/>
      <c r="AL773" s="117"/>
      <c r="AM773" s="117"/>
      <c r="AN773" s="117"/>
      <c r="AO773" s="338"/>
      <c r="AP773" s="338"/>
      <c r="AQ773" s="338"/>
      <c r="AR773" s="338"/>
      <c r="AS773" s="338"/>
      <c r="AT773" s="338"/>
      <c r="AU773" s="338"/>
      <c r="AV773" s="338"/>
      <c r="AW773" s="338"/>
      <c r="AX773" s="338"/>
      <c r="AY773" s="338"/>
      <c r="AZ773" s="338"/>
      <c r="BA773" s="338"/>
      <c r="BB773" s="338"/>
      <c r="BC773" s="338"/>
    </row>
    <row r="774">
      <c r="A774" s="115"/>
      <c r="B774" s="180"/>
      <c r="C774" s="117"/>
      <c r="D774" s="117"/>
      <c r="E774" s="117"/>
      <c r="F774" s="115"/>
      <c r="G774" s="180"/>
      <c r="H774" s="117"/>
      <c r="I774" s="117"/>
      <c r="J774" s="117"/>
      <c r="K774" s="92"/>
      <c r="L774" s="180"/>
      <c r="M774" s="117"/>
      <c r="N774" s="117"/>
      <c r="O774" s="117"/>
      <c r="P774" s="92"/>
      <c r="Q774" s="150"/>
      <c r="R774" s="117"/>
      <c r="S774" s="117"/>
      <c r="T774" s="117"/>
      <c r="U774" s="115"/>
      <c r="V774" s="180"/>
      <c r="W774" s="117"/>
      <c r="X774" s="117"/>
      <c r="Y774" s="117"/>
      <c r="Z774" s="115"/>
      <c r="AA774" s="180"/>
      <c r="AB774" s="117"/>
      <c r="AC774" s="117"/>
      <c r="AD774" s="117"/>
      <c r="AE774" s="115"/>
      <c r="AF774" s="180"/>
      <c r="AG774" s="117"/>
      <c r="AH774" s="117"/>
      <c r="AI774" s="117"/>
      <c r="AJ774" s="115"/>
      <c r="AK774" s="180"/>
      <c r="AL774" s="117"/>
      <c r="AM774" s="117"/>
      <c r="AN774" s="117"/>
      <c r="AO774" s="338"/>
      <c r="AP774" s="338"/>
      <c r="AQ774" s="338"/>
      <c r="AR774" s="338"/>
      <c r="AS774" s="338"/>
      <c r="AT774" s="338"/>
      <c r="AU774" s="338"/>
      <c r="AV774" s="338"/>
      <c r="AW774" s="338"/>
      <c r="AX774" s="338"/>
      <c r="AY774" s="338"/>
      <c r="AZ774" s="338"/>
      <c r="BA774" s="338"/>
      <c r="BB774" s="338"/>
      <c r="BC774" s="338"/>
    </row>
    <row r="775">
      <c r="A775" s="115"/>
      <c r="B775" s="180"/>
      <c r="C775" s="117"/>
      <c r="D775" s="117"/>
      <c r="E775" s="117"/>
      <c r="F775" s="115"/>
      <c r="G775" s="180"/>
      <c r="H775" s="117"/>
      <c r="I775" s="117"/>
      <c r="J775" s="117"/>
      <c r="K775" s="92"/>
      <c r="L775" s="180"/>
      <c r="M775" s="117"/>
      <c r="N775" s="117"/>
      <c r="O775" s="117"/>
      <c r="P775" s="92"/>
      <c r="Q775" s="150"/>
      <c r="R775" s="117"/>
      <c r="S775" s="117"/>
      <c r="T775" s="117"/>
      <c r="U775" s="115"/>
      <c r="V775" s="180"/>
      <c r="W775" s="117"/>
      <c r="X775" s="117"/>
      <c r="Y775" s="117"/>
      <c r="Z775" s="115"/>
      <c r="AA775" s="180"/>
      <c r="AB775" s="117"/>
      <c r="AC775" s="117"/>
      <c r="AD775" s="117"/>
      <c r="AE775" s="115"/>
      <c r="AF775" s="180"/>
      <c r="AG775" s="117"/>
      <c r="AH775" s="117"/>
      <c r="AI775" s="117"/>
      <c r="AJ775" s="115"/>
      <c r="AK775" s="180"/>
      <c r="AL775" s="117"/>
      <c r="AM775" s="117"/>
      <c r="AN775" s="117"/>
      <c r="AO775" s="338"/>
      <c r="AP775" s="338"/>
      <c r="AQ775" s="338"/>
      <c r="AR775" s="338"/>
      <c r="AS775" s="338"/>
      <c r="AT775" s="338"/>
      <c r="AU775" s="338"/>
      <c r="AV775" s="338"/>
      <c r="AW775" s="338"/>
      <c r="AX775" s="338"/>
      <c r="AY775" s="338"/>
      <c r="AZ775" s="338"/>
      <c r="BA775" s="338"/>
      <c r="BB775" s="338"/>
      <c r="BC775" s="338"/>
    </row>
    <row r="776">
      <c r="A776" s="115"/>
      <c r="B776" s="180"/>
      <c r="C776" s="117"/>
      <c r="D776" s="117"/>
      <c r="E776" s="117"/>
      <c r="F776" s="115"/>
      <c r="G776" s="180"/>
      <c r="H776" s="117"/>
      <c r="I776" s="117"/>
      <c r="J776" s="117"/>
      <c r="K776" s="92"/>
      <c r="L776" s="180"/>
      <c r="M776" s="117"/>
      <c r="N776" s="117"/>
      <c r="O776" s="117"/>
      <c r="P776" s="92"/>
      <c r="Q776" s="150"/>
      <c r="R776" s="117"/>
      <c r="S776" s="117"/>
      <c r="T776" s="117"/>
      <c r="U776" s="115"/>
      <c r="V776" s="180"/>
      <c r="W776" s="117"/>
      <c r="X776" s="117"/>
      <c r="Y776" s="117"/>
      <c r="Z776" s="115"/>
      <c r="AA776" s="180"/>
      <c r="AB776" s="117"/>
      <c r="AC776" s="117"/>
      <c r="AD776" s="117"/>
      <c r="AE776" s="115"/>
      <c r="AF776" s="180"/>
      <c r="AG776" s="117"/>
      <c r="AH776" s="117"/>
      <c r="AI776" s="117"/>
      <c r="AJ776" s="115"/>
      <c r="AK776" s="180"/>
      <c r="AL776" s="117"/>
      <c r="AM776" s="117"/>
      <c r="AN776" s="117"/>
      <c r="AO776" s="338"/>
      <c r="AP776" s="338"/>
      <c r="AQ776" s="338"/>
      <c r="AR776" s="338"/>
      <c r="AS776" s="338"/>
      <c r="AT776" s="338"/>
      <c r="AU776" s="338"/>
      <c r="AV776" s="338"/>
      <c r="AW776" s="338"/>
      <c r="AX776" s="338"/>
      <c r="AY776" s="338"/>
      <c r="AZ776" s="338"/>
      <c r="BA776" s="338"/>
      <c r="BB776" s="338"/>
      <c r="BC776" s="338"/>
    </row>
    <row r="777">
      <c r="A777" s="115"/>
      <c r="B777" s="180"/>
      <c r="C777" s="117"/>
      <c r="D777" s="117"/>
      <c r="E777" s="117"/>
      <c r="F777" s="115"/>
      <c r="G777" s="180"/>
      <c r="H777" s="117"/>
      <c r="I777" s="117"/>
      <c r="J777" s="117"/>
      <c r="K777" s="92"/>
      <c r="L777" s="180"/>
      <c r="M777" s="117"/>
      <c r="N777" s="117"/>
      <c r="O777" s="117"/>
      <c r="P777" s="92"/>
      <c r="Q777" s="150"/>
      <c r="R777" s="117"/>
      <c r="S777" s="117"/>
      <c r="T777" s="117"/>
      <c r="U777" s="115"/>
      <c r="V777" s="180"/>
      <c r="W777" s="117"/>
      <c r="X777" s="117"/>
      <c r="Y777" s="117"/>
      <c r="Z777" s="115"/>
      <c r="AA777" s="180"/>
      <c r="AB777" s="117"/>
      <c r="AC777" s="117"/>
      <c r="AD777" s="117"/>
      <c r="AE777" s="115"/>
      <c r="AF777" s="180"/>
      <c r="AG777" s="117"/>
      <c r="AH777" s="117"/>
      <c r="AI777" s="117"/>
      <c r="AJ777" s="115"/>
      <c r="AK777" s="180"/>
      <c r="AL777" s="117"/>
      <c r="AM777" s="117"/>
      <c r="AN777" s="117"/>
      <c r="AO777" s="338"/>
      <c r="AP777" s="338"/>
      <c r="AQ777" s="338"/>
      <c r="AR777" s="338"/>
      <c r="AS777" s="338"/>
      <c r="AT777" s="338"/>
      <c r="AU777" s="338"/>
      <c r="AV777" s="338"/>
      <c r="AW777" s="338"/>
      <c r="AX777" s="338"/>
      <c r="AY777" s="338"/>
      <c r="AZ777" s="338"/>
      <c r="BA777" s="338"/>
      <c r="BB777" s="338"/>
      <c r="BC777" s="338"/>
    </row>
    <row r="778">
      <c r="A778" s="115"/>
      <c r="B778" s="180"/>
      <c r="C778" s="117"/>
      <c r="D778" s="117"/>
      <c r="E778" s="117"/>
      <c r="F778" s="115"/>
      <c r="G778" s="180"/>
      <c r="H778" s="117"/>
      <c r="I778" s="117"/>
      <c r="J778" s="117"/>
      <c r="K778" s="92"/>
      <c r="L778" s="180"/>
      <c r="M778" s="117"/>
      <c r="N778" s="117"/>
      <c r="O778" s="117"/>
      <c r="P778" s="92"/>
      <c r="Q778" s="150"/>
      <c r="R778" s="117"/>
      <c r="S778" s="117"/>
      <c r="T778" s="117"/>
      <c r="U778" s="115"/>
      <c r="V778" s="180"/>
      <c r="W778" s="117"/>
      <c r="X778" s="117"/>
      <c r="Y778" s="117"/>
      <c r="Z778" s="115"/>
      <c r="AA778" s="180"/>
      <c r="AB778" s="117"/>
      <c r="AC778" s="117"/>
      <c r="AD778" s="117"/>
      <c r="AE778" s="115"/>
      <c r="AF778" s="180"/>
      <c r="AG778" s="117"/>
      <c r="AH778" s="117"/>
      <c r="AI778" s="117"/>
      <c r="AJ778" s="115"/>
      <c r="AK778" s="180"/>
      <c r="AL778" s="117"/>
      <c r="AM778" s="117"/>
      <c r="AN778" s="117"/>
      <c r="AO778" s="338"/>
      <c r="AP778" s="338"/>
      <c r="AQ778" s="338"/>
      <c r="AR778" s="338"/>
      <c r="AS778" s="338"/>
      <c r="AT778" s="338"/>
      <c r="AU778" s="338"/>
      <c r="AV778" s="338"/>
      <c r="AW778" s="338"/>
      <c r="AX778" s="338"/>
      <c r="AY778" s="338"/>
      <c r="AZ778" s="338"/>
      <c r="BA778" s="338"/>
      <c r="BB778" s="338"/>
      <c r="BC778" s="338"/>
    </row>
    <row r="779">
      <c r="A779" s="115"/>
      <c r="B779" s="180"/>
      <c r="C779" s="117"/>
      <c r="D779" s="117"/>
      <c r="E779" s="117"/>
      <c r="F779" s="115"/>
      <c r="G779" s="180"/>
      <c r="H779" s="117"/>
      <c r="I779" s="117"/>
      <c r="J779" s="117"/>
      <c r="K779" s="92"/>
      <c r="L779" s="180"/>
      <c r="M779" s="117"/>
      <c r="N779" s="117"/>
      <c r="O779" s="117"/>
      <c r="P779" s="92"/>
      <c r="Q779" s="150"/>
      <c r="R779" s="117"/>
      <c r="S779" s="117"/>
      <c r="T779" s="117"/>
      <c r="U779" s="115"/>
      <c r="V779" s="180"/>
      <c r="W779" s="117"/>
      <c r="X779" s="117"/>
      <c r="Y779" s="117"/>
      <c r="Z779" s="115"/>
      <c r="AA779" s="180"/>
      <c r="AB779" s="117"/>
      <c r="AC779" s="117"/>
      <c r="AD779" s="117"/>
      <c r="AE779" s="115"/>
      <c r="AF779" s="180"/>
      <c r="AG779" s="117"/>
      <c r="AH779" s="117"/>
      <c r="AI779" s="117"/>
      <c r="AJ779" s="115"/>
      <c r="AK779" s="180"/>
      <c r="AL779" s="117"/>
      <c r="AM779" s="117"/>
      <c r="AN779" s="117"/>
      <c r="AO779" s="338"/>
      <c r="AP779" s="338"/>
      <c r="AQ779" s="338"/>
      <c r="AR779" s="338"/>
      <c r="AS779" s="338"/>
      <c r="AT779" s="338"/>
      <c r="AU779" s="338"/>
      <c r="AV779" s="338"/>
      <c r="AW779" s="338"/>
      <c r="AX779" s="338"/>
      <c r="AY779" s="338"/>
      <c r="AZ779" s="338"/>
      <c r="BA779" s="338"/>
      <c r="BB779" s="338"/>
      <c r="BC779" s="338"/>
    </row>
    <row r="780">
      <c r="A780" s="115"/>
      <c r="B780" s="180"/>
      <c r="C780" s="117"/>
      <c r="D780" s="117"/>
      <c r="E780" s="117"/>
      <c r="F780" s="115"/>
      <c r="G780" s="180"/>
      <c r="H780" s="117"/>
      <c r="I780" s="117"/>
      <c r="J780" s="117"/>
      <c r="K780" s="92"/>
      <c r="L780" s="180"/>
      <c r="M780" s="117"/>
      <c r="N780" s="117"/>
      <c r="O780" s="117"/>
      <c r="P780" s="92"/>
      <c r="Q780" s="150"/>
      <c r="R780" s="117"/>
      <c r="S780" s="117"/>
      <c r="T780" s="117"/>
      <c r="U780" s="115"/>
      <c r="V780" s="180"/>
      <c r="W780" s="117"/>
      <c r="X780" s="117"/>
      <c r="Y780" s="117"/>
      <c r="Z780" s="115"/>
      <c r="AA780" s="180"/>
      <c r="AB780" s="117"/>
      <c r="AC780" s="117"/>
      <c r="AD780" s="117"/>
      <c r="AE780" s="115"/>
      <c r="AF780" s="180"/>
      <c r="AG780" s="117"/>
      <c r="AH780" s="117"/>
      <c r="AI780" s="117"/>
      <c r="AJ780" s="115"/>
      <c r="AK780" s="180"/>
      <c r="AL780" s="117"/>
      <c r="AM780" s="117"/>
      <c r="AN780" s="117"/>
      <c r="AO780" s="338"/>
      <c r="AP780" s="338"/>
      <c r="AQ780" s="338"/>
      <c r="AR780" s="338"/>
      <c r="AS780" s="338"/>
      <c r="AT780" s="338"/>
      <c r="AU780" s="338"/>
      <c r="AV780" s="338"/>
      <c r="AW780" s="338"/>
      <c r="AX780" s="338"/>
      <c r="AY780" s="338"/>
      <c r="AZ780" s="338"/>
      <c r="BA780" s="338"/>
      <c r="BB780" s="338"/>
      <c r="BC780" s="338"/>
    </row>
    <row r="781">
      <c r="A781" s="115"/>
      <c r="B781" s="180"/>
      <c r="C781" s="117"/>
      <c r="D781" s="117"/>
      <c r="E781" s="117"/>
      <c r="F781" s="115"/>
      <c r="G781" s="180"/>
      <c r="H781" s="117"/>
      <c r="I781" s="117"/>
      <c r="J781" s="117"/>
      <c r="K781" s="92"/>
      <c r="L781" s="180"/>
      <c r="M781" s="117"/>
      <c r="N781" s="117"/>
      <c r="O781" s="117"/>
      <c r="P781" s="92"/>
      <c r="Q781" s="150"/>
      <c r="R781" s="117"/>
      <c r="S781" s="117"/>
      <c r="T781" s="117"/>
      <c r="U781" s="115"/>
      <c r="V781" s="180"/>
      <c r="W781" s="117"/>
      <c r="X781" s="117"/>
      <c r="Y781" s="117"/>
      <c r="Z781" s="115"/>
      <c r="AA781" s="180"/>
      <c r="AB781" s="117"/>
      <c r="AC781" s="117"/>
      <c r="AD781" s="117"/>
      <c r="AE781" s="115"/>
      <c r="AF781" s="180"/>
      <c r="AG781" s="117"/>
      <c r="AH781" s="117"/>
      <c r="AI781" s="117"/>
      <c r="AJ781" s="115"/>
      <c r="AK781" s="180"/>
      <c r="AL781" s="117"/>
      <c r="AM781" s="117"/>
      <c r="AN781" s="117"/>
      <c r="AO781" s="338"/>
      <c r="AP781" s="338"/>
      <c r="AQ781" s="338"/>
      <c r="AR781" s="338"/>
      <c r="AS781" s="338"/>
      <c r="AT781" s="338"/>
      <c r="AU781" s="338"/>
      <c r="AV781" s="338"/>
      <c r="AW781" s="338"/>
      <c r="AX781" s="338"/>
      <c r="AY781" s="338"/>
      <c r="AZ781" s="338"/>
      <c r="BA781" s="338"/>
      <c r="BB781" s="338"/>
      <c r="BC781" s="338"/>
    </row>
    <row r="782">
      <c r="A782" s="115"/>
      <c r="B782" s="180"/>
      <c r="C782" s="117"/>
      <c r="D782" s="117"/>
      <c r="E782" s="117"/>
      <c r="F782" s="115"/>
      <c r="G782" s="180"/>
      <c r="H782" s="117"/>
      <c r="I782" s="117"/>
      <c r="J782" s="117"/>
      <c r="K782" s="92"/>
      <c r="L782" s="180"/>
      <c r="M782" s="117"/>
      <c r="N782" s="117"/>
      <c r="O782" s="117"/>
      <c r="P782" s="92"/>
      <c r="Q782" s="150"/>
      <c r="R782" s="117"/>
      <c r="S782" s="117"/>
      <c r="T782" s="117"/>
      <c r="U782" s="115"/>
      <c r="V782" s="180"/>
      <c r="W782" s="117"/>
      <c r="X782" s="117"/>
      <c r="Y782" s="117"/>
      <c r="Z782" s="115"/>
      <c r="AA782" s="180"/>
      <c r="AB782" s="117"/>
      <c r="AC782" s="117"/>
      <c r="AD782" s="117"/>
      <c r="AE782" s="115"/>
      <c r="AF782" s="180"/>
      <c r="AG782" s="117"/>
      <c r="AH782" s="117"/>
      <c r="AI782" s="117"/>
      <c r="AJ782" s="115"/>
      <c r="AK782" s="180"/>
      <c r="AL782" s="117"/>
      <c r="AM782" s="117"/>
      <c r="AN782" s="117"/>
      <c r="AO782" s="338"/>
      <c r="AP782" s="338"/>
      <c r="AQ782" s="338"/>
      <c r="AR782" s="338"/>
      <c r="AS782" s="338"/>
      <c r="AT782" s="338"/>
      <c r="AU782" s="338"/>
      <c r="AV782" s="338"/>
      <c r="AW782" s="338"/>
      <c r="AX782" s="338"/>
      <c r="AY782" s="338"/>
      <c r="AZ782" s="338"/>
      <c r="BA782" s="338"/>
      <c r="BB782" s="338"/>
      <c r="BC782" s="338"/>
    </row>
    <row r="783">
      <c r="A783" s="115"/>
      <c r="B783" s="180"/>
      <c r="C783" s="117"/>
      <c r="D783" s="117"/>
      <c r="E783" s="117"/>
      <c r="F783" s="115"/>
      <c r="G783" s="180"/>
      <c r="H783" s="117"/>
      <c r="I783" s="117"/>
      <c r="J783" s="117"/>
      <c r="K783" s="92"/>
      <c r="L783" s="180"/>
      <c r="M783" s="117"/>
      <c r="N783" s="117"/>
      <c r="O783" s="117"/>
      <c r="P783" s="92"/>
      <c r="Q783" s="150"/>
      <c r="R783" s="117"/>
      <c r="S783" s="117"/>
      <c r="T783" s="117"/>
      <c r="U783" s="115"/>
      <c r="V783" s="180"/>
      <c r="W783" s="117"/>
      <c r="X783" s="117"/>
      <c r="Y783" s="117"/>
      <c r="Z783" s="115"/>
      <c r="AA783" s="180"/>
      <c r="AB783" s="117"/>
      <c r="AC783" s="117"/>
      <c r="AD783" s="117"/>
      <c r="AE783" s="115"/>
      <c r="AF783" s="180"/>
      <c r="AG783" s="117"/>
      <c r="AH783" s="117"/>
      <c r="AI783" s="117"/>
      <c r="AJ783" s="115"/>
      <c r="AK783" s="180"/>
      <c r="AL783" s="117"/>
      <c r="AM783" s="117"/>
      <c r="AN783" s="117"/>
      <c r="AO783" s="338"/>
      <c r="AP783" s="338"/>
      <c r="AQ783" s="338"/>
      <c r="AR783" s="338"/>
      <c r="AS783" s="338"/>
      <c r="AT783" s="338"/>
      <c r="AU783" s="338"/>
      <c r="AV783" s="338"/>
      <c r="AW783" s="338"/>
      <c r="AX783" s="338"/>
      <c r="AY783" s="338"/>
      <c r="AZ783" s="338"/>
      <c r="BA783" s="338"/>
      <c r="BB783" s="338"/>
      <c r="BC783" s="338"/>
    </row>
    <row r="784">
      <c r="A784" s="115"/>
      <c r="B784" s="180"/>
      <c r="C784" s="117"/>
      <c r="D784" s="117"/>
      <c r="E784" s="117"/>
      <c r="F784" s="115"/>
      <c r="G784" s="180"/>
      <c r="H784" s="117"/>
      <c r="I784" s="117"/>
      <c r="J784" s="117"/>
      <c r="K784" s="92"/>
      <c r="L784" s="180"/>
      <c r="M784" s="117"/>
      <c r="N784" s="117"/>
      <c r="O784" s="117"/>
      <c r="P784" s="92"/>
      <c r="Q784" s="150"/>
      <c r="R784" s="117"/>
      <c r="S784" s="117"/>
      <c r="T784" s="117"/>
      <c r="U784" s="115"/>
      <c r="V784" s="180"/>
      <c r="W784" s="117"/>
      <c r="X784" s="117"/>
      <c r="Y784" s="117"/>
      <c r="Z784" s="115"/>
      <c r="AA784" s="180"/>
      <c r="AB784" s="117"/>
      <c r="AC784" s="117"/>
      <c r="AD784" s="117"/>
      <c r="AE784" s="115"/>
      <c r="AF784" s="180"/>
      <c r="AG784" s="117"/>
      <c r="AH784" s="117"/>
      <c r="AI784" s="117"/>
      <c r="AJ784" s="115"/>
      <c r="AK784" s="180"/>
      <c r="AL784" s="117"/>
      <c r="AM784" s="117"/>
      <c r="AN784" s="117"/>
      <c r="AO784" s="338"/>
      <c r="AP784" s="338"/>
      <c r="AQ784" s="338"/>
      <c r="AR784" s="338"/>
      <c r="AS784" s="338"/>
      <c r="AT784" s="338"/>
      <c r="AU784" s="338"/>
      <c r="AV784" s="338"/>
      <c r="AW784" s="338"/>
      <c r="AX784" s="338"/>
      <c r="AY784" s="338"/>
      <c r="AZ784" s="338"/>
      <c r="BA784" s="338"/>
      <c r="BB784" s="338"/>
      <c r="BC784" s="338"/>
    </row>
    <row r="785">
      <c r="A785" s="115"/>
      <c r="B785" s="180"/>
      <c r="C785" s="117"/>
      <c r="D785" s="117"/>
      <c r="E785" s="117"/>
      <c r="F785" s="115"/>
      <c r="G785" s="180"/>
      <c r="H785" s="117"/>
      <c r="I785" s="117"/>
      <c r="J785" s="117"/>
      <c r="K785" s="92"/>
      <c r="L785" s="180"/>
      <c r="M785" s="117"/>
      <c r="N785" s="117"/>
      <c r="O785" s="117"/>
      <c r="P785" s="92"/>
      <c r="Q785" s="150"/>
      <c r="R785" s="117"/>
      <c r="S785" s="117"/>
      <c r="T785" s="117"/>
      <c r="U785" s="115"/>
      <c r="V785" s="180"/>
      <c r="W785" s="117"/>
      <c r="X785" s="117"/>
      <c r="Y785" s="117"/>
      <c r="Z785" s="115"/>
      <c r="AA785" s="180"/>
      <c r="AB785" s="117"/>
      <c r="AC785" s="117"/>
      <c r="AD785" s="117"/>
      <c r="AE785" s="115"/>
      <c r="AF785" s="180"/>
      <c r="AG785" s="117"/>
      <c r="AH785" s="117"/>
      <c r="AI785" s="117"/>
      <c r="AJ785" s="115"/>
      <c r="AK785" s="180"/>
      <c r="AL785" s="117"/>
      <c r="AM785" s="117"/>
      <c r="AN785" s="117"/>
      <c r="AO785" s="338"/>
      <c r="AP785" s="338"/>
      <c r="AQ785" s="338"/>
      <c r="AR785" s="338"/>
      <c r="AS785" s="338"/>
      <c r="AT785" s="338"/>
      <c r="AU785" s="338"/>
      <c r="AV785" s="338"/>
      <c r="AW785" s="338"/>
      <c r="AX785" s="338"/>
      <c r="AY785" s="338"/>
      <c r="AZ785" s="338"/>
      <c r="BA785" s="338"/>
      <c r="BB785" s="338"/>
      <c r="BC785" s="338"/>
    </row>
    <row r="786">
      <c r="A786" s="115"/>
      <c r="B786" s="180"/>
      <c r="C786" s="117"/>
      <c r="D786" s="117"/>
      <c r="E786" s="117"/>
      <c r="F786" s="115"/>
      <c r="G786" s="180"/>
      <c r="H786" s="117"/>
      <c r="I786" s="117"/>
      <c r="J786" s="117"/>
      <c r="K786" s="92"/>
      <c r="L786" s="180"/>
      <c r="M786" s="117"/>
      <c r="N786" s="117"/>
      <c r="O786" s="117"/>
      <c r="P786" s="92"/>
      <c r="Q786" s="150"/>
      <c r="R786" s="117"/>
      <c r="S786" s="117"/>
      <c r="T786" s="117"/>
      <c r="U786" s="115"/>
      <c r="V786" s="180"/>
      <c r="W786" s="117"/>
      <c r="X786" s="117"/>
      <c r="Y786" s="117"/>
      <c r="Z786" s="115"/>
      <c r="AA786" s="180"/>
      <c r="AB786" s="117"/>
      <c r="AC786" s="117"/>
      <c r="AD786" s="117"/>
      <c r="AE786" s="115"/>
      <c r="AF786" s="180"/>
      <c r="AG786" s="117"/>
      <c r="AH786" s="117"/>
      <c r="AI786" s="117"/>
      <c r="AJ786" s="115"/>
      <c r="AK786" s="180"/>
      <c r="AL786" s="117"/>
      <c r="AM786" s="117"/>
      <c r="AN786" s="117"/>
      <c r="AO786" s="338"/>
      <c r="AP786" s="338"/>
      <c r="AQ786" s="338"/>
      <c r="AR786" s="338"/>
      <c r="AS786" s="338"/>
      <c r="AT786" s="338"/>
      <c r="AU786" s="338"/>
      <c r="AV786" s="338"/>
      <c r="AW786" s="338"/>
      <c r="AX786" s="338"/>
      <c r="AY786" s="338"/>
      <c r="AZ786" s="338"/>
      <c r="BA786" s="338"/>
      <c r="BB786" s="338"/>
      <c r="BC786" s="338"/>
    </row>
    <row r="787">
      <c r="A787" s="115"/>
      <c r="B787" s="180"/>
      <c r="C787" s="117"/>
      <c r="D787" s="117"/>
      <c r="E787" s="117"/>
      <c r="F787" s="115"/>
      <c r="G787" s="180"/>
      <c r="H787" s="117"/>
      <c r="I787" s="117"/>
      <c r="J787" s="117"/>
      <c r="K787" s="92"/>
      <c r="L787" s="180"/>
      <c r="M787" s="117"/>
      <c r="N787" s="117"/>
      <c r="O787" s="117"/>
      <c r="P787" s="92"/>
      <c r="Q787" s="150"/>
      <c r="R787" s="117"/>
      <c r="S787" s="117"/>
      <c r="T787" s="117"/>
      <c r="U787" s="115"/>
      <c r="V787" s="180"/>
      <c r="W787" s="117"/>
      <c r="X787" s="117"/>
      <c r="Y787" s="117"/>
      <c r="Z787" s="115"/>
      <c r="AA787" s="180"/>
      <c r="AB787" s="117"/>
      <c r="AC787" s="117"/>
      <c r="AD787" s="117"/>
      <c r="AE787" s="115"/>
      <c r="AF787" s="180"/>
      <c r="AG787" s="117"/>
      <c r="AH787" s="117"/>
      <c r="AI787" s="117"/>
      <c r="AJ787" s="115"/>
      <c r="AK787" s="180"/>
      <c r="AL787" s="117"/>
      <c r="AM787" s="117"/>
      <c r="AN787" s="117"/>
      <c r="AO787" s="338"/>
      <c r="AP787" s="338"/>
      <c r="AQ787" s="338"/>
      <c r="AR787" s="338"/>
      <c r="AS787" s="338"/>
      <c r="AT787" s="338"/>
      <c r="AU787" s="338"/>
      <c r="AV787" s="338"/>
      <c r="AW787" s="338"/>
      <c r="AX787" s="338"/>
      <c r="AY787" s="338"/>
      <c r="AZ787" s="338"/>
      <c r="BA787" s="338"/>
      <c r="BB787" s="338"/>
      <c r="BC787" s="338"/>
    </row>
    <row r="788">
      <c r="A788" s="115"/>
      <c r="B788" s="180"/>
      <c r="C788" s="117"/>
      <c r="D788" s="117"/>
      <c r="E788" s="117"/>
      <c r="F788" s="115"/>
      <c r="G788" s="180"/>
      <c r="H788" s="117"/>
      <c r="I788" s="117"/>
      <c r="J788" s="117"/>
      <c r="K788" s="92"/>
      <c r="L788" s="180"/>
      <c r="M788" s="117"/>
      <c r="N788" s="117"/>
      <c r="O788" s="117"/>
      <c r="P788" s="92"/>
      <c r="Q788" s="150"/>
      <c r="R788" s="117"/>
      <c r="S788" s="117"/>
      <c r="T788" s="117"/>
      <c r="U788" s="115"/>
      <c r="V788" s="180"/>
      <c r="W788" s="117"/>
      <c r="X788" s="117"/>
      <c r="Y788" s="117"/>
      <c r="Z788" s="115"/>
      <c r="AA788" s="180"/>
      <c r="AB788" s="117"/>
      <c r="AC788" s="117"/>
      <c r="AD788" s="117"/>
      <c r="AE788" s="115"/>
      <c r="AF788" s="180"/>
      <c r="AG788" s="117"/>
      <c r="AH788" s="117"/>
      <c r="AI788" s="117"/>
      <c r="AJ788" s="115"/>
      <c r="AK788" s="180"/>
      <c r="AL788" s="117"/>
      <c r="AM788" s="117"/>
      <c r="AN788" s="117"/>
      <c r="AO788" s="338"/>
      <c r="AP788" s="338"/>
      <c r="AQ788" s="338"/>
      <c r="AR788" s="338"/>
      <c r="AS788" s="338"/>
      <c r="AT788" s="338"/>
      <c r="AU788" s="338"/>
      <c r="AV788" s="338"/>
      <c r="AW788" s="338"/>
      <c r="AX788" s="338"/>
      <c r="AY788" s="338"/>
      <c r="AZ788" s="338"/>
      <c r="BA788" s="338"/>
      <c r="BB788" s="338"/>
      <c r="BC788" s="338"/>
    </row>
    <row r="789">
      <c r="A789" s="115"/>
      <c r="B789" s="180"/>
      <c r="C789" s="117"/>
      <c r="D789" s="117"/>
      <c r="E789" s="117"/>
      <c r="F789" s="115"/>
      <c r="G789" s="180"/>
      <c r="H789" s="117"/>
      <c r="I789" s="117"/>
      <c r="J789" s="117"/>
      <c r="K789" s="92"/>
      <c r="L789" s="180"/>
      <c r="M789" s="117"/>
      <c r="N789" s="117"/>
      <c r="O789" s="117"/>
      <c r="P789" s="92"/>
      <c r="Q789" s="150"/>
      <c r="R789" s="117"/>
      <c r="S789" s="117"/>
      <c r="T789" s="117"/>
      <c r="U789" s="115"/>
      <c r="V789" s="180"/>
      <c r="W789" s="117"/>
      <c r="X789" s="117"/>
      <c r="Y789" s="117"/>
      <c r="Z789" s="115"/>
      <c r="AA789" s="180"/>
      <c r="AB789" s="117"/>
      <c r="AC789" s="117"/>
      <c r="AD789" s="117"/>
      <c r="AE789" s="115"/>
      <c r="AF789" s="180"/>
      <c r="AG789" s="117"/>
      <c r="AH789" s="117"/>
      <c r="AI789" s="117"/>
      <c r="AJ789" s="115"/>
      <c r="AK789" s="180"/>
      <c r="AL789" s="117"/>
      <c r="AM789" s="117"/>
      <c r="AN789" s="117"/>
      <c r="AO789" s="338"/>
      <c r="AP789" s="338"/>
      <c r="AQ789" s="338"/>
      <c r="AR789" s="338"/>
      <c r="AS789" s="338"/>
      <c r="AT789" s="338"/>
      <c r="AU789" s="338"/>
      <c r="AV789" s="338"/>
      <c r="AW789" s="338"/>
      <c r="AX789" s="338"/>
      <c r="AY789" s="338"/>
      <c r="AZ789" s="338"/>
      <c r="BA789" s="338"/>
      <c r="BB789" s="338"/>
      <c r="BC789" s="338"/>
    </row>
    <row r="790">
      <c r="A790" s="115"/>
      <c r="B790" s="180"/>
      <c r="C790" s="117"/>
      <c r="D790" s="117"/>
      <c r="E790" s="117"/>
      <c r="F790" s="115"/>
      <c r="G790" s="180"/>
      <c r="H790" s="117"/>
      <c r="I790" s="117"/>
      <c r="J790" s="117"/>
      <c r="K790" s="92"/>
      <c r="L790" s="180"/>
      <c r="M790" s="117"/>
      <c r="N790" s="117"/>
      <c r="O790" s="117"/>
      <c r="P790" s="92"/>
      <c r="Q790" s="150"/>
      <c r="R790" s="117"/>
      <c r="S790" s="117"/>
      <c r="T790" s="117"/>
      <c r="U790" s="115"/>
      <c r="V790" s="180"/>
      <c r="W790" s="117"/>
      <c r="X790" s="117"/>
      <c r="Y790" s="117"/>
      <c r="Z790" s="115"/>
      <c r="AA790" s="180"/>
      <c r="AB790" s="117"/>
      <c r="AC790" s="117"/>
      <c r="AD790" s="117"/>
      <c r="AE790" s="115"/>
      <c r="AF790" s="180"/>
      <c r="AG790" s="117"/>
      <c r="AH790" s="117"/>
      <c r="AI790" s="117"/>
      <c r="AJ790" s="115"/>
      <c r="AK790" s="180"/>
      <c r="AL790" s="117"/>
      <c r="AM790" s="117"/>
      <c r="AN790" s="117"/>
      <c r="AO790" s="338"/>
      <c r="AP790" s="338"/>
      <c r="AQ790" s="338"/>
      <c r="AR790" s="338"/>
      <c r="AS790" s="338"/>
      <c r="AT790" s="338"/>
      <c r="AU790" s="338"/>
      <c r="AV790" s="338"/>
      <c r="AW790" s="338"/>
      <c r="AX790" s="338"/>
      <c r="AY790" s="338"/>
      <c r="AZ790" s="338"/>
      <c r="BA790" s="338"/>
      <c r="BB790" s="338"/>
      <c r="BC790" s="338"/>
    </row>
    <row r="791">
      <c r="A791" s="115"/>
      <c r="B791" s="180"/>
      <c r="C791" s="117"/>
      <c r="D791" s="117"/>
      <c r="E791" s="117"/>
      <c r="F791" s="115"/>
      <c r="G791" s="180"/>
      <c r="H791" s="117"/>
      <c r="I791" s="117"/>
      <c r="J791" s="117"/>
      <c r="K791" s="92"/>
      <c r="L791" s="180"/>
      <c r="M791" s="117"/>
      <c r="N791" s="117"/>
      <c r="O791" s="117"/>
      <c r="P791" s="92"/>
      <c r="Q791" s="150"/>
      <c r="R791" s="117"/>
      <c r="S791" s="117"/>
      <c r="T791" s="117"/>
      <c r="U791" s="115"/>
      <c r="V791" s="180"/>
      <c r="W791" s="117"/>
      <c r="X791" s="117"/>
      <c r="Y791" s="117"/>
      <c r="Z791" s="115"/>
      <c r="AA791" s="180"/>
      <c r="AB791" s="117"/>
      <c r="AC791" s="117"/>
      <c r="AD791" s="117"/>
      <c r="AE791" s="115"/>
      <c r="AF791" s="180"/>
      <c r="AG791" s="117"/>
      <c r="AH791" s="117"/>
      <c r="AI791" s="117"/>
      <c r="AJ791" s="115"/>
      <c r="AK791" s="180"/>
      <c r="AL791" s="117"/>
      <c r="AM791" s="117"/>
      <c r="AN791" s="117"/>
      <c r="AO791" s="338"/>
      <c r="AP791" s="338"/>
      <c r="AQ791" s="338"/>
      <c r="AR791" s="338"/>
      <c r="AS791" s="338"/>
      <c r="AT791" s="338"/>
      <c r="AU791" s="338"/>
      <c r="AV791" s="338"/>
      <c r="AW791" s="338"/>
      <c r="AX791" s="338"/>
      <c r="AY791" s="338"/>
      <c r="AZ791" s="338"/>
      <c r="BA791" s="338"/>
      <c r="BB791" s="338"/>
      <c r="BC791" s="338"/>
    </row>
    <row r="792">
      <c r="A792" s="115"/>
      <c r="B792" s="180"/>
      <c r="C792" s="117"/>
      <c r="D792" s="117"/>
      <c r="E792" s="117"/>
      <c r="F792" s="115"/>
      <c r="G792" s="180"/>
      <c r="H792" s="117"/>
      <c r="I792" s="117"/>
      <c r="J792" s="117"/>
      <c r="K792" s="92"/>
      <c r="L792" s="180"/>
      <c r="M792" s="117"/>
      <c r="N792" s="117"/>
      <c r="O792" s="117"/>
      <c r="P792" s="92"/>
      <c r="Q792" s="150"/>
      <c r="R792" s="117"/>
      <c r="S792" s="117"/>
      <c r="T792" s="117"/>
      <c r="U792" s="115"/>
      <c r="V792" s="180"/>
      <c r="W792" s="117"/>
      <c r="X792" s="117"/>
      <c r="Y792" s="117"/>
      <c r="Z792" s="115"/>
      <c r="AA792" s="180"/>
      <c r="AB792" s="117"/>
      <c r="AC792" s="117"/>
      <c r="AD792" s="117"/>
      <c r="AE792" s="115"/>
      <c r="AF792" s="180"/>
      <c r="AG792" s="117"/>
      <c r="AH792" s="117"/>
      <c r="AI792" s="117"/>
      <c r="AJ792" s="115"/>
      <c r="AK792" s="180"/>
      <c r="AL792" s="117"/>
      <c r="AM792" s="117"/>
      <c r="AN792" s="117"/>
      <c r="AO792" s="338"/>
      <c r="AP792" s="338"/>
      <c r="AQ792" s="338"/>
      <c r="AR792" s="338"/>
      <c r="AS792" s="338"/>
      <c r="AT792" s="338"/>
      <c r="AU792" s="338"/>
      <c r="AV792" s="338"/>
      <c r="AW792" s="338"/>
      <c r="AX792" s="338"/>
      <c r="AY792" s="338"/>
      <c r="AZ792" s="338"/>
      <c r="BA792" s="338"/>
      <c r="BB792" s="338"/>
      <c r="BC792" s="338"/>
    </row>
    <row r="793">
      <c r="A793" s="115"/>
      <c r="B793" s="180"/>
      <c r="C793" s="117"/>
      <c r="D793" s="117"/>
      <c r="E793" s="117"/>
      <c r="F793" s="115"/>
      <c r="G793" s="180"/>
      <c r="H793" s="117"/>
      <c r="I793" s="117"/>
      <c r="J793" s="117"/>
      <c r="K793" s="92"/>
      <c r="L793" s="180"/>
      <c r="M793" s="117"/>
      <c r="N793" s="117"/>
      <c r="O793" s="117"/>
      <c r="P793" s="92"/>
      <c r="Q793" s="150"/>
      <c r="R793" s="117"/>
      <c r="S793" s="117"/>
      <c r="T793" s="117"/>
      <c r="U793" s="115"/>
      <c r="V793" s="180"/>
      <c r="W793" s="117"/>
      <c r="X793" s="117"/>
      <c r="Y793" s="117"/>
      <c r="Z793" s="115"/>
      <c r="AA793" s="180"/>
      <c r="AB793" s="117"/>
      <c r="AC793" s="117"/>
      <c r="AD793" s="117"/>
      <c r="AE793" s="115"/>
      <c r="AF793" s="180"/>
      <c r="AG793" s="117"/>
      <c r="AH793" s="117"/>
      <c r="AI793" s="117"/>
      <c r="AJ793" s="115"/>
      <c r="AK793" s="180"/>
      <c r="AL793" s="117"/>
      <c r="AM793" s="117"/>
      <c r="AN793" s="117"/>
      <c r="AO793" s="338"/>
      <c r="AP793" s="338"/>
      <c r="AQ793" s="338"/>
      <c r="AR793" s="338"/>
      <c r="AS793" s="338"/>
      <c r="AT793" s="338"/>
      <c r="AU793" s="338"/>
      <c r="AV793" s="338"/>
      <c r="AW793" s="338"/>
      <c r="AX793" s="338"/>
      <c r="AY793" s="338"/>
      <c r="AZ793" s="338"/>
      <c r="BA793" s="338"/>
      <c r="BB793" s="338"/>
      <c r="BC793" s="338"/>
    </row>
    <row r="794">
      <c r="A794" s="115"/>
      <c r="B794" s="180"/>
      <c r="C794" s="117"/>
      <c r="D794" s="117"/>
      <c r="E794" s="117"/>
      <c r="F794" s="115"/>
      <c r="G794" s="180"/>
      <c r="H794" s="117"/>
      <c r="I794" s="117"/>
      <c r="J794" s="117"/>
      <c r="K794" s="92"/>
      <c r="L794" s="180"/>
      <c r="M794" s="117"/>
      <c r="N794" s="117"/>
      <c r="O794" s="117"/>
      <c r="P794" s="92"/>
      <c r="Q794" s="150"/>
      <c r="R794" s="117"/>
      <c r="S794" s="117"/>
      <c r="T794" s="117"/>
      <c r="U794" s="115"/>
      <c r="V794" s="180"/>
      <c r="W794" s="117"/>
      <c r="X794" s="117"/>
      <c r="Y794" s="117"/>
      <c r="Z794" s="115"/>
      <c r="AA794" s="180"/>
      <c r="AB794" s="117"/>
      <c r="AC794" s="117"/>
      <c r="AD794" s="117"/>
      <c r="AE794" s="115"/>
      <c r="AF794" s="180"/>
      <c r="AG794" s="117"/>
      <c r="AH794" s="117"/>
      <c r="AI794" s="117"/>
      <c r="AJ794" s="115"/>
      <c r="AK794" s="180"/>
      <c r="AL794" s="117"/>
      <c r="AM794" s="117"/>
      <c r="AN794" s="117"/>
      <c r="AO794" s="338"/>
      <c r="AP794" s="338"/>
      <c r="AQ794" s="338"/>
      <c r="AR794" s="338"/>
      <c r="AS794" s="338"/>
      <c r="AT794" s="338"/>
      <c r="AU794" s="338"/>
      <c r="AV794" s="338"/>
      <c r="AW794" s="338"/>
      <c r="AX794" s="338"/>
      <c r="AY794" s="338"/>
      <c r="AZ794" s="338"/>
      <c r="BA794" s="338"/>
      <c r="BB794" s="338"/>
      <c r="BC794" s="338"/>
    </row>
    <row r="795">
      <c r="A795" s="115"/>
      <c r="B795" s="180"/>
      <c r="C795" s="117"/>
      <c r="D795" s="117"/>
      <c r="E795" s="117"/>
      <c r="F795" s="115"/>
      <c r="G795" s="180"/>
      <c r="H795" s="117"/>
      <c r="I795" s="117"/>
      <c r="J795" s="117"/>
      <c r="K795" s="92"/>
      <c r="L795" s="180"/>
      <c r="M795" s="117"/>
      <c r="N795" s="117"/>
      <c r="O795" s="117"/>
      <c r="P795" s="92"/>
      <c r="Q795" s="150"/>
      <c r="R795" s="117"/>
      <c r="S795" s="117"/>
      <c r="T795" s="117"/>
      <c r="U795" s="115"/>
      <c r="V795" s="180"/>
      <c r="W795" s="117"/>
      <c r="X795" s="117"/>
      <c r="Y795" s="117"/>
      <c r="Z795" s="115"/>
      <c r="AA795" s="180"/>
      <c r="AB795" s="117"/>
      <c r="AC795" s="117"/>
      <c r="AD795" s="117"/>
      <c r="AE795" s="115"/>
      <c r="AF795" s="180"/>
      <c r="AG795" s="117"/>
      <c r="AH795" s="117"/>
      <c r="AI795" s="117"/>
      <c r="AJ795" s="115"/>
      <c r="AK795" s="180"/>
      <c r="AL795" s="117"/>
      <c r="AM795" s="117"/>
      <c r="AN795" s="117"/>
      <c r="AO795" s="338"/>
      <c r="AP795" s="338"/>
      <c r="AQ795" s="338"/>
      <c r="AR795" s="338"/>
      <c r="AS795" s="338"/>
      <c r="AT795" s="338"/>
      <c r="AU795" s="338"/>
      <c r="AV795" s="338"/>
      <c r="AW795" s="338"/>
      <c r="AX795" s="338"/>
      <c r="AY795" s="338"/>
      <c r="AZ795" s="338"/>
      <c r="BA795" s="338"/>
      <c r="BB795" s="338"/>
      <c r="BC795" s="338"/>
    </row>
    <row r="796">
      <c r="A796" s="115"/>
      <c r="B796" s="180"/>
      <c r="C796" s="117"/>
      <c r="D796" s="117"/>
      <c r="E796" s="117"/>
      <c r="F796" s="115"/>
      <c r="G796" s="180"/>
      <c r="H796" s="117"/>
      <c r="I796" s="117"/>
      <c r="J796" s="117"/>
      <c r="K796" s="92"/>
      <c r="L796" s="180"/>
      <c r="M796" s="117"/>
      <c r="N796" s="117"/>
      <c r="O796" s="117"/>
      <c r="P796" s="92"/>
      <c r="Q796" s="150"/>
      <c r="R796" s="117"/>
      <c r="S796" s="117"/>
      <c r="T796" s="117"/>
      <c r="U796" s="115"/>
      <c r="V796" s="180"/>
      <c r="W796" s="117"/>
      <c r="X796" s="117"/>
      <c r="Y796" s="117"/>
      <c r="Z796" s="115"/>
      <c r="AA796" s="180"/>
      <c r="AB796" s="117"/>
      <c r="AC796" s="117"/>
      <c r="AD796" s="117"/>
      <c r="AE796" s="115"/>
      <c r="AF796" s="180"/>
      <c r="AG796" s="117"/>
      <c r="AH796" s="117"/>
      <c r="AI796" s="117"/>
      <c r="AJ796" s="115"/>
      <c r="AK796" s="180"/>
      <c r="AL796" s="117"/>
      <c r="AM796" s="117"/>
      <c r="AN796" s="117"/>
      <c r="AO796" s="338"/>
      <c r="AP796" s="338"/>
      <c r="AQ796" s="338"/>
      <c r="AR796" s="338"/>
      <c r="AS796" s="338"/>
      <c r="AT796" s="338"/>
      <c r="AU796" s="338"/>
      <c r="AV796" s="338"/>
      <c r="AW796" s="338"/>
      <c r="AX796" s="338"/>
      <c r="AY796" s="338"/>
      <c r="AZ796" s="338"/>
      <c r="BA796" s="338"/>
      <c r="BB796" s="338"/>
      <c r="BC796" s="338"/>
    </row>
    <row r="797">
      <c r="A797" s="115"/>
      <c r="B797" s="180"/>
      <c r="C797" s="117"/>
      <c r="D797" s="117"/>
      <c r="E797" s="117"/>
      <c r="F797" s="115"/>
      <c r="G797" s="180"/>
      <c r="H797" s="117"/>
      <c r="I797" s="117"/>
      <c r="J797" s="117"/>
      <c r="K797" s="92"/>
      <c r="L797" s="180"/>
      <c r="M797" s="117"/>
      <c r="N797" s="117"/>
      <c r="O797" s="117"/>
      <c r="P797" s="92"/>
      <c r="Q797" s="150"/>
      <c r="R797" s="117"/>
      <c r="S797" s="117"/>
      <c r="T797" s="117"/>
      <c r="U797" s="115"/>
      <c r="V797" s="180"/>
      <c r="W797" s="117"/>
      <c r="X797" s="117"/>
      <c r="Y797" s="117"/>
      <c r="Z797" s="115"/>
      <c r="AA797" s="180"/>
      <c r="AB797" s="117"/>
      <c r="AC797" s="117"/>
      <c r="AD797" s="117"/>
      <c r="AE797" s="115"/>
      <c r="AF797" s="180"/>
      <c r="AG797" s="117"/>
      <c r="AH797" s="117"/>
      <c r="AI797" s="117"/>
      <c r="AJ797" s="115"/>
      <c r="AK797" s="180"/>
      <c r="AL797" s="117"/>
      <c r="AM797" s="117"/>
      <c r="AN797" s="117"/>
      <c r="AO797" s="338"/>
      <c r="AP797" s="338"/>
      <c r="AQ797" s="338"/>
      <c r="AR797" s="338"/>
      <c r="AS797" s="338"/>
      <c r="AT797" s="338"/>
      <c r="AU797" s="338"/>
      <c r="AV797" s="338"/>
      <c r="AW797" s="338"/>
      <c r="AX797" s="338"/>
      <c r="AY797" s="338"/>
      <c r="AZ797" s="338"/>
      <c r="BA797" s="338"/>
      <c r="BB797" s="338"/>
      <c r="BC797" s="338"/>
    </row>
    <row r="798">
      <c r="A798" s="115"/>
      <c r="B798" s="180"/>
      <c r="C798" s="117"/>
      <c r="D798" s="117"/>
      <c r="E798" s="117"/>
      <c r="F798" s="115"/>
      <c r="G798" s="180"/>
      <c r="H798" s="117"/>
      <c r="I798" s="117"/>
      <c r="J798" s="117"/>
      <c r="K798" s="92"/>
      <c r="L798" s="180"/>
      <c r="M798" s="117"/>
      <c r="N798" s="117"/>
      <c r="O798" s="117"/>
      <c r="P798" s="92"/>
      <c r="Q798" s="150"/>
      <c r="R798" s="117"/>
      <c r="S798" s="117"/>
      <c r="T798" s="117"/>
      <c r="U798" s="115"/>
      <c r="V798" s="180"/>
      <c r="W798" s="117"/>
      <c r="X798" s="117"/>
      <c r="Y798" s="117"/>
      <c r="Z798" s="115"/>
      <c r="AA798" s="180"/>
      <c r="AB798" s="117"/>
      <c r="AC798" s="117"/>
      <c r="AD798" s="117"/>
      <c r="AE798" s="115"/>
      <c r="AF798" s="180"/>
      <c r="AG798" s="117"/>
      <c r="AH798" s="117"/>
      <c r="AI798" s="117"/>
      <c r="AJ798" s="115"/>
      <c r="AK798" s="180"/>
      <c r="AL798" s="117"/>
      <c r="AM798" s="117"/>
      <c r="AN798" s="117"/>
      <c r="AO798" s="338"/>
      <c r="AP798" s="338"/>
      <c r="AQ798" s="338"/>
      <c r="AR798" s="338"/>
      <c r="AS798" s="338"/>
      <c r="AT798" s="338"/>
      <c r="AU798" s="338"/>
      <c r="AV798" s="338"/>
      <c r="AW798" s="338"/>
      <c r="AX798" s="338"/>
      <c r="AY798" s="338"/>
      <c r="AZ798" s="338"/>
      <c r="BA798" s="338"/>
      <c r="BB798" s="338"/>
      <c r="BC798" s="338"/>
    </row>
    <row r="799">
      <c r="A799" s="115"/>
      <c r="B799" s="180"/>
      <c r="C799" s="117"/>
      <c r="D799" s="117"/>
      <c r="E799" s="117"/>
      <c r="F799" s="115"/>
      <c r="G799" s="180"/>
      <c r="H799" s="117"/>
      <c r="I799" s="117"/>
      <c r="J799" s="117"/>
      <c r="K799" s="92"/>
      <c r="L799" s="180"/>
      <c r="M799" s="117"/>
      <c r="N799" s="117"/>
      <c r="O799" s="117"/>
      <c r="P799" s="92"/>
      <c r="Q799" s="150"/>
      <c r="R799" s="117"/>
      <c r="S799" s="117"/>
      <c r="T799" s="117"/>
      <c r="U799" s="115"/>
      <c r="V799" s="180"/>
      <c r="W799" s="117"/>
      <c r="X799" s="117"/>
      <c r="Y799" s="117"/>
      <c r="Z799" s="115"/>
      <c r="AA799" s="180"/>
      <c r="AB799" s="117"/>
      <c r="AC799" s="117"/>
      <c r="AD799" s="117"/>
      <c r="AE799" s="115"/>
      <c r="AF799" s="180"/>
      <c r="AG799" s="117"/>
      <c r="AH799" s="117"/>
      <c r="AI799" s="117"/>
      <c r="AJ799" s="115"/>
      <c r="AK799" s="180"/>
      <c r="AL799" s="117"/>
      <c r="AM799" s="117"/>
      <c r="AN799" s="117"/>
      <c r="AO799" s="338"/>
      <c r="AP799" s="338"/>
      <c r="AQ799" s="338"/>
      <c r="AR799" s="338"/>
      <c r="AS799" s="338"/>
      <c r="AT799" s="338"/>
      <c r="AU799" s="338"/>
      <c r="AV799" s="338"/>
      <c r="AW799" s="338"/>
      <c r="AX799" s="338"/>
      <c r="AY799" s="338"/>
      <c r="AZ799" s="338"/>
      <c r="BA799" s="338"/>
      <c r="BB799" s="338"/>
      <c r="BC799" s="338"/>
    </row>
    <row r="800">
      <c r="A800" s="115"/>
      <c r="B800" s="180"/>
      <c r="C800" s="117"/>
      <c r="D800" s="117"/>
      <c r="E800" s="117"/>
      <c r="F800" s="115"/>
      <c r="G800" s="180"/>
      <c r="H800" s="117"/>
      <c r="I800" s="117"/>
      <c r="J800" s="117"/>
      <c r="K800" s="92"/>
      <c r="L800" s="180"/>
      <c r="M800" s="117"/>
      <c r="N800" s="117"/>
      <c r="O800" s="117"/>
      <c r="P800" s="92"/>
      <c r="Q800" s="150"/>
      <c r="R800" s="117"/>
      <c r="S800" s="117"/>
      <c r="T800" s="117"/>
      <c r="U800" s="115"/>
      <c r="V800" s="180"/>
      <c r="W800" s="117"/>
      <c r="X800" s="117"/>
      <c r="Y800" s="117"/>
      <c r="Z800" s="115"/>
      <c r="AA800" s="180"/>
      <c r="AB800" s="117"/>
      <c r="AC800" s="117"/>
      <c r="AD800" s="117"/>
      <c r="AE800" s="115"/>
      <c r="AF800" s="180"/>
      <c r="AG800" s="117"/>
      <c r="AH800" s="117"/>
      <c r="AI800" s="117"/>
      <c r="AJ800" s="115"/>
      <c r="AK800" s="180"/>
      <c r="AL800" s="117"/>
      <c r="AM800" s="117"/>
      <c r="AN800" s="117"/>
      <c r="AO800" s="338"/>
      <c r="AP800" s="338"/>
      <c r="AQ800" s="338"/>
      <c r="AR800" s="338"/>
      <c r="AS800" s="338"/>
      <c r="AT800" s="338"/>
      <c r="AU800" s="338"/>
      <c r="AV800" s="338"/>
      <c r="AW800" s="338"/>
      <c r="AX800" s="338"/>
      <c r="AY800" s="338"/>
      <c r="AZ800" s="338"/>
      <c r="BA800" s="338"/>
      <c r="BB800" s="338"/>
      <c r="BC800" s="338"/>
    </row>
    <row r="801">
      <c r="A801" s="115"/>
      <c r="B801" s="180"/>
      <c r="C801" s="117"/>
      <c r="D801" s="117"/>
      <c r="E801" s="117"/>
      <c r="F801" s="115"/>
      <c r="G801" s="180"/>
      <c r="H801" s="117"/>
      <c r="I801" s="117"/>
      <c r="J801" s="117"/>
      <c r="K801" s="92"/>
      <c r="L801" s="180"/>
      <c r="M801" s="117"/>
      <c r="N801" s="117"/>
      <c r="O801" s="117"/>
      <c r="P801" s="92"/>
      <c r="Q801" s="150"/>
      <c r="R801" s="117"/>
      <c r="S801" s="117"/>
      <c r="T801" s="117"/>
      <c r="U801" s="115"/>
      <c r="V801" s="180"/>
      <c r="W801" s="117"/>
      <c r="X801" s="117"/>
      <c r="Y801" s="117"/>
      <c r="Z801" s="115"/>
      <c r="AA801" s="180"/>
      <c r="AB801" s="117"/>
      <c r="AC801" s="117"/>
      <c r="AD801" s="117"/>
      <c r="AE801" s="115"/>
      <c r="AF801" s="180"/>
      <c r="AG801" s="117"/>
      <c r="AH801" s="117"/>
      <c r="AI801" s="117"/>
      <c r="AJ801" s="115"/>
      <c r="AK801" s="180"/>
      <c r="AL801" s="117"/>
      <c r="AM801" s="117"/>
      <c r="AN801" s="117"/>
      <c r="AO801" s="338"/>
      <c r="AP801" s="338"/>
      <c r="AQ801" s="338"/>
      <c r="AR801" s="338"/>
      <c r="AS801" s="338"/>
      <c r="AT801" s="338"/>
      <c r="AU801" s="338"/>
      <c r="AV801" s="338"/>
      <c r="AW801" s="338"/>
      <c r="AX801" s="338"/>
      <c r="AY801" s="338"/>
      <c r="AZ801" s="338"/>
      <c r="BA801" s="338"/>
      <c r="BB801" s="338"/>
      <c r="BC801" s="338"/>
    </row>
    <row r="802">
      <c r="A802" s="115"/>
      <c r="B802" s="180"/>
      <c r="C802" s="117"/>
      <c r="D802" s="117"/>
      <c r="E802" s="117"/>
      <c r="F802" s="115"/>
      <c r="G802" s="180"/>
      <c r="H802" s="117"/>
      <c r="I802" s="117"/>
      <c r="J802" s="117"/>
      <c r="K802" s="92"/>
      <c r="L802" s="180"/>
      <c r="M802" s="117"/>
      <c r="N802" s="117"/>
      <c r="O802" s="117"/>
      <c r="P802" s="92"/>
      <c r="Q802" s="150"/>
      <c r="R802" s="117"/>
      <c r="S802" s="117"/>
      <c r="T802" s="117"/>
      <c r="U802" s="115"/>
      <c r="V802" s="180"/>
      <c r="W802" s="117"/>
      <c r="X802" s="117"/>
      <c r="Y802" s="117"/>
      <c r="Z802" s="115"/>
      <c r="AA802" s="180"/>
      <c r="AB802" s="117"/>
      <c r="AC802" s="117"/>
      <c r="AD802" s="117"/>
      <c r="AE802" s="115"/>
      <c r="AF802" s="180"/>
      <c r="AG802" s="117"/>
      <c r="AH802" s="117"/>
      <c r="AI802" s="117"/>
      <c r="AJ802" s="115"/>
      <c r="AK802" s="180"/>
      <c r="AL802" s="117"/>
      <c r="AM802" s="117"/>
      <c r="AN802" s="117"/>
      <c r="AO802" s="338"/>
      <c r="AP802" s="338"/>
      <c r="AQ802" s="338"/>
      <c r="AR802" s="338"/>
      <c r="AS802" s="338"/>
      <c r="AT802" s="338"/>
      <c r="AU802" s="338"/>
      <c r="AV802" s="338"/>
      <c r="AW802" s="338"/>
      <c r="AX802" s="338"/>
      <c r="AY802" s="338"/>
      <c r="AZ802" s="338"/>
      <c r="BA802" s="338"/>
      <c r="BB802" s="338"/>
      <c r="BC802" s="338"/>
    </row>
    <row r="803">
      <c r="A803" s="115"/>
      <c r="B803" s="180"/>
      <c r="C803" s="117"/>
      <c r="D803" s="117"/>
      <c r="E803" s="117"/>
      <c r="F803" s="115"/>
      <c r="G803" s="180"/>
      <c r="H803" s="117"/>
      <c r="I803" s="117"/>
      <c r="J803" s="117"/>
      <c r="K803" s="92"/>
      <c r="L803" s="180"/>
      <c r="M803" s="117"/>
      <c r="N803" s="117"/>
      <c r="O803" s="117"/>
      <c r="P803" s="92"/>
      <c r="Q803" s="150"/>
      <c r="R803" s="117"/>
      <c r="S803" s="117"/>
      <c r="T803" s="117"/>
      <c r="U803" s="115"/>
      <c r="V803" s="180"/>
      <c r="W803" s="117"/>
      <c r="X803" s="117"/>
      <c r="Y803" s="117"/>
      <c r="Z803" s="115"/>
      <c r="AA803" s="180"/>
      <c r="AB803" s="117"/>
      <c r="AC803" s="117"/>
      <c r="AD803" s="117"/>
      <c r="AE803" s="115"/>
      <c r="AF803" s="180"/>
      <c r="AG803" s="117"/>
      <c r="AH803" s="117"/>
      <c r="AI803" s="117"/>
      <c r="AJ803" s="115"/>
      <c r="AK803" s="180"/>
      <c r="AL803" s="117"/>
      <c r="AM803" s="117"/>
      <c r="AN803" s="117"/>
      <c r="AO803" s="338"/>
      <c r="AP803" s="338"/>
      <c r="AQ803" s="338"/>
      <c r="AR803" s="338"/>
      <c r="AS803" s="338"/>
      <c r="AT803" s="338"/>
      <c r="AU803" s="338"/>
      <c r="AV803" s="338"/>
      <c r="AW803" s="338"/>
      <c r="AX803" s="338"/>
      <c r="AY803" s="338"/>
      <c r="AZ803" s="338"/>
      <c r="BA803" s="338"/>
      <c r="BB803" s="338"/>
      <c r="BC803" s="338"/>
    </row>
    <row r="804">
      <c r="A804" s="115"/>
      <c r="B804" s="180"/>
      <c r="C804" s="117"/>
      <c r="D804" s="117"/>
      <c r="E804" s="117"/>
      <c r="F804" s="115"/>
      <c r="G804" s="180"/>
      <c r="H804" s="117"/>
      <c r="I804" s="117"/>
      <c r="J804" s="117"/>
      <c r="K804" s="92"/>
      <c r="L804" s="180"/>
      <c r="M804" s="117"/>
      <c r="N804" s="117"/>
      <c r="O804" s="117"/>
      <c r="P804" s="92"/>
      <c r="Q804" s="150"/>
      <c r="R804" s="117"/>
      <c r="S804" s="117"/>
      <c r="T804" s="117"/>
      <c r="U804" s="115"/>
      <c r="V804" s="180"/>
      <c r="W804" s="117"/>
      <c r="X804" s="117"/>
      <c r="Y804" s="117"/>
      <c r="Z804" s="115"/>
      <c r="AA804" s="180"/>
      <c r="AB804" s="117"/>
      <c r="AC804" s="117"/>
      <c r="AD804" s="117"/>
      <c r="AE804" s="115"/>
      <c r="AF804" s="180"/>
      <c r="AG804" s="117"/>
      <c r="AH804" s="117"/>
      <c r="AI804" s="117"/>
      <c r="AJ804" s="115"/>
      <c r="AK804" s="180"/>
      <c r="AL804" s="117"/>
      <c r="AM804" s="117"/>
      <c r="AN804" s="117"/>
      <c r="AO804" s="338"/>
      <c r="AP804" s="338"/>
      <c r="AQ804" s="338"/>
      <c r="AR804" s="338"/>
      <c r="AS804" s="338"/>
      <c r="AT804" s="338"/>
      <c r="AU804" s="338"/>
      <c r="AV804" s="338"/>
      <c r="AW804" s="338"/>
      <c r="AX804" s="338"/>
      <c r="AY804" s="338"/>
      <c r="AZ804" s="338"/>
      <c r="BA804" s="338"/>
      <c r="BB804" s="338"/>
      <c r="BC804" s="338"/>
    </row>
    <row r="805">
      <c r="A805" s="115"/>
      <c r="B805" s="180"/>
      <c r="C805" s="117"/>
      <c r="D805" s="117"/>
      <c r="E805" s="117"/>
      <c r="F805" s="115"/>
      <c r="G805" s="180"/>
      <c r="H805" s="117"/>
      <c r="I805" s="117"/>
      <c r="J805" s="117"/>
      <c r="K805" s="92"/>
      <c r="L805" s="180"/>
      <c r="M805" s="117"/>
      <c r="N805" s="117"/>
      <c r="O805" s="117"/>
      <c r="P805" s="92"/>
      <c r="Q805" s="150"/>
      <c r="R805" s="117"/>
      <c r="S805" s="117"/>
      <c r="T805" s="117"/>
      <c r="U805" s="115"/>
      <c r="V805" s="180"/>
      <c r="W805" s="117"/>
      <c r="X805" s="117"/>
      <c r="Y805" s="117"/>
      <c r="Z805" s="115"/>
      <c r="AA805" s="180"/>
      <c r="AB805" s="117"/>
      <c r="AC805" s="117"/>
      <c r="AD805" s="117"/>
      <c r="AE805" s="115"/>
      <c r="AF805" s="180"/>
      <c r="AG805" s="117"/>
      <c r="AH805" s="117"/>
      <c r="AI805" s="117"/>
      <c r="AJ805" s="115"/>
      <c r="AK805" s="180"/>
      <c r="AL805" s="117"/>
      <c r="AM805" s="117"/>
      <c r="AN805" s="117"/>
      <c r="AO805" s="338"/>
      <c r="AP805" s="338"/>
      <c r="AQ805" s="338"/>
      <c r="AR805" s="338"/>
      <c r="AS805" s="338"/>
      <c r="AT805" s="338"/>
      <c r="AU805" s="338"/>
      <c r="AV805" s="338"/>
      <c r="AW805" s="338"/>
      <c r="AX805" s="338"/>
      <c r="AY805" s="338"/>
      <c r="AZ805" s="338"/>
      <c r="BA805" s="338"/>
      <c r="BB805" s="338"/>
      <c r="BC805" s="338"/>
    </row>
    <row r="806">
      <c r="A806" s="115"/>
      <c r="B806" s="180"/>
      <c r="C806" s="117"/>
      <c r="D806" s="117"/>
      <c r="E806" s="117"/>
      <c r="F806" s="115"/>
      <c r="G806" s="180"/>
      <c r="H806" s="117"/>
      <c r="I806" s="117"/>
      <c r="J806" s="117"/>
      <c r="K806" s="92"/>
      <c r="L806" s="180"/>
      <c r="M806" s="117"/>
      <c r="N806" s="117"/>
      <c r="O806" s="117"/>
      <c r="P806" s="92"/>
      <c r="Q806" s="150"/>
      <c r="R806" s="117"/>
      <c r="S806" s="117"/>
      <c r="T806" s="117"/>
      <c r="U806" s="115"/>
      <c r="V806" s="180"/>
      <c r="W806" s="117"/>
      <c r="X806" s="117"/>
      <c r="Y806" s="117"/>
      <c r="Z806" s="115"/>
      <c r="AA806" s="180"/>
      <c r="AB806" s="117"/>
      <c r="AC806" s="117"/>
      <c r="AD806" s="117"/>
      <c r="AE806" s="115"/>
      <c r="AF806" s="180"/>
      <c r="AG806" s="117"/>
      <c r="AH806" s="117"/>
      <c r="AI806" s="117"/>
      <c r="AJ806" s="115"/>
      <c r="AK806" s="180"/>
      <c r="AL806" s="117"/>
      <c r="AM806" s="117"/>
      <c r="AN806" s="117"/>
      <c r="AO806" s="338"/>
      <c r="AP806" s="338"/>
      <c r="AQ806" s="338"/>
      <c r="AR806" s="338"/>
      <c r="AS806" s="338"/>
      <c r="AT806" s="338"/>
      <c r="AU806" s="338"/>
      <c r="AV806" s="338"/>
      <c r="AW806" s="338"/>
      <c r="AX806" s="338"/>
      <c r="AY806" s="338"/>
      <c r="AZ806" s="338"/>
      <c r="BA806" s="338"/>
      <c r="BB806" s="338"/>
      <c r="BC806" s="338"/>
    </row>
    <row r="807">
      <c r="A807" s="115"/>
      <c r="B807" s="180"/>
      <c r="C807" s="117"/>
      <c r="D807" s="117"/>
      <c r="E807" s="117"/>
      <c r="F807" s="115"/>
      <c r="G807" s="180"/>
      <c r="H807" s="117"/>
      <c r="I807" s="117"/>
      <c r="J807" s="117"/>
      <c r="K807" s="92"/>
      <c r="L807" s="180"/>
      <c r="M807" s="117"/>
      <c r="N807" s="117"/>
      <c r="O807" s="117"/>
      <c r="P807" s="92"/>
      <c r="Q807" s="150"/>
      <c r="R807" s="117"/>
      <c r="S807" s="117"/>
      <c r="T807" s="117"/>
      <c r="U807" s="115"/>
      <c r="V807" s="180"/>
      <c r="W807" s="117"/>
      <c r="X807" s="117"/>
      <c r="Y807" s="117"/>
      <c r="Z807" s="115"/>
      <c r="AA807" s="180"/>
      <c r="AB807" s="117"/>
      <c r="AC807" s="117"/>
      <c r="AD807" s="117"/>
      <c r="AE807" s="115"/>
      <c r="AF807" s="180"/>
      <c r="AG807" s="117"/>
      <c r="AH807" s="117"/>
      <c r="AI807" s="117"/>
      <c r="AJ807" s="115"/>
      <c r="AK807" s="180"/>
      <c r="AL807" s="117"/>
      <c r="AM807" s="117"/>
      <c r="AN807" s="117"/>
      <c r="AO807" s="338"/>
      <c r="AP807" s="338"/>
      <c r="AQ807" s="338"/>
      <c r="AR807" s="338"/>
      <c r="AS807" s="338"/>
      <c r="AT807" s="338"/>
      <c r="AU807" s="338"/>
      <c r="AV807" s="338"/>
      <c r="AW807" s="338"/>
      <c r="AX807" s="338"/>
      <c r="AY807" s="338"/>
      <c r="AZ807" s="338"/>
      <c r="BA807" s="338"/>
      <c r="BB807" s="338"/>
      <c r="BC807" s="338"/>
    </row>
    <row r="808">
      <c r="A808" s="115"/>
      <c r="B808" s="180"/>
      <c r="C808" s="117"/>
      <c r="D808" s="117"/>
      <c r="E808" s="117"/>
      <c r="F808" s="115"/>
      <c r="G808" s="180"/>
      <c r="H808" s="117"/>
      <c r="I808" s="117"/>
      <c r="J808" s="117"/>
      <c r="K808" s="92"/>
      <c r="L808" s="180"/>
      <c r="M808" s="117"/>
      <c r="N808" s="117"/>
      <c r="O808" s="117"/>
      <c r="P808" s="92"/>
      <c r="Q808" s="150"/>
      <c r="R808" s="117"/>
      <c r="S808" s="117"/>
      <c r="T808" s="117"/>
      <c r="U808" s="115"/>
      <c r="V808" s="180"/>
      <c r="W808" s="117"/>
      <c r="X808" s="117"/>
      <c r="Y808" s="117"/>
      <c r="Z808" s="115"/>
      <c r="AA808" s="180"/>
      <c r="AB808" s="117"/>
      <c r="AC808" s="117"/>
      <c r="AD808" s="117"/>
      <c r="AE808" s="115"/>
      <c r="AF808" s="180"/>
      <c r="AG808" s="117"/>
      <c r="AH808" s="117"/>
      <c r="AI808" s="117"/>
      <c r="AJ808" s="115"/>
      <c r="AK808" s="180"/>
      <c r="AL808" s="117"/>
      <c r="AM808" s="117"/>
      <c r="AN808" s="117"/>
      <c r="AO808" s="338"/>
      <c r="AP808" s="338"/>
      <c r="AQ808" s="338"/>
      <c r="AR808" s="338"/>
      <c r="AS808" s="338"/>
      <c r="AT808" s="338"/>
      <c r="AU808" s="338"/>
      <c r="AV808" s="338"/>
      <c r="AW808" s="338"/>
      <c r="AX808" s="338"/>
      <c r="AY808" s="338"/>
      <c r="AZ808" s="338"/>
      <c r="BA808" s="338"/>
      <c r="BB808" s="338"/>
      <c r="BC808" s="338"/>
    </row>
    <row r="809">
      <c r="A809" s="115"/>
      <c r="B809" s="180"/>
      <c r="C809" s="117"/>
      <c r="D809" s="117"/>
      <c r="E809" s="117"/>
      <c r="F809" s="115"/>
      <c r="G809" s="180"/>
      <c r="H809" s="117"/>
      <c r="I809" s="117"/>
      <c r="J809" s="117"/>
      <c r="K809" s="92"/>
      <c r="L809" s="180"/>
      <c r="M809" s="117"/>
      <c r="N809" s="117"/>
      <c r="O809" s="117"/>
      <c r="P809" s="92"/>
      <c r="Q809" s="150"/>
      <c r="R809" s="117"/>
      <c r="S809" s="117"/>
      <c r="T809" s="117"/>
      <c r="U809" s="115"/>
      <c r="V809" s="180"/>
      <c r="W809" s="117"/>
      <c r="X809" s="117"/>
      <c r="Y809" s="117"/>
      <c r="Z809" s="115"/>
      <c r="AA809" s="180"/>
      <c r="AB809" s="117"/>
      <c r="AC809" s="117"/>
      <c r="AD809" s="117"/>
      <c r="AE809" s="115"/>
      <c r="AF809" s="180"/>
      <c r="AG809" s="117"/>
      <c r="AH809" s="117"/>
      <c r="AI809" s="117"/>
      <c r="AJ809" s="115"/>
      <c r="AK809" s="180"/>
      <c r="AL809" s="117"/>
      <c r="AM809" s="117"/>
      <c r="AN809" s="117"/>
      <c r="AO809" s="338"/>
      <c r="AP809" s="338"/>
      <c r="AQ809" s="338"/>
      <c r="AR809" s="338"/>
      <c r="AS809" s="338"/>
      <c r="AT809" s="338"/>
      <c r="AU809" s="338"/>
      <c r="AV809" s="338"/>
      <c r="AW809" s="338"/>
      <c r="AX809" s="338"/>
      <c r="AY809" s="338"/>
      <c r="AZ809" s="338"/>
      <c r="BA809" s="338"/>
      <c r="BB809" s="338"/>
      <c r="BC809" s="338"/>
    </row>
    <row r="810">
      <c r="A810" s="115"/>
      <c r="B810" s="180"/>
      <c r="C810" s="117"/>
      <c r="D810" s="117"/>
      <c r="E810" s="117"/>
      <c r="F810" s="115"/>
      <c r="G810" s="180"/>
      <c r="H810" s="117"/>
      <c r="I810" s="117"/>
      <c r="J810" s="117"/>
      <c r="K810" s="92"/>
      <c r="L810" s="180"/>
      <c r="M810" s="117"/>
      <c r="N810" s="117"/>
      <c r="O810" s="117"/>
      <c r="P810" s="92"/>
      <c r="Q810" s="150"/>
      <c r="R810" s="117"/>
      <c r="S810" s="117"/>
      <c r="T810" s="117"/>
      <c r="U810" s="115"/>
      <c r="V810" s="180"/>
      <c r="W810" s="117"/>
      <c r="X810" s="117"/>
      <c r="Y810" s="117"/>
      <c r="Z810" s="115"/>
      <c r="AA810" s="180"/>
      <c r="AB810" s="117"/>
      <c r="AC810" s="117"/>
      <c r="AD810" s="117"/>
      <c r="AE810" s="115"/>
      <c r="AF810" s="180"/>
      <c r="AG810" s="117"/>
      <c r="AH810" s="117"/>
      <c r="AI810" s="117"/>
      <c r="AJ810" s="115"/>
      <c r="AK810" s="180"/>
      <c r="AL810" s="117"/>
      <c r="AM810" s="117"/>
      <c r="AN810" s="117"/>
      <c r="AO810" s="338"/>
      <c r="AP810" s="338"/>
      <c r="AQ810" s="338"/>
      <c r="AR810" s="338"/>
      <c r="AS810" s="338"/>
      <c r="AT810" s="338"/>
      <c r="AU810" s="338"/>
      <c r="AV810" s="338"/>
      <c r="AW810" s="338"/>
      <c r="AX810" s="338"/>
      <c r="AY810" s="338"/>
      <c r="AZ810" s="338"/>
      <c r="BA810" s="338"/>
      <c r="BB810" s="338"/>
      <c r="BC810" s="338"/>
    </row>
    <row r="811">
      <c r="A811" s="115"/>
      <c r="B811" s="180"/>
      <c r="C811" s="117"/>
      <c r="D811" s="117"/>
      <c r="E811" s="117"/>
      <c r="F811" s="115"/>
      <c r="G811" s="180"/>
      <c r="H811" s="117"/>
      <c r="I811" s="117"/>
      <c r="J811" s="117"/>
      <c r="K811" s="92"/>
      <c r="L811" s="180"/>
      <c r="M811" s="117"/>
      <c r="N811" s="117"/>
      <c r="O811" s="117"/>
      <c r="P811" s="92"/>
      <c r="Q811" s="150"/>
      <c r="R811" s="117"/>
      <c r="S811" s="117"/>
      <c r="T811" s="117"/>
      <c r="U811" s="115"/>
      <c r="V811" s="180"/>
      <c r="W811" s="117"/>
      <c r="X811" s="117"/>
      <c r="Y811" s="117"/>
      <c r="Z811" s="115"/>
      <c r="AA811" s="180"/>
      <c r="AB811" s="117"/>
      <c r="AC811" s="117"/>
      <c r="AD811" s="117"/>
      <c r="AE811" s="115"/>
      <c r="AF811" s="180"/>
      <c r="AG811" s="117"/>
      <c r="AH811" s="117"/>
      <c r="AI811" s="117"/>
      <c r="AJ811" s="115"/>
      <c r="AK811" s="180"/>
      <c r="AL811" s="117"/>
      <c r="AM811" s="117"/>
      <c r="AN811" s="117"/>
      <c r="AO811" s="338"/>
      <c r="AP811" s="338"/>
      <c r="AQ811" s="338"/>
      <c r="AR811" s="338"/>
      <c r="AS811" s="338"/>
      <c r="AT811" s="338"/>
      <c r="AU811" s="338"/>
      <c r="AV811" s="338"/>
      <c r="AW811" s="338"/>
      <c r="AX811" s="338"/>
      <c r="AY811" s="338"/>
      <c r="AZ811" s="338"/>
      <c r="BA811" s="338"/>
      <c r="BB811" s="338"/>
      <c r="BC811" s="338"/>
    </row>
    <row r="812">
      <c r="A812" s="115"/>
      <c r="B812" s="180"/>
      <c r="C812" s="117"/>
      <c r="D812" s="117"/>
      <c r="E812" s="117"/>
      <c r="F812" s="115"/>
      <c r="G812" s="180"/>
      <c r="H812" s="117"/>
      <c r="I812" s="117"/>
      <c r="J812" s="117"/>
      <c r="K812" s="92"/>
      <c r="L812" s="180"/>
      <c r="M812" s="117"/>
      <c r="N812" s="117"/>
      <c r="O812" s="117"/>
      <c r="P812" s="92"/>
      <c r="Q812" s="150"/>
      <c r="R812" s="117"/>
      <c r="S812" s="117"/>
      <c r="T812" s="117"/>
      <c r="U812" s="115"/>
      <c r="V812" s="180"/>
      <c r="W812" s="117"/>
      <c r="X812" s="117"/>
      <c r="Y812" s="117"/>
      <c r="Z812" s="115"/>
      <c r="AA812" s="180"/>
      <c r="AB812" s="117"/>
      <c r="AC812" s="117"/>
      <c r="AD812" s="117"/>
      <c r="AE812" s="115"/>
      <c r="AF812" s="180"/>
      <c r="AG812" s="117"/>
      <c r="AH812" s="117"/>
      <c r="AI812" s="117"/>
      <c r="AJ812" s="115"/>
      <c r="AK812" s="180"/>
      <c r="AL812" s="117"/>
      <c r="AM812" s="117"/>
      <c r="AN812" s="117"/>
      <c r="AO812" s="338"/>
      <c r="AP812" s="338"/>
      <c r="AQ812" s="338"/>
      <c r="AR812" s="338"/>
      <c r="AS812" s="338"/>
      <c r="AT812" s="338"/>
      <c r="AU812" s="338"/>
      <c r="AV812" s="338"/>
      <c r="AW812" s="338"/>
      <c r="AX812" s="338"/>
      <c r="AY812" s="338"/>
      <c r="AZ812" s="338"/>
      <c r="BA812" s="338"/>
      <c r="BB812" s="338"/>
      <c r="BC812" s="338"/>
    </row>
    <row r="813">
      <c r="A813" s="115"/>
      <c r="B813" s="180"/>
      <c r="C813" s="117"/>
      <c r="D813" s="117"/>
      <c r="E813" s="117"/>
      <c r="F813" s="115"/>
      <c r="G813" s="180"/>
      <c r="H813" s="117"/>
      <c r="I813" s="117"/>
      <c r="J813" s="117"/>
      <c r="K813" s="92"/>
      <c r="L813" s="180"/>
      <c r="M813" s="117"/>
      <c r="N813" s="117"/>
      <c r="O813" s="117"/>
      <c r="P813" s="92"/>
      <c r="Q813" s="150"/>
      <c r="R813" s="117"/>
      <c r="S813" s="117"/>
      <c r="T813" s="117"/>
      <c r="U813" s="115"/>
      <c r="V813" s="180"/>
      <c r="W813" s="117"/>
      <c r="X813" s="117"/>
      <c r="Y813" s="117"/>
      <c r="Z813" s="115"/>
      <c r="AA813" s="180"/>
      <c r="AB813" s="117"/>
      <c r="AC813" s="117"/>
      <c r="AD813" s="117"/>
      <c r="AE813" s="115"/>
      <c r="AF813" s="180"/>
      <c r="AG813" s="117"/>
      <c r="AH813" s="117"/>
      <c r="AI813" s="117"/>
      <c r="AJ813" s="115"/>
      <c r="AK813" s="180"/>
      <c r="AL813" s="117"/>
      <c r="AM813" s="117"/>
      <c r="AN813" s="117"/>
      <c r="AO813" s="338"/>
      <c r="AP813" s="338"/>
      <c r="AQ813" s="338"/>
      <c r="AR813" s="338"/>
      <c r="AS813" s="338"/>
      <c r="AT813" s="338"/>
      <c r="AU813" s="338"/>
      <c r="AV813" s="338"/>
      <c r="AW813" s="338"/>
      <c r="AX813" s="338"/>
      <c r="AY813" s="338"/>
      <c r="AZ813" s="338"/>
      <c r="BA813" s="338"/>
      <c r="BB813" s="338"/>
      <c r="BC813" s="338"/>
    </row>
    <row r="814">
      <c r="A814" s="115"/>
      <c r="B814" s="180"/>
      <c r="C814" s="117"/>
      <c r="D814" s="117"/>
      <c r="E814" s="117"/>
      <c r="F814" s="115"/>
      <c r="G814" s="180"/>
      <c r="H814" s="117"/>
      <c r="I814" s="117"/>
      <c r="J814" s="117"/>
      <c r="K814" s="92"/>
      <c r="L814" s="180"/>
      <c r="M814" s="117"/>
      <c r="N814" s="117"/>
      <c r="O814" s="117"/>
      <c r="P814" s="92"/>
      <c r="Q814" s="150"/>
      <c r="R814" s="117"/>
      <c r="S814" s="117"/>
      <c r="T814" s="117"/>
      <c r="U814" s="115"/>
      <c r="V814" s="180"/>
      <c r="W814" s="117"/>
      <c r="X814" s="117"/>
      <c r="Y814" s="117"/>
      <c r="Z814" s="115"/>
      <c r="AA814" s="180"/>
      <c r="AB814" s="117"/>
      <c r="AC814" s="117"/>
      <c r="AD814" s="117"/>
      <c r="AE814" s="115"/>
      <c r="AF814" s="180"/>
      <c r="AG814" s="117"/>
      <c r="AH814" s="117"/>
      <c r="AI814" s="117"/>
      <c r="AJ814" s="115"/>
      <c r="AK814" s="180"/>
      <c r="AL814" s="117"/>
      <c r="AM814" s="117"/>
      <c r="AN814" s="117"/>
      <c r="AO814" s="338"/>
      <c r="AP814" s="338"/>
      <c r="AQ814" s="338"/>
      <c r="AR814" s="338"/>
      <c r="AS814" s="338"/>
      <c r="AT814" s="338"/>
      <c r="AU814" s="338"/>
      <c r="AV814" s="338"/>
      <c r="AW814" s="338"/>
      <c r="AX814" s="338"/>
      <c r="AY814" s="338"/>
      <c r="AZ814" s="338"/>
      <c r="BA814" s="338"/>
      <c r="BB814" s="338"/>
      <c r="BC814" s="338"/>
    </row>
    <row r="815">
      <c r="A815" s="115"/>
      <c r="B815" s="180"/>
      <c r="C815" s="117"/>
      <c r="D815" s="117"/>
      <c r="E815" s="117"/>
      <c r="F815" s="115"/>
      <c r="G815" s="180"/>
      <c r="H815" s="117"/>
      <c r="I815" s="117"/>
      <c r="J815" s="117"/>
      <c r="K815" s="92"/>
      <c r="L815" s="180"/>
      <c r="M815" s="117"/>
      <c r="N815" s="117"/>
      <c r="O815" s="117"/>
      <c r="P815" s="92"/>
      <c r="Q815" s="150"/>
      <c r="R815" s="117"/>
      <c r="S815" s="117"/>
      <c r="T815" s="117"/>
      <c r="U815" s="115"/>
      <c r="V815" s="180"/>
      <c r="W815" s="117"/>
      <c r="X815" s="117"/>
      <c r="Y815" s="117"/>
      <c r="Z815" s="115"/>
      <c r="AA815" s="180"/>
      <c r="AB815" s="117"/>
      <c r="AC815" s="117"/>
      <c r="AD815" s="117"/>
      <c r="AE815" s="115"/>
      <c r="AF815" s="180"/>
      <c r="AG815" s="117"/>
      <c r="AH815" s="117"/>
      <c r="AI815" s="117"/>
      <c r="AJ815" s="115"/>
      <c r="AK815" s="180"/>
      <c r="AL815" s="117"/>
      <c r="AM815" s="117"/>
      <c r="AN815" s="117"/>
      <c r="AO815" s="338"/>
      <c r="AP815" s="338"/>
      <c r="AQ815" s="338"/>
      <c r="AR815" s="338"/>
      <c r="AS815" s="338"/>
      <c r="AT815" s="338"/>
      <c r="AU815" s="338"/>
      <c r="AV815" s="338"/>
      <c r="AW815" s="338"/>
      <c r="AX815" s="338"/>
      <c r="AY815" s="338"/>
      <c r="AZ815" s="338"/>
      <c r="BA815" s="338"/>
      <c r="BB815" s="338"/>
      <c r="BC815" s="338"/>
    </row>
    <row r="816">
      <c r="A816" s="115"/>
      <c r="B816" s="180"/>
      <c r="C816" s="117"/>
      <c r="D816" s="117"/>
      <c r="E816" s="117"/>
      <c r="F816" s="115"/>
      <c r="G816" s="180"/>
      <c r="H816" s="117"/>
      <c r="I816" s="117"/>
      <c r="J816" s="117"/>
      <c r="K816" s="92"/>
      <c r="L816" s="180"/>
      <c r="M816" s="117"/>
      <c r="N816" s="117"/>
      <c r="O816" s="117"/>
      <c r="P816" s="92"/>
      <c r="Q816" s="150"/>
      <c r="R816" s="117"/>
      <c r="S816" s="117"/>
      <c r="T816" s="117"/>
      <c r="U816" s="115"/>
      <c r="V816" s="180"/>
      <c r="W816" s="117"/>
      <c r="X816" s="117"/>
      <c r="Y816" s="117"/>
      <c r="Z816" s="115"/>
      <c r="AA816" s="180"/>
      <c r="AB816" s="117"/>
      <c r="AC816" s="117"/>
      <c r="AD816" s="117"/>
      <c r="AE816" s="115"/>
      <c r="AF816" s="180"/>
      <c r="AG816" s="117"/>
      <c r="AH816" s="117"/>
      <c r="AI816" s="117"/>
      <c r="AJ816" s="115"/>
      <c r="AK816" s="180"/>
      <c r="AL816" s="117"/>
      <c r="AM816" s="117"/>
      <c r="AN816" s="117"/>
      <c r="AO816" s="338"/>
      <c r="AP816" s="338"/>
      <c r="AQ816" s="338"/>
      <c r="AR816" s="338"/>
      <c r="AS816" s="338"/>
      <c r="AT816" s="338"/>
      <c r="AU816" s="338"/>
      <c r="AV816" s="338"/>
      <c r="AW816" s="338"/>
      <c r="AX816" s="338"/>
      <c r="AY816" s="338"/>
      <c r="AZ816" s="338"/>
      <c r="BA816" s="338"/>
      <c r="BB816" s="338"/>
      <c r="BC816" s="338"/>
    </row>
    <row r="817">
      <c r="A817" s="115"/>
      <c r="B817" s="180"/>
      <c r="C817" s="117"/>
      <c r="D817" s="117"/>
      <c r="E817" s="117"/>
      <c r="F817" s="115"/>
      <c r="G817" s="180"/>
      <c r="H817" s="117"/>
      <c r="I817" s="117"/>
      <c r="J817" s="117"/>
      <c r="K817" s="92"/>
      <c r="L817" s="180"/>
      <c r="M817" s="117"/>
      <c r="N817" s="117"/>
      <c r="O817" s="117"/>
      <c r="P817" s="92"/>
      <c r="Q817" s="150"/>
      <c r="R817" s="117"/>
      <c r="S817" s="117"/>
      <c r="T817" s="117"/>
      <c r="U817" s="115"/>
      <c r="V817" s="180"/>
      <c r="W817" s="117"/>
      <c r="X817" s="117"/>
      <c r="Y817" s="117"/>
      <c r="Z817" s="115"/>
      <c r="AA817" s="180"/>
      <c r="AB817" s="117"/>
      <c r="AC817" s="117"/>
      <c r="AD817" s="117"/>
      <c r="AE817" s="115"/>
      <c r="AF817" s="180"/>
      <c r="AG817" s="117"/>
      <c r="AH817" s="117"/>
      <c r="AI817" s="117"/>
      <c r="AJ817" s="115"/>
      <c r="AK817" s="180"/>
      <c r="AL817" s="117"/>
      <c r="AM817" s="117"/>
      <c r="AN817" s="117"/>
      <c r="AO817" s="338"/>
      <c r="AP817" s="338"/>
      <c r="AQ817" s="338"/>
      <c r="AR817" s="338"/>
      <c r="AS817" s="338"/>
      <c r="AT817" s="338"/>
      <c r="AU817" s="338"/>
      <c r="AV817" s="338"/>
      <c r="AW817" s="338"/>
      <c r="AX817" s="338"/>
      <c r="AY817" s="338"/>
      <c r="AZ817" s="338"/>
      <c r="BA817" s="338"/>
      <c r="BB817" s="338"/>
      <c r="BC817" s="338"/>
    </row>
    <row r="818">
      <c r="A818" s="115"/>
      <c r="B818" s="180"/>
      <c r="C818" s="117"/>
      <c r="D818" s="117"/>
      <c r="E818" s="117"/>
      <c r="F818" s="115"/>
      <c r="G818" s="180"/>
      <c r="H818" s="117"/>
      <c r="I818" s="117"/>
      <c r="J818" s="117"/>
      <c r="K818" s="92"/>
      <c r="L818" s="180"/>
      <c r="M818" s="117"/>
      <c r="N818" s="117"/>
      <c r="O818" s="117"/>
      <c r="P818" s="92"/>
      <c r="Q818" s="150"/>
      <c r="R818" s="117"/>
      <c r="S818" s="117"/>
      <c r="T818" s="117"/>
      <c r="U818" s="115"/>
      <c r="V818" s="180"/>
      <c r="W818" s="117"/>
      <c r="X818" s="117"/>
      <c r="Y818" s="117"/>
      <c r="Z818" s="115"/>
      <c r="AA818" s="180"/>
      <c r="AB818" s="117"/>
      <c r="AC818" s="117"/>
      <c r="AD818" s="117"/>
      <c r="AE818" s="115"/>
      <c r="AF818" s="180"/>
      <c r="AG818" s="117"/>
      <c r="AH818" s="117"/>
      <c r="AI818" s="117"/>
      <c r="AJ818" s="115"/>
      <c r="AK818" s="180"/>
      <c r="AL818" s="117"/>
      <c r="AM818" s="117"/>
      <c r="AN818" s="117"/>
      <c r="AO818" s="338"/>
      <c r="AP818" s="338"/>
      <c r="AQ818" s="338"/>
      <c r="AR818" s="338"/>
      <c r="AS818" s="338"/>
      <c r="AT818" s="338"/>
      <c r="AU818" s="338"/>
      <c r="AV818" s="338"/>
      <c r="AW818" s="338"/>
      <c r="AX818" s="338"/>
      <c r="AY818" s="338"/>
      <c r="AZ818" s="338"/>
      <c r="BA818" s="338"/>
      <c r="BB818" s="338"/>
      <c r="BC818" s="338"/>
    </row>
    <row r="819">
      <c r="A819" s="115"/>
      <c r="B819" s="180"/>
      <c r="C819" s="117"/>
      <c r="D819" s="117"/>
      <c r="E819" s="117"/>
      <c r="F819" s="115"/>
      <c r="G819" s="180"/>
      <c r="H819" s="117"/>
      <c r="I819" s="117"/>
      <c r="J819" s="117"/>
      <c r="K819" s="92"/>
      <c r="L819" s="180"/>
      <c r="M819" s="117"/>
      <c r="N819" s="117"/>
      <c r="O819" s="117"/>
      <c r="P819" s="92"/>
      <c r="Q819" s="150"/>
      <c r="R819" s="117"/>
      <c r="S819" s="117"/>
      <c r="T819" s="117"/>
      <c r="U819" s="115"/>
      <c r="V819" s="180"/>
      <c r="W819" s="117"/>
      <c r="X819" s="117"/>
      <c r="Y819" s="117"/>
      <c r="Z819" s="115"/>
      <c r="AA819" s="180"/>
      <c r="AB819" s="117"/>
      <c r="AC819" s="117"/>
      <c r="AD819" s="117"/>
      <c r="AE819" s="115"/>
      <c r="AF819" s="180"/>
      <c r="AG819" s="117"/>
      <c r="AH819" s="117"/>
      <c r="AI819" s="117"/>
      <c r="AJ819" s="115"/>
      <c r="AK819" s="180"/>
      <c r="AL819" s="117"/>
      <c r="AM819" s="117"/>
      <c r="AN819" s="117"/>
      <c r="AO819" s="338"/>
      <c r="AP819" s="338"/>
      <c r="AQ819" s="338"/>
      <c r="AR819" s="338"/>
      <c r="AS819" s="338"/>
      <c r="AT819" s="338"/>
      <c r="AU819" s="338"/>
      <c r="AV819" s="338"/>
      <c r="AW819" s="338"/>
      <c r="AX819" s="338"/>
      <c r="AY819" s="338"/>
      <c r="AZ819" s="338"/>
      <c r="BA819" s="338"/>
      <c r="BB819" s="338"/>
      <c r="BC819" s="338"/>
    </row>
    <row r="820">
      <c r="A820" s="115"/>
      <c r="B820" s="180"/>
      <c r="C820" s="117"/>
      <c r="D820" s="117"/>
      <c r="E820" s="117"/>
      <c r="F820" s="115"/>
      <c r="G820" s="180"/>
      <c r="H820" s="117"/>
      <c r="I820" s="117"/>
      <c r="J820" s="117"/>
      <c r="K820" s="92"/>
      <c r="L820" s="180"/>
      <c r="M820" s="117"/>
      <c r="N820" s="117"/>
      <c r="O820" s="117"/>
      <c r="P820" s="92"/>
      <c r="Q820" s="150"/>
      <c r="R820" s="117"/>
      <c r="S820" s="117"/>
      <c r="T820" s="117"/>
      <c r="U820" s="115"/>
      <c r="V820" s="180"/>
      <c r="W820" s="117"/>
      <c r="X820" s="117"/>
      <c r="Y820" s="117"/>
      <c r="Z820" s="115"/>
      <c r="AA820" s="180"/>
      <c r="AB820" s="117"/>
      <c r="AC820" s="117"/>
      <c r="AD820" s="117"/>
      <c r="AE820" s="115"/>
      <c r="AF820" s="180"/>
      <c r="AG820" s="117"/>
      <c r="AH820" s="117"/>
      <c r="AI820" s="117"/>
      <c r="AJ820" s="115"/>
      <c r="AK820" s="180"/>
      <c r="AL820" s="117"/>
      <c r="AM820" s="117"/>
      <c r="AN820" s="117"/>
      <c r="AO820" s="338"/>
      <c r="AP820" s="338"/>
      <c r="AQ820" s="338"/>
      <c r="AR820" s="338"/>
      <c r="AS820" s="338"/>
      <c r="AT820" s="338"/>
      <c r="AU820" s="338"/>
      <c r="AV820" s="338"/>
      <c r="AW820" s="338"/>
      <c r="AX820" s="338"/>
      <c r="AY820" s="338"/>
      <c r="AZ820" s="338"/>
      <c r="BA820" s="338"/>
      <c r="BB820" s="338"/>
      <c r="BC820" s="338"/>
    </row>
    <row r="821">
      <c r="A821" s="115"/>
      <c r="B821" s="180"/>
      <c r="C821" s="117"/>
      <c r="D821" s="117"/>
      <c r="E821" s="117"/>
      <c r="F821" s="115"/>
      <c r="G821" s="180"/>
      <c r="H821" s="117"/>
      <c r="I821" s="117"/>
      <c r="J821" s="117"/>
      <c r="K821" s="92"/>
      <c r="L821" s="180"/>
      <c r="M821" s="117"/>
      <c r="N821" s="117"/>
      <c r="O821" s="117"/>
      <c r="P821" s="92"/>
      <c r="Q821" s="150"/>
      <c r="R821" s="117"/>
      <c r="S821" s="117"/>
      <c r="T821" s="117"/>
      <c r="U821" s="115"/>
      <c r="V821" s="180"/>
      <c r="W821" s="117"/>
      <c r="X821" s="117"/>
      <c r="Y821" s="117"/>
      <c r="Z821" s="115"/>
      <c r="AA821" s="180"/>
      <c r="AB821" s="117"/>
      <c r="AC821" s="117"/>
      <c r="AD821" s="117"/>
      <c r="AE821" s="115"/>
      <c r="AF821" s="180"/>
      <c r="AG821" s="117"/>
      <c r="AH821" s="117"/>
      <c r="AI821" s="117"/>
      <c r="AJ821" s="115"/>
      <c r="AK821" s="180"/>
      <c r="AL821" s="117"/>
      <c r="AM821" s="117"/>
      <c r="AN821" s="117"/>
      <c r="AO821" s="338"/>
      <c r="AP821" s="338"/>
      <c r="AQ821" s="338"/>
      <c r="AR821" s="338"/>
      <c r="AS821" s="338"/>
      <c r="AT821" s="338"/>
      <c r="AU821" s="338"/>
      <c r="AV821" s="338"/>
      <c r="AW821" s="338"/>
      <c r="AX821" s="338"/>
      <c r="AY821" s="338"/>
      <c r="AZ821" s="338"/>
      <c r="BA821" s="338"/>
      <c r="BB821" s="338"/>
      <c r="BC821" s="338"/>
    </row>
    <row r="822">
      <c r="A822" s="115"/>
      <c r="B822" s="180"/>
      <c r="C822" s="117"/>
      <c r="D822" s="117"/>
      <c r="E822" s="117"/>
      <c r="F822" s="115"/>
      <c r="G822" s="180"/>
      <c r="H822" s="117"/>
      <c r="I822" s="117"/>
      <c r="J822" s="117"/>
      <c r="K822" s="92"/>
      <c r="L822" s="180"/>
      <c r="M822" s="117"/>
      <c r="N822" s="117"/>
      <c r="O822" s="117"/>
      <c r="P822" s="92"/>
      <c r="Q822" s="150"/>
      <c r="R822" s="117"/>
      <c r="S822" s="117"/>
      <c r="T822" s="117"/>
      <c r="U822" s="115"/>
      <c r="V822" s="180"/>
      <c r="W822" s="117"/>
      <c r="X822" s="117"/>
      <c r="Y822" s="117"/>
      <c r="Z822" s="115"/>
      <c r="AA822" s="180"/>
      <c r="AB822" s="117"/>
      <c r="AC822" s="117"/>
      <c r="AD822" s="117"/>
      <c r="AE822" s="115"/>
      <c r="AF822" s="180"/>
      <c r="AG822" s="117"/>
      <c r="AH822" s="117"/>
      <c r="AI822" s="117"/>
      <c r="AJ822" s="115"/>
      <c r="AK822" s="180"/>
      <c r="AL822" s="117"/>
      <c r="AM822" s="117"/>
      <c r="AN822" s="117"/>
      <c r="AO822" s="338"/>
      <c r="AP822" s="338"/>
      <c r="AQ822" s="338"/>
      <c r="AR822" s="338"/>
      <c r="AS822" s="338"/>
      <c r="AT822" s="338"/>
      <c r="AU822" s="338"/>
      <c r="AV822" s="338"/>
      <c r="AW822" s="338"/>
      <c r="AX822" s="338"/>
      <c r="AY822" s="338"/>
      <c r="AZ822" s="338"/>
      <c r="BA822" s="338"/>
      <c r="BB822" s="338"/>
      <c r="BC822" s="338"/>
    </row>
    <row r="823">
      <c r="A823" s="115"/>
      <c r="B823" s="180"/>
      <c r="C823" s="117"/>
      <c r="D823" s="117"/>
      <c r="E823" s="117"/>
      <c r="F823" s="115"/>
      <c r="G823" s="180"/>
      <c r="H823" s="117"/>
      <c r="I823" s="117"/>
      <c r="J823" s="117"/>
      <c r="K823" s="92"/>
      <c r="L823" s="180"/>
      <c r="M823" s="117"/>
      <c r="N823" s="117"/>
      <c r="O823" s="117"/>
      <c r="P823" s="92"/>
      <c r="Q823" s="150"/>
      <c r="R823" s="117"/>
      <c r="S823" s="117"/>
      <c r="T823" s="117"/>
      <c r="U823" s="115"/>
      <c r="V823" s="180"/>
      <c r="W823" s="117"/>
      <c r="X823" s="117"/>
      <c r="Y823" s="117"/>
      <c r="Z823" s="115"/>
      <c r="AA823" s="180"/>
      <c r="AB823" s="117"/>
      <c r="AC823" s="117"/>
      <c r="AD823" s="117"/>
      <c r="AE823" s="115"/>
      <c r="AF823" s="180"/>
      <c r="AG823" s="117"/>
      <c r="AH823" s="117"/>
      <c r="AI823" s="117"/>
      <c r="AJ823" s="115"/>
      <c r="AK823" s="180"/>
      <c r="AL823" s="117"/>
      <c r="AM823" s="117"/>
      <c r="AN823" s="117"/>
      <c r="AO823" s="338"/>
      <c r="AP823" s="338"/>
      <c r="AQ823" s="338"/>
      <c r="AR823" s="338"/>
      <c r="AS823" s="338"/>
      <c r="AT823" s="338"/>
      <c r="AU823" s="338"/>
      <c r="AV823" s="338"/>
      <c r="AW823" s="338"/>
      <c r="AX823" s="338"/>
      <c r="AY823" s="338"/>
      <c r="AZ823" s="338"/>
      <c r="BA823" s="338"/>
      <c r="BB823" s="338"/>
      <c r="BC823" s="338"/>
    </row>
    <row r="824">
      <c r="A824" s="115"/>
      <c r="B824" s="180"/>
      <c r="C824" s="117"/>
      <c r="D824" s="117"/>
      <c r="E824" s="117"/>
      <c r="F824" s="115"/>
      <c r="G824" s="180"/>
      <c r="H824" s="117"/>
      <c r="I824" s="117"/>
      <c r="J824" s="117"/>
      <c r="K824" s="92"/>
      <c r="L824" s="180"/>
      <c r="M824" s="117"/>
      <c r="N824" s="117"/>
      <c r="O824" s="117"/>
      <c r="P824" s="92"/>
      <c r="Q824" s="150"/>
      <c r="R824" s="117"/>
      <c r="S824" s="117"/>
      <c r="T824" s="117"/>
      <c r="U824" s="115"/>
      <c r="V824" s="180"/>
      <c r="W824" s="117"/>
      <c r="X824" s="117"/>
      <c r="Y824" s="117"/>
      <c r="Z824" s="115"/>
      <c r="AA824" s="180"/>
      <c r="AB824" s="117"/>
      <c r="AC824" s="117"/>
      <c r="AD824" s="117"/>
      <c r="AE824" s="115"/>
      <c r="AF824" s="180"/>
      <c r="AG824" s="117"/>
      <c r="AH824" s="117"/>
      <c r="AI824" s="117"/>
      <c r="AJ824" s="115"/>
      <c r="AK824" s="180"/>
      <c r="AL824" s="117"/>
      <c r="AM824" s="117"/>
      <c r="AN824" s="117"/>
      <c r="AO824" s="338"/>
      <c r="AP824" s="338"/>
      <c r="AQ824" s="338"/>
      <c r="AR824" s="338"/>
      <c r="AS824" s="338"/>
      <c r="AT824" s="338"/>
      <c r="AU824" s="338"/>
      <c r="AV824" s="338"/>
      <c r="AW824" s="338"/>
      <c r="AX824" s="338"/>
      <c r="AY824" s="338"/>
      <c r="AZ824" s="338"/>
      <c r="BA824" s="338"/>
      <c r="BB824" s="338"/>
      <c r="BC824" s="338"/>
    </row>
    <row r="825">
      <c r="A825" s="115"/>
      <c r="B825" s="180"/>
      <c r="C825" s="117"/>
      <c r="D825" s="117"/>
      <c r="E825" s="117"/>
      <c r="F825" s="115"/>
      <c r="G825" s="180"/>
      <c r="H825" s="117"/>
      <c r="I825" s="117"/>
      <c r="J825" s="117"/>
      <c r="K825" s="92"/>
      <c r="L825" s="180"/>
      <c r="M825" s="117"/>
      <c r="N825" s="117"/>
      <c r="O825" s="117"/>
      <c r="P825" s="92"/>
      <c r="Q825" s="150"/>
      <c r="R825" s="117"/>
      <c r="S825" s="117"/>
      <c r="T825" s="117"/>
      <c r="U825" s="115"/>
      <c r="V825" s="180"/>
      <c r="W825" s="117"/>
      <c r="X825" s="117"/>
      <c r="Y825" s="117"/>
      <c r="Z825" s="115"/>
      <c r="AA825" s="180"/>
      <c r="AB825" s="117"/>
      <c r="AC825" s="117"/>
      <c r="AD825" s="117"/>
      <c r="AE825" s="115"/>
      <c r="AF825" s="180"/>
      <c r="AG825" s="117"/>
      <c r="AH825" s="117"/>
      <c r="AI825" s="117"/>
      <c r="AJ825" s="115"/>
      <c r="AK825" s="180"/>
      <c r="AL825" s="117"/>
      <c r="AM825" s="117"/>
      <c r="AN825" s="117"/>
      <c r="AO825" s="338"/>
      <c r="AP825" s="338"/>
      <c r="AQ825" s="338"/>
      <c r="AR825" s="338"/>
      <c r="AS825" s="338"/>
      <c r="AT825" s="338"/>
      <c r="AU825" s="338"/>
      <c r="AV825" s="338"/>
      <c r="AW825" s="338"/>
      <c r="AX825" s="338"/>
      <c r="AY825" s="338"/>
      <c r="AZ825" s="338"/>
      <c r="BA825" s="338"/>
      <c r="BB825" s="338"/>
      <c r="BC825" s="338"/>
    </row>
    <row r="826">
      <c r="A826" s="115"/>
      <c r="B826" s="180"/>
      <c r="C826" s="117"/>
      <c r="D826" s="117"/>
      <c r="E826" s="117"/>
      <c r="F826" s="115"/>
      <c r="G826" s="180"/>
      <c r="H826" s="117"/>
      <c r="I826" s="117"/>
      <c r="J826" s="117"/>
      <c r="K826" s="92"/>
      <c r="L826" s="180"/>
      <c r="M826" s="117"/>
      <c r="N826" s="117"/>
      <c r="O826" s="117"/>
      <c r="P826" s="92"/>
      <c r="Q826" s="150"/>
      <c r="R826" s="117"/>
      <c r="S826" s="117"/>
      <c r="T826" s="117"/>
      <c r="U826" s="115"/>
      <c r="V826" s="180"/>
      <c r="W826" s="117"/>
      <c r="X826" s="117"/>
      <c r="Y826" s="117"/>
      <c r="Z826" s="115"/>
      <c r="AA826" s="180"/>
      <c r="AB826" s="117"/>
      <c r="AC826" s="117"/>
      <c r="AD826" s="117"/>
      <c r="AE826" s="115"/>
      <c r="AF826" s="180"/>
      <c r="AG826" s="117"/>
      <c r="AH826" s="117"/>
      <c r="AI826" s="117"/>
      <c r="AJ826" s="115"/>
      <c r="AK826" s="180"/>
      <c r="AL826" s="117"/>
      <c r="AM826" s="117"/>
      <c r="AN826" s="117"/>
      <c r="AO826" s="338"/>
      <c r="AP826" s="338"/>
      <c r="AQ826" s="338"/>
      <c r="AR826" s="338"/>
      <c r="AS826" s="338"/>
      <c r="AT826" s="338"/>
      <c r="AU826" s="338"/>
      <c r="AV826" s="338"/>
      <c r="AW826" s="338"/>
      <c r="AX826" s="338"/>
      <c r="AY826" s="338"/>
      <c r="AZ826" s="338"/>
      <c r="BA826" s="338"/>
      <c r="BB826" s="338"/>
      <c r="BC826" s="338"/>
    </row>
    <row r="827">
      <c r="A827" s="115"/>
      <c r="B827" s="180"/>
      <c r="C827" s="117"/>
      <c r="D827" s="117"/>
      <c r="E827" s="117"/>
      <c r="F827" s="115"/>
      <c r="G827" s="180"/>
      <c r="H827" s="117"/>
      <c r="I827" s="117"/>
      <c r="J827" s="117"/>
      <c r="K827" s="92"/>
      <c r="L827" s="180"/>
      <c r="M827" s="117"/>
      <c r="N827" s="117"/>
      <c r="O827" s="117"/>
      <c r="P827" s="92"/>
      <c r="Q827" s="150"/>
      <c r="R827" s="117"/>
      <c r="S827" s="117"/>
      <c r="T827" s="117"/>
      <c r="U827" s="115"/>
      <c r="V827" s="180"/>
      <c r="W827" s="117"/>
      <c r="X827" s="117"/>
      <c r="Y827" s="117"/>
      <c r="Z827" s="115"/>
      <c r="AA827" s="180"/>
      <c r="AB827" s="117"/>
      <c r="AC827" s="117"/>
      <c r="AD827" s="117"/>
      <c r="AE827" s="115"/>
      <c r="AF827" s="180"/>
      <c r="AG827" s="117"/>
      <c r="AH827" s="117"/>
      <c r="AI827" s="117"/>
      <c r="AJ827" s="115"/>
      <c r="AK827" s="180"/>
      <c r="AL827" s="117"/>
      <c r="AM827" s="117"/>
      <c r="AN827" s="117"/>
      <c r="AO827" s="338"/>
      <c r="AP827" s="338"/>
      <c r="AQ827" s="338"/>
      <c r="AR827" s="338"/>
      <c r="AS827" s="338"/>
      <c r="AT827" s="338"/>
      <c r="AU827" s="338"/>
      <c r="AV827" s="338"/>
      <c r="AW827" s="338"/>
      <c r="AX827" s="338"/>
      <c r="AY827" s="338"/>
      <c r="AZ827" s="338"/>
      <c r="BA827" s="338"/>
      <c r="BB827" s="338"/>
      <c r="BC827" s="338"/>
    </row>
    <row r="828">
      <c r="A828" s="115"/>
      <c r="B828" s="180"/>
      <c r="C828" s="117"/>
      <c r="D828" s="117"/>
      <c r="E828" s="117"/>
      <c r="F828" s="115"/>
      <c r="G828" s="180"/>
      <c r="H828" s="117"/>
      <c r="I828" s="117"/>
      <c r="J828" s="117"/>
      <c r="K828" s="92"/>
      <c r="L828" s="180"/>
      <c r="M828" s="117"/>
      <c r="N828" s="117"/>
      <c r="O828" s="117"/>
      <c r="P828" s="92"/>
      <c r="Q828" s="150"/>
      <c r="R828" s="117"/>
      <c r="S828" s="117"/>
      <c r="T828" s="117"/>
      <c r="U828" s="115"/>
      <c r="V828" s="180"/>
      <c r="W828" s="117"/>
      <c r="X828" s="117"/>
      <c r="Y828" s="117"/>
      <c r="Z828" s="115"/>
      <c r="AA828" s="180"/>
      <c r="AB828" s="117"/>
      <c r="AC828" s="117"/>
      <c r="AD828" s="117"/>
      <c r="AE828" s="115"/>
      <c r="AF828" s="180"/>
      <c r="AG828" s="117"/>
      <c r="AH828" s="117"/>
      <c r="AI828" s="117"/>
      <c r="AJ828" s="115"/>
      <c r="AK828" s="180"/>
      <c r="AL828" s="117"/>
      <c r="AM828" s="117"/>
      <c r="AN828" s="117"/>
      <c r="AO828" s="338"/>
      <c r="AP828" s="338"/>
      <c r="AQ828" s="338"/>
      <c r="AR828" s="338"/>
      <c r="AS828" s="338"/>
      <c r="AT828" s="338"/>
      <c r="AU828" s="338"/>
      <c r="AV828" s="338"/>
      <c r="AW828" s="338"/>
      <c r="AX828" s="338"/>
      <c r="AY828" s="338"/>
      <c r="AZ828" s="338"/>
      <c r="BA828" s="338"/>
      <c r="BB828" s="338"/>
      <c r="BC828" s="338"/>
    </row>
    <row r="829">
      <c r="A829" s="115"/>
      <c r="B829" s="180"/>
      <c r="C829" s="117"/>
      <c r="D829" s="117"/>
      <c r="E829" s="117"/>
      <c r="F829" s="115"/>
      <c r="G829" s="180"/>
      <c r="H829" s="117"/>
      <c r="I829" s="117"/>
      <c r="J829" s="117"/>
      <c r="K829" s="92"/>
      <c r="L829" s="180"/>
      <c r="M829" s="117"/>
      <c r="N829" s="117"/>
      <c r="O829" s="117"/>
      <c r="P829" s="92"/>
      <c r="Q829" s="150"/>
      <c r="R829" s="117"/>
      <c r="S829" s="117"/>
      <c r="T829" s="117"/>
      <c r="U829" s="115"/>
      <c r="V829" s="180"/>
      <c r="W829" s="117"/>
      <c r="X829" s="117"/>
      <c r="Y829" s="117"/>
      <c r="Z829" s="115"/>
      <c r="AA829" s="180"/>
      <c r="AB829" s="117"/>
      <c r="AC829" s="117"/>
      <c r="AD829" s="117"/>
      <c r="AE829" s="115"/>
      <c r="AF829" s="180"/>
      <c r="AG829" s="117"/>
      <c r="AH829" s="117"/>
      <c r="AI829" s="117"/>
      <c r="AJ829" s="115"/>
      <c r="AK829" s="180"/>
      <c r="AL829" s="117"/>
      <c r="AM829" s="117"/>
      <c r="AN829" s="117"/>
      <c r="AO829" s="338"/>
      <c r="AP829" s="338"/>
      <c r="AQ829" s="338"/>
      <c r="AR829" s="338"/>
      <c r="AS829" s="338"/>
      <c r="AT829" s="338"/>
      <c r="AU829" s="338"/>
      <c r="AV829" s="338"/>
      <c r="AW829" s="338"/>
      <c r="AX829" s="338"/>
      <c r="AY829" s="338"/>
      <c r="AZ829" s="338"/>
      <c r="BA829" s="338"/>
      <c r="BB829" s="338"/>
      <c r="BC829" s="338"/>
    </row>
    <row r="830">
      <c r="A830" s="115"/>
      <c r="B830" s="180"/>
      <c r="C830" s="117"/>
      <c r="D830" s="117"/>
      <c r="E830" s="117"/>
      <c r="F830" s="115"/>
      <c r="G830" s="180"/>
      <c r="H830" s="117"/>
      <c r="I830" s="117"/>
      <c r="J830" s="117"/>
      <c r="K830" s="92"/>
      <c r="L830" s="180"/>
      <c r="M830" s="117"/>
      <c r="N830" s="117"/>
      <c r="O830" s="117"/>
      <c r="P830" s="92"/>
      <c r="Q830" s="150"/>
      <c r="R830" s="117"/>
      <c r="S830" s="117"/>
      <c r="T830" s="117"/>
      <c r="U830" s="115"/>
      <c r="V830" s="180"/>
      <c r="W830" s="117"/>
      <c r="X830" s="117"/>
      <c r="Y830" s="117"/>
      <c r="Z830" s="115"/>
      <c r="AA830" s="180"/>
      <c r="AB830" s="117"/>
      <c r="AC830" s="117"/>
      <c r="AD830" s="117"/>
      <c r="AE830" s="115"/>
      <c r="AF830" s="180"/>
      <c r="AG830" s="117"/>
      <c r="AH830" s="117"/>
      <c r="AI830" s="117"/>
      <c r="AJ830" s="115"/>
      <c r="AK830" s="180"/>
      <c r="AL830" s="117"/>
      <c r="AM830" s="117"/>
      <c r="AN830" s="117"/>
      <c r="AO830" s="338"/>
      <c r="AP830" s="338"/>
      <c r="AQ830" s="338"/>
      <c r="AR830" s="338"/>
      <c r="AS830" s="338"/>
      <c r="AT830" s="338"/>
      <c r="AU830" s="338"/>
      <c r="AV830" s="338"/>
      <c r="AW830" s="338"/>
      <c r="AX830" s="338"/>
      <c r="AY830" s="338"/>
      <c r="AZ830" s="338"/>
      <c r="BA830" s="338"/>
      <c r="BB830" s="338"/>
      <c r="BC830" s="338"/>
    </row>
    <row r="831">
      <c r="A831" s="115"/>
      <c r="B831" s="180"/>
      <c r="C831" s="117"/>
      <c r="D831" s="117"/>
      <c r="E831" s="117"/>
      <c r="F831" s="115"/>
      <c r="G831" s="180"/>
      <c r="H831" s="117"/>
      <c r="I831" s="117"/>
      <c r="J831" s="117"/>
      <c r="K831" s="92"/>
      <c r="L831" s="180"/>
      <c r="M831" s="117"/>
      <c r="N831" s="117"/>
      <c r="O831" s="117"/>
      <c r="P831" s="92"/>
      <c r="Q831" s="150"/>
      <c r="R831" s="117"/>
      <c r="S831" s="117"/>
      <c r="T831" s="117"/>
      <c r="U831" s="115"/>
      <c r="V831" s="180"/>
      <c r="W831" s="117"/>
      <c r="X831" s="117"/>
      <c r="Y831" s="117"/>
      <c r="Z831" s="115"/>
      <c r="AA831" s="180"/>
      <c r="AB831" s="117"/>
      <c r="AC831" s="117"/>
      <c r="AD831" s="117"/>
      <c r="AE831" s="115"/>
      <c r="AF831" s="180"/>
      <c r="AG831" s="117"/>
      <c r="AH831" s="117"/>
      <c r="AI831" s="117"/>
      <c r="AJ831" s="115"/>
      <c r="AK831" s="180"/>
      <c r="AL831" s="117"/>
      <c r="AM831" s="117"/>
      <c r="AN831" s="117"/>
      <c r="AO831" s="338"/>
      <c r="AP831" s="338"/>
      <c r="AQ831" s="338"/>
      <c r="AR831" s="338"/>
      <c r="AS831" s="338"/>
      <c r="AT831" s="338"/>
      <c r="AU831" s="338"/>
      <c r="AV831" s="338"/>
      <c r="AW831" s="338"/>
      <c r="AX831" s="338"/>
      <c r="AY831" s="338"/>
      <c r="AZ831" s="338"/>
      <c r="BA831" s="338"/>
      <c r="BB831" s="338"/>
      <c r="BC831" s="338"/>
    </row>
    <row r="832">
      <c r="A832" s="115"/>
      <c r="B832" s="180"/>
      <c r="C832" s="117"/>
      <c r="D832" s="117"/>
      <c r="E832" s="117"/>
      <c r="F832" s="115"/>
      <c r="G832" s="180"/>
      <c r="H832" s="117"/>
      <c r="I832" s="117"/>
      <c r="J832" s="117"/>
      <c r="K832" s="92"/>
      <c r="L832" s="180"/>
      <c r="M832" s="117"/>
      <c r="N832" s="117"/>
      <c r="O832" s="117"/>
      <c r="P832" s="92"/>
      <c r="Q832" s="150"/>
      <c r="R832" s="117"/>
      <c r="S832" s="117"/>
      <c r="T832" s="117"/>
      <c r="U832" s="115"/>
      <c r="V832" s="180"/>
      <c r="W832" s="117"/>
      <c r="X832" s="117"/>
      <c r="Y832" s="117"/>
      <c r="Z832" s="115"/>
      <c r="AA832" s="180"/>
      <c r="AB832" s="117"/>
      <c r="AC832" s="117"/>
      <c r="AD832" s="117"/>
      <c r="AE832" s="115"/>
      <c r="AF832" s="180"/>
      <c r="AG832" s="117"/>
      <c r="AH832" s="117"/>
      <c r="AI832" s="117"/>
      <c r="AJ832" s="115"/>
      <c r="AK832" s="180"/>
      <c r="AL832" s="117"/>
      <c r="AM832" s="117"/>
      <c r="AN832" s="117"/>
      <c r="AO832" s="338"/>
      <c r="AP832" s="338"/>
      <c r="AQ832" s="338"/>
      <c r="AR832" s="338"/>
      <c r="AS832" s="338"/>
      <c r="AT832" s="338"/>
      <c r="AU832" s="338"/>
      <c r="AV832" s="338"/>
      <c r="AW832" s="338"/>
      <c r="AX832" s="338"/>
      <c r="AY832" s="338"/>
      <c r="AZ832" s="338"/>
      <c r="BA832" s="338"/>
      <c r="BB832" s="338"/>
      <c r="BC832" s="338"/>
    </row>
    <row r="833">
      <c r="A833" s="115"/>
      <c r="B833" s="180"/>
      <c r="C833" s="117"/>
      <c r="D833" s="117"/>
      <c r="E833" s="117"/>
      <c r="F833" s="115"/>
      <c r="G833" s="180"/>
      <c r="H833" s="117"/>
      <c r="I833" s="117"/>
      <c r="J833" s="117"/>
      <c r="K833" s="92"/>
      <c r="L833" s="180"/>
      <c r="M833" s="117"/>
      <c r="N833" s="117"/>
      <c r="O833" s="117"/>
      <c r="P833" s="92"/>
      <c r="Q833" s="150"/>
      <c r="R833" s="117"/>
      <c r="S833" s="117"/>
      <c r="T833" s="117"/>
      <c r="U833" s="115"/>
      <c r="V833" s="180"/>
      <c r="W833" s="117"/>
      <c r="X833" s="117"/>
      <c r="Y833" s="117"/>
      <c r="Z833" s="115"/>
      <c r="AA833" s="180"/>
      <c r="AB833" s="117"/>
      <c r="AC833" s="117"/>
      <c r="AD833" s="117"/>
      <c r="AE833" s="115"/>
      <c r="AF833" s="180"/>
      <c r="AG833" s="117"/>
      <c r="AH833" s="117"/>
      <c r="AI833" s="117"/>
      <c r="AJ833" s="115"/>
      <c r="AK833" s="180"/>
      <c r="AL833" s="117"/>
      <c r="AM833" s="117"/>
      <c r="AN833" s="117"/>
      <c r="AO833" s="338"/>
      <c r="AP833" s="338"/>
      <c r="AQ833" s="338"/>
      <c r="AR833" s="338"/>
      <c r="AS833" s="338"/>
      <c r="AT833" s="338"/>
      <c r="AU833" s="338"/>
      <c r="AV833" s="338"/>
      <c r="AW833" s="338"/>
      <c r="AX833" s="338"/>
      <c r="AY833" s="338"/>
      <c r="AZ833" s="338"/>
      <c r="BA833" s="338"/>
      <c r="BB833" s="338"/>
      <c r="BC833" s="338"/>
    </row>
    <row r="834">
      <c r="A834" s="115"/>
      <c r="B834" s="180"/>
      <c r="C834" s="117"/>
      <c r="D834" s="117"/>
      <c r="E834" s="117"/>
      <c r="F834" s="115"/>
      <c r="G834" s="180"/>
      <c r="H834" s="117"/>
      <c r="I834" s="117"/>
      <c r="J834" s="117"/>
      <c r="K834" s="92"/>
      <c r="L834" s="180"/>
      <c r="M834" s="117"/>
      <c r="N834" s="117"/>
      <c r="O834" s="117"/>
      <c r="P834" s="92"/>
      <c r="Q834" s="150"/>
      <c r="R834" s="117"/>
      <c r="S834" s="117"/>
      <c r="T834" s="117"/>
      <c r="U834" s="115"/>
      <c r="V834" s="180"/>
      <c r="W834" s="117"/>
      <c r="X834" s="117"/>
      <c r="Y834" s="117"/>
      <c r="Z834" s="115"/>
      <c r="AA834" s="180"/>
      <c r="AB834" s="117"/>
      <c r="AC834" s="117"/>
      <c r="AD834" s="117"/>
      <c r="AE834" s="115"/>
      <c r="AF834" s="180"/>
      <c r="AG834" s="117"/>
      <c r="AH834" s="117"/>
      <c r="AI834" s="117"/>
      <c r="AJ834" s="115"/>
      <c r="AK834" s="180"/>
      <c r="AL834" s="117"/>
      <c r="AM834" s="117"/>
      <c r="AN834" s="117"/>
      <c r="AO834" s="338"/>
      <c r="AP834" s="338"/>
      <c r="AQ834" s="338"/>
      <c r="AR834" s="338"/>
      <c r="AS834" s="338"/>
      <c r="AT834" s="338"/>
      <c r="AU834" s="338"/>
      <c r="AV834" s="338"/>
      <c r="AW834" s="338"/>
      <c r="AX834" s="338"/>
      <c r="AY834" s="338"/>
      <c r="AZ834" s="338"/>
      <c r="BA834" s="338"/>
      <c r="BB834" s="338"/>
      <c r="BC834" s="338"/>
    </row>
    <row r="835">
      <c r="A835" s="115"/>
      <c r="B835" s="180"/>
      <c r="C835" s="117"/>
      <c r="D835" s="117"/>
      <c r="E835" s="117"/>
      <c r="F835" s="115"/>
      <c r="G835" s="180"/>
      <c r="H835" s="117"/>
      <c r="I835" s="117"/>
      <c r="J835" s="117"/>
      <c r="K835" s="92"/>
      <c r="L835" s="180"/>
      <c r="M835" s="117"/>
      <c r="N835" s="117"/>
      <c r="O835" s="117"/>
      <c r="P835" s="92"/>
      <c r="Q835" s="150"/>
      <c r="R835" s="117"/>
      <c r="S835" s="117"/>
      <c r="T835" s="117"/>
      <c r="U835" s="115"/>
      <c r="V835" s="180"/>
      <c r="W835" s="117"/>
      <c r="X835" s="117"/>
      <c r="Y835" s="117"/>
      <c r="Z835" s="115"/>
      <c r="AA835" s="180"/>
      <c r="AB835" s="117"/>
      <c r="AC835" s="117"/>
      <c r="AD835" s="117"/>
      <c r="AE835" s="115"/>
      <c r="AF835" s="180"/>
      <c r="AG835" s="117"/>
      <c r="AH835" s="117"/>
      <c r="AI835" s="117"/>
      <c r="AJ835" s="115"/>
      <c r="AK835" s="180"/>
      <c r="AL835" s="117"/>
      <c r="AM835" s="117"/>
      <c r="AN835" s="117"/>
      <c r="AO835" s="338"/>
      <c r="AP835" s="338"/>
      <c r="AQ835" s="338"/>
      <c r="AR835" s="338"/>
      <c r="AS835" s="338"/>
      <c r="AT835" s="338"/>
      <c r="AU835" s="338"/>
      <c r="AV835" s="338"/>
      <c r="AW835" s="338"/>
      <c r="AX835" s="338"/>
      <c r="AY835" s="338"/>
      <c r="AZ835" s="338"/>
      <c r="BA835" s="338"/>
      <c r="BB835" s="338"/>
      <c r="BC835" s="338"/>
    </row>
    <row r="836">
      <c r="A836" s="115"/>
      <c r="B836" s="180"/>
      <c r="C836" s="117"/>
      <c r="D836" s="117"/>
      <c r="E836" s="117"/>
      <c r="F836" s="115"/>
      <c r="G836" s="180"/>
      <c r="H836" s="117"/>
      <c r="I836" s="117"/>
      <c r="J836" s="117"/>
      <c r="K836" s="92"/>
      <c r="L836" s="180"/>
      <c r="M836" s="117"/>
      <c r="N836" s="117"/>
      <c r="O836" s="117"/>
      <c r="P836" s="92"/>
      <c r="Q836" s="150"/>
      <c r="R836" s="117"/>
      <c r="S836" s="117"/>
      <c r="T836" s="117"/>
      <c r="U836" s="115"/>
      <c r="V836" s="180"/>
      <c r="W836" s="117"/>
      <c r="X836" s="117"/>
      <c r="Y836" s="117"/>
      <c r="Z836" s="115"/>
      <c r="AA836" s="180"/>
      <c r="AB836" s="117"/>
      <c r="AC836" s="117"/>
      <c r="AD836" s="117"/>
      <c r="AE836" s="115"/>
      <c r="AF836" s="180"/>
      <c r="AG836" s="117"/>
      <c r="AH836" s="117"/>
      <c r="AI836" s="117"/>
      <c r="AJ836" s="115"/>
      <c r="AK836" s="180"/>
      <c r="AL836" s="117"/>
      <c r="AM836" s="117"/>
      <c r="AN836" s="117"/>
      <c r="AO836" s="338"/>
      <c r="AP836" s="338"/>
      <c r="AQ836" s="338"/>
      <c r="AR836" s="338"/>
      <c r="AS836" s="338"/>
      <c r="AT836" s="338"/>
      <c r="AU836" s="338"/>
      <c r="AV836" s="338"/>
      <c r="AW836" s="338"/>
      <c r="AX836" s="338"/>
      <c r="AY836" s="338"/>
      <c r="AZ836" s="338"/>
      <c r="BA836" s="338"/>
      <c r="BB836" s="338"/>
      <c r="BC836" s="338"/>
    </row>
    <row r="837">
      <c r="A837" s="115"/>
      <c r="B837" s="180"/>
      <c r="C837" s="117"/>
      <c r="D837" s="117"/>
      <c r="E837" s="117"/>
      <c r="F837" s="115"/>
      <c r="G837" s="180"/>
      <c r="H837" s="117"/>
      <c r="I837" s="117"/>
      <c r="J837" s="117"/>
      <c r="K837" s="92"/>
      <c r="L837" s="180"/>
      <c r="M837" s="117"/>
      <c r="N837" s="117"/>
      <c r="O837" s="117"/>
      <c r="P837" s="92"/>
      <c r="Q837" s="150"/>
      <c r="R837" s="117"/>
      <c r="S837" s="117"/>
      <c r="T837" s="117"/>
      <c r="U837" s="115"/>
      <c r="V837" s="180"/>
      <c r="W837" s="117"/>
      <c r="X837" s="117"/>
      <c r="Y837" s="117"/>
      <c r="Z837" s="115"/>
      <c r="AA837" s="180"/>
      <c r="AB837" s="117"/>
      <c r="AC837" s="117"/>
      <c r="AD837" s="117"/>
      <c r="AE837" s="115"/>
      <c r="AF837" s="180"/>
      <c r="AG837" s="117"/>
      <c r="AH837" s="117"/>
      <c r="AI837" s="117"/>
      <c r="AJ837" s="115"/>
      <c r="AK837" s="180"/>
      <c r="AL837" s="117"/>
      <c r="AM837" s="117"/>
      <c r="AN837" s="117"/>
      <c r="AO837" s="338"/>
      <c r="AP837" s="338"/>
      <c r="AQ837" s="338"/>
      <c r="AR837" s="338"/>
      <c r="AS837" s="338"/>
      <c r="AT837" s="338"/>
      <c r="AU837" s="338"/>
      <c r="AV837" s="338"/>
      <c r="AW837" s="338"/>
      <c r="AX837" s="338"/>
      <c r="AY837" s="338"/>
      <c r="AZ837" s="338"/>
      <c r="BA837" s="338"/>
      <c r="BB837" s="338"/>
      <c r="BC837" s="338"/>
    </row>
    <row r="838">
      <c r="A838" s="115"/>
      <c r="B838" s="180"/>
      <c r="C838" s="117"/>
      <c r="D838" s="117"/>
      <c r="E838" s="117"/>
      <c r="F838" s="115"/>
      <c r="G838" s="180"/>
      <c r="H838" s="117"/>
      <c r="I838" s="117"/>
      <c r="J838" s="117"/>
      <c r="K838" s="92"/>
      <c r="L838" s="180"/>
      <c r="M838" s="117"/>
      <c r="N838" s="117"/>
      <c r="O838" s="117"/>
      <c r="P838" s="92"/>
      <c r="Q838" s="150"/>
      <c r="R838" s="117"/>
      <c r="S838" s="117"/>
      <c r="T838" s="117"/>
      <c r="U838" s="115"/>
      <c r="V838" s="180"/>
      <c r="W838" s="117"/>
      <c r="X838" s="117"/>
      <c r="Y838" s="117"/>
      <c r="Z838" s="115"/>
      <c r="AA838" s="180"/>
      <c r="AB838" s="117"/>
      <c r="AC838" s="117"/>
      <c r="AD838" s="117"/>
      <c r="AE838" s="115"/>
      <c r="AF838" s="180"/>
      <c r="AG838" s="117"/>
      <c r="AH838" s="117"/>
      <c r="AI838" s="117"/>
      <c r="AJ838" s="115"/>
      <c r="AK838" s="180"/>
      <c r="AL838" s="117"/>
      <c r="AM838" s="117"/>
      <c r="AN838" s="117"/>
      <c r="AO838" s="338"/>
      <c r="AP838" s="338"/>
      <c r="AQ838" s="338"/>
      <c r="AR838" s="338"/>
      <c r="AS838" s="338"/>
      <c r="AT838" s="338"/>
      <c r="AU838" s="338"/>
      <c r="AV838" s="338"/>
      <c r="AW838" s="338"/>
      <c r="AX838" s="338"/>
      <c r="AY838" s="338"/>
      <c r="AZ838" s="338"/>
      <c r="BA838" s="338"/>
      <c r="BB838" s="338"/>
      <c r="BC838" s="338"/>
    </row>
    <row r="839">
      <c r="A839" s="115"/>
      <c r="B839" s="180"/>
      <c r="C839" s="117"/>
      <c r="D839" s="117"/>
      <c r="E839" s="117"/>
      <c r="F839" s="115"/>
      <c r="G839" s="180"/>
      <c r="H839" s="117"/>
      <c r="I839" s="117"/>
      <c r="J839" s="117"/>
      <c r="K839" s="92"/>
      <c r="L839" s="180"/>
      <c r="M839" s="117"/>
      <c r="N839" s="117"/>
      <c r="O839" s="117"/>
      <c r="P839" s="92"/>
      <c r="Q839" s="150"/>
      <c r="R839" s="117"/>
      <c r="S839" s="117"/>
      <c r="T839" s="117"/>
      <c r="U839" s="115"/>
      <c r="V839" s="180"/>
      <c r="W839" s="117"/>
      <c r="X839" s="117"/>
      <c r="Y839" s="117"/>
      <c r="Z839" s="115"/>
      <c r="AA839" s="180"/>
      <c r="AB839" s="117"/>
      <c r="AC839" s="117"/>
      <c r="AD839" s="117"/>
      <c r="AE839" s="115"/>
      <c r="AF839" s="180"/>
      <c r="AG839" s="117"/>
      <c r="AH839" s="117"/>
      <c r="AI839" s="117"/>
      <c r="AJ839" s="115"/>
      <c r="AK839" s="180"/>
      <c r="AL839" s="117"/>
      <c r="AM839" s="117"/>
      <c r="AN839" s="117"/>
      <c r="AO839" s="338"/>
      <c r="AP839" s="338"/>
      <c r="AQ839" s="338"/>
      <c r="AR839" s="338"/>
      <c r="AS839" s="338"/>
      <c r="AT839" s="338"/>
      <c r="AU839" s="338"/>
      <c r="AV839" s="338"/>
      <c r="AW839" s="338"/>
      <c r="AX839" s="338"/>
      <c r="AY839" s="338"/>
      <c r="AZ839" s="338"/>
      <c r="BA839" s="338"/>
      <c r="BB839" s="338"/>
      <c r="BC839" s="338"/>
    </row>
    <row r="840">
      <c r="A840" s="115"/>
      <c r="B840" s="180"/>
      <c r="C840" s="117"/>
      <c r="D840" s="117"/>
      <c r="E840" s="117"/>
      <c r="F840" s="115"/>
      <c r="G840" s="180"/>
      <c r="H840" s="117"/>
      <c r="I840" s="117"/>
      <c r="J840" s="117"/>
      <c r="K840" s="92"/>
      <c r="L840" s="180"/>
      <c r="M840" s="117"/>
      <c r="N840" s="117"/>
      <c r="O840" s="117"/>
      <c r="P840" s="92"/>
      <c r="Q840" s="150"/>
      <c r="R840" s="117"/>
      <c r="S840" s="117"/>
      <c r="T840" s="117"/>
      <c r="U840" s="115"/>
      <c r="V840" s="180"/>
      <c r="W840" s="117"/>
      <c r="X840" s="117"/>
      <c r="Y840" s="117"/>
      <c r="Z840" s="115"/>
      <c r="AA840" s="180"/>
      <c r="AB840" s="117"/>
      <c r="AC840" s="117"/>
      <c r="AD840" s="117"/>
      <c r="AE840" s="115"/>
      <c r="AF840" s="180"/>
      <c r="AG840" s="117"/>
      <c r="AH840" s="117"/>
      <c r="AI840" s="117"/>
      <c r="AJ840" s="115"/>
      <c r="AK840" s="180"/>
      <c r="AL840" s="117"/>
      <c r="AM840" s="117"/>
      <c r="AN840" s="117"/>
      <c r="AO840" s="338"/>
      <c r="AP840" s="338"/>
      <c r="AQ840" s="338"/>
      <c r="AR840" s="338"/>
      <c r="AS840" s="338"/>
      <c r="AT840" s="338"/>
      <c r="AU840" s="338"/>
      <c r="AV840" s="338"/>
      <c r="AW840" s="338"/>
      <c r="AX840" s="338"/>
      <c r="AY840" s="338"/>
      <c r="AZ840" s="338"/>
      <c r="BA840" s="338"/>
      <c r="BB840" s="338"/>
      <c r="BC840" s="338"/>
    </row>
    <row r="841">
      <c r="A841" s="115"/>
      <c r="B841" s="180"/>
      <c r="C841" s="117"/>
      <c r="D841" s="117"/>
      <c r="E841" s="117"/>
      <c r="F841" s="115"/>
      <c r="G841" s="180"/>
      <c r="H841" s="117"/>
      <c r="I841" s="117"/>
      <c r="J841" s="117"/>
      <c r="K841" s="92"/>
      <c r="L841" s="180"/>
      <c r="M841" s="117"/>
      <c r="N841" s="117"/>
      <c r="O841" s="117"/>
      <c r="P841" s="92"/>
      <c r="Q841" s="150"/>
      <c r="R841" s="117"/>
      <c r="S841" s="117"/>
      <c r="T841" s="117"/>
      <c r="U841" s="115"/>
      <c r="V841" s="180"/>
      <c r="W841" s="117"/>
      <c r="X841" s="117"/>
      <c r="Y841" s="117"/>
      <c r="Z841" s="115"/>
      <c r="AA841" s="180"/>
      <c r="AB841" s="117"/>
      <c r="AC841" s="117"/>
      <c r="AD841" s="117"/>
      <c r="AE841" s="115"/>
      <c r="AF841" s="180"/>
      <c r="AG841" s="117"/>
      <c r="AH841" s="117"/>
      <c r="AI841" s="117"/>
      <c r="AJ841" s="115"/>
      <c r="AK841" s="180"/>
      <c r="AL841" s="117"/>
      <c r="AM841" s="117"/>
      <c r="AN841" s="117"/>
      <c r="AO841" s="338"/>
      <c r="AP841" s="338"/>
      <c r="AQ841" s="338"/>
      <c r="AR841" s="338"/>
      <c r="AS841" s="338"/>
      <c r="AT841" s="338"/>
      <c r="AU841" s="338"/>
      <c r="AV841" s="338"/>
      <c r="AW841" s="338"/>
      <c r="AX841" s="338"/>
      <c r="AY841" s="338"/>
      <c r="AZ841" s="338"/>
      <c r="BA841" s="338"/>
      <c r="BB841" s="338"/>
      <c r="BC841" s="338"/>
    </row>
    <row r="842">
      <c r="A842" s="115"/>
      <c r="B842" s="180"/>
      <c r="C842" s="117"/>
      <c r="D842" s="117"/>
      <c r="E842" s="117"/>
      <c r="F842" s="115"/>
      <c r="G842" s="180"/>
      <c r="H842" s="117"/>
      <c r="I842" s="117"/>
      <c r="J842" s="117"/>
      <c r="K842" s="92"/>
      <c r="L842" s="180"/>
      <c r="M842" s="117"/>
      <c r="N842" s="117"/>
      <c r="O842" s="117"/>
      <c r="P842" s="92"/>
      <c r="Q842" s="150"/>
      <c r="R842" s="117"/>
      <c r="S842" s="117"/>
      <c r="T842" s="117"/>
      <c r="U842" s="115"/>
      <c r="V842" s="180"/>
      <c r="W842" s="117"/>
      <c r="X842" s="117"/>
      <c r="Y842" s="117"/>
      <c r="Z842" s="115"/>
      <c r="AA842" s="180"/>
      <c r="AB842" s="117"/>
      <c r="AC842" s="117"/>
      <c r="AD842" s="117"/>
      <c r="AE842" s="115"/>
      <c r="AF842" s="180"/>
      <c r="AG842" s="117"/>
      <c r="AH842" s="117"/>
      <c r="AI842" s="117"/>
      <c r="AJ842" s="115"/>
      <c r="AK842" s="180"/>
      <c r="AL842" s="117"/>
      <c r="AM842" s="117"/>
      <c r="AN842" s="117"/>
      <c r="AO842" s="338"/>
      <c r="AP842" s="338"/>
      <c r="AQ842" s="338"/>
      <c r="AR842" s="338"/>
      <c r="AS842" s="338"/>
      <c r="AT842" s="338"/>
      <c r="AU842" s="338"/>
      <c r="AV842" s="338"/>
      <c r="AW842" s="338"/>
      <c r="AX842" s="338"/>
      <c r="AY842" s="338"/>
      <c r="AZ842" s="338"/>
      <c r="BA842" s="338"/>
      <c r="BB842" s="338"/>
      <c r="BC842" s="338"/>
    </row>
    <row r="843">
      <c r="A843" s="115"/>
      <c r="B843" s="180"/>
      <c r="C843" s="117"/>
      <c r="D843" s="117"/>
      <c r="E843" s="117"/>
      <c r="F843" s="115"/>
      <c r="G843" s="180"/>
      <c r="H843" s="117"/>
      <c r="I843" s="117"/>
      <c r="J843" s="117"/>
      <c r="K843" s="92"/>
      <c r="L843" s="180"/>
      <c r="M843" s="117"/>
      <c r="N843" s="117"/>
      <c r="O843" s="117"/>
      <c r="P843" s="92"/>
      <c r="Q843" s="150"/>
      <c r="R843" s="117"/>
      <c r="S843" s="117"/>
      <c r="T843" s="117"/>
      <c r="U843" s="115"/>
      <c r="V843" s="180"/>
      <c r="W843" s="117"/>
      <c r="X843" s="117"/>
      <c r="Y843" s="117"/>
      <c r="Z843" s="115"/>
      <c r="AA843" s="180"/>
      <c r="AB843" s="117"/>
      <c r="AC843" s="117"/>
      <c r="AD843" s="117"/>
      <c r="AE843" s="115"/>
      <c r="AF843" s="180"/>
      <c r="AG843" s="117"/>
      <c r="AH843" s="117"/>
      <c r="AI843" s="117"/>
      <c r="AJ843" s="115"/>
      <c r="AK843" s="180"/>
      <c r="AL843" s="117"/>
      <c r="AM843" s="117"/>
      <c r="AN843" s="117"/>
      <c r="AO843" s="338"/>
      <c r="AP843" s="338"/>
      <c r="AQ843" s="338"/>
      <c r="AR843" s="338"/>
      <c r="AS843" s="338"/>
      <c r="AT843" s="338"/>
      <c r="AU843" s="338"/>
      <c r="AV843" s="338"/>
      <c r="AW843" s="338"/>
      <c r="AX843" s="338"/>
      <c r="AY843" s="338"/>
      <c r="AZ843" s="338"/>
      <c r="BA843" s="338"/>
      <c r="BB843" s="338"/>
      <c r="BC843" s="338"/>
    </row>
    <row r="844">
      <c r="A844" s="115"/>
      <c r="B844" s="180"/>
      <c r="C844" s="117"/>
      <c r="D844" s="117"/>
      <c r="E844" s="117"/>
      <c r="F844" s="115"/>
      <c r="G844" s="180"/>
      <c r="H844" s="117"/>
      <c r="I844" s="117"/>
      <c r="J844" s="117"/>
      <c r="K844" s="92"/>
      <c r="L844" s="180"/>
      <c r="M844" s="117"/>
      <c r="N844" s="117"/>
      <c r="O844" s="117"/>
      <c r="P844" s="92"/>
      <c r="Q844" s="150"/>
      <c r="R844" s="117"/>
      <c r="S844" s="117"/>
      <c r="T844" s="117"/>
      <c r="U844" s="115"/>
      <c r="V844" s="180"/>
      <c r="W844" s="117"/>
      <c r="X844" s="117"/>
      <c r="Y844" s="117"/>
      <c r="Z844" s="115"/>
      <c r="AA844" s="180"/>
      <c r="AB844" s="117"/>
      <c r="AC844" s="117"/>
      <c r="AD844" s="117"/>
      <c r="AE844" s="115"/>
      <c r="AF844" s="180"/>
      <c r="AG844" s="117"/>
      <c r="AH844" s="117"/>
      <c r="AI844" s="117"/>
      <c r="AJ844" s="115"/>
      <c r="AK844" s="180"/>
      <c r="AL844" s="117"/>
      <c r="AM844" s="117"/>
      <c r="AN844" s="117"/>
      <c r="AO844" s="338"/>
      <c r="AP844" s="338"/>
      <c r="AQ844" s="338"/>
      <c r="AR844" s="338"/>
      <c r="AS844" s="338"/>
      <c r="AT844" s="338"/>
      <c r="AU844" s="338"/>
      <c r="AV844" s="338"/>
      <c r="AW844" s="338"/>
      <c r="AX844" s="338"/>
      <c r="AY844" s="338"/>
      <c r="AZ844" s="338"/>
      <c r="BA844" s="338"/>
      <c r="BB844" s="338"/>
      <c r="BC844" s="338"/>
    </row>
    <row r="845">
      <c r="A845" s="115"/>
      <c r="B845" s="180"/>
      <c r="C845" s="117"/>
      <c r="D845" s="117"/>
      <c r="E845" s="117"/>
      <c r="F845" s="115"/>
      <c r="G845" s="180"/>
      <c r="H845" s="117"/>
      <c r="I845" s="117"/>
      <c r="J845" s="117"/>
      <c r="K845" s="92"/>
      <c r="L845" s="180"/>
      <c r="M845" s="117"/>
      <c r="N845" s="117"/>
      <c r="O845" s="117"/>
      <c r="P845" s="92"/>
      <c r="Q845" s="150"/>
      <c r="R845" s="117"/>
      <c r="S845" s="117"/>
      <c r="T845" s="117"/>
      <c r="U845" s="115"/>
      <c r="V845" s="180"/>
      <c r="W845" s="117"/>
      <c r="X845" s="117"/>
      <c r="Y845" s="117"/>
      <c r="Z845" s="115"/>
      <c r="AA845" s="180"/>
      <c r="AB845" s="117"/>
      <c r="AC845" s="117"/>
      <c r="AD845" s="117"/>
      <c r="AE845" s="115"/>
      <c r="AF845" s="180"/>
      <c r="AG845" s="117"/>
      <c r="AH845" s="117"/>
      <c r="AI845" s="117"/>
      <c r="AJ845" s="115"/>
      <c r="AK845" s="180"/>
      <c r="AL845" s="117"/>
      <c r="AM845" s="117"/>
      <c r="AN845" s="117"/>
      <c r="AO845" s="338"/>
      <c r="AP845" s="338"/>
      <c r="AQ845" s="338"/>
      <c r="AR845" s="338"/>
      <c r="AS845" s="338"/>
      <c r="AT845" s="338"/>
      <c r="AU845" s="338"/>
      <c r="AV845" s="338"/>
      <c r="AW845" s="338"/>
      <c r="AX845" s="338"/>
      <c r="AY845" s="338"/>
      <c r="AZ845" s="338"/>
      <c r="BA845" s="338"/>
      <c r="BB845" s="338"/>
      <c r="BC845" s="338"/>
    </row>
    <row r="846">
      <c r="A846" s="115"/>
      <c r="B846" s="180"/>
      <c r="C846" s="117"/>
      <c r="D846" s="117"/>
      <c r="E846" s="117"/>
      <c r="F846" s="115"/>
      <c r="G846" s="180"/>
      <c r="H846" s="117"/>
      <c r="I846" s="117"/>
      <c r="J846" s="117"/>
      <c r="K846" s="92"/>
      <c r="L846" s="180"/>
      <c r="M846" s="117"/>
      <c r="N846" s="117"/>
      <c r="O846" s="117"/>
      <c r="P846" s="92"/>
      <c r="Q846" s="150"/>
      <c r="R846" s="117"/>
      <c r="S846" s="117"/>
      <c r="T846" s="117"/>
      <c r="U846" s="115"/>
      <c r="V846" s="180"/>
      <c r="W846" s="117"/>
      <c r="X846" s="117"/>
      <c r="Y846" s="117"/>
      <c r="Z846" s="115"/>
      <c r="AA846" s="180"/>
      <c r="AB846" s="117"/>
      <c r="AC846" s="117"/>
      <c r="AD846" s="117"/>
      <c r="AE846" s="115"/>
      <c r="AF846" s="180"/>
      <c r="AG846" s="117"/>
      <c r="AH846" s="117"/>
      <c r="AI846" s="117"/>
      <c r="AJ846" s="115"/>
      <c r="AK846" s="180"/>
      <c r="AL846" s="117"/>
      <c r="AM846" s="117"/>
      <c r="AN846" s="117"/>
      <c r="AO846" s="338"/>
      <c r="AP846" s="338"/>
      <c r="AQ846" s="338"/>
      <c r="AR846" s="338"/>
      <c r="AS846" s="338"/>
      <c r="AT846" s="338"/>
      <c r="AU846" s="338"/>
      <c r="AV846" s="338"/>
      <c r="AW846" s="338"/>
      <c r="AX846" s="338"/>
      <c r="AY846" s="338"/>
      <c r="AZ846" s="338"/>
      <c r="BA846" s="338"/>
      <c r="BB846" s="338"/>
      <c r="BC846" s="338"/>
    </row>
    <row r="847">
      <c r="A847" s="115"/>
      <c r="B847" s="180"/>
      <c r="C847" s="117"/>
      <c r="D847" s="117"/>
      <c r="E847" s="117"/>
      <c r="F847" s="115"/>
      <c r="G847" s="180"/>
      <c r="H847" s="117"/>
      <c r="I847" s="117"/>
      <c r="J847" s="117"/>
      <c r="K847" s="92"/>
      <c r="L847" s="180"/>
      <c r="M847" s="117"/>
      <c r="N847" s="117"/>
      <c r="O847" s="117"/>
      <c r="P847" s="92"/>
      <c r="Q847" s="150"/>
      <c r="R847" s="117"/>
      <c r="S847" s="117"/>
      <c r="T847" s="117"/>
      <c r="U847" s="115"/>
      <c r="V847" s="180"/>
      <c r="W847" s="117"/>
      <c r="X847" s="117"/>
      <c r="Y847" s="117"/>
      <c r="Z847" s="115"/>
      <c r="AA847" s="180"/>
      <c r="AB847" s="117"/>
      <c r="AC847" s="117"/>
      <c r="AD847" s="117"/>
      <c r="AE847" s="115"/>
      <c r="AF847" s="180"/>
      <c r="AG847" s="117"/>
      <c r="AH847" s="117"/>
      <c r="AI847" s="117"/>
      <c r="AJ847" s="115"/>
      <c r="AK847" s="180"/>
      <c r="AL847" s="117"/>
      <c r="AM847" s="117"/>
      <c r="AN847" s="117"/>
      <c r="AO847" s="338"/>
      <c r="AP847" s="338"/>
      <c r="AQ847" s="338"/>
      <c r="AR847" s="338"/>
      <c r="AS847" s="338"/>
      <c r="AT847" s="338"/>
      <c r="AU847" s="338"/>
      <c r="AV847" s="338"/>
      <c r="AW847" s="338"/>
      <c r="AX847" s="338"/>
      <c r="AY847" s="338"/>
      <c r="AZ847" s="338"/>
      <c r="BA847" s="338"/>
      <c r="BB847" s="338"/>
      <c r="BC847" s="338"/>
    </row>
    <row r="848">
      <c r="A848" s="115"/>
      <c r="B848" s="180"/>
      <c r="C848" s="117"/>
      <c r="D848" s="117"/>
      <c r="E848" s="117"/>
      <c r="F848" s="115"/>
      <c r="G848" s="180"/>
      <c r="H848" s="117"/>
      <c r="I848" s="117"/>
      <c r="J848" s="117"/>
      <c r="K848" s="92"/>
      <c r="L848" s="180"/>
      <c r="M848" s="117"/>
      <c r="N848" s="117"/>
      <c r="O848" s="117"/>
      <c r="P848" s="92"/>
      <c r="Q848" s="150"/>
      <c r="R848" s="117"/>
      <c r="S848" s="117"/>
      <c r="T848" s="117"/>
      <c r="U848" s="115"/>
      <c r="V848" s="180"/>
      <c r="W848" s="117"/>
      <c r="X848" s="117"/>
      <c r="Y848" s="117"/>
      <c r="Z848" s="115"/>
      <c r="AA848" s="180"/>
      <c r="AB848" s="117"/>
      <c r="AC848" s="117"/>
      <c r="AD848" s="117"/>
      <c r="AE848" s="115"/>
      <c r="AF848" s="180"/>
      <c r="AG848" s="117"/>
      <c r="AH848" s="117"/>
      <c r="AI848" s="117"/>
      <c r="AJ848" s="115"/>
      <c r="AK848" s="180"/>
      <c r="AL848" s="117"/>
      <c r="AM848" s="117"/>
      <c r="AN848" s="117"/>
      <c r="AO848" s="338"/>
      <c r="AP848" s="338"/>
      <c r="AQ848" s="338"/>
      <c r="AR848" s="338"/>
      <c r="AS848" s="338"/>
      <c r="AT848" s="338"/>
      <c r="AU848" s="338"/>
      <c r="AV848" s="338"/>
      <c r="AW848" s="338"/>
      <c r="AX848" s="338"/>
      <c r="AY848" s="338"/>
      <c r="AZ848" s="338"/>
      <c r="BA848" s="338"/>
      <c r="BB848" s="338"/>
      <c r="BC848" s="338"/>
    </row>
    <row r="849">
      <c r="A849" s="115"/>
      <c r="B849" s="180"/>
      <c r="C849" s="117"/>
      <c r="D849" s="117"/>
      <c r="E849" s="117"/>
      <c r="F849" s="115"/>
      <c r="G849" s="180"/>
      <c r="H849" s="117"/>
      <c r="I849" s="117"/>
      <c r="J849" s="117"/>
      <c r="K849" s="92"/>
      <c r="L849" s="180"/>
      <c r="M849" s="117"/>
      <c r="N849" s="117"/>
      <c r="O849" s="117"/>
      <c r="P849" s="92"/>
      <c r="Q849" s="150"/>
      <c r="R849" s="117"/>
      <c r="S849" s="117"/>
      <c r="T849" s="117"/>
      <c r="U849" s="115"/>
      <c r="V849" s="180"/>
      <c r="W849" s="117"/>
      <c r="X849" s="117"/>
      <c r="Y849" s="117"/>
      <c r="Z849" s="115"/>
      <c r="AA849" s="180"/>
      <c r="AB849" s="117"/>
      <c r="AC849" s="117"/>
      <c r="AD849" s="117"/>
      <c r="AE849" s="115"/>
      <c r="AF849" s="180"/>
      <c r="AG849" s="117"/>
      <c r="AH849" s="117"/>
      <c r="AI849" s="117"/>
      <c r="AJ849" s="115"/>
      <c r="AK849" s="180"/>
      <c r="AL849" s="117"/>
      <c r="AM849" s="117"/>
      <c r="AN849" s="117"/>
      <c r="AO849" s="338"/>
      <c r="AP849" s="338"/>
      <c r="AQ849" s="338"/>
      <c r="AR849" s="338"/>
      <c r="AS849" s="338"/>
      <c r="AT849" s="338"/>
      <c r="AU849" s="338"/>
      <c r="AV849" s="338"/>
      <c r="AW849" s="338"/>
      <c r="AX849" s="338"/>
      <c r="AY849" s="338"/>
      <c r="AZ849" s="338"/>
      <c r="BA849" s="338"/>
      <c r="BB849" s="338"/>
      <c r="BC849" s="338"/>
    </row>
    <row r="850">
      <c r="A850" s="115"/>
      <c r="B850" s="180"/>
      <c r="C850" s="117"/>
      <c r="D850" s="117"/>
      <c r="E850" s="117"/>
      <c r="F850" s="115"/>
      <c r="G850" s="180"/>
      <c r="H850" s="117"/>
      <c r="I850" s="117"/>
      <c r="J850" s="117"/>
      <c r="K850" s="92"/>
      <c r="L850" s="180"/>
      <c r="M850" s="117"/>
      <c r="N850" s="117"/>
      <c r="O850" s="117"/>
      <c r="P850" s="92"/>
      <c r="Q850" s="150"/>
      <c r="R850" s="117"/>
      <c r="S850" s="117"/>
      <c r="T850" s="117"/>
      <c r="U850" s="115"/>
      <c r="V850" s="180"/>
      <c r="W850" s="117"/>
      <c r="X850" s="117"/>
      <c r="Y850" s="117"/>
      <c r="Z850" s="115"/>
      <c r="AA850" s="180"/>
      <c r="AB850" s="117"/>
      <c r="AC850" s="117"/>
      <c r="AD850" s="117"/>
      <c r="AE850" s="115"/>
      <c r="AF850" s="180"/>
      <c r="AG850" s="117"/>
      <c r="AH850" s="117"/>
      <c r="AI850" s="117"/>
      <c r="AJ850" s="115"/>
      <c r="AK850" s="180"/>
      <c r="AL850" s="117"/>
      <c r="AM850" s="117"/>
      <c r="AN850" s="117"/>
      <c r="AO850" s="338"/>
      <c r="AP850" s="338"/>
      <c r="AQ850" s="338"/>
      <c r="AR850" s="338"/>
      <c r="AS850" s="338"/>
      <c r="AT850" s="338"/>
      <c r="AU850" s="338"/>
      <c r="AV850" s="338"/>
      <c r="AW850" s="338"/>
      <c r="AX850" s="338"/>
      <c r="AY850" s="338"/>
      <c r="AZ850" s="338"/>
      <c r="BA850" s="338"/>
      <c r="BB850" s="338"/>
      <c r="BC850" s="338"/>
    </row>
    <row r="851">
      <c r="A851" s="115"/>
      <c r="B851" s="180"/>
      <c r="C851" s="117"/>
      <c r="D851" s="117"/>
      <c r="E851" s="117"/>
      <c r="F851" s="115"/>
      <c r="G851" s="180"/>
      <c r="H851" s="117"/>
      <c r="I851" s="117"/>
      <c r="J851" s="117"/>
      <c r="K851" s="92"/>
      <c r="L851" s="180"/>
      <c r="M851" s="117"/>
      <c r="N851" s="117"/>
      <c r="O851" s="117"/>
      <c r="P851" s="92"/>
      <c r="Q851" s="150"/>
      <c r="R851" s="117"/>
      <c r="S851" s="117"/>
      <c r="T851" s="117"/>
      <c r="U851" s="115"/>
      <c r="V851" s="180"/>
      <c r="W851" s="117"/>
      <c r="X851" s="117"/>
      <c r="Y851" s="117"/>
      <c r="Z851" s="115"/>
      <c r="AA851" s="180"/>
      <c r="AB851" s="117"/>
      <c r="AC851" s="117"/>
      <c r="AD851" s="117"/>
      <c r="AE851" s="115"/>
      <c r="AF851" s="180"/>
      <c r="AG851" s="117"/>
      <c r="AH851" s="117"/>
      <c r="AI851" s="117"/>
      <c r="AJ851" s="115"/>
      <c r="AK851" s="180"/>
      <c r="AL851" s="117"/>
      <c r="AM851" s="117"/>
      <c r="AN851" s="117"/>
      <c r="AO851" s="338"/>
      <c r="AP851" s="338"/>
      <c r="AQ851" s="338"/>
      <c r="AR851" s="338"/>
      <c r="AS851" s="338"/>
      <c r="AT851" s="338"/>
      <c r="AU851" s="338"/>
      <c r="AV851" s="338"/>
      <c r="AW851" s="338"/>
      <c r="AX851" s="338"/>
      <c r="AY851" s="338"/>
      <c r="AZ851" s="338"/>
      <c r="BA851" s="338"/>
      <c r="BB851" s="338"/>
      <c r="BC851" s="338"/>
    </row>
    <row r="852">
      <c r="A852" s="115"/>
      <c r="B852" s="180"/>
      <c r="C852" s="117"/>
      <c r="D852" s="117"/>
      <c r="E852" s="117"/>
      <c r="F852" s="115"/>
      <c r="G852" s="180"/>
      <c r="H852" s="117"/>
      <c r="I852" s="117"/>
      <c r="J852" s="117"/>
      <c r="K852" s="92"/>
      <c r="L852" s="180"/>
      <c r="M852" s="117"/>
      <c r="N852" s="117"/>
      <c r="O852" s="117"/>
      <c r="P852" s="92"/>
      <c r="Q852" s="150"/>
      <c r="R852" s="117"/>
      <c r="S852" s="117"/>
      <c r="T852" s="117"/>
      <c r="U852" s="115"/>
      <c r="V852" s="180"/>
      <c r="W852" s="117"/>
      <c r="X852" s="117"/>
      <c r="Y852" s="117"/>
      <c r="Z852" s="115"/>
      <c r="AA852" s="180"/>
      <c r="AB852" s="117"/>
      <c r="AC852" s="117"/>
      <c r="AD852" s="117"/>
      <c r="AE852" s="115"/>
      <c r="AF852" s="180"/>
      <c r="AG852" s="117"/>
      <c r="AH852" s="117"/>
      <c r="AI852" s="117"/>
      <c r="AJ852" s="115"/>
      <c r="AK852" s="180"/>
      <c r="AL852" s="117"/>
      <c r="AM852" s="117"/>
      <c r="AN852" s="117"/>
      <c r="AO852" s="338"/>
      <c r="AP852" s="338"/>
      <c r="AQ852" s="338"/>
      <c r="AR852" s="338"/>
      <c r="AS852" s="338"/>
      <c r="AT852" s="338"/>
      <c r="AU852" s="338"/>
      <c r="AV852" s="338"/>
      <c r="AW852" s="338"/>
      <c r="AX852" s="338"/>
      <c r="AY852" s="338"/>
      <c r="AZ852" s="338"/>
      <c r="BA852" s="338"/>
      <c r="BB852" s="338"/>
      <c r="BC852" s="338"/>
    </row>
    <row r="853">
      <c r="A853" s="115"/>
      <c r="B853" s="180"/>
      <c r="C853" s="117"/>
      <c r="D853" s="117"/>
      <c r="E853" s="117"/>
      <c r="F853" s="115"/>
      <c r="G853" s="180"/>
      <c r="H853" s="117"/>
      <c r="I853" s="117"/>
      <c r="J853" s="117"/>
      <c r="K853" s="92"/>
      <c r="L853" s="180"/>
      <c r="M853" s="117"/>
      <c r="N853" s="117"/>
      <c r="O853" s="117"/>
      <c r="P853" s="92"/>
      <c r="Q853" s="150"/>
      <c r="R853" s="117"/>
      <c r="S853" s="117"/>
      <c r="T853" s="117"/>
      <c r="U853" s="115"/>
      <c r="V853" s="180"/>
      <c r="W853" s="117"/>
      <c r="X853" s="117"/>
      <c r="Y853" s="117"/>
      <c r="Z853" s="115"/>
      <c r="AA853" s="180"/>
      <c r="AB853" s="117"/>
      <c r="AC853" s="117"/>
      <c r="AD853" s="117"/>
      <c r="AE853" s="115"/>
      <c r="AF853" s="180"/>
      <c r="AG853" s="117"/>
      <c r="AH853" s="117"/>
      <c r="AI853" s="117"/>
      <c r="AJ853" s="115"/>
      <c r="AK853" s="180"/>
      <c r="AL853" s="117"/>
      <c r="AM853" s="117"/>
      <c r="AN853" s="117"/>
      <c r="AO853" s="338"/>
      <c r="AP853" s="338"/>
      <c r="AQ853" s="338"/>
      <c r="AR853" s="338"/>
      <c r="AS853" s="338"/>
      <c r="AT853" s="338"/>
      <c r="AU853" s="338"/>
      <c r="AV853" s="338"/>
      <c r="AW853" s="338"/>
      <c r="AX853" s="338"/>
      <c r="AY853" s="338"/>
      <c r="AZ853" s="338"/>
      <c r="BA853" s="338"/>
      <c r="BB853" s="338"/>
      <c r="BC853" s="338"/>
    </row>
    <row r="854">
      <c r="A854" s="115"/>
      <c r="B854" s="180"/>
      <c r="C854" s="117"/>
      <c r="D854" s="117"/>
      <c r="E854" s="117"/>
      <c r="F854" s="115"/>
      <c r="G854" s="180"/>
      <c r="H854" s="117"/>
      <c r="I854" s="117"/>
      <c r="J854" s="117"/>
      <c r="K854" s="92"/>
      <c r="L854" s="180"/>
      <c r="M854" s="117"/>
      <c r="N854" s="117"/>
      <c r="O854" s="117"/>
      <c r="P854" s="92"/>
      <c r="Q854" s="150"/>
      <c r="R854" s="117"/>
      <c r="S854" s="117"/>
      <c r="T854" s="117"/>
      <c r="U854" s="115"/>
      <c r="V854" s="180"/>
      <c r="W854" s="117"/>
      <c r="X854" s="117"/>
      <c r="Y854" s="117"/>
      <c r="Z854" s="115"/>
      <c r="AA854" s="180"/>
      <c r="AB854" s="117"/>
      <c r="AC854" s="117"/>
      <c r="AD854" s="117"/>
      <c r="AE854" s="115"/>
      <c r="AF854" s="180"/>
      <c r="AG854" s="117"/>
      <c r="AH854" s="117"/>
      <c r="AI854" s="117"/>
      <c r="AJ854" s="115"/>
      <c r="AK854" s="180"/>
      <c r="AL854" s="117"/>
      <c r="AM854" s="117"/>
      <c r="AN854" s="117"/>
      <c r="AO854" s="338"/>
      <c r="AP854" s="338"/>
      <c r="AQ854" s="338"/>
      <c r="AR854" s="338"/>
      <c r="AS854" s="338"/>
      <c r="AT854" s="338"/>
      <c r="AU854" s="338"/>
      <c r="AV854" s="338"/>
      <c r="AW854" s="338"/>
      <c r="AX854" s="338"/>
      <c r="AY854" s="338"/>
      <c r="AZ854" s="338"/>
      <c r="BA854" s="338"/>
      <c r="BB854" s="338"/>
      <c r="BC854" s="338"/>
    </row>
    <row r="855">
      <c r="A855" s="115"/>
      <c r="B855" s="180"/>
      <c r="C855" s="117"/>
      <c r="D855" s="117"/>
      <c r="E855" s="117"/>
      <c r="F855" s="115"/>
      <c r="G855" s="180"/>
      <c r="H855" s="117"/>
      <c r="I855" s="117"/>
      <c r="J855" s="117"/>
      <c r="K855" s="92"/>
      <c r="L855" s="180"/>
      <c r="M855" s="117"/>
      <c r="N855" s="117"/>
      <c r="O855" s="117"/>
      <c r="P855" s="92"/>
      <c r="Q855" s="150"/>
      <c r="R855" s="117"/>
      <c r="S855" s="117"/>
      <c r="T855" s="117"/>
      <c r="U855" s="115"/>
      <c r="V855" s="180"/>
      <c r="W855" s="117"/>
      <c r="X855" s="117"/>
      <c r="Y855" s="117"/>
      <c r="Z855" s="115"/>
      <c r="AA855" s="180"/>
      <c r="AB855" s="117"/>
      <c r="AC855" s="117"/>
      <c r="AD855" s="117"/>
      <c r="AE855" s="115"/>
      <c r="AF855" s="180"/>
      <c r="AG855" s="117"/>
      <c r="AH855" s="117"/>
      <c r="AI855" s="117"/>
      <c r="AJ855" s="115"/>
      <c r="AK855" s="180"/>
      <c r="AL855" s="117"/>
      <c r="AM855" s="117"/>
      <c r="AN855" s="117"/>
      <c r="AO855" s="338"/>
      <c r="AP855" s="338"/>
      <c r="AQ855" s="338"/>
      <c r="AR855" s="338"/>
      <c r="AS855" s="338"/>
      <c r="AT855" s="338"/>
      <c r="AU855" s="338"/>
      <c r="AV855" s="338"/>
      <c r="AW855" s="338"/>
      <c r="AX855" s="338"/>
      <c r="AY855" s="338"/>
      <c r="AZ855" s="338"/>
      <c r="BA855" s="338"/>
      <c r="BB855" s="338"/>
      <c r="BC855" s="338"/>
    </row>
    <row r="856">
      <c r="A856" s="115"/>
      <c r="B856" s="180"/>
      <c r="C856" s="117"/>
      <c r="D856" s="117"/>
      <c r="E856" s="117"/>
      <c r="F856" s="115"/>
      <c r="G856" s="180"/>
      <c r="H856" s="117"/>
      <c r="I856" s="117"/>
      <c r="J856" s="117"/>
      <c r="K856" s="92"/>
      <c r="L856" s="180"/>
      <c r="M856" s="117"/>
      <c r="N856" s="117"/>
      <c r="O856" s="117"/>
      <c r="P856" s="92"/>
      <c r="Q856" s="150"/>
      <c r="R856" s="117"/>
      <c r="S856" s="117"/>
      <c r="T856" s="117"/>
      <c r="U856" s="115"/>
      <c r="V856" s="180"/>
      <c r="W856" s="117"/>
      <c r="X856" s="117"/>
      <c r="Y856" s="117"/>
      <c r="Z856" s="115"/>
      <c r="AA856" s="180"/>
      <c r="AB856" s="117"/>
      <c r="AC856" s="117"/>
      <c r="AD856" s="117"/>
      <c r="AE856" s="115"/>
      <c r="AF856" s="180"/>
      <c r="AG856" s="117"/>
      <c r="AH856" s="117"/>
      <c r="AI856" s="117"/>
      <c r="AJ856" s="115"/>
      <c r="AK856" s="180"/>
      <c r="AL856" s="117"/>
      <c r="AM856" s="117"/>
      <c r="AN856" s="117"/>
      <c r="AO856" s="338"/>
      <c r="AP856" s="338"/>
      <c r="AQ856" s="338"/>
      <c r="AR856" s="338"/>
      <c r="AS856" s="338"/>
      <c r="AT856" s="338"/>
      <c r="AU856" s="338"/>
      <c r="AV856" s="338"/>
      <c r="AW856" s="338"/>
      <c r="AX856" s="338"/>
      <c r="AY856" s="338"/>
      <c r="AZ856" s="338"/>
      <c r="BA856" s="338"/>
      <c r="BB856" s="338"/>
      <c r="BC856" s="338"/>
    </row>
    <row r="857">
      <c r="A857" s="115"/>
      <c r="B857" s="180"/>
      <c r="C857" s="117"/>
      <c r="D857" s="117"/>
      <c r="E857" s="117"/>
      <c r="F857" s="115"/>
      <c r="G857" s="180"/>
      <c r="H857" s="117"/>
      <c r="I857" s="117"/>
      <c r="J857" s="117"/>
      <c r="K857" s="92"/>
      <c r="L857" s="180"/>
      <c r="M857" s="117"/>
      <c r="N857" s="117"/>
      <c r="O857" s="117"/>
      <c r="P857" s="92"/>
      <c r="Q857" s="150"/>
      <c r="R857" s="117"/>
      <c r="S857" s="117"/>
      <c r="T857" s="117"/>
      <c r="U857" s="115"/>
      <c r="V857" s="180"/>
      <c r="W857" s="117"/>
      <c r="X857" s="117"/>
      <c r="Y857" s="117"/>
      <c r="Z857" s="115"/>
      <c r="AA857" s="180"/>
      <c r="AB857" s="117"/>
      <c r="AC857" s="117"/>
      <c r="AD857" s="117"/>
      <c r="AE857" s="115"/>
      <c r="AF857" s="180"/>
      <c r="AG857" s="117"/>
      <c r="AH857" s="117"/>
      <c r="AI857" s="117"/>
      <c r="AJ857" s="115"/>
      <c r="AK857" s="180"/>
      <c r="AL857" s="117"/>
      <c r="AM857" s="117"/>
      <c r="AN857" s="117"/>
      <c r="AO857" s="338"/>
      <c r="AP857" s="338"/>
      <c r="AQ857" s="338"/>
      <c r="AR857" s="338"/>
      <c r="AS857" s="338"/>
      <c r="AT857" s="338"/>
      <c r="AU857" s="338"/>
      <c r="AV857" s="338"/>
      <c r="AW857" s="338"/>
      <c r="AX857" s="338"/>
      <c r="AY857" s="338"/>
      <c r="AZ857" s="338"/>
      <c r="BA857" s="338"/>
      <c r="BB857" s="338"/>
      <c r="BC857" s="338"/>
    </row>
    <row r="858">
      <c r="A858" s="115"/>
      <c r="B858" s="180"/>
      <c r="C858" s="117"/>
      <c r="D858" s="117"/>
      <c r="E858" s="117"/>
      <c r="F858" s="115"/>
      <c r="G858" s="180"/>
      <c r="H858" s="117"/>
      <c r="I858" s="117"/>
      <c r="J858" s="117"/>
      <c r="K858" s="92"/>
      <c r="L858" s="180"/>
      <c r="M858" s="117"/>
      <c r="N858" s="117"/>
      <c r="O858" s="117"/>
      <c r="P858" s="92"/>
      <c r="Q858" s="150"/>
      <c r="R858" s="117"/>
      <c r="S858" s="117"/>
      <c r="T858" s="117"/>
      <c r="U858" s="115"/>
      <c r="V858" s="180"/>
      <c r="W858" s="117"/>
      <c r="X858" s="117"/>
      <c r="Y858" s="117"/>
      <c r="Z858" s="115"/>
      <c r="AA858" s="180"/>
      <c r="AB858" s="117"/>
      <c r="AC858" s="117"/>
      <c r="AD858" s="117"/>
      <c r="AE858" s="115"/>
      <c r="AF858" s="180"/>
      <c r="AG858" s="117"/>
      <c r="AH858" s="117"/>
      <c r="AI858" s="117"/>
      <c r="AJ858" s="115"/>
      <c r="AK858" s="180"/>
      <c r="AL858" s="117"/>
      <c r="AM858" s="117"/>
      <c r="AN858" s="117"/>
      <c r="AO858" s="338"/>
      <c r="AP858" s="338"/>
      <c r="AQ858" s="338"/>
      <c r="AR858" s="338"/>
      <c r="AS858" s="338"/>
      <c r="AT858" s="338"/>
      <c r="AU858" s="338"/>
      <c r="AV858" s="338"/>
      <c r="AW858" s="338"/>
      <c r="AX858" s="338"/>
      <c r="AY858" s="338"/>
      <c r="AZ858" s="338"/>
      <c r="BA858" s="338"/>
      <c r="BB858" s="338"/>
      <c r="BC858" s="338"/>
    </row>
    <row r="859">
      <c r="A859" s="115"/>
      <c r="B859" s="180"/>
      <c r="C859" s="117"/>
      <c r="D859" s="117"/>
      <c r="E859" s="117"/>
      <c r="F859" s="115"/>
      <c r="G859" s="180"/>
      <c r="H859" s="117"/>
      <c r="I859" s="117"/>
      <c r="J859" s="117"/>
      <c r="K859" s="92"/>
      <c r="L859" s="180"/>
      <c r="M859" s="117"/>
      <c r="N859" s="117"/>
      <c r="O859" s="117"/>
      <c r="P859" s="92"/>
      <c r="Q859" s="150"/>
      <c r="R859" s="117"/>
      <c r="S859" s="117"/>
      <c r="T859" s="117"/>
      <c r="U859" s="115"/>
      <c r="V859" s="180"/>
      <c r="W859" s="117"/>
      <c r="X859" s="117"/>
      <c r="Y859" s="117"/>
      <c r="Z859" s="115"/>
      <c r="AA859" s="180"/>
      <c r="AB859" s="117"/>
      <c r="AC859" s="117"/>
      <c r="AD859" s="117"/>
      <c r="AE859" s="115"/>
      <c r="AF859" s="180"/>
      <c r="AG859" s="117"/>
      <c r="AH859" s="117"/>
      <c r="AI859" s="117"/>
      <c r="AJ859" s="115"/>
      <c r="AK859" s="180"/>
      <c r="AL859" s="117"/>
      <c r="AM859" s="117"/>
      <c r="AN859" s="117"/>
      <c r="AO859" s="338"/>
      <c r="AP859" s="338"/>
      <c r="AQ859" s="338"/>
      <c r="AR859" s="338"/>
      <c r="AS859" s="338"/>
      <c r="AT859" s="338"/>
      <c r="AU859" s="338"/>
      <c r="AV859" s="338"/>
      <c r="AW859" s="338"/>
      <c r="AX859" s="338"/>
      <c r="AY859" s="338"/>
      <c r="AZ859" s="338"/>
      <c r="BA859" s="338"/>
      <c r="BB859" s="338"/>
      <c r="BC859" s="338"/>
    </row>
    <row r="860">
      <c r="A860" s="115"/>
      <c r="B860" s="180"/>
      <c r="C860" s="117"/>
      <c r="D860" s="117"/>
      <c r="E860" s="117"/>
      <c r="F860" s="115"/>
      <c r="G860" s="180"/>
      <c r="H860" s="117"/>
      <c r="I860" s="117"/>
      <c r="J860" s="117"/>
      <c r="K860" s="92"/>
      <c r="L860" s="180"/>
      <c r="M860" s="117"/>
      <c r="N860" s="117"/>
      <c r="O860" s="117"/>
      <c r="P860" s="92"/>
      <c r="Q860" s="150"/>
      <c r="R860" s="117"/>
      <c r="S860" s="117"/>
      <c r="T860" s="117"/>
      <c r="U860" s="115"/>
      <c r="V860" s="180"/>
      <c r="W860" s="117"/>
      <c r="X860" s="117"/>
      <c r="Y860" s="117"/>
      <c r="Z860" s="115"/>
      <c r="AA860" s="180"/>
      <c r="AB860" s="117"/>
      <c r="AC860" s="117"/>
      <c r="AD860" s="117"/>
      <c r="AE860" s="115"/>
      <c r="AF860" s="180"/>
      <c r="AG860" s="117"/>
      <c r="AH860" s="117"/>
      <c r="AI860" s="117"/>
      <c r="AJ860" s="115"/>
      <c r="AK860" s="180"/>
      <c r="AL860" s="117"/>
      <c r="AM860" s="117"/>
      <c r="AN860" s="117"/>
      <c r="AO860" s="338"/>
      <c r="AP860" s="338"/>
      <c r="AQ860" s="338"/>
      <c r="AR860" s="338"/>
      <c r="AS860" s="338"/>
      <c r="AT860" s="338"/>
      <c r="AU860" s="338"/>
      <c r="AV860" s="338"/>
      <c r="AW860" s="338"/>
      <c r="AX860" s="338"/>
      <c r="AY860" s="338"/>
      <c r="AZ860" s="338"/>
      <c r="BA860" s="338"/>
      <c r="BB860" s="338"/>
      <c r="BC860" s="338"/>
    </row>
    <row r="861">
      <c r="A861" s="115"/>
      <c r="B861" s="180"/>
      <c r="C861" s="117"/>
      <c r="D861" s="117"/>
      <c r="E861" s="117"/>
      <c r="F861" s="115"/>
      <c r="G861" s="180"/>
      <c r="H861" s="117"/>
      <c r="I861" s="117"/>
      <c r="J861" s="117"/>
      <c r="K861" s="92"/>
      <c r="L861" s="180"/>
      <c r="M861" s="117"/>
      <c r="N861" s="117"/>
      <c r="O861" s="117"/>
      <c r="P861" s="92"/>
      <c r="Q861" s="150"/>
      <c r="R861" s="117"/>
      <c r="S861" s="117"/>
      <c r="T861" s="117"/>
      <c r="U861" s="115"/>
      <c r="V861" s="180"/>
      <c r="W861" s="117"/>
      <c r="X861" s="117"/>
      <c r="Y861" s="117"/>
      <c r="Z861" s="115"/>
      <c r="AA861" s="180"/>
      <c r="AB861" s="117"/>
      <c r="AC861" s="117"/>
      <c r="AD861" s="117"/>
      <c r="AE861" s="115"/>
      <c r="AF861" s="180"/>
      <c r="AG861" s="117"/>
      <c r="AH861" s="117"/>
      <c r="AI861" s="117"/>
      <c r="AJ861" s="115"/>
      <c r="AK861" s="180"/>
      <c r="AL861" s="117"/>
      <c r="AM861" s="117"/>
      <c r="AN861" s="117"/>
      <c r="AO861" s="338"/>
      <c r="AP861" s="338"/>
      <c r="AQ861" s="338"/>
      <c r="AR861" s="338"/>
      <c r="AS861" s="338"/>
      <c r="AT861" s="338"/>
      <c r="AU861" s="338"/>
      <c r="AV861" s="338"/>
      <c r="AW861" s="338"/>
      <c r="AX861" s="338"/>
      <c r="AY861" s="338"/>
      <c r="AZ861" s="338"/>
      <c r="BA861" s="338"/>
      <c r="BB861" s="338"/>
      <c r="BC861" s="338"/>
    </row>
    <row r="862">
      <c r="A862" s="115"/>
      <c r="B862" s="180"/>
      <c r="C862" s="117"/>
      <c r="D862" s="117"/>
      <c r="E862" s="117"/>
      <c r="F862" s="115"/>
      <c r="G862" s="180"/>
      <c r="H862" s="117"/>
      <c r="I862" s="117"/>
      <c r="J862" s="117"/>
      <c r="K862" s="92"/>
      <c r="L862" s="180"/>
      <c r="M862" s="117"/>
      <c r="N862" s="117"/>
      <c r="O862" s="117"/>
      <c r="P862" s="92"/>
      <c r="Q862" s="150"/>
      <c r="R862" s="117"/>
      <c r="S862" s="117"/>
      <c r="T862" s="117"/>
      <c r="U862" s="115"/>
      <c r="V862" s="180"/>
      <c r="W862" s="117"/>
      <c r="X862" s="117"/>
      <c r="Y862" s="117"/>
      <c r="Z862" s="115"/>
      <c r="AA862" s="180"/>
      <c r="AB862" s="117"/>
      <c r="AC862" s="117"/>
      <c r="AD862" s="117"/>
      <c r="AE862" s="115"/>
      <c r="AF862" s="180"/>
      <c r="AG862" s="117"/>
      <c r="AH862" s="117"/>
      <c r="AI862" s="117"/>
      <c r="AJ862" s="115"/>
      <c r="AK862" s="180"/>
      <c r="AL862" s="117"/>
      <c r="AM862" s="117"/>
      <c r="AN862" s="117"/>
      <c r="AO862" s="338"/>
      <c r="AP862" s="338"/>
      <c r="AQ862" s="338"/>
      <c r="AR862" s="338"/>
      <c r="AS862" s="338"/>
      <c r="AT862" s="338"/>
      <c r="AU862" s="338"/>
      <c r="AV862" s="338"/>
      <c r="AW862" s="338"/>
      <c r="AX862" s="338"/>
      <c r="AY862" s="338"/>
      <c r="AZ862" s="338"/>
      <c r="BA862" s="338"/>
      <c r="BB862" s="338"/>
      <c r="BC862" s="338"/>
    </row>
    <row r="863">
      <c r="A863" s="115"/>
      <c r="B863" s="180"/>
      <c r="C863" s="117"/>
      <c r="D863" s="117"/>
      <c r="E863" s="117"/>
      <c r="F863" s="115"/>
      <c r="G863" s="180"/>
      <c r="H863" s="117"/>
      <c r="I863" s="117"/>
      <c r="J863" s="117"/>
      <c r="K863" s="92"/>
      <c r="L863" s="180"/>
      <c r="M863" s="117"/>
      <c r="N863" s="117"/>
      <c r="O863" s="117"/>
      <c r="P863" s="92"/>
      <c r="Q863" s="150"/>
      <c r="R863" s="117"/>
      <c r="S863" s="117"/>
      <c r="T863" s="117"/>
      <c r="U863" s="115"/>
      <c r="V863" s="180"/>
      <c r="W863" s="117"/>
      <c r="X863" s="117"/>
      <c r="Y863" s="117"/>
      <c r="Z863" s="115"/>
      <c r="AA863" s="180"/>
      <c r="AB863" s="117"/>
      <c r="AC863" s="117"/>
      <c r="AD863" s="117"/>
      <c r="AE863" s="115"/>
      <c r="AF863" s="180"/>
      <c r="AG863" s="117"/>
      <c r="AH863" s="117"/>
      <c r="AI863" s="117"/>
      <c r="AJ863" s="115"/>
      <c r="AK863" s="180"/>
      <c r="AL863" s="117"/>
      <c r="AM863" s="117"/>
      <c r="AN863" s="117"/>
      <c r="AO863" s="338"/>
      <c r="AP863" s="338"/>
      <c r="AQ863" s="338"/>
      <c r="AR863" s="338"/>
      <c r="AS863" s="338"/>
      <c r="AT863" s="338"/>
      <c r="AU863" s="338"/>
      <c r="AV863" s="338"/>
      <c r="AW863" s="338"/>
      <c r="AX863" s="338"/>
      <c r="AY863" s="338"/>
      <c r="AZ863" s="338"/>
      <c r="BA863" s="338"/>
      <c r="BB863" s="338"/>
      <c r="BC863" s="338"/>
    </row>
    <row r="864">
      <c r="A864" s="115"/>
      <c r="B864" s="180"/>
      <c r="C864" s="117"/>
      <c r="D864" s="117"/>
      <c r="E864" s="117"/>
      <c r="F864" s="115"/>
      <c r="G864" s="180"/>
      <c r="H864" s="117"/>
      <c r="I864" s="117"/>
      <c r="J864" s="117"/>
      <c r="K864" s="92"/>
      <c r="L864" s="180"/>
      <c r="M864" s="117"/>
      <c r="N864" s="117"/>
      <c r="O864" s="117"/>
      <c r="P864" s="92"/>
      <c r="Q864" s="150"/>
      <c r="R864" s="117"/>
      <c r="S864" s="117"/>
      <c r="T864" s="117"/>
      <c r="U864" s="115"/>
      <c r="V864" s="180"/>
      <c r="W864" s="117"/>
      <c r="X864" s="117"/>
      <c r="Y864" s="117"/>
      <c r="Z864" s="115"/>
      <c r="AA864" s="180"/>
      <c r="AB864" s="117"/>
      <c r="AC864" s="117"/>
      <c r="AD864" s="117"/>
      <c r="AE864" s="115"/>
      <c r="AF864" s="180"/>
      <c r="AG864" s="117"/>
      <c r="AH864" s="117"/>
      <c r="AI864" s="117"/>
      <c r="AJ864" s="115"/>
      <c r="AK864" s="180"/>
      <c r="AL864" s="117"/>
      <c r="AM864" s="117"/>
      <c r="AN864" s="117"/>
      <c r="AO864" s="338"/>
      <c r="AP864" s="338"/>
      <c r="AQ864" s="338"/>
      <c r="AR864" s="338"/>
      <c r="AS864" s="338"/>
      <c r="AT864" s="338"/>
      <c r="AU864" s="338"/>
      <c r="AV864" s="338"/>
      <c r="AW864" s="338"/>
      <c r="AX864" s="338"/>
      <c r="AY864" s="338"/>
      <c r="AZ864" s="338"/>
      <c r="BA864" s="338"/>
      <c r="BB864" s="338"/>
      <c r="BC864" s="338"/>
    </row>
    <row r="865">
      <c r="A865" s="115"/>
      <c r="B865" s="180"/>
      <c r="C865" s="117"/>
      <c r="D865" s="117"/>
      <c r="E865" s="117"/>
      <c r="F865" s="115"/>
      <c r="G865" s="180"/>
      <c r="H865" s="117"/>
      <c r="I865" s="117"/>
      <c r="J865" s="117"/>
      <c r="K865" s="92"/>
      <c r="L865" s="180"/>
      <c r="M865" s="117"/>
      <c r="N865" s="117"/>
      <c r="O865" s="117"/>
      <c r="P865" s="92"/>
      <c r="Q865" s="150"/>
      <c r="R865" s="117"/>
      <c r="S865" s="117"/>
      <c r="T865" s="117"/>
      <c r="U865" s="115"/>
      <c r="V865" s="180"/>
      <c r="W865" s="117"/>
      <c r="X865" s="117"/>
      <c r="Y865" s="117"/>
      <c r="Z865" s="115"/>
      <c r="AA865" s="180"/>
      <c r="AB865" s="117"/>
      <c r="AC865" s="117"/>
      <c r="AD865" s="117"/>
      <c r="AE865" s="115"/>
      <c r="AF865" s="180"/>
      <c r="AG865" s="117"/>
      <c r="AH865" s="117"/>
      <c r="AI865" s="117"/>
      <c r="AJ865" s="115"/>
      <c r="AK865" s="180"/>
      <c r="AL865" s="117"/>
      <c r="AM865" s="117"/>
      <c r="AN865" s="117"/>
      <c r="AO865" s="338"/>
      <c r="AP865" s="338"/>
      <c r="AQ865" s="338"/>
      <c r="AR865" s="338"/>
      <c r="AS865" s="338"/>
      <c r="AT865" s="338"/>
      <c r="AU865" s="338"/>
      <c r="AV865" s="338"/>
      <c r="AW865" s="338"/>
      <c r="AX865" s="338"/>
      <c r="AY865" s="338"/>
      <c r="AZ865" s="338"/>
      <c r="BA865" s="338"/>
      <c r="BB865" s="338"/>
      <c r="BC865" s="338"/>
    </row>
    <row r="866">
      <c r="A866" s="115"/>
      <c r="B866" s="180"/>
      <c r="C866" s="117"/>
      <c r="D866" s="117"/>
      <c r="E866" s="117"/>
      <c r="F866" s="115"/>
      <c r="G866" s="180"/>
      <c r="H866" s="117"/>
      <c r="I866" s="117"/>
      <c r="J866" s="117"/>
      <c r="K866" s="92"/>
      <c r="L866" s="180"/>
      <c r="M866" s="117"/>
      <c r="N866" s="117"/>
      <c r="O866" s="117"/>
      <c r="P866" s="92"/>
      <c r="Q866" s="150"/>
      <c r="R866" s="117"/>
      <c r="S866" s="117"/>
      <c r="T866" s="117"/>
      <c r="U866" s="115"/>
      <c r="V866" s="180"/>
      <c r="W866" s="117"/>
      <c r="X866" s="117"/>
      <c r="Y866" s="117"/>
      <c r="Z866" s="115"/>
      <c r="AA866" s="180"/>
      <c r="AB866" s="117"/>
      <c r="AC866" s="117"/>
      <c r="AD866" s="117"/>
      <c r="AE866" s="115"/>
      <c r="AF866" s="180"/>
      <c r="AG866" s="117"/>
      <c r="AH866" s="117"/>
      <c r="AI866" s="117"/>
      <c r="AJ866" s="115"/>
      <c r="AK866" s="180"/>
      <c r="AL866" s="117"/>
      <c r="AM866" s="117"/>
      <c r="AN866" s="117"/>
      <c r="AO866" s="338"/>
      <c r="AP866" s="338"/>
      <c r="AQ866" s="338"/>
      <c r="AR866" s="338"/>
      <c r="AS866" s="338"/>
      <c r="AT866" s="338"/>
      <c r="AU866" s="338"/>
      <c r="AV866" s="338"/>
      <c r="AW866" s="338"/>
      <c r="AX866" s="338"/>
      <c r="AY866" s="338"/>
      <c r="AZ866" s="338"/>
      <c r="BA866" s="338"/>
      <c r="BB866" s="338"/>
      <c r="BC866" s="338"/>
    </row>
    <row r="867">
      <c r="A867" s="115"/>
      <c r="B867" s="180"/>
      <c r="C867" s="117"/>
      <c r="D867" s="117"/>
      <c r="E867" s="117"/>
      <c r="F867" s="115"/>
      <c r="G867" s="180"/>
      <c r="H867" s="117"/>
      <c r="I867" s="117"/>
      <c r="J867" s="117"/>
      <c r="K867" s="92"/>
      <c r="L867" s="180"/>
      <c r="M867" s="117"/>
      <c r="N867" s="117"/>
      <c r="O867" s="117"/>
      <c r="P867" s="92"/>
      <c r="Q867" s="150"/>
      <c r="R867" s="117"/>
      <c r="S867" s="117"/>
      <c r="T867" s="117"/>
      <c r="U867" s="115"/>
      <c r="V867" s="180"/>
      <c r="W867" s="117"/>
      <c r="X867" s="117"/>
      <c r="Y867" s="117"/>
      <c r="Z867" s="115"/>
      <c r="AA867" s="180"/>
      <c r="AB867" s="117"/>
      <c r="AC867" s="117"/>
      <c r="AD867" s="117"/>
      <c r="AE867" s="115"/>
      <c r="AF867" s="180"/>
      <c r="AG867" s="117"/>
      <c r="AH867" s="117"/>
      <c r="AI867" s="117"/>
      <c r="AJ867" s="115"/>
      <c r="AK867" s="180"/>
      <c r="AL867" s="117"/>
      <c r="AM867" s="117"/>
      <c r="AN867" s="117"/>
      <c r="AO867" s="338"/>
      <c r="AP867" s="338"/>
      <c r="AQ867" s="338"/>
      <c r="AR867" s="338"/>
      <c r="AS867" s="338"/>
      <c r="AT867" s="338"/>
      <c r="AU867" s="338"/>
      <c r="AV867" s="338"/>
      <c r="AW867" s="338"/>
      <c r="AX867" s="338"/>
      <c r="AY867" s="338"/>
      <c r="AZ867" s="338"/>
      <c r="BA867" s="338"/>
      <c r="BB867" s="338"/>
      <c r="BC867" s="338"/>
    </row>
    <row r="868">
      <c r="A868" s="115"/>
      <c r="B868" s="180"/>
      <c r="C868" s="117"/>
      <c r="D868" s="117"/>
      <c r="E868" s="117"/>
      <c r="F868" s="115"/>
      <c r="G868" s="180"/>
      <c r="H868" s="117"/>
      <c r="I868" s="117"/>
      <c r="J868" s="117"/>
      <c r="K868" s="92"/>
      <c r="L868" s="180"/>
      <c r="M868" s="117"/>
      <c r="N868" s="117"/>
      <c r="O868" s="117"/>
      <c r="P868" s="92"/>
      <c r="Q868" s="150"/>
      <c r="R868" s="117"/>
      <c r="S868" s="117"/>
      <c r="T868" s="117"/>
      <c r="U868" s="115"/>
      <c r="V868" s="180"/>
      <c r="W868" s="117"/>
      <c r="X868" s="117"/>
      <c r="Y868" s="117"/>
      <c r="Z868" s="115"/>
      <c r="AA868" s="180"/>
      <c r="AB868" s="117"/>
      <c r="AC868" s="117"/>
      <c r="AD868" s="117"/>
      <c r="AE868" s="115"/>
      <c r="AF868" s="180"/>
      <c r="AG868" s="117"/>
      <c r="AH868" s="117"/>
      <c r="AI868" s="117"/>
      <c r="AJ868" s="115"/>
      <c r="AK868" s="180"/>
      <c r="AL868" s="117"/>
      <c r="AM868" s="117"/>
      <c r="AN868" s="117"/>
      <c r="AO868" s="338"/>
      <c r="AP868" s="338"/>
      <c r="AQ868" s="338"/>
      <c r="AR868" s="338"/>
      <c r="AS868" s="338"/>
      <c r="AT868" s="338"/>
      <c r="AU868" s="338"/>
      <c r="AV868" s="338"/>
      <c r="AW868" s="338"/>
      <c r="AX868" s="338"/>
      <c r="AY868" s="338"/>
      <c r="AZ868" s="338"/>
      <c r="BA868" s="338"/>
      <c r="BB868" s="338"/>
      <c r="BC868" s="338"/>
    </row>
    <row r="869">
      <c r="A869" s="115"/>
      <c r="B869" s="180"/>
      <c r="C869" s="117"/>
      <c r="D869" s="117"/>
      <c r="E869" s="117"/>
      <c r="F869" s="115"/>
      <c r="G869" s="180"/>
      <c r="H869" s="117"/>
      <c r="I869" s="117"/>
      <c r="J869" s="117"/>
      <c r="K869" s="92"/>
      <c r="L869" s="180"/>
      <c r="M869" s="117"/>
      <c r="N869" s="117"/>
      <c r="O869" s="117"/>
      <c r="P869" s="92"/>
      <c r="Q869" s="150"/>
      <c r="R869" s="117"/>
      <c r="S869" s="117"/>
      <c r="T869" s="117"/>
      <c r="U869" s="115"/>
      <c r="V869" s="180"/>
      <c r="W869" s="117"/>
      <c r="X869" s="117"/>
      <c r="Y869" s="117"/>
      <c r="Z869" s="115"/>
      <c r="AA869" s="180"/>
      <c r="AB869" s="117"/>
      <c r="AC869" s="117"/>
      <c r="AD869" s="117"/>
      <c r="AE869" s="115"/>
      <c r="AF869" s="180"/>
      <c r="AG869" s="117"/>
      <c r="AH869" s="117"/>
      <c r="AI869" s="117"/>
      <c r="AJ869" s="115"/>
      <c r="AK869" s="180"/>
      <c r="AL869" s="117"/>
      <c r="AM869" s="117"/>
      <c r="AN869" s="117"/>
      <c r="AO869" s="338"/>
      <c r="AP869" s="338"/>
      <c r="AQ869" s="338"/>
      <c r="AR869" s="338"/>
      <c r="AS869" s="338"/>
      <c r="AT869" s="338"/>
      <c r="AU869" s="338"/>
      <c r="AV869" s="338"/>
      <c r="AW869" s="338"/>
      <c r="AX869" s="338"/>
      <c r="AY869" s="338"/>
      <c r="AZ869" s="338"/>
      <c r="BA869" s="338"/>
      <c r="BB869" s="338"/>
      <c r="BC869" s="338"/>
    </row>
    <row r="870">
      <c r="A870" s="115"/>
      <c r="B870" s="180"/>
      <c r="C870" s="117"/>
      <c r="D870" s="117"/>
      <c r="E870" s="117"/>
      <c r="F870" s="115"/>
      <c r="G870" s="180"/>
      <c r="H870" s="117"/>
      <c r="I870" s="117"/>
      <c r="J870" s="117"/>
      <c r="K870" s="92"/>
      <c r="L870" s="180"/>
      <c r="M870" s="117"/>
      <c r="N870" s="117"/>
      <c r="O870" s="117"/>
      <c r="P870" s="92"/>
      <c r="Q870" s="150"/>
      <c r="R870" s="117"/>
      <c r="S870" s="117"/>
      <c r="T870" s="117"/>
      <c r="U870" s="115"/>
      <c r="V870" s="180"/>
      <c r="W870" s="117"/>
      <c r="X870" s="117"/>
      <c r="Y870" s="117"/>
      <c r="Z870" s="115"/>
      <c r="AA870" s="180"/>
      <c r="AB870" s="117"/>
      <c r="AC870" s="117"/>
      <c r="AD870" s="117"/>
      <c r="AE870" s="115"/>
      <c r="AF870" s="180"/>
      <c r="AG870" s="117"/>
      <c r="AH870" s="117"/>
      <c r="AI870" s="117"/>
      <c r="AJ870" s="115"/>
      <c r="AK870" s="180"/>
      <c r="AL870" s="117"/>
      <c r="AM870" s="117"/>
      <c r="AN870" s="117"/>
      <c r="AO870" s="338"/>
      <c r="AP870" s="338"/>
      <c r="AQ870" s="338"/>
      <c r="AR870" s="338"/>
      <c r="AS870" s="338"/>
      <c r="AT870" s="338"/>
      <c r="AU870" s="338"/>
      <c r="AV870" s="338"/>
      <c r="AW870" s="338"/>
      <c r="AX870" s="338"/>
      <c r="AY870" s="338"/>
      <c r="AZ870" s="338"/>
      <c r="BA870" s="338"/>
      <c r="BB870" s="338"/>
      <c r="BC870" s="338"/>
    </row>
    <row r="871">
      <c r="A871" s="115"/>
      <c r="B871" s="180"/>
      <c r="C871" s="117"/>
      <c r="D871" s="117"/>
      <c r="E871" s="117"/>
      <c r="F871" s="115"/>
      <c r="G871" s="180"/>
      <c r="H871" s="117"/>
      <c r="I871" s="117"/>
      <c r="J871" s="117"/>
      <c r="K871" s="92"/>
      <c r="L871" s="180"/>
      <c r="M871" s="117"/>
      <c r="N871" s="117"/>
      <c r="O871" s="117"/>
      <c r="P871" s="92"/>
      <c r="Q871" s="150"/>
      <c r="R871" s="117"/>
      <c r="S871" s="117"/>
      <c r="T871" s="117"/>
      <c r="U871" s="115"/>
      <c r="V871" s="180"/>
      <c r="W871" s="117"/>
      <c r="X871" s="117"/>
      <c r="Y871" s="117"/>
      <c r="Z871" s="115"/>
      <c r="AA871" s="180"/>
      <c r="AB871" s="117"/>
      <c r="AC871" s="117"/>
      <c r="AD871" s="117"/>
      <c r="AE871" s="115"/>
      <c r="AF871" s="180"/>
      <c r="AG871" s="117"/>
      <c r="AH871" s="117"/>
      <c r="AI871" s="117"/>
      <c r="AJ871" s="115"/>
      <c r="AK871" s="180"/>
      <c r="AL871" s="117"/>
      <c r="AM871" s="117"/>
      <c r="AN871" s="117"/>
      <c r="AO871" s="338"/>
      <c r="AP871" s="338"/>
      <c r="AQ871" s="338"/>
      <c r="AR871" s="338"/>
      <c r="AS871" s="338"/>
      <c r="AT871" s="338"/>
      <c r="AU871" s="338"/>
      <c r="AV871" s="338"/>
      <c r="AW871" s="338"/>
      <c r="AX871" s="338"/>
      <c r="AY871" s="338"/>
      <c r="AZ871" s="338"/>
      <c r="BA871" s="338"/>
      <c r="BB871" s="338"/>
      <c r="BC871" s="338"/>
    </row>
    <row r="872">
      <c r="A872" s="115"/>
      <c r="B872" s="180"/>
      <c r="C872" s="117"/>
      <c r="D872" s="117"/>
      <c r="E872" s="117"/>
      <c r="F872" s="115"/>
      <c r="G872" s="180"/>
      <c r="H872" s="117"/>
      <c r="I872" s="117"/>
      <c r="J872" s="117"/>
      <c r="K872" s="92"/>
      <c r="L872" s="180"/>
      <c r="M872" s="117"/>
      <c r="N872" s="117"/>
      <c r="O872" s="117"/>
      <c r="P872" s="92"/>
      <c r="Q872" s="150"/>
      <c r="R872" s="117"/>
      <c r="S872" s="117"/>
      <c r="T872" s="117"/>
      <c r="U872" s="115"/>
      <c r="V872" s="180"/>
      <c r="W872" s="117"/>
      <c r="X872" s="117"/>
      <c r="Y872" s="117"/>
      <c r="Z872" s="115"/>
      <c r="AA872" s="180"/>
      <c r="AB872" s="117"/>
      <c r="AC872" s="117"/>
      <c r="AD872" s="117"/>
      <c r="AE872" s="115"/>
      <c r="AF872" s="180"/>
      <c r="AG872" s="117"/>
      <c r="AH872" s="117"/>
      <c r="AI872" s="117"/>
      <c r="AJ872" s="115"/>
      <c r="AK872" s="180"/>
      <c r="AL872" s="117"/>
      <c r="AM872" s="117"/>
      <c r="AN872" s="117"/>
      <c r="AO872" s="338"/>
      <c r="AP872" s="338"/>
      <c r="AQ872" s="338"/>
      <c r="AR872" s="338"/>
      <c r="AS872" s="338"/>
      <c r="AT872" s="338"/>
      <c r="AU872" s="338"/>
      <c r="AV872" s="338"/>
      <c r="AW872" s="338"/>
      <c r="AX872" s="338"/>
      <c r="AY872" s="338"/>
      <c r="AZ872" s="338"/>
      <c r="BA872" s="338"/>
      <c r="BB872" s="338"/>
      <c r="BC872" s="338"/>
    </row>
    <row r="873">
      <c r="A873" s="115"/>
      <c r="B873" s="180"/>
      <c r="C873" s="117"/>
      <c r="D873" s="117"/>
      <c r="E873" s="117"/>
      <c r="F873" s="115"/>
      <c r="G873" s="180"/>
      <c r="H873" s="117"/>
      <c r="I873" s="117"/>
      <c r="J873" s="117"/>
      <c r="K873" s="92"/>
      <c r="L873" s="180"/>
      <c r="M873" s="117"/>
      <c r="N873" s="117"/>
      <c r="O873" s="117"/>
      <c r="P873" s="92"/>
      <c r="Q873" s="150"/>
      <c r="R873" s="117"/>
      <c r="S873" s="117"/>
      <c r="T873" s="117"/>
      <c r="U873" s="115"/>
      <c r="V873" s="180"/>
      <c r="W873" s="117"/>
      <c r="X873" s="117"/>
      <c r="Y873" s="117"/>
      <c r="Z873" s="115"/>
      <c r="AA873" s="180"/>
      <c r="AB873" s="117"/>
      <c r="AC873" s="117"/>
      <c r="AD873" s="117"/>
      <c r="AE873" s="115"/>
      <c r="AF873" s="180"/>
      <c r="AG873" s="117"/>
      <c r="AH873" s="117"/>
      <c r="AI873" s="117"/>
      <c r="AJ873" s="115"/>
      <c r="AK873" s="180"/>
      <c r="AL873" s="117"/>
      <c r="AM873" s="117"/>
      <c r="AN873" s="117"/>
      <c r="AO873" s="338"/>
      <c r="AP873" s="338"/>
      <c r="AQ873" s="338"/>
      <c r="AR873" s="338"/>
      <c r="AS873" s="338"/>
      <c r="AT873" s="338"/>
      <c r="AU873" s="338"/>
      <c r="AV873" s="338"/>
      <c r="AW873" s="338"/>
      <c r="AX873" s="338"/>
      <c r="AY873" s="338"/>
      <c r="AZ873" s="338"/>
      <c r="BA873" s="338"/>
      <c r="BB873" s="338"/>
      <c r="BC873" s="338"/>
    </row>
    <row r="874">
      <c r="A874" s="115"/>
      <c r="B874" s="180"/>
      <c r="C874" s="117"/>
      <c r="D874" s="117"/>
      <c r="E874" s="117"/>
      <c r="F874" s="115"/>
      <c r="G874" s="180"/>
      <c r="H874" s="117"/>
      <c r="I874" s="117"/>
      <c r="J874" s="117"/>
      <c r="K874" s="92"/>
      <c r="L874" s="180"/>
      <c r="M874" s="117"/>
      <c r="N874" s="117"/>
      <c r="O874" s="117"/>
      <c r="P874" s="92"/>
      <c r="Q874" s="150"/>
      <c r="R874" s="117"/>
      <c r="S874" s="117"/>
      <c r="T874" s="117"/>
      <c r="U874" s="115"/>
      <c r="V874" s="180"/>
      <c r="W874" s="117"/>
      <c r="X874" s="117"/>
      <c r="Y874" s="117"/>
      <c r="Z874" s="115"/>
      <c r="AA874" s="180"/>
      <c r="AB874" s="117"/>
      <c r="AC874" s="117"/>
      <c r="AD874" s="117"/>
      <c r="AE874" s="115"/>
      <c r="AF874" s="180"/>
      <c r="AG874" s="117"/>
      <c r="AH874" s="117"/>
      <c r="AI874" s="117"/>
      <c r="AJ874" s="115"/>
      <c r="AK874" s="180"/>
      <c r="AL874" s="117"/>
      <c r="AM874" s="117"/>
      <c r="AN874" s="117"/>
      <c r="AO874" s="338"/>
      <c r="AP874" s="338"/>
      <c r="AQ874" s="338"/>
      <c r="AR874" s="338"/>
      <c r="AS874" s="338"/>
      <c r="AT874" s="338"/>
      <c r="AU874" s="338"/>
      <c r="AV874" s="338"/>
      <c r="AW874" s="338"/>
      <c r="AX874" s="338"/>
      <c r="AY874" s="338"/>
      <c r="AZ874" s="338"/>
      <c r="BA874" s="338"/>
      <c r="BB874" s="338"/>
      <c r="BC874" s="338"/>
    </row>
    <row r="875">
      <c r="A875" s="115"/>
      <c r="B875" s="180"/>
      <c r="C875" s="117"/>
      <c r="D875" s="117"/>
      <c r="E875" s="117"/>
      <c r="F875" s="115"/>
      <c r="G875" s="180"/>
      <c r="H875" s="117"/>
      <c r="I875" s="117"/>
      <c r="J875" s="117"/>
      <c r="K875" s="92"/>
      <c r="L875" s="180"/>
      <c r="M875" s="117"/>
      <c r="N875" s="117"/>
      <c r="O875" s="117"/>
      <c r="P875" s="92"/>
      <c r="Q875" s="150"/>
      <c r="R875" s="117"/>
      <c r="S875" s="117"/>
      <c r="T875" s="117"/>
      <c r="U875" s="115"/>
      <c r="V875" s="180"/>
      <c r="W875" s="117"/>
      <c r="X875" s="117"/>
      <c r="Y875" s="117"/>
      <c r="Z875" s="115"/>
      <c r="AA875" s="180"/>
      <c r="AB875" s="117"/>
      <c r="AC875" s="117"/>
      <c r="AD875" s="117"/>
      <c r="AE875" s="115"/>
      <c r="AF875" s="180"/>
      <c r="AG875" s="117"/>
      <c r="AH875" s="117"/>
      <c r="AI875" s="117"/>
      <c r="AJ875" s="115"/>
      <c r="AK875" s="180"/>
      <c r="AL875" s="117"/>
      <c r="AM875" s="117"/>
      <c r="AN875" s="117"/>
      <c r="AO875" s="338"/>
      <c r="AP875" s="338"/>
      <c r="AQ875" s="338"/>
      <c r="AR875" s="338"/>
      <c r="AS875" s="338"/>
      <c r="AT875" s="338"/>
      <c r="AU875" s="338"/>
      <c r="AV875" s="338"/>
      <c r="AW875" s="338"/>
      <c r="AX875" s="338"/>
      <c r="AY875" s="338"/>
      <c r="AZ875" s="338"/>
      <c r="BA875" s="338"/>
      <c r="BB875" s="338"/>
      <c r="BC875" s="338"/>
    </row>
    <row r="876">
      <c r="A876" s="115"/>
      <c r="B876" s="180"/>
      <c r="C876" s="117"/>
      <c r="D876" s="117"/>
      <c r="E876" s="117"/>
      <c r="F876" s="115"/>
      <c r="G876" s="180"/>
      <c r="H876" s="117"/>
      <c r="I876" s="117"/>
      <c r="J876" s="117"/>
      <c r="K876" s="92"/>
      <c r="L876" s="180"/>
      <c r="M876" s="117"/>
      <c r="N876" s="117"/>
      <c r="O876" s="117"/>
      <c r="P876" s="92"/>
      <c r="Q876" s="150"/>
      <c r="R876" s="117"/>
      <c r="S876" s="117"/>
      <c r="T876" s="117"/>
      <c r="U876" s="115"/>
      <c r="V876" s="180"/>
      <c r="W876" s="117"/>
      <c r="X876" s="117"/>
      <c r="Y876" s="117"/>
      <c r="Z876" s="115"/>
      <c r="AA876" s="180"/>
      <c r="AB876" s="117"/>
      <c r="AC876" s="117"/>
      <c r="AD876" s="117"/>
      <c r="AE876" s="115"/>
      <c r="AF876" s="180"/>
      <c r="AG876" s="117"/>
      <c r="AH876" s="117"/>
      <c r="AI876" s="117"/>
      <c r="AJ876" s="115"/>
      <c r="AK876" s="180"/>
      <c r="AL876" s="117"/>
      <c r="AM876" s="117"/>
      <c r="AN876" s="117"/>
      <c r="AO876" s="338"/>
      <c r="AP876" s="338"/>
      <c r="AQ876" s="338"/>
      <c r="AR876" s="338"/>
      <c r="AS876" s="338"/>
      <c r="AT876" s="338"/>
      <c r="AU876" s="338"/>
      <c r="AV876" s="338"/>
      <c r="AW876" s="338"/>
      <c r="AX876" s="338"/>
      <c r="AY876" s="338"/>
      <c r="AZ876" s="338"/>
      <c r="BA876" s="338"/>
      <c r="BB876" s="338"/>
      <c r="BC876" s="338"/>
    </row>
    <row r="877">
      <c r="A877" s="115"/>
      <c r="B877" s="180"/>
      <c r="C877" s="117"/>
      <c r="D877" s="117"/>
      <c r="E877" s="117"/>
      <c r="F877" s="115"/>
      <c r="G877" s="180"/>
      <c r="H877" s="117"/>
      <c r="I877" s="117"/>
      <c r="J877" s="117"/>
      <c r="K877" s="92"/>
      <c r="L877" s="180"/>
      <c r="M877" s="117"/>
      <c r="N877" s="117"/>
      <c r="O877" s="117"/>
      <c r="P877" s="92"/>
      <c r="Q877" s="150"/>
      <c r="R877" s="117"/>
      <c r="S877" s="117"/>
      <c r="T877" s="117"/>
      <c r="U877" s="115"/>
      <c r="V877" s="180"/>
      <c r="W877" s="117"/>
      <c r="X877" s="117"/>
      <c r="Y877" s="117"/>
      <c r="Z877" s="115"/>
      <c r="AA877" s="180"/>
      <c r="AB877" s="117"/>
      <c r="AC877" s="117"/>
      <c r="AD877" s="117"/>
      <c r="AE877" s="115"/>
      <c r="AF877" s="180"/>
      <c r="AG877" s="117"/>
      <c r="AH877" s="117"/>
      <c r="AI877" s="117"/>
      <c r="AJ877" s="115"/>
      <c r="AK877" s="180"/>
      <c r="AL877" s="117"/>
      <c r="AM877" s="117"/>
      <c r="AN877" s="117"/>
      <c r="AO877" s="338"/>
      <c r="AP877" s="338"/>
      <c r="AQ877" s="338"/>
      <c r="AR877" s="338"/>
      <c r="AS877" s="338"/>
      <c r="AT877" s="338"/>
      <c r="AU877" s="338"/>
      <c r="AV877" s="338"/>
      <c r="AW877" s="338"/>
      <c r="AX877" s="338"/>
      <c r="AY877" s="338"/>
      <c r="AZ877" s="338"/>
      <c r="BA877" s="338"/>
      <c r="BB877" s="338"/>
      <c r="BC877" s="338"/>
    </row>
    <row r="878">
      <c r="A878" s="115"/>
      <c r="B878" s="180"/>
      <c r="C878" s="117"/>
      <c r="D878" s="117"/>
      <c r="E878" s="117"/>
      <c r="F878" s="115"/>
      <c r="G878" s="180"/>
      <c r="H878" s="117"/>
      <c r="I878" s="117"/>
      <c r="J878" s="117"/>
      <c r="K878" s="92"/>
      <c r="L878" s="180"/>
      <c r="M878" s="117"/>
      <c r="N878" s="117"/>
      <c r="O878" s="117"/>
      <c r="P878" s="92"/>
      <c r="Q878" s="150"/>
      <c r="R878" s="117"/>
      <c r="S878" s="117"/>
      <c r="T878" s="117"/>
      <c r="U878" s="115"/>
      <c r="V878" s="180"/>
      <c r="W878" s="117"/>
      <c r="X878" s="117"/>
      <c r="Y878" s="117"/>
      <c r="Z878" s="115"/>
      <c r="AA878" s="180"/>
      <c r="AB878" s="117"/>
      <c r="AC878" s="117"/>
      <c r="AD878" s="117"/>
      <c r="AE878" s="115"/>
      <c r="AF878" s="180"/>
      <c r="AG878" s="117"/>
      <c r="AH878" s="117"/>
      <c r="AI878" s="117"/>
      <c r="AJ878" s="115"/>
      <c r="AK878" s="180"/>
      <c r="AL878" s="117"/>
      <c r="AM878" s="117"/>
      <c r="AN878" s="117"/>
      <c r="AO878" s="338"/>
      <c r="AP878" s="338"/>
      <c r="AQ878" s="338"/>
      <c r="AR878" s="338"/>
      <c r="AS878" s="338"/>
      <c r="AT878" s="338"/>
      <c r="AU878" s="338"/>
      <c r="AV878" s="338"/>
      <c r="AW878" s="338"/>
      <c r="AX878" s="338"/>
      <c r="AY878" s="338"/>
      <c r="AZ878" s="338"/>
      <c r="BA878" s="338"/>
      <c r="BB878" s="338"/>
      <c r="BC878" s="338"/>
    </row>
    <row r="879">
      <c r="A879" s="115"/>
      <c r="B879" s="180"/>
      <c r="C879" s="117"/>
      <c r="D879" s="117"/>
      <c r="E879" s="117"/>
      <c r="F879" s="115"/>
      <c r="G879" s="180"/>
      <c r="H879" s="117"/>
      <c r="I879" s="117"/>
      <c r="J879" s="117"/>
      <c r="K879" s="92"/>
      <c r="L879" s="180"/>
      <c r="M879" s="117"/>
      <c r="N879" s="117"/>
      <c r="O879" s="117"/>
      <c r="P879" s="92"/>
      <c r="Q879" s="150"/>
      <c r="R879" s="117"/>
      <c r="S879" s="117"/>
      <c r="T879" s="117"/>
      <c r="U879" s="115"/>
      <c r="V879" s="180"/>
      <c r="W879" s="117"/>
      <c r="X879" s="117"/>
      <c r="Y879" s="117"/>
      <c r="Z879" s="115"/>
      <c r="AA879" s="180"/>
      <c r="AB879" s="117"/>
      <c r="AC879" s="117"/>
      <c r="AD879" s="117"/>
      <c r="AE879" s="115"/>
      <c r="AF879" s="180"/>
      <c r="AG879" s="117"/>
      <c r="AH879" s="117"/>
      <c r="AI879" s="117"/>
      <c r="AJ879" s="115"/>
      <c r="AK879" s="180"/>
      <c r="AL879" s="117"/>
      <c r="AM879" s="117"/>
      <c r="AN879" s="117"/>
      <c r="AO879" s="338"/>
      <c r="AP879" s="338"/>
      <c r="AQ879" s="338"/>
      <c r="AR879" s="338"/>
      <c r="AS879" s="338"/>
      <c r="AT879" s="338"/>
      <c r="AU879" s="338"/>
      <c r="AV879" s="338"/>
      <c r="AW879" s="338"/>
      <c r="AX879" s="338"/>
      <c r="AY879" s="338"/>
      <c r="AZ879" s="338"/>
      <c r="BA879" s="338"/>
      <c r="BB879" s="338"/>
      <c r="BC879" s="338"/>
    </row>
    <row r="880">
      <c r="A880" s="115"/>
      <c r="B880" s="180"/>
      <c r="C880" s="117"/>
      <c r="D880" s="117"/>
      <c r="E880" s="117"/>
      <c r="F880" s="115"/>
      <c r="G880" s="180"/>
      <c r="H880" s="117"/>
      <c r="I880" s="117"/>
      <c r="J880" s="117"/>
      <c r="K880" s="92"/>
      <c r="L880" s="180"/>
      <c r="M880" s="117"/>
      <c r="N880" s="117"/>
      <c r="O880" s="117"/>
      <c r="P880" s="92"/>
      <c r="Q880" s="150"/>
      <c r="R880" s="117"/>
      <c r="S880" s="117"/>
      <c r="T880" s="117"/>
      <c r="U880" s="115"/>
      <c r="V880" s="180"/>
      <c r="W880" s="117"/>
      <c r="X880" s="117"/>
      <c r="Y880" s="117"/>
      <c r="Z880" s="115"/>
      <c r="AA880" s="180"/>
      <c r="AB880" s="117"/>
      <c r="AC880" s="117"/>
      <c r="AD880" s="117"/>
      <c r="AE880" s="115"/>
      <c r="AF880" s="180"/>
      <c r="AG880" s="117"/>
      <c r="AH880" s="117"/>
      <c r="AI880" s="117"/>
      <c r="AJ880" s="115"/>
      <c r="AK880" s="180"/>
      <c r="AL880" s="117"/>
      <c r="AM880" s="117"/>
      <c r="AN880" s="117"/>
      <c r="AO880" s="338"/>
      <c r="AP880" s="338"/>
      <c r="AQ880" s="338"/>
      <c r="AR880" s="338"/>
      <c r="AS880" s="338"/>
      <c r="AT880" s="338"/>
      <c r="AU880" s="338"/>
      <c r="AV880" s="338"/>
      <c r="AW880" s="338"/>
      <c r="AX880" s="338"/>
      <c r="AY880" s="338"/>
      <c r="AZ880" s="338"/>
      <c r="BA880" s="338"/>
      <c r="BB880" s="338"/>
      <c r="BC880" s="338"/>
    </row>
    <row r="881">
      <c r="A881" s="115"/>
      <c r="B881" s="180"/>
      <c r="C881" s="117"/>
      <c r="D881" s="117"/>
      <c r="E881" s="117"/>
      <c r="F881" s="115"/>
      <c r="G881" s="180"/>
      <c r="H881" s="117"/>
      <c r="I881" s="117"/>
      <c r="J881" s="117"/>
      <c r="K881" s="92"/>
      <c r="L881" s="180"/>
      <c r="M881" s="117"/>
      <c r="N881" s="117"/>
      <c r="O881" s="117"/>
      <c r="P881" s="92"/>
      <c r="Q881" s="150"/>
      <c r="R881" s="117"/>
      <c r="S881" s="117"/>
      <c r="T881" s="117"/>
      <c r="U881" s="115"/>
      <c r="V881" s="180"/>
      <c r="W881" s="117"/>
      <c r="X881" s="117"/>
      <c r="Y881" s="117"/>
      <c r="Z881" s="115"/>
      <c r="AA881" s="180"/>
      <c r="AB881" s="117"/>
      <c r="AC881" s="117"/>
      <c r="AD881" s="117"/>
      <c r="AE881" s="115"/>
      <c r="AF881" s="180"/>
      <c r="AG881" s="117"/>
      <c r="AH881" s="117"/>
      <c r="AI881" s="117"/>
      <c r="AJ881" s="115"/>
      <c r="AK881" s="180"/>
      <c r="AL881" s="117"/>
      <c r="AM881" s="117"/>
      <c r="AN881" s="117"/>
      <c r="AO881" s="338"/>
      <c r="AP881" s="338"/>
      <c r="AQ881" s="338"/>
      <c r="AR881" s="338"/>
      <c r="AS881" s="338"/>
      <c r="AT881" s="338"/>
      <c r="AU881" s="338"/>
      <c r="AV881" s="338"/>
      <c r="AW881" s="338"/>
      <c r="AX881" s="338"/>
      <c r="AY881" s="338"/>
      <c r="AZ881" s="338"/>
      <c r="BA881" s="338"/>
      <c r="BB881" s="338"/>
      <c r="BC881" s="338"/>
    </row>
    <row r="882">
      <c r="A882" s="115"/>
      <c r="B882" s="180"/>
      <c r="C882" s="117"/>
      <c r="D882" s="117"/>
      <c r="E882" s="117"/>
      <c r="F882" s="115"/>
      <c r="G882" s="180"/>
      <c r="H882" s="117"/>
      <c r="I882" s="117"/>
      <c r="J882" s="117"/>
      <c r="K882" s="92"/>
      <c r="L882" s="180"/>
      <c r="M882" s="117"/>
      <c r="N882" s="117"/>
      <c r="O882" s="117"/>
      <c r="P882" s="92"/>
      <c r="Q882" s="150"/>
      <c r="R882" s="117"/>
      <c r="S882" s="117"/>
      <c r="T882" s="117"/>
      <c r="U882" s="115"/>
      <c r="V882" s="180"/>
      <c r="W882" s="117"/>
      <c r="X882" s="117"/>
      <c r="Y882" s="117"/>
      <c r="Z882" s="115"/>
      <c r="AA882" s="180"/>
      <c r="AB882" s="117"/>
      <c r="AC882" s="117"/>
      <c r="AD882" s="117"/>
      <c r="AE882" s="115"/>
      <c r="AF882" s="180"/>
      <c r="AG882" s="117"/>
      <c r="AH882" s="117"/>
      <c r="AI882" s="117"/>
      <c r="AJ882" s="115"/>
      <c r="AK882" s="180"/>
      <c r="AL882" s="117"/>
      <c r="AM882" s="117"/>
      <c r="AN882" s="117"/>
      <c r="AO882" s="338"/>
      <c r="AP882" s="338"/>
      <c r="AQ882" s="338"/>
      <c r="AR882" s="338"/>
      <c r="AS882" s="338"/>
      <c r="AT882" s="338"/>
      <c r="AU882" s="338"/>
      <c r="AV882" s="338"/>
      <c r="AW882" s="338"/>
      <c r="AX882" s="338"/>
      <c r="AY882" s="338"/>
      <c r="AZ882" s="338"/>
      <c r="BA882" s="338"/>
      <c r="BB882" s="338"/>
      <c r="BC882" s="338"/>
    </row>
    <row r="883">
      <c r="A883" s="115"/>
      <c r="B883" s="180"/>
      <c r="C883" s="117"/>
      <c r="D883" s="117"/>
      <c r="E883" s="117"/>
      <c r="F883" s="115"/>
      <c r="G883" s="180"/>
      <c r="H883" s="117"/>
      <c r="I883" s="117"/>
      <c r="J883" s="117"/>
      <c r="K883" s="92"/>
      <c r="L883" s="180"/>
      <c r="M883" s="117"/>
      <c r="N883" s="117"/>
      <c r="O883" s="117"/>
      <c r="P883" s="92"/>
      <c r="Q883" s="150"/>
      <c r="R883" s="117"/>
      <c r="S883" s="117"/>
      <c r="T883" s="117"/>
      <c r="U883" s="115"/>
      <c r="V883" s="180"/>
      <c r="W883" s="117"/>
      <c r="X883" s="117"/>
      <c r="Y883" s="117"/>
      <c r="Z883" s="115"/>
      <c r="AA883" s="180"/>
      <c r="AB883" s="117"/>
      <c r="AC883" s="117"/>
      <c r="AD883" s="117"/>
      <c r="AE883" s="115"/>
      <c r="AF883" s="180"/>
      <c r="AG883" s="117"/>
      <c r="AH883" s="117"/>
      <c r="AI883" s="117"/>
      <c r="AJ883" s="115"/>
      <c r="AK883" s="180"/>
      <c r="AL883" s="117"/>
      <c r="AM883" s="117"/>
      <c r="AN883" s="117"/>
      <c r="AO883" s="338"/>
      <c r="AP883" s="338"/>
      <c r="AQ883" s="338"/>
      <c r="AR883" s="338"/>
      <c r="AS883" s="338"/>
      <c r="AT883" s="338"/>
      <c r="AU883" s="338"/>
      <c r="AV883" s="338"/>
      <c r="AW883" s="338"/>
      <c r="AX883" s="338"/>
      <c r="AY883" s="338"/>
      <c r="AZ883" s="338"/>
      <c r="BA883" s="338"/>
      <c r="BB883" s="338"/>
      <c r="BC883" s="338"/>
    </row>
    <row r="884">
      <c r="A884" s="115"/>
      <c r="B884" s="180"/>
      <c r="C884" s="117"/>
      <c r="D884" s="117"/>
      <c r="E884" s="117"/>
      <c r="F884" s="115"/>
      <c r="G884" s="180"/>
      <c r="H884" s="117"/>
      <c r="I884" s="117"/>
      <c r="J884" s="117"/>
      <c r="K884" s="92"/>
      <c r="L884" s="180"/>
      <c r="M884" s="117"/>
      <c r="N884" s="117"/>
      <c r="O884" s="117"/>
      <c r="P884" s="92"/>
      <c r="Q884" s="150"/>
      <c r="R884" s="117"/>
      <c r="S884" s="117"/>
      <c r="T884" s="117"/>
      <c r="U884" s="115"/>
      <c r="V884" s="180"/>
      <c r="W884" s="117"/>
      <c r="X884" s="117"/>
      <c r="Y884" s="117"/>
      <c r="Z884" s="115"/>
      <c r="AA884" s="180"/>
      <c r="AB884" s="117"/>
      <c r="AC884" s="117"/>
      <c r="AD884" s="117"/>
      <c r="AE884" s="115"/>
      <c r="AF884" s="180"/>
      <c r="AG884" s="117"/>
      <c r="AH884" s="117"/>
      <c r="AI884" s="117"/>
      <c r="AJ884" s="115"/>
      <c r="AK884" s="180"/>
      <c r="AL884" s="117"/>
      <c r="AM884" s="117"/>
      <c r="AN884" s="117"/>
      <c r="AO884" s="338"/>
      <c r="AP884" s="338"/>
      <c r="AQ884" s="338"/>
      <c r="AR884" s="338"/>
      <c r="AS884" s="338"/>
      <c r="AT884" s="338"/>
      <c r="AU884" s="338"/>
      <c r="AV884" s="338"/>
      <c r="AW884" s="338"/>
      <c r="AX884" s="338"/>
      <c r="AY884" s="338"/>
      <c r="AZ884" s="338"/>
      <c r="BA884" s="338"/>
      <c r="BB884" s="338"/>
      <c r="BC884" s="338"/>
    </row>
    <row r="885">
      <c r="A885" s="115"/>
      <c r="B885" s="180"/>
      <c r="C885" s="117"/>
      <c r="D885" s="117"/>
      <c r="E885" s="117"/>
      <c r="F885" s="115"/>
      <c r="G885" s="180"/>
      <c r="H885" s="117"/>
      <c r="I885" s="117"/>
      <c r="J885" s="117"/>
      <c r="K885" s="92"/>
      <c r="L885" s="180"/>
      <c r="M885" s="117"/>
      <c r="N885" s="117"/>
      <c r="O885" s="117"/>
      <c r="P885" s="92"/>
      <c r="Q885" s="150"/>
      <c r="R885" s="117"/>
      <c r="S885" s="117"/>
      <c r="T885" s="117"/>
      <c r="U885" s="115"/>
      <c r="V885" s="180"/>
      <c r="W885" s="117"/>
      <c r="X885" s="117"/>
      <c r="Y885" s="117"/>
      <c r="Z885" s="115"/>
      <c r="AA885" s="180"/>
      <c r="AB885" s="117"/>
      <c r="AC885" s="117"/>
      <c r="AD885" s="117"/>
      <c r="AE885" s="115"/>
      <c r="AF885" s="180"/>
      <c r="AG885" s="117"/>
      <c r="AH885" s="117"/>
      <c r="AI885" s="117"/>
      <c r="AJ885" s="115"/>
      <c r="AK885" s="180"/>
      <c r="AL885" s="117"/>
      <c r="AM885" s="117"/>
      <c r="AN885" s="117"/>
      <c r="AO885" s="338"/>
      <c r="AP885" s="338"/>
      <c r="AQ885" s="338"/>
      <c r="AR885" s="338"/>
      <c r="AS885" s="338"/>
      <c r="AT885" s="338"/>
      <c r="AU885" s="338"/>
      <c r="AV885" s="338"/>
      <c r="AW885" s="338"/>
      <c r="AX885" s="338"/>
      <c r="AY885" s="338"/>
      <c r="AZ885" s="338"/>
      <c r="BA885" s="338"/>
      <c r="BB885" s="338"/>
      <c r="BC885" s="338"/>
    </row>
    <row r="886">
      <c r="A886" s="115"/>
      <c r="B886" s="180"/>
      <c r="C886" s="117"/>
      <c r="D886" s="117"/>
      <c r="E886" s="117"/>
      <c r="F886" s="115"/>
      <c r="G886" s="180"/>
      <c r="H886" s="117"/>
      <c r="I886" s="117"/>
      <c r="J886" s="117"/>
      <c r="K886" s="92"/>
      <c r="L886" s="180"/>
      <c r="M886" s="117"/>
      <c r="N886" s="117"/>
      <c r="O886" s="117"/>
      <c r="P886" s="92"/>
      <c r="Q886" s="150"/>
      <c r="R886" s="117"/>
      <c r="S886" s="117"/>
      <c r="T886" s="117"/>
      <c r="U886" s="115"/>
      <c r="V886" s="180"/>
      <c r="W886" s="117"/>
      <c r="X886" s="117"/>
      <c r="Y886" s="117"/>
      <c r="Z886" s="115"/>
      <c r="AA886" s="180"/>
      <c r="AB886" s="117"/>
      <c r="AC886" s="117"/>
      <c r="AD886" s="117"/>
      <c r="AE886" s="115"/>
      <c r="AF886" s="180"/>
      <c r="AG886" s="117"/>
      <c r="AH886" s="117"/>
      <c r="AI886" s="117"/>
      <c r="AJ886" s="115"/>
      <c r="AK886" s="180"/>
      <c r="AL886" s="117"/>
      <c r="AM886" s="117"/>
      <c r="AN886" s="117"/>
      <c r="AO886" s="338"/>
      <c r="AP886" s="338"/>
      <c r="AQ886" s="338"/>
      <c r="AR886" s="338"/>
      <c r="AS886" s="338"/>
      <c r="AT886" s="338"/>
      <c r="AU886" s="338"/>
      <c r="AV886" s="338"/>
      <c r="AW886" s="338"/>
      <c r="AX886" s="338"/>
      <c r="AY886" s="338"/>
      <c r="AZ886" s="338"/>
      <c r="BA886" s="338"/>
      <c r="BB886" s="338"/>
      <c r="BC886" s="338"/>
    </row>
    <row r="887">
      <c r="A887" s="115"/>
      <c r="B887" s="180"/>
      <c r="C887" s="117"/>
      <c r="D887" s="117"/>
      <c r="E887" s="117"/>
      <c r="F887" s="115"/>
      <c r="G887" s="180"/>
      <c r="H887" s="117"/>
      <c r="I887" s="117"/>
      <c r="J887" s="117"/>
      <c r="K887" s="92"/>
      <c r="L887" s="180"/>
      <c r="M887" s="117"/>
      <c r="N887" s="117"/>
      <c r="O887" s="117"/>
      <c r="P887" s="92"/>
      <c r="Q887" s="150"/>
      <c r="R887" s="117"/>
      <c r="S887" s="117"/>
      <c r="T887" s="117"/>
      <c r="U887" s="115"/>
      <c r="V887" s="180"/>
      <c r="W887" s="117"/>
      <c r="X887" s="117"/>
      <c r="Y887" s="117"/>
      <c r="Z887" s="115"/>
      <c r="AA887" s="180"/>
      <c r="AB887" s="117"/>
      <c r="AC887" s="117"/>
      <c r="AD887" s="117"/>
      <c r="AE887" s="115"/>
      <c r="AF887" s="180"/>
      <c r="AG887" s="117"/>
      <c r="AH887" s="117"/>
      <c r="AI887" s="117"/>
      <c r="AJ887" s="115"/>
      <c r="AK887" s="180"/>
      <c r="AL887" s="117"/>
      <c r="AM887" s="117"/>
      <c r="AN887" s="117"/>
      <c r="AO887" s="338"/>
      <c r="AP887" s="338"/>
      <c r="AQ887" s="338"/>
      <c r="AR887" s="338"/>
      <c r="AS887" s="338"/>
      <c r="AT887" s="338"/>
      <c r="AU887" s="338"/>
      <c r="AV887" s="338"/>
      <c r="AW887" s="338"/>
      <c r="AX887" s="338"/>
      <c r="AY887" s="338"/>
      <c r="AZ887" s="338"/>
      <c r="BA887" s="338"/>
      <c r="BB887" s="338"/>
      <c r="BC887" s="338"/>
    </row>
    <row r="888">
      <c r="A888" s="115"/>
      <c r="B888" s="180"/>
      <c r="C888" s="117"/>
      <c r="D888" s="117"/>
      <c r="E888" s="117"/>
      <c r="F888" s="115"/>
      <c r="G888" s="180"/>
      <c r="H888" s="117"/>
      <c r="I888" s="117"/>
      <c r="J888" s="117"/>
      <c r="K888" s="92"/>
      <c r="L888" s="180"/>
      <c r="M888" s="117"/>
      <c r="N888" s="117"/>
      <c r="O888" s="117"/>
      <c r="P888" s="92"/>
      <c r="Q888" s="150"/>
      <c r="R888" s="117"/>
      <c r="S888" s="117"/>
      <c r="T888" s="117"/>
      <c r="U888" s="115"/>
      <c r="V888" s="180"/>
      <c r="W888" s="117"/>
      <c r="X888" s="117"/>
      <c r="Y888" s="117"/>
      <c r="Z888" s="115"/>
      <c r="AA888" s="180"/>
      <c r="AB888" s="117"/>
      <c r="AC888" s="117"/>
      <c r="AD888" s="117"/>
      <c r="AE888" s="115"/>
      <c r="AF888" s="180"/>
      <c r="AG888" s="117"/>
      <c r="AH888" s="117"/>
      <c r="AI888" s="117"/>
      <c r="AJ888" s="115"/>
      <c r="AK888" s="180"/>
      <c r="AL888" s="117"/>
      <c r="AM888" s="117"/>
      <c r="AN888" s="117"/>
      <c r="AO888" s="338"/>
      <c r="AP888" s="338"/>
      <c r="AQ888" s="338"/>
      <c r="AR888" s="338"/>
      <c r="AS888" s="338"/>
      <c r="AT888" s="338"/>
      <c r="AU888" s="338"/>
      <c r="AV888" s="338"/>
      <c r="AW888" s="338"/>
      <c r="AX888" s="338"/>
      <c r="AY888" s="338"/>
      <c r="AZ888" s="338"/>
      <c r="BA888" s="338"/>
      <c r="BB888" s="338"/>
      <c r="BC888" s="338"/>
    </row>
    <row r="889">
      <c r="A889" s="115"/>
      <c r="B889" s="180"/>
      <c r="C889" s="117"/>
      <c r="D889" s="117"/>
      <c r="E889" s="117"/>
      <c r="F889" s="115"/>
      <c r="G889" s="180"/>
      <c r="H889" s="117"/>
      <c r="I889" s="117"/>
      <c r="J889" s="117"/>
      <c r="K889" s="92"/>
      <c r="L889" s="180"/>
      <c r="M889" s="117"/>
      <c r="N889" s="117"/>
      <c r="O889" s="117"/>
      <c r="P889" s="92"/>
      <c r="Q889" s="150"/>
      <c r="R889" s="117"/>
      <c r="S889" s="117"/>
      <c r="T889" s="117"/>
      <c r="U889" s="115"/>
      <c r="V889" s="180"/>
      <c r="W889" s="117"/>
      <c r="X889" s="117"/>
      <c r="Y889" s="117"/>
      <c r="Z889" s="115"/>
      <c r="AA889" s="180"/>
      <c r="AB889" s="117"/>
      <c r="AC889" s="117"/>
      <c r="AD889" s="117"/>
      <c r="AE889" s="115"/>
      <c r="AF889" s="180"/>
      <c r="AG889" s="117"/>
      <c r="AH889" s="117"/>
      <c r="AI889" s="117"/>
      <c r="AJ889" s="115"/>
      <c r="AK889" s="180"/>
      <c r="AL889" s="117"/>
      <c r="AM889" s="117"/>
      <c r="AN889" s="117"/>
      <c r="AO889" s="338"/>
      <c r="AP889" s="338"/>
      <c r="AQ889" s="338"/>
      <c r="AR889" s="338"/>
      <c r="AS889" s="338"/>
      <c r="AT889" s="338"/>
      <c r="AU889" s="338"/>
      <c r="AV889" s="338"/>
      <c r="AW889" s="338"/>
      <c r="AX889" s="338"/>
      <c r="AY889" s="338"/>
      <c r="AZ889" s="338"/>
      <c r="BA889" s="338"/>
      <c r="BB889" s="338"/>
      <c r="BC889" s="338"/>
    </row>
    <row r="890">
      <c r="A890" s="115"/>
      <c r="B890" s="180"/>
      <c r="C890" s="117"/>
      <c r="D890" s="117"/>
      <c r="E890" s="117"/>
      <c r="F890" s="115"/>
      <c r="G890" s="180"/>
      <c r="H890" s="117"/>
      <c r="I890" s="117"/>
      <c r="J890" s="117"/>
      <c r="K890" s="92"/>
      <c r="L890" s="180"/>
      <c r="M890" s="117"/>
      <c r="N890" s="117"/>
      <c r="O890" s="117"/>
      <c r="P890" s="92"/>
      <c r="Q890" s="150"/>
      <c r="R890" s="117"/>
      <c r="S890" s="117"/>
      <c r="T890" s="117"/>
      <c r="U890" s="115"/>
      <c r="V890" s="180"/>
      <c r="W890" s="117"/>
      <c r="X890" s="117"/>
      <c r="Y890" s="117"/>
      <c r="Z890" s="115"/>
      <c r="AA890" s="180"/>
      <c r="AB890" s="117"/>
      <c r="AC890" s="117"/>
      <c r="AD890" s="117"/>
      <c r="AE890" s="115"/>
      <c r="AF890" s="180"/>
      <c r="AG890" s="117"/>
      <c r="AH890" s="117"/>
      <c r="AI890" s="117"/>
      <c r="AJ890" s="115"/>
      <c r="AK890" s="180"/>
      <c r="AL890" s="117"/>
      <c r="AM890" s="117"/>
      <c r="AN890" s="117"/>
      <c r="AO890" s="338"/>
      <c r="AP890" s="338"/>
      <c r="AQ890" s="338"/>
      <c r="AR890" s="338"/>
      <c r="AS890" s="338"/>
      <c r="AT890" s="338"/>
      <c r="AU890" s="338"/>
      <c r="AV890" s="338"/>
      <c r="AW890" s="338"/>
      <c r="AX890" s="338"/>
      <c r="AY890" s="338"/>
      <c r="AZ890" s="338"/>
      <c r="BA890" s="338"/>
      <c r="BB890" s="338"/>
      <c r="BC890" s="338"/>
    </row>
    <row r="891">
      <c r="A891" s="115"/>
      <c r="B891" s="180"/>
      <c r="C891" s="117"/>
      <c r="D891" s="117"/>
      <c r="E891" s="117"/>
      <c r="F891" s="115"/>
      <c r="G891" s="180"/>
      <c r="H891" s="117"/>
      <c r="I891" s="117"/>
      <c r="J891" s="117"/>
      <c r="K891" s="92"/>
      <c r="L891" s="180"/>
      <c r="M891" s="117"/>
      <c r="N891" s="117"/>
      <c r="O891" s="117"/>
      <c r="P891" s="92"/>
      <c r="Q891" s="150"/>
      <c r="R891" s="117"/>
      <c r="S891" s="117"/>
      <c r="T891" s="117"/>
      <c r="U891" s="115"/>
      <c r="V891" s="180"/>
      <c r="W891" s="117"/>
      <c r="X891" s="117"/>
      <c r="Y891" s="117"/>
      <c r="Z891" s="115"/>
      <c r="AA891" s="180"/>
      <c r="AB891" s="117"/>
      <c r="AC891" s="117"/>
      <c r="AD891" s="117"/>
      <c r="AE891" s="115"/>
      <c r="AF891" s="180"/>
      <c r="AG891" s="117"/>
      <c r="AH891" s="117"/>
      <c r="AI891" s="117"/>
      <c r="AJ891" s="115"/>
      <c r="AK891" s="180"/>
      <c r="AL891" s="117"/>
      <c r="AM891" s="117"/>
      <c r="AN891" s="117"/>
      <c r="AO891" s="338"/>
      <c r="AP891" s="338"/>
      <c r="AQ891" s="338"/>
      <c r="AR891" s="338"/>
      <c r="AS891" s="338"/>
      <c r="AT891" s="338"/>
      <c r="AU891" s="338"/>
      <c r="AV891" s="338"/>
      <c r="AW891" s="338"/>
      <c r="AX891" s="338"/>
      <c r="AY891" s="338"/>
      <c r="AZ891" s="338"/>
      <c r="BA891" s="338"/>
      <c r="BB891" s="338"/>
      <c r="BC891" s="338"/>
    </row>
    <row r="892">
      <c r="A892" s="115"/>
      <c r="B892" s="180"/>
      <c r="C892" s="117"/>
      <c r="D892" s="117"/>
      <c r="E892" s="117"/>
      <c r="F892" s="115"/>
      <c r="G892" s="180"/>
      <c r="H892" s="117"/>
      <c r="I892" s="117"/>
      <c r="J892" s="117"/>
      <c r="K892" s="92"/>
      <c r="L892" s="180"/>
      <c r="M892" s="117"/>
      <c r="N892" s="117"/>
      <c r="O892" s="117"/>
      <c r="P892" s="92"/>
      <c r="Q892" s="150"/>
      <c r="R892" s="117"/>
      <c r="S892" s="117"/>
      <c r="T892" s="117"/>
      <c r="U892" s="115"/>
      <c r="V892" s="180"/>
      <c r="W892" s="117"/>
      <c r="X892" s="117"/>
      <c r="Y892" s="117"/>
      <c r="Z892" s="115"/>
      <c r="AA892" s="180"/>
      <c r="AB892" s="117"/>
      <c r="AC892" s="117"/>
      <c r="AD892" s="117"/>
      <c r="AE892" s="115"/>
      <c r="AF892" s="180"/>
      <c r="AG892" s="117"/>
      <c r="AH892" s="117"/>
      <c r="AI892" s="117"/>
      <c r="AJ892" s="115"/>
      <c r="AK892" s="180"/>
      <c r="AL892" s="117"/>
      <c r="AM892" s="117"/>
      <c r="AN892" s="117"/>
      <c r="AO892" s="338"/>
      <c r="AP892" s="338"/>
      <c r="AQ892" s="338"/>
      <c r="AR892" s="338"/>
      <c r="AS892" s="338"/>
      <c r="AT892" s="338"/>
      <c r="AU892" s="338"/>
      <c r="AV892" s="338"/>
      <c r="AW892" s="338"/>
      <c r="AX892" s="338"/>
      <c r="AY892" s="338"/>
      <c r="AZ892" s="338"/>
      <c r="BA892" s="338"/>
      <c r="BB892" s="338"/>
      <c r="BC892" s="338"/>
    </row>
    <row r="893">
      <c r="A893" s="115"/>
      <c r="B893" s="180"/>
      <c r="C893" s="117"/>
      <c r="D893" s="117"/>
      <c r="E893" s="117"/>
      <c r="F893" s="115"/>
      <c r="G893" s="180"/>
      <c r="H893" s="117"/>
      <c r="I893" s="117"/>
      <c r="J893" s="117"/>
      <c r="K893" s="92"/>
      <c r="L893" s="180"/>
      <c r="M893" s="117"/>
      <c r="N893" s="117"/>
      <c r="O893" s="117"/>
      <c r="P893" s="92"/>
      <c r="Q893" s="150"/>
      <c r="R893" s="117"/>
      <c r="S893" s="117"/>
      <c r="T893" s="117"/>
      <c r="U893" s="115"/>
      <c r="V893" s="180"/>
      <c r="W893" s="117"/>
      <c r="X893" s="117"/>
      <c r="Y893" s="117"/>
      <c r="Z893" s="115"/>
      <c r="AA893" s="180"/>
      <c r="AB893" s="117"/>
      <c r="AC893" s="117"/>
      <c r="AD893" s="117"/>
      <c r="AE893" s="115"/>
      <c r="AF893" s="180"/>
      <c r="AG893" s="117"/>
      <c r="AH893" s="117"/>
      <c r="AI893" s="117"/>
      <c r="AJ893" s="115"/>
      <c r="AK893" s="180"/>
      <c r="AL893" s="117"/>
      <c r="AM893" s="117"/>
      <c r="AN893" s="117"/>
      <c r="AO893" s="338"/>
      <c r="AP893" s="338"/>
      <c r="AQ893" s="338"/>
      <c r="AR893" s="338"/>
      <c r="AS893" s="338"/>
      <c r="AT893" s="338"/>
      <c r="AU893" s="338"/>
      <c r="AV893" s="338"/>
      <c r="AW893" s="338"/>
      <c r="AX893" s="338"/>
      <c r="AY893" s="338"/>
      <c r="AZ893" s="338"/>
      <c r="BA893" s="338"/>
      <c r="BB893" s="338"/>
      <c r="BC893" s="338"/>
    </row>
    <row r="894">
      <c r="A894" s="115"/>
      <c r="B894" s="180"/>
      <c r="C894" s="117"/>
      <c r="D894" s="117"/>
      <c r="E894" s="117"/>
      <c r="F894" s="115"/>
      <c r="G894" s="180"/>
      <c r="H894" s="117"/>
      <c r="I894" s="117"/>
      <c r="J894" s="117"/>
      <c r="K894" s="92"/>
      <c r="L894" s="180"/>
      <c r="M894" s="117"/>
      <c r="N894" s="117"/>
      <c r="O894" s="117"/>
      <c r="P894" s="92"/>
      <c r="Q894" s="150"/>
      <c r="R894" s="117"/>
      <c r="S894" s="117"/>
      <c r="T894" s="117"/>
      <c r="U894" s="115"/>
      <c r="V894" s="180"/>
      <c r="W894" s="117"/>
      <c r="X894" s="117"/>
      <c r="Y894" s="117"/>
      <c r="Z894" s="115"/>
      <c r="AA894" s="180"/>
      <c r="AB894" s="117"/>
      <c r="AC894" s="117"/>
      <c r="AD894" s="117"/>
      <c r="AE894" s="115"/>
      <c r="AF894" s="180"/>
      <c r="AG894" s="117"/>
      <c r="AH894" s="117"/>
      <c r="AI894" s="117"/>
      <c r="AJ894" s="115"/>
      <c r="AK894" s="180"/>
      <c r="AL894" s="117"/>
      <c r="AM894" s="117"/>
      <c r="AN894" s="117"/>
      <c r="AO894" s="338"/>
      <c r="AP894" s="338"/>
      <c r="AQ894" s="338"/>
      <c r="AR894" s="338"/>
      <c r="AS894" s="338"/>
      <c r="AT894" s="338"/>
      <c r="AU894" s="338"/>
      <c r="AV894" s="338"/>
      <c r="AW894" s="338"/>
      <c r="AX894" s="338"/>
      <c r="AY894" s="338"/>
      <c r="AZ894" s="338"/>
      <c r="BA894" s="338"/>
      <c r="BB894" s="338"/>
      <c r="BC894" s="338"/>
    </row>
    <row r="895">
      <c r="A895" s="115"/>
      <c r="B895" s="180"/>
      <c r="C895" s="117"/>
      <c r="D895" s="117"/>
      <c r="E895" s="117"/>
      <c r="F895" s="115"/>
      <c r="G895" s="180"/>
      <c r="H895" s="117"/>
      <c r="I895" s="117"/>
      <c r="J895" s="117"/>
      <c r="K895" s="92"/>
      <c r="L895" s="180"/>
      <c r="M895" s="117"/>
      <c r="N895" s="117"/>
      <c r="O895" s="117"/>
      <c r="P895" s="92"/>
      <c r="Q895" s="150"/>
      <c r="R895" s="117"/>
      <c r="S895" s="117"/>
      <c r="T895" s="117"/>
      <c r="U895" s="115"/>
      <c r="V895" s="180"/>
      <c r="W895" s="117"/>
      <c r="X895" s="117"/>
      <c r="Y895" s="117"/>
      <c r="Z895" s="115"/>
      <c r="AA895" s="180"/>
      <c r="AB895" s="117"/>
      <c r="AC895" s="117"/>
      <c r="AD895" s="117"/>
      <c r="AE895" s="115"/>
      <c r="AF895" s="180"/>
      <c r="AG895" s="117"/>
      <c r="AH895" s="117"/>
      <c r="AI895" s="117"/>
      <c r="AJ895" s="115"/>
      <c r="AK895" s="180"/>
      <c r="AL895" s="117"/>
      <c r="AM895" s="117"/>
      <c r="AN895" s="117"/>
      <c r="AO895" s="338"/>
      <c r="AP895" s="338"/>
      <c r="AQ895" s="338"/>
      <c r="AR895" s="338"/>
      <c r="AS895" s="338"/>
      <c r="AT895" s="338"/>
      <c r="AU895" s="338"/>
      <c r="AV895" s="338"/>
      <c r="AW895" s="338"/>
      <c r="AX895" s="338"/>
      <c r="AY895" s="338"/>
      <c r="AZ895" s="338"/>
      <c r="BA895" s="338"/>
      <c r="BB895" s="338"/>
      <c r="BC895" s="338"/>
    </row>
    <row r="896">
      <c r="A896" s="115"/>
      <c r="B896" s="180"/>
      <c r="C896" s="117"/>
      <c r="D896" s="117"/>
      <c r="E896" s="117"/>
      <c r="F896" s="115"/>
      <c r="G896" s="180"/>
      <c r="H896" s="117"/>
      <c r="I896" s="117"/>
      <c r="J896" s="117"/>
      <c r="K896" s="92"/>
      <c r="L896" s="180"/>
      <c r="M896" s="117"/>
      <c r="N896" s="117"/>
      <c r="O896" s="117"/>
      <c r="P896" s="92"/>
      <c r="Q896" s="150"/>
      <c r="R896" s="117"/>
      <c r="S896" s="117"/>
      <c r="T896" s="117"/>
      <c r="U896" s="115"/>
      <c r="V896" s="180"/>
      <c r="W896" s="117"/>
      <c r="X896" s="117"/>
      <c r="Y896" s="117"/>
      <c r="Z896" s="115"/>
      <c r="AA896" s="180"/>
      <c r="AB896" s="117"/>
      <c r="AC896" s="117"/>
      <c r="AD896" s="117"/>
      <c r="AE896" s="115"/>
      <c r="AF896" s="180"/>
      <c r="AG896" s="117"/>
      <c r="AH896" s="117"/>
      <c r="AI896" s="117"/>
      <c r="AJ896" s="115"/>
      <c r="AK896" s="180"/>
      <c r="AL896" s="117"/>
      <c r="AM896" s="117"/>
      <c r="AN896" s="117"/>
      <c r="AO896" s="338"/>
      <c r="AP896" s="338"/>
      <c r="AQ896" s="338"/>
      <c r="AR896" s="338"/>
      <c r="AS896" s="338"/>
      <c r="AT896" s="338"/>
      <c r="AU896" s="338"/>
      <c r="AV896" s="338"/>
      <c r="AW896" s="338"/>
      <c r="AX896" s="338"/>
      <c r="AY896" s="338"/>
      <c r="AZ896" s="338"/>
      <c r="BA896" s="338"/>
      <c r="BB896" s="338"/>
      <c r="BC896" s="338"/>
    </row>
    <row r="897">
      <c r="A897" s="115"/>
      <c r="B897" s="180"/>
      <c r="C897" s="117"/>
      <c r="D897" s="117"/>
      <c r="E897" s="117"/>
      <c r="F897" s="115"/>
      <c r="G897" s="180"/>
      <c r="H897" s="117"/>
      <c r="I897" s="117"/>
      <c r="J897" s="117"/>
      <c r="K897" s="92"/>
      <c r="L897" s="180"/>
      <c r="M897" s="117"/>
      <c r="N897" s="117"/>
      <c r="O897" s="117"/>
      <c r="P897" s="92"/>
      <c r="Q897" s="150"/>
      <c r="R897" s="117"/>
      <c r="S897" s="117"/>
      <c r="T897" s="117"/>
      <c r="U897" s="115"/>
      <c r="V897" s="180"/>
      <c r="W897" s="117"/>
      <c r="X897" s="117"/>
      <c r="Y897" s="117"/>
      <c r="Z897" s="115"/>
      <c r="AA897" s="180"/>
      <c r="AB897" s="117"/>
      <c r="AC897" s="117"/>
      <c r="AD897" s="117"/>
      <c r="AE897" s="115"/>
      <c r="AF897" s="180"/>
      <c r="AG897" s="117"/>
      <c r="AH897" s="117"/>
      <c r="AI897" s="117"/>
      <c r="AJ897" s="115"/>
      <c r="AK897" s="180"/>
      <c r="AL897" s="117"/>
      <c r="AM897" s="117"/>
      <c r="AN897" s="117"/>
      <c r="AO897" s="338"/>
      <c r="AP897" s="338"/>
      <c r="AQ897" s="338"/>
      <c r="AR897" s="338"/>
      <c r="AS897" s="338"/>
      <c r="AT897" s="338"/>
      <c r="AU897" s="338"/>
      <c r="AV897" s="338"/>
      <c r="AW897" s="338"/>
      <c r="AX897" s="338"/>
      <c r="AY897" s="338"/>
      <c r="AZ897" s="338"/>
      <c r="BA897" s="338"/>
      <c r="BB897" s="338"/>
      <c r="BC897" s="338"/>
    </row>
    <row r="898">
      <c r="A898" s="115"/>
      <c r="B898" s="180"/>
      <c r="C898" s="117"/>
      <c r="D898" s="117"/>
      <c r="E898" s="117"/>
      <c r="F898" s="115"/>
      <c r="G898" s="180"/>
      <c r="H898" s="117"/>
      <c r="I898" s="117"/>
      <c r="J898" s="117"/>
      <c r="K898" s="92"/>
      <c r="L898" s="180"/>
      <c r="M898" s="117"/>
      <c r="N898" s="117"/>
      <c r="O898" s="117"/>
      <c r="P898" s="92"/>
      <c r="Q898" s="150"/>
      <c r="R898" s="117"/>
      <c r="S898" s="117"/>
      <c r="T898" s="117"/>
      <c r="U898" s="115"/>
      <c r="V898" s="180"/>
      <c r="W898" s="117"/>
      <c r="X898" s="117"/>
      <c r="Y898" s="117"/>
      <c r="Z898" s="115"/>
      <c r="AA898" s="180"/>
      <c r="AB898" s="117"/>
      <c r="AC898" s="117"/>
      <c r="AD898" s="117"/>
      <c r="AE898" s="115"/>
      <c r="AF898" s="180"/>
      <c r="AG898" s="117"/>
      <c r="AH898" s="117"/>
      <c r="AI898" s="117"/>
      <c r="AJ898" s="115"/>
      <c r="AK898" s="180"/>
      <c r="AL898" s="117"/>
      <c r="AM898" s="117"/>
      <c r="AN898" s="117"/>
      <c r="AO898" s="338"/>
      <c r="AP898" s="338"/>
      <c r="AQ898" s="338"/>
      <c r="AR898" s="338"/>
      <c r="AS898" s="338"/>
      <c r="AT898" s="338"/>
      <c r="AU898" s="338"/>
      <c r="AV898" s="338"/>
      <c r="AW898" s="338"/>
      <c r="AX898" s="338"/>
      <c r="AY898" s="338"/>
      <c r="AZ898" s="338"/>
      <c r="BA898" s="338"/>
      <c r="BB898" s="338"/>
      <c r="BC898" s="338"/>
    </row>
    <row r="899">
      <c r="A899" s="115"/>
      <c r="B899" s="180"/>
      <c r="C899" s="117"/>
      <c r="D899" s="117"/>
      <c r="E899" s="117"/>
      <c r="F899" s="115"/>
      <c r="G899" s="180"/>
      <c r="H899" s="117"/>
      <c r="I899" s="117"/>
      <c r="J899" s="117"/>
      <c r="K899" s="92"/>
      <c r="L899" s="180"/>
      <c r="M899" s="117"/>
      <c r="N899" s="117"/>
      <c r="O899" s="117"/>
      <c r="P899" s="92"/>
      <c r="Q899" s="150"/>
      <c r="R899" s="117"/>
      <c r="S899" s="117"/>
      <c r="T899" s="117"/>
      <c r="U899" s="115"/>
      <c r="V899" s="180"/>
      <c r="W899" s="117"/>
      <c r="X899" s="117"/>
      <c r="Y899" s="117"/>
      <c r="Z899" s="115"/>
      <c r="AA899" s="180"/>
      <c r="AB899" s="117"/>
      <c r="AC899" s="117"/>
      <c r="AD899" s="117"/>
      <c r="AE899" s="115"/>
      <c r="AF899" s="180"/>
      <c r="AG899" s="117"/>
      <c r="AH899" s="117"/>
      <c r="AI899" s="117"/>
      <c r="AJ899" s="115"/>
      <c r="AK899" s="180"/>
      <c r="AL899" s="117"/>
      <c r="AM899" s="117"/>
      <c r="AN899" s="117"/>
      <c r="AO899" s="338"/>
      <c r="AP899" s="338"/>
      <c r="AQ899" s="338"/>
      <c r="AR899" s="338"/>
      <c r="AS899" s="338"/>
      <c r="AT899" s="338"/>
      <c r="AU899" s="338"/>
      <c r="AV899" s="338"/>
      <c r="AW899" s="338"/>
      <c r="AX899" s="338"/>
      <c r="AY899" s="338"/>
      <c r="AZ899" s="338"/>
      <c r="BA899" s="338"/>
      <c r="BB899" s="338"/>
      <c r="BC899" s="338"/>
    </row>
    <row r="900">
      <c r="A900" s="115"/>
      <c r="B900" s="180"/>
      <c r="C900" s="117"/>
      <c r="D900" s="117"/>
      <c r="E900" s="117"/>
      <c r="F900" s="115"/>
      <c r="G900" s="180"/>
      <c r="H900" s="117"/>
      <c r="I900" s="117"/>
      <c r="J900" s="117"/>
      <c r="K900" s="92"/>
      <c r="L900" s="180"/>
      <c r="M900" s="117"/>
      <c r="N900" s="117"/>
      <c r="O900" s="117"/>
      <c r="P900" s="92"/>
      <c r="Q900" s="150"/>
      <c r="R900" s="117"/>
      <c r="S900" s="117"/>
      <c r="T900" s="117"/>
      <c r="U900" s="115"/>
      <c r="V900" s="180"/>
      <c r="W900" s="117"/>
      <c r="X900" s="117"/>
      <c r="Y900" s="117"/>
      <c r="Z900" s="115"/>
      <c r="AA900" s="180"/>
      <c r="AB900" s="117"/>
      <c r="AC900" s="117"/>
      <c r="AD900" s="117"/>
      <c r="AE900" s="115"/>
      <c r="AF900" s="180"/>
      <c r="AG900" s="117"/>
      <c r="AH900" s="117"/>
      <c r="AI900" s="117"/>
      <c r="AJ900" s="115"/>
      <c r="AK900" s="180"/>
      <c r="AL900" s="117"/>
      <c r="AM900" s="117"/>
      <c r="AN900" s="117"/>
      <c r="AO900" s="338"/>
      <c r="AP900" s="338"/>
      <c r="AQ900" s="338"/>
      <c r="AR900" s="338"/>
      <c r="AS900" s="338"/>
      <c r="AT900" s="338"/>
      <c r="AU900" s="338"/>
      <c r="AV900" s="338"/>
      <c r="AW900" s="338"/>
      <c r="AX900" s="338"/>
      <c r="AY900" s="338"/>
      <c r="AZ900" s="338"/>
      <c r="BA900" s="338"/>
      <c r="BB900" s="338"/>
      <c r="BC900" s="338"/>
    </row>
    <row r="901">
      <c r="A901" s="115"/>
      <c r="B901" s="180"/>
      <c r="C901" s="117"/>
      <c r="D901" s="117"/>
      <c r="E901" s="117"/>
      <c r="F901" s="115"/>
      <c r="G901" s="180"/>
      <c r="H901" s="117"/>
      <c r="I901" s="117"/>
      <c r="J901" s="117"/>
      <c r="K901" s="92"/>
      <c r="L901" s="180"/>
      <c r="M901" s="117"/>
      <c r="N901" s="117"/>
      <c r="O901" s="117"/>
      <c r="P901" s="92"/>
      <c r="Q901" s="150"/>
      <c r="R901" s="117"/>
      <c r="S901" s="117"/>
      <c r="T901" s="117"/>
      <c r="U901" s="115"/>
      <c r="V901" s="180"/>
      <c r="W901" s="117"/>
      <c r="X901" s="117"/>
      <c r="Y901" s="117"/>
      <c r="Z901" s="115"/>
      <c r="AA901" s="180"/>
      <c r="AB901" s="117"/>
      <c r="AC901" s="117"/>
      <c r="AD901" s="117"/>
      <c r="AE901" s="115"/>
      <c r="AF901" s="180"/>
      <c r="AG901" s="117"/>
      <c r="AH901" s="117"/>
      <c r="AI901" s="117"/>
      <c r="AJ901" s="115"/>
      <c r="AK901" s="180"/>
      <c r="AL901" s="117"/>
      <c r="AM901" s="117"/>
      <c r="AN901" s="117"/>
      <c r="AO901" s="338"/>
      <c r="AP901" s="338"/>
      <c r="AQ901" s="338"/>
      <c r="AR901" s="338"/>
      <c r="AS901" s="338"/>
      <c r="AT901" s="338"/>
      <c r="AU901" s="338"/>
      <c r="AV901" s="338"/>
      <c r="AW901" s="338"/>
      <c r="AX901" s="338"/>
      <c r="AY901" s="338"/>
      <c r="AZ901" s="338"/>
      <c r="BA901" s="338"/>
      <c r="BB901" s="338"/>
      <c r="BC901" s="338"/>
    </row>
    <row r="902">
      <c r="A902" s="115"/>
      <c r="B902" s="180"/>
      <c r="C902" s="117"/>
      <c r="D902" s="117"/>
      <c r="E902" s="117"/>
      <c r="F902" s="115"/>
      <c r="G902" s="180"/>
      <c r="H902" s="117"/>
      <c r="I902" s="117"/>
      <c r="J902" s="117"/>
      <c r="K902" s="92"/>
      <c r="L902" s="180"/>
      <c r="M902" s="117"/>
      <c r="N902" s="117"/>
      <c r="O902" s="117"/>
      <c r="P902" s="92"/>
      <c r="Q902" s="150"/>
      <c r="R902" s="117"/>
      <c r="S902" s="117"/>
      <c r="T902" s="117"/>
      <c r="U902" s="115"/>
      <c r="V902" s="180"/>
      <c r="W902" s="117"/>
      <c r="X902" s="117"/>
      <c r="Y902" s="117"/>
      <c r="Z902" s="115"/>
      <c r="AA902" s="180"/>
      <c r="AB902" s="117"/>
      <c r="AC902" s="117"/>
      <c r="AD902" s="117"/>
      <c r="AE902" s="115"/>
      <c r="AF902" s="180"/>
      <c r="AG902" s="117"/>
      <c r="AH902" s="117"/>
      <c r="AI902" s="117"/>
      <c r="AJ902" s="115"/>
      <c r="AK902" s="180"/>
      <c r="AL902" s="117"/>
      <c r="AM902" s="117"/>
      <c r="AN902" s="117"/>
      <c r="AO902" s="338"/>
      <c r="AP902" s="338"/>
      <c r="AQ902" s="338"/>
      <c r="AR902" s="338"/>
      <c r="AS902" s="338"/>
      <c r="AT902" s="338"/>
      <c r="AU902" s="338"/>
      <c r="AV902" s="338"/>
      <c r="AW902" s="338"/>
      <c r="AX902" s="338"/>
      <c r="AY902" s="338"/>
      <c r="AZ902" s="338"/>
      <c r="BA902" s="338"/>
      <c r="BB902" s="338"/>
      <c r="BC902" s="338"/>
    </row>
    <row r="903">
      <c r="A903" s="115"/>
      <c r="B903" s="180"/>
      <c r="C903" s="117"/>
      <c r="D903" s="117"/>
      <c r="E903" s="117"/>
      <c r="F903" s="115"/>
      <c r="G903" s="180"/>
      <c r="H903" s="117"/>
      <c r="I903" s="117"/>
      <c r="J903" s="117"/>
      <c r="K903" s="92"/>
      <c r="L903" s="180"/>
      <c r="M903" s="117"/>
      <c r="N903" s="117"/>
      <c r="O903" s="117"/>
      <c r="P903" s="92"/>
      <c r="Q903" s="150"/>
      <c r="R903" s="117"/>
      <c r="S903" s="117"/>
      <c r="T903" s="117"/>
      <c r="U903" s="115"/>
      <c r="V903" s="180"/>
      <c r="W903" s="117"/>
      <c r="X903" s="117"/>
      <c r="Y903" s="117"/>
      <c r="Z903" s="115"/>
      <c r="AA903" s="180"/>
      <c r="AB903" s="117"/>
      <c r="AC903" s="117"/>
      <c r="AD903" s="117"/>
      <c r="AE903" s="115"/>
      <c r="AF903" s="180"/>
      <c r="AG903" s="117"/>
      <c r="AH903" s="117"/>
      <c r="AI903" s="117"/>
      <c r="AJ903" s="115"/>
      <c r="AK903" s="180"/>
      <c r="AL903" s="117"/>
      <c r="AM903" s="117"/>
      <c r="AN903" s="117"/>
      <c r="AO903" s="338"/>
      <c r="AP903" s="338"/>
      <c r="AQ903" s="338"/>
      <c r="AR903" s="338"/>
      <c r="AS903" s="338"/>
      <c r="AT903" s="338"/>
      <c r="AU903" s="338"/>
      <c r="AV903" s="338"/>
      <c r="AW903" s="338"/>
      <c r="AX903" s="338"/>
      <c r="AY903" s="338"/>
      <c r="AZ903" s="338"/>
      <c r="BA903" s="338"/>
      <c r="BB903" s="338"/>
      <c r="BC903" s="338"/>
    </row>
    <row r="904">
      <c r="A904" s="115"/>
      <c r="B904" s="180"/>
      <c r="C904" s="117"/>
      <c r="D904" s="117"/>
      <c r="E904" s="117"/>
      <c r="F904" s="115"/>
      <c r="G904" s="180"/>
      <c r="H904" s="117"/>
      <c r="I904" s="117"/>
      <c r="J904" s="117"/>
      <c r="K904" s="92"/>
      <c r="L904" s="180"/>
      <c r="M904" s="117"/>
      <c r="N904" s="117"/>
      <c r="O904" s="117"/>
      <c r="P904" s="92"/>
      <c r="Q904" s="150"/>
      <c r="R904" s="117"/>
      <c r="S904" s="117"/>
      <c r="T904" s="117"/>
      <c r="U904" s="115"/>
      <c r="V904" s="180"/>
      <c r="W904" s="117"/>
      <c r="X904" s="117"/>
      <c r="Y904" s="117"/>
      <c r="Z904" s="115"/>
      <c r="AA904" s="180"/>
      <c r="AB904" s="117"/>
      <c r="AC904" s="117"/>
      <c r="AD904" s="117"/>
      <c r="AE904" s="115"/>
      <c r="AF904" s="180"/>
      <c r="AG904" s="117"/>
      <c r="AH904" s="117"/>
      <c r="AI904" s="117"/>
      <c r="AJ904" s="115"/>
      <c r="AK904" s="180"/>
      <c r="AL904" s="117"/>
      <c r="AM904" s="117"/>
      <c r="AN904" s="117"/>
      <c r="AO904" s="338"/>
      <c r="AP904" s="338"/>
      <c r="AQ904" s="338"/>
      <c r="AR904" s="338"/>
      <c r="AS904" s="338"/>
      <c r="AT904" s="338"/>
      <c r="AU904" s="338"/>
      <c r="AV904" s="338"/>
      <c r="AW904" s="338"/>
      <c r="AX904" s="338"/>
      <c r="AY904" s="338"/>
      <c r="AZ904" s="338"/>
      <c r="BA904" s="338"/>
      <c r="BB904" s="338"/>
      <c r="BC904" s="338"/>
    </row>
    <row r="905">
      <c r="A905" s="115"/>
      <c r="B905" s="180"/>
      <c r="C905" s="117"/>
      <c r="D905" s="117"/>
      <c r="E905" s="117"/>
      <c r="F905" s="115"/>
      <c r="G905" s="180"/>
      <c r="H905" s="117"/>
      <c r="I905" s="117"/>
      <c r="J905" s="117"/>
      <c r="K905" s="92"/>
      <c r="L905" s="180"/>
      <c r="M905" s="117"/>
      <c r="N905" s="117"/>
      <c r="O905" s="117"/>
      <c r="P905" s="92"/>
      <c r="Q905" s="150"/>
      <c r="R905" s="117"/>
      <c r="S905" s="117"/>
      <c r="T905" s="117"/>
      <c r="U905" s="115"/>
      <c r="V905" s="180"/>
      <c r="W905" s="117"/>
      <c r="X905" s="117"/>
      <c r="Y905" s="117"/>
      <c r="Z905" s="115"/>
      <c r="AA905" s="180"/>
      <c r="AB905" s="117"/>
      <c r="AC905" s="117"/>
      <c r="AD905" s="117"/>
      <c r="AE905" s="115"/>
      <c r="AF905" s="180"/>
      <c r="AG905" s="117"/>
      <c r="AH905" s="117"/>
      <c r="AI905" s="117"/>
      <c r="AJ905" s="115"/>
      <c r="AK905" s="180"/>
      <c r="AL905" s="117"/>
      <c r="AM905" s="117"/>
      <c r="AN905" s="117"/>
      <c r="AO905" s="338"/>
      <c r="AP905" s="338"/>
      <c r="AQ905" s="338"/>
      <c r="AR905" s="338"/>
      <c r="AS905" s="338"/>
      <c r="AT905" s="338"/>
      <c r="AU905" s="338"/>
      <c r="AV905" s="338"/>
      <c r="AW905" s="338"/>
      <c r="AX905" s="338"/>
      <c r="AY905" s="338"/>
      <c r="AZ905" s="338"/>
      <c r="BA905" s="338"/>
      <c r="BB905" s="338"/>
      <c r="BC905" s="338"/>
    </row>
    <row r="906">
      <c r="A906" s="115"/>
      <c r="B906" s="180"/>
      <c r="C906" s="117"/>
      <c r="D906" s="117"/>
      <c r="E906" s="117"/>
      <c r="F906" s="115"/>
      <c r="G906" s="180"/>
      <c r="H906" s="117"/>
      <c r="I906" s="117"/>
      <c r="J906" s="117"/>
      <c r="K906" s="92"/>
      <c r="L906" s="180"/>
      <c r="M906" s="117"/>
      <c r="N906" s="117"/>
      <c r="O906" s="117"/>
      <c r="P906" s="92"/>
      <c r="Q906" s="150"/>
      <c r="R906" s="117"/>
      <c r="S906" s="117"/>
      <c r="T906" s="117"/>
      <c r="U906" s="115"/>
      <c r="V906" s="180"/>
      <c r="W906" s="117"/>
      <c r="X906" s="117"/>
      <c r="Y906" s="117"/>
      <c r="Z906" s="115"/>
      <c r="AA906" s="180"/>
      <c r="AB906" s="117"/>
      <c r="AC906" s="117"/>
      <c r="AD906" s="117"/>
      <c r="AE906" s="115"/>
      <c r="AF906" s="180"/>
      <c r="AG906" s="117"/>
      <c r="AH906" s="117"/>
      <c r="AI906" s="117"/>
      <c r="AJ906" s="115"/>
      <c r="AK906" s="180"/>
      <c r="AL906" s="117"/>
      <c r="AM906" s="117"/>
      <c r="AN906" s="117"/>
      <c r="AO906" s="338"/>
      <c r="AP906" s="338"/>
      <c r="AQ906" s="338"/>
      <c r="AR906" s="338"/>
      <c r="AS906" s="338"/>
      <c r="AT906" s="338"/>
      <c r="AU906" s="338"/>
      <c r="AV906" s="338"/>
      <c r="AW906" s="338"/>
      <c r="AX906" s="338"/>
      <c r="AY906" s="338"/>
      <c r="AZ906" s="338"/>
      <c r="BA906" s="338"/>
      <c r="BB906" s="338"/>
      <c r="BC906" s="338"/>
    </row>
    <row r="907">
      <c r="A907" s="115"/>
      <c r="B907" s="180"/>
      <c r="C907" s="117"/>
      <c r="D907" s="117"/>
      <c r="E907" s="117"/>
      <c r="F907" s="115"/>
      <c r="G907" s="180"/>
      <c r="H907" s="117"/>
      <c r="I907" s="117"/>
      <c r="J907" s="117"/>
      <c r="K907" s="92"/>
      <c r="L907" s="180"/>
      <c r="M907" s="117"/>
      <c r="N907" s="117"/>
      <c r="O907" s="117"/>
      <c r="P907" s="92"/>
      <c r="Q907" s="150"/>
      <c r="R907" s="117"/>
      <c r="S907" s="117"/>
      <c r="T907" s="117"/>
      <c r="U907" s="115"/>
      <c r="V907" s="180"/>
      <c r="W907" s="117"/>
      <c r="X907" s="117"/>
      <c r="Y907" s="117"/>
      <c r="Z907" s="115"/>
      <c r="AA907" s="180"/>
      <c r="AB907" s="117"/>
      <c r="AC907" s="117"/>
      <c r="AD907" s="117"/>
      <c r="AE907" s="115"/>
      <c r="AF907" s="180"/>
      <c r="AG907" s="117"/>
      <c r="AH907" s="117"/>
      <c r="AI907" s="117"/>
      <c r="AJ907" s="115"/>
      <c r="AK907" s="180"/>
      <c r="AL907" s="117"/>
      <c r="AM907" s="117"/>
      <c r="AN907" s="117"/>
      <c r="AO907" s="338"/>
      <c r="AP907" s="338"/>
      <c r="AQ907" s="338"/>
      <c r="AR907" s="338"/>
      <c r="AS907" s="338"/>
      <c r="AT907" s="338"/>
      <c r="AU907" s="338"/>
      <c r="AV907" s="338"/>
      <c r="AW907" s="338"/>
      <c r="AX907" s="338"/>
      <c r="AY907" s="338"/>
      <c r="AZ907" s="338"/>
      <c r="BA907" s="338"/>
      <c r="BB907" s="338"/>
      <c r="BC907" s="338"/>
    </row>
    <row r="908">
      <c r="A908" s="115"/>
      <c r="B908" s="180"/>
      <c r="C908" s="117"/>
      <c r="D908" s="117"/>
      <c r="E908" s="117"/>
      <c r="F908" s="115"/>
      <c r="G908" s="180"/>
      <c r="H908" s="117"/>
      <c r="I908" s="117"/>
      <c r="J908" s="117"/>
      <c r="K908" s="92"/>
      <c r="L908" s="180"/>
      <c r="M908" s="117"/>
      <c r="N908" s="117"/>
      <c r="O908" s="117"/>
      <c r="P908" s="92"/>
      <c r="Q908" s="150"/>
      <c r="R908" s="117"/>
      <c r="S908" s="117"/>
      <c r="T908" s="117"/>
      <c r="U908" s="115"/>
      <c r="V908" s="180"/>
      <c r="W908" s="117"/>
      <c r="X908" s="117"/>
      <c r="Y908" s="117"/>
      <c r="Z908" s="115"/>
      <c r="AA908" s="180"/>
      <c r="AB908" s="117"/>
      <c r="AC908" s="117"/>
      <c r="AD908" s="117"/>
      <c r="AE908" s="115"/>
      <c r="AF908" s="180"/>
      <c r="AG908" s="117"/>
      <c r="AH908" s="117"/>
      <c r="AI908" s="117"/>
      <c r="AJ908" s="115"/>
      <c r="AK908" s="180"/>
      <c r="AL908" s="117"/>
      <c r="AM908" s="117"/>
      <c r="AN908" s="117"/>
      <c r="AO908" s="338"/>
      <c r="AP908" s="338"/>
      <c r="AQ908" s="338"/>
      <c r="AR908" s="338"/>
      <c r="AS908" s="338"/>
      <c r="AT908" s="338"/>
      <c r="AU908" s="338"/>
      <c r="AV908" s="338"/>
      <c r="AW908" s="338"/>
      <c r="AX908" s="338"/>
      <c r="AY908" s="338"/>
      <c r="AZ908" s="338"/>
      <c r="BA908" s="338"/>
      <c r="BB908" s="338"/>
      <c r="BC908" s="338"/>
    </row>
    <row r="909">
      <c r="A909" s="115"/>
      <c r="B909" s="180"/>
      <c r="C909" s="117"/>
      <c r="D909" s="117"/>
      <c r="E909" s="117"/>
      <c r="F909" s="115"/>
      <c r="G909" s="180"/>
      <c r="H909" s="117"/>
      <c r="I909" s="117"/>
      <c r="J909" s="117"/>
      <c r="K909" s="92"/>
      <c r="L909" s="180"/>
      <c r="M909" s="117"/>
      <c r="N909" s="117"/>
      <c r="O909" s="117"/>
      <c r="P909" s="92"/>
      <c r="Q909" s="150"/>
      <c r="R909" s="117"/>
      <c r="S909" s="117"/>
      <c r="T909" s="117"/>
      <c r="U909" s="115"/>
      <c r="V909" s="180"/>
      <c r="W909" s="117"/>
      <c r="X909" s="117"/>
      <c r="Y909" s="117"/>
      <c r="Z909" s="115"/>
      <c r="AA909" s="180"/>
      <c r="AB909" s="117"/>
      <c r="AC909" s="117"/>
      <c r="AD909" s="117"/>
      <c r="AE909" s="115"/>
      <c r="AF909" s="180"/>
      <c r="AG909" s="117"/>
      <c r="AH909" s="117"/>
      <c r="AI909" s="117"/>
      <c r="AJ909" s="115"/>
      <c r="AK909" s="180"/>
      <c r="AL909" s="117"/>
      <c r="AM909" s="117"/>
      <c r="AN909" s="117"/>
      <c r="AO909" s="338"/>
      <c r="AP909" s="338"/>
      <c r="AQ909" s="338"/>
      <c r="AR909" s="338"/>
      <c r="AS909" s="338"/>
      <c r="AT909" s="338"/>
      <c r="AU909" s="338"/>
      <c r="AV909" s="338"/>
      <c r="AW909" s="338"/>
      <c r="AX909" s="338"/>
      <c r="AY909" s="338"/>
      <c r="AZ909" s="338"/>
      <c r="BA909" s="338"/>
      <c r="BB909" s="338"/>
      <c r="BC909" s="338"/>
    </row>
    <row r="910">
      <c r="A910" s="115"/>
      <c r="B910" s="180"/>
      <c r="C910" s="117"/>
      <c r="D910" s="117"/>
      <c r="E910" s="117"/>
      <c r="F910" s="115"/>
      <c r="G910" s="180"/>
      <c r="H910" s="117"/>
      <c r="I910" s="117"/>
      <c r="J910" s="117"/>
      <c r="K910" s="92"/>
      <c r="L910" s="180"/>
      <c r="M910" s="117"/>
      <c r="N910" s="117"/>
      <c r="O910" s="117"/>
      <c r="P910" s="92"/>
      <c r="Q910" s="150"/>
      <c r="R910" s="117"/>
      <c r="S910" s="117"/>
      <c r="T910" s="117"/>
      <c r="U910" s="115"/>
      <c r="V910" s="180"/>
      <c r="W910" s="117"/>
      <c r="X910" s="117"/>
      <c r="Y910" s="117"/>
      <c r="Z910" s="115"/>
      <c r="AA910" s="180"/>
      <c r="AB910" s="117"/>
      <c r="AC910" s="117"/>
      <c r="AD910" s="117"/>
      <c r="AE910" s="115"/>
      <c r="AF910" s="180"/>
      <c r="AG910" s="117"/>
      <c r="AH910" s="117"/>
      <c r="AI910" s="117"/>
      <c r="AJ910" s="115"/>
      <c r="AK910" s="180"/>
      <c r="AL910" s="117"/>
      <c r="AM910" s="117"/>
      <c r="AN910" s="117"/>
      <c r="AO910" s="338"/>
      <c r="AP910" s="338"/>
      <c r="AQ910" s="338"/>
      <c r="AR910" s="338"/>
      <c r="AS910" s="338"/>
      <c r="AT910" s="338"/>
      <c r="AU910" s="338"/>
      <c r="AV910" s="338"/>
      <c r="AW910" s="338"/>
      <c r="AX910" s="338"/>
      <c r="AY910" s="338"/>
      <c r="AZ910" s="338"/>
      <c r="BA910" s="338"/>
      <c r="BB910" s="338"/>
      <c r="BC910" s="338"/>
    </row>
    <row r="911">
      <c r="A911" s="115"/>
      <c r="B911" s="180"/>
      <c r="C911" s="117"/>
      <c r="D911" s="117"/>
      <c r="E911" s="117"/>
      <c r="F911" s="115"/>
      <c r="G911" s="180"/>
      <c r="H911" s="117"/>
      <c r="I911" s="117"/>
      <c r="J911" s="117"/>
      <c r="K911" s="92"/>
      <c r="L911" s="180"/>
      <c r="M911" s="117"/>
      <c r="N911" s="117"/>
      <c r="O911" s="117"/>
      <c r="P911" s="92"/>
      <c r="Q911" s="150"/>
      <c r="R911" s="117"/>
      <c r="S911" s="117"/>
      <c r="T911" s="117"/>
      <c r="U911" s="115"/>
      <c r="V911" s="180"/>
      <c r="W911" s="117"/>
      <c r="X911" s="117"/>
      <c r="Y911" s="117"/>
      <c r="Z911" s="115"/>
      <c r="AA911" s="180"/>
      <c r="AB911" s="117"/>
      <c r="AC911" s="117"/>
      <c r="AD911" s="117"/>
      <c r="AE911" s="115"/>
      <c r="AF911" s="180"/>
      <c r="AG911" s="117"/>
      <c r="AH911" s="117"/>
      <c r="AI911" s="117"/>
      <c r="AJ911" s="115"/>
      <c r="AK911" s="180"/>
      <c r="AL911" s="117"/>
      <c r="AM911" s="117"/>
      <c r="AN911" s="117"/>
      <c r="AO911" s="338"/>
      <c r="AP911" s="338"/>
      <c r="AQ911" s="338"/>
      <c r="AR911" s="338"/>
      <c r="AS911" s="338"/>
      <c r="AT911" s="338"/>
      <c r="AU911" s="338"/>
      <c r="AV911" s="338"/>
      <c r="AW911" s="338"/>
      <c r="AX911" s="338"/>
      <c r="AY911" s="338"/>
      <c r="AZ911" s="338"/>
      <c r="BA911" s="338"/>
      <c r="BB911" s="338"/>
      <c r="BC911" s="338"/>
    </row>
    <row r="912">
      <c r="A912" s="115"/>
      <c r="B912" s="180"/>
      <c r="C912" s="117"/>
      <c r="D912" s="117"/>
      <c r="E912" s="117"/>
      <c r="F912" s="115"/>
      <c r="G912" s="180"/>
      <c r="H912" s="117"/>
      <c r="I912" s="117"/>
      <c r="J912" s="117"/>
      <c r="K912" s="92"/>
      <c r="L912" s="180"/>
      <c r="M912" s="117"/>
      <c r="N912" s="117"/>
      <c r="O912" s="117"/>
      <c r="P912" s="92"/>
      <c r="Q912" s="150"/>
      <c r="R912" s="117"/>
      <c r="S912" s="117"/>
      <c r="T912" s="117"/>
      <c r="U912" s="115"/>
      <c r="V912" s="180"/>
      <c r="W912" s="117"/>
      <c r="X912" s="117"/>
      <c r="Y912" s="117"/>
      <c r="Z912" s="115"/>
      <c r="AA912" s="180"/>
      <c r="AB912" s="117"/>
      <c r="AC912" s="117"/>
      <c r="AD912" s="117"/>
      <c r="AE912" s="115"/>
      <c r="AF912" s="180"/>
      <c r="AG912" s="117"/>
      <c r="AH912" s="117"/>
      <c r="AI912" s="117"/>
      <c r="AJ912" s="115"/>
      <c r="AK912" s="180"/>
      <c r="AL912" s="117"/>
      <c r="AM912" s="117"/>
      <c r="AN912" s="117"/>
      <c r="AO912" s="338"/>
      <c r="AP912" s="338"/>
      <c r="AQ912" s="338"/>
      <c r="AR912" s="338"/>
      <c r="AS912" s="338"/>
      <c r="AT912" s="338"/>
      <c r="AU912" s="338"/>
      <c r="AV912" s="338"/>
      <c r="AW912" s="338"/>
      <c r="AX912" s="338"/>
      <c r="AY912" s="338"/>
      <c r="AZ912" s="338"/>
      <c r="BA912" s="338"/>
      <c r="BB912" s="338"/>
      <c r="BC912" s="338"/>
    </row>
    <row r="913">
      <c r="A913" s="115"/>
      <c r="B913" s="180"/>
      <c r="C913" s="117"/>
      <c r="D913" s="117"/>
      <c r="E913" s="117"/>
      <c r="F913" s="115"/>
      <c r="G913" s="180"/>
      <c r="H913" s="117"/>
      <c r="I913" s="117"/>
      <c r="J913" s="117"/>
      <c r="K913" s="92"/>
      <c r="L913" s="180"/>
      <c r="M913" s="117"/>
      <c r="N913" s="117"/>
      <c r="O913" s="117"/>
      <c r="P913" s="92"/>
      <c r="Q913" s="150"/>
      <c r="R913" s="117"/>
      <c r="S913" s="117"/>
      <c r="T913" s="117"/>
      <c r="U913" s="115"/>
      <c r="V913" s="180"/>
      <c r="W913" s="117"/>
      <c r="X913" s="117"/>
      <c r="Y913" s="117"/>
      <c r="Z913" s="115"/>
      <c r="AA913" s="180"/>
      <c r="AB913" s="117"/>
      <c r="AC913" s="117"/>
      <c r="AD913" s="117"/>
      <c r="AE913" s="115"/>
      <c r="AF913" s="180"/>
      <c r="AG913" s="117"/>
      <c r="AH913" s="117"/>
      <c r="AI913" s="117"/>
      <c r="AJ913" s="115"/>
      <c r="AK913" s="180"/>
      <c r="AL913" s="117"/>
      <c r="AM913" s="117"/>
      <c r="AN913" s="117"/>
      <c r="AO913" s="338"/>
      <c r="AP913" s="338"/>
      <c r="AQ913" s="338"/>
      <c r="AR913" s="338"/>
      <c r="AS913" s="338"/>
      <c r="AT913" s="338"/>
      <c r="AU913" s="338"/>
      <c r="AV913" s="338"/>
      <c r="AW913" s="338"/>
      <c r="AX913" s="338"/>
      <c r="AY913" s="338"/>
      <c r="AZ913" s="338"/>
      <c r="BA913" s="338"/>
      <c r="BB913" s="338"/>
      <c r="BC913" s="338"/>
    </row>
    <row r="914">
      <c r="A914" s="115"/>
      <c r="B914" s="180"/>
      <c r="C914" s="117"/>
      <c r="D914" s="117"/>
      <c r="E914" s="117"/>
      <c r="F914" s="115"/>
      <c r="G914" s="180"/>
      <c r="H914" s="117"/>
      <c r="I914" s="117"/>
      <c r="J914" s="117"/>
      <c r="K914" s="92"/>
      <c r="L914" s="180"/>
      <c r="M914" s="117"/>
      <c r="N914" s="117"/>
      <c r="O914" s="117"/>
      <c r="P914" s="92"/>
      <c r="Q914" s="150"/>
      <c r="R914" s="117"/>
      <c r="S914" s="117"/>
      <c r="T914" s="117"/>
      <c r="U914" s="115"/>
      <c r="V914" s="180"/>
      <c r="W914" s="117"/>
      <c r="X914" s="117"/>
      <c r="Y914" s="117"/>
      <c r="Z914" s="115"/>
      <c r="AA914" s="180"/>
      <c r="AB914" s="117"/>
      <c r="AC914" s="117"/>
      <c r="AD914" s="117"/>
      <c r="AE914" s="115"/>
      <c r="AF914" s="180"/>
      <c r="AG914" s="117"/>
      <c r="AH914" s="117"/>
      <c r="AI914" s="117"/>
      <c r="AJ914" s="115"/>
      <c r="AK914" s="180"/>
      <c r="AL914" s="117"/>
      <c r="AM914" s="117"/>
      <c r="AN914" s="117"/>
      <c r="AO914" s="338"/>
      <c r="AP914" s="338"/>
      <c r="AQ914" s="338"/>
      <c r="AR914" s="338"/>
      <c r="AS914" s="338"/>
      <c r="AT914" s="338"/>
      <c r="AU914" s="338"/>
      <c r="AV914" s="338"/>
      <c r="AW914" s="338"/>
      <c r="AX914" s="338"/>
      <c r="AY914" s="338"/>
      <c r="AZ914" s="338"/>
      <c r="BA914" s="338"/>
      <c r="BB914" s="338"/>
      <c r="BC914" s="338"/>
    </row>
    <row r="915">
      <c r="A915" s="115"/>
      <c r="B915" s="180"/>
      <c r="C915" s="117"/>
      <c r="D915" s="117"/>
      <c r="E915" s="117"/>
      <c r="F915" s="115"/>
      <c r="G915" s="180"/>
      <c r="H915" s="117"/>
      <c r="I915" s="117"/>
      <c r="J915" s="117"/>
      <c r="K915" s="92"/>
      <c r="L915" s="180"/>
      <c r="M915" s="117"/>
      <c r="N915" s="117"/>
      <c r="O915" s="117"/>
      <c r="P915" s="92"/>
      <c r="Q915" s="150"/>
      <c r="R915" s="117"/>
      <c r="S915" s="117"/>
      <c r="T915" s="117"/>
      <c r="U915" s="115"/>
      <c r="V915" s="180"/>
      <c r="W915" s="117"/>
      <c r="X915" s="117"/>
      <c r="Y915" s="117"/>
      <c r="Z915" s="115"/>
      <c r="AA915" s="180"/>
      <c r="AB915" s="117"/>
      <c r="AC915" s="117"/>
      <c r="AD915" s="117"/>
      <c r="AE915" s="115"/>
      <c r="AF915" s="180"/>
      <c r="AG915" s="117"/>
      <c r="AH915" s="117"/>
      <c r="AI915" s="117"/>
      <c r="AJ915" s="115"/>
      <c r="AK915" s="180"/>
      <c r="AL915" s="117"/>
      <c r="AM915" s="117"/>
      <c r="AN915" s="117"/>
      <c r="AO915" s="338"/>
      <c r="AP915" s="338"/>
      <c r="AQ915" s="338"/>
      <c r="AR915" s="338"/>
      <c r="AS915" s="338"/>
      <c r="AT915" s="338"/>
      <c r="AU915" s="338"/>
      <c r="AV915" s="338"/>
      <c r="AW915" s="338"/>
      <c r="AX915" s="338"/>
      <c r="AY915" s="338"/>
      <c r="AZ915" s="338"/>
      <c r="BA915" s="338"/>
      <c r="BB915" s="338"/>
      <c r="BC915" s="338"/>
    </row>
    <row r="916">
      <c r="A916" s="115"/>
      <c r="B916" s="180"/>
      <c r="C916" s="117"/>
      <c r="D916" s="117"/>
      <c r="E916" s="117"/>
      <c r="F916" s="115"/>
      <c r="G916" s="180"/>
      <c r="H916" s="117"/>
      <c r="I916" s="117"/>
      <c r="J916" s="117"/>
      <c r="K916" s="92"/>
      <c r="L916" s="180"/>
      <c r="M916" s="117"/>
      <c r="N916" s="117"/>
      <c r="O916" s="117"/>
      <c r="P916" s="92"/>
      <c r="Q916" s="150"/>
      <c r="R916" s="117"/>
      <c r="S916" s="117"/>
      <c r="T916" s="117"/>
      <c r="U916" s="115"/>
      <c r="V916" s="180"/>
      <c r="W916" s="117"/>
      <c r="X916" s="117"/>
      <c r="Y916" s="117"/>
      <c r="Z916" s="115"/>
      <c r="AA916" s="180"/>
      <c r="AB916" s="117"/>
      <c r="AC916" s="117"/>
      <c r="AD916" s="117"/>
      <c r="AE916" s="115"/>
      <c r="AF916" s="180"/>
      <c r="AG916" s="117"/>
      <c r="AH916" s="117"/>
      <c r="AI916" s="117"/>
      <c r="AJ916" s="115"/>
      <c r="AK916" s="180"/>
      <c r="AL916" s="117"/>
      <c r="AM916" s="117"/>
      <c r="AN916" s="117"/>
      <c r="AO916" s="338"/>
      <c r="AP916" s="338"/>
      <c r="AQ916" s="338"/>
      <c r="AR916" s="338"/>
      <c r="AS916" s="338"/>
      <c r="AT916" s="338"/>
      <c r="AU916" s="338"/>
      <c r="AV916" s="338"/>
      <c r="AW916" s="338"/>
      <c r="AX916" s="338"/>
      <c r="AY916" s="338"/>
      <c r="AZ916" s="338"/>
      <c r="BA916" s="338"/>
      <c r="BB916" s="338"/>
      <c r="BC916" s="338"/>
    </row>
    <row r="917">
      <c r="A917" s="115"/>
      <c r="B917" s="180"/>
      <c r="C917" s="117"/>
      <c r="D917" s="117"/>
      <c r="E917" s="117"/>
      <c r="F917" s="115"/>
      <c r="G917" s="180"/>
      <c r="H917" s="117"/>
      <c r="I917" s="117"/>
      <c r="J917" s="117"/>
      <c r="K917" s="92"/>
      <c r="L917" s="180"/>
      <c r="M917" s="117"/>
      <c r="N917" s="117"/>
      <c r="O917" s="117"/>
      <c r="P917" s="92"/>
      <c r="Q917" s="150"/>
      <c r="R917" s="117"/>
      <c r="S917" s="117"/>
      <c r="T917" s="117"/>
      <c r="U917" s="115"/>
      <c r="V917" s="180"/>
      <c r="W917" s="117"/>
      <c r="X917" s="117"/>
      <c r="Y917" s="117"/>
      <c r="Z917" s="115"/>
      <c r="AA917" s="180"/>
      <c r="AB917" s="117"/>
      <c r="AC917" s="117"/>
      <c r="AD917" s="117"/>
      <c r="AE917" s="115"/>
      <c r="AF917" s="180"/>
      <c r="AG917" s="117"/>
      <c r="AH917" s="117"/>
      <c r="AI917" s="117"/>
      <c r="AJ917" s="115"/>
      <c r="AK917" s="180"/>
      <c r="AL917" s="117"/>
      <c r="AM917" s="117"/>
      <c r="AN917" s="117"/>
      <c r="AO917" s="338"/>
      <c r="AP917" s="338"/>
      <c r="AQ917" s="338"/>
      <c r="AR917" s="338"/>
      <c r="AS917" s="338"/>
      <c r="AT917" s="338"/>
      <c r="AU917" s="338"/>
      <c r="AV917" s="338"/>
      <c r="AW917" s="338"/>
      <c r="AX917" s="338"/>
      <c r="AY917" s="338"/>
      <c r="AZ917" s="338"/>
      <c r="BA917" s="338"/>
      <c r="BB917" s="338"/>
      <c r="BC917" s="338"/>
    </row>
    <row r="918">
      <c r="A918" s="115"/>
      <c r="B918" s="180"/>
      <c r="C918" s="117"/>
      <c r="D918" s="117"/>
      <c r="E918" s="117"/>
      <c r="F918" s="115"/>
      <c r="G918" s="180"/>
      <c r="H918" s="117"/>
      <c r="I918" s="117"/>
      <c r="J918" s="117"/>
      <c r="K918" s="92"/>
      <c r="L918" s="180"/>
      <c r="M918" s="117"/>
      <c r="N918" s="117"/>
      <c r="O918" s="117"/>
      <c r="P918" s="92"/>
      <c r="Q918" s="150"/>
      <c r="R918" s="117"/>
      <c r="S918" s="117"/>
      <c r="T918" s="117"/>
      <c r="U918" s="115"/>
      <c r="V918" s="180"/>
      <c r="W918" s="117"/>
      <c r="X918" s="117"/>
      <c r="Y918" s="117"/>
      <c r="Z918" s="115"/>
      <c r="AA918" s="180"/>
      <c r="AB918" s="117"/>
      <c r="AC918" s="117"/>
      <c r="AD918" s="117"/>
      <c r="AE918" s="115"/>
      <c r="AF918" s="180"/>
      <c r="AG918" s="117"/>
      <c r="AH918" s="117"/>
      <c r="AI918" s="117"/>
      <c r="AJ918" s="115"/>
      <c r="AK918" s="180"/>
      <c r="AL918" s="117"/>
      <c r="AM918" s="117"/>
      <c r="AN918" s="117"/>
      <c r="AO918" s="338"/>
      <c r="AP918" s="338"/>
      <c r="AQ918" s="338"/>
      <c r="AR918" s="338"/>
      <c r="AS918" s="338"/>
      <c r="AT918" s="338"/>
      <c r="AU918" s="338"/>
      <c r="AV918" s="338"/>
      <c r="AW918" s="338"/>
      <c r="AX918" s="338"/>
      <c r="AY918" s="338"/>
      <c r="AZ918" s="338"/>
      <c r="BA918" s="338"/>
      <c r="BB918" s="338"/>
      <c r="BC918" s="338"/>
    </row>
    <row r="919">
      <c r="A919" s="115"/>
      <c r="B919" s="180"/>
      <c r="C919" s="117"/>
      <c r="D919" s="117"/>
      <c r="E919" s="117"/>
      <c r="F919" s="115"/>
      <c r="G919" s="180"/>
      <c r="H919" s="117"/>
      <c r="I919" s="117"/>
      <c r="J919" s="117"/>
      <c r="K919" s="92"/>
      <c r="L919" s="180"/>
      <c r="M919" s="117"/>
      <c r="N919" s="117"/>
      <c r="O919" s="117"/>
      <c r="P919" s="92"/>
      <c r="Q919" s="150"/>
      <c r="R919" s="117"/>
      <c r="S919" s="117"/>
      <c r="T919" s="117"/>
      <c r="U919" s="115"/>
      <c r="V919" s="180"/>
      <c r="W919" s="117"/>
      <c r="X919" s="117"/>
      <c r="Y919" s="117"/>
      <c r="Z919" s="115"/>
      <c r="AA919" s="180"/>
      <c r="AB919" s="117"/>
      <c r="AC919" s="117"/>
      <c r="AD919" s="117"/>
      <c r="AE919" s="115"/>
      <c r="AF919" s="180"/>
      <c r="AG919" s="117"/>
      <c r="AH919" s="117"/>
      <c r="AI919" s="117"/>
      <c r="AJ919" s="115"/>
      <c r="AK919" s="180"/>
      <c r="AL919" s="117"/>
      <c r="AM919" s="117"/>
      <c r="AN919" s="117"/>
      <c r="AO919" s="338"/>
      <c r="AP919" s="338"/>
      <c r="AQ919" s="338"/>
      <c r="AR919" s="338"/>
      <c r="AS919" s="338"/>
      <c r="AT919" s="338"/>
      <c r="AU919" s="338"/>
      <c r="AV919" s="338"/>
      <c r="AW919" s="338"/>
      <c r="AX919" s="338"/>
      <c r="AY919" s="338"/>
      <c r="AZ919" s="338"/>
      <c r="BA919" s="338"/>
      <c r="BB919" s="338"/>
      <c r="BC919" s="338"/>
    </row>
    <row r="920">
      <c r="A920" s="115"/>
      <c r="B920" s="180"/>
      <c r="C920" s="117"/>
      <c r="D920" s="117"/>
      <c r="E920" s="117"/>
      <c r="F920" s="115"/>
      <c r="G920" s="180"/>
      <c r="H920" s="117"/>
      <c r="I920" s="117"/>
      <c r="J920" s="117"/>
      <c r="K920" s="92"/>
      <c r="L920" s="180"/>
      <c r="M920" s="117"/>
      <c r="N920" s="117"/>
      <c r="O920" s="117"/>
      <c r="P920" s="92"/>
      <c r="Q920" s="150"/>
      <c r="R920" s="117"/>
      <c r="S920" s="117"/>
      <c r="T920" s="117"/>
      <c r="U920" s="115"/>
      <c r="V920" s="180"/>
      <c r="W920" s="117"/>
      <c r="X920" s="117"/>
      <c r="Y920" s="117"/>
      <c r="Z920" s="115"/>
      <c r="AA920" s="180"/>
      <c r="AB920" s="117"/>
      <c r="AC920" s="117"/>
      <c r="AD920" s="117"/>
      <c r="AE920" s="115"/>
      <c r="AF920" s="180"/>
      <c r="AG920" s="117"/>
      <c r="AH920" s="117"/>
      <c r="AI920" s="117"/>
      <c r="AJ920" s="115"/>
      <c r="AK920" s="180"/>
      <c r="AL920" s="117"/>
      <c r="AM920" s="117"/>
      <c r="AN920" s="117"/>
      <c r="AO920" s="338"/>
      <c r="AP920" s="338"/>
      <c r="AQ920" s="338"/>
      <c r="AR920" s="338"/>
      <c r="AS920" s="338"/>
      <c r="AT920" s="338"/>
      <c r="AU920" s="338"/>
      <c r="AV920" s="338"/>
      <c r="AW920" s="338"/>
      <c r="AX920" s="338"/>
      <c r="AY920" s="338"/>
      <c r="AZ920" s="338"/>
      <c r="BA920" s="338"/>
      <c r="BB920" s="338"/>
      <c r="BC920" s="338"/>
    </row>
    <row r="921">
      <c r="A921" s="115"/>
      <c r="B921" s="180"/>
      <c r="C921" s="117"/>
      <c r="D921" s="117"/>
      <c r="E921" s="117"/>
      <c r="F921" s="115"/>
      <c r="G921" s="180"/>
      <c r="H921" s="117"/>
      <c r="I921" s="117"/>
      <c r="J921" s="117"/>
      <c r="K921" s="92"/>
      <c r="L921" s="180"/>
      <c r="M921" s="117"/>
      <c r="N921" s="117"/>
      <c r="O921" s="117"/>
      <c r="P921" s="92"/>
      <c r="Q921" s="150"/>
      <c r="R921" s="117"/>
      <c r="S921" s="117"/>
      <c r="T921" s="117"/>
      <c r="U921" s="115"/>
      <c r="V921" s="180"/>
      <c r="W921" s="117"/>
      <c r="X921" s="117"/>
      <c r="Y921" s="117"/>
      <c r="Z921" s="115"/>
      <c r="AA921" s="180"/>
      <c r="AB921" s="117"/>
      <c r="AC921" s="117"/>
      <c r="AD921" s="117"/>
      <c r="AE921" s="115"/>
      <c r="AF921" s="180"/>
      <c r="AG921" s="117"/>
      <c r="AH921" s="117"/>
      <c r="AI921" s="117"/>
      <c r="AJ921" s="115"/>
      <c r="AK921" s="180"/>
      <c r="AL921" s="117"/>
      <c r="AM921" s="117"/>
      <c r="AN921" s="117"/>
      <c r="AO921" s="338"/>
      <c r="AP921" s="338"/>
      <c r="AQ921" s="338"/>
      <c r="AR921" s="338"/>
      <c r="AS921" s="338"/>
      <c r="AT921" s="338"/>
      <c r="AU921" s="338"/>
      <c r="AV921" s="338"/>
      <c r="AW921" s="338"/>
      <c r="AX921" s="338"/>
      <c r="AY921" s="338"/>
      <c r="AZ921" s="338"/>
      <c r="BA921" s="338"/>
      <c r="BB921" s="338"/>
      <c r="BC921" s="338"/>
    </row>
    <row r="922">
      <c r="A922" s="115"/>
      <c r="B922" s="180"/>
      <c r="C922" s="117"/>
      <c r="D922" s="117"/>
      <c r="E922" s="117"/>
      <c r="F922" s="115"/>
      <c r="G922" s="180"/>
      <c r="H922" s="117"/>
      <c r="I922" s="117"/>
      <c r="J922" s="117"/>
      <c r="K922" s="92"/>
      <c r="L922" s="180"/>
      <c r="M922" s="117"/>
      <c r="N922" s="117"/>
      <c r="O922" s="117"/>
      <c r="P922" s="92"/>
      <c r="Q922" s="150"/>
      <c r="R922" s="117"/>
      <c r="S922" s="117"/>
      <c r="T922" s="117"/>
      <c r="U922" s="115"/>
      <c r="V922" s="180"/>
      <c r="W922" s="117"/>
      <c r="X922" s="117"/>
      <c r="Y922" s="117"/>
      <c r="Z922" s="115"/>
      <c r="AA922" s="180"/>
      <c r="AB922" s="117"/>
      <c r="AC922" s="117"/>
      <c r="AD922" s="117"/>
      <c r="AE922" s="115"/>
      <c r="AF922" s="180"/>
      <c r="AG922" s="117"/>
      <c r="AH922" s="117"/>
      <c r="AI922" s="117"/>
      <c r="AJ922" s="115"/>
      <c r="AK922" s="180"/>
      <c r="AL922" s="117"/>
      <c r="AM922" s="117"/>
      <c r="AN922" s="117"/>
      <c r="AO922" s="338"/>
      <c r="AP922" s="338"/>
      <c r="AQ922" s="338"/>
      <c r="AR922" s="338"/>
      <c r="AS922" s="338"/>
      <c r="AT922" s="338"/>
      <c r="AU922" s="338"/>
      <c r="AV922" s="338"/>
      <c r="AW922" s="338"/>
      <c r="AX922" s="338"/>
      <c r="AY922" s="338"/>
      <c r="AZ922" s="338"/>
      <c r="BA922" s="338"/>
      <c r="BB922" s="338"/>
      <c r="BC922" s="338"/>
    </row>
    <row r="923">
      <c r="A923" s="115"/>
      <c r="B923" s="180"/>
      <c r="C923" s="117"/>
      <c r="D923" s="117"/>
      <c r="E923" s="117"/>
      <c r="F923" s="115"/>
      <c r="G923" s="180"/>
      <c r="H923" s="117"/>
      <c r="I923" s="117"/>
      <c r="J923" s="117"/>
      <c r="K923" s="92"/>
      <c r="L923" s="180"/>
      <c r="M923" s="117"/>
      <c r="N923" s="117"/>
      <c r="O923" s="117"/>
      <c r="P923" s="92"/>
      <c r="Q923" s="150"/>
      <c r="R923" s="117"/>
      <c r="S923" s="117"/>
      <c r="T923" s="117"/>
      <c r="U923" s="115"/>
      <c r="V923" s="180"/>
      <c r="W923" s="117"/>
      <c r="X923" s="117"/>
      <c r="Y923" s="117"/>
      <c r="Z923" s="115"/>
      <c r="AA923" s="180"/>
      <c r="AB923" s="117"/>
      <c r="AC923" s="117"/>
      <c r="AD923" s="117"/>
      <c r="AE923" s="115"/>
      <c r="AF923" s="180"/>
      <c r="AG923" s="117"/>
      <c r="AH923" s="117"/>
      <c r="AI923" s="117"/>
      <c r="AJ923" s="115"/>
      <c r="AK923" s="180"/>
      <c r="AL923" s="117"/>
      <c r="AM923" s="117"/>
      <c r="AN923" s="117"/>
      <c r="AO923" s="338"/>
      <c r="AP923" s="338"/>
      <c r="AQ923" s="338"/>
      <c r="AR923" s="338"/>
      <c r="AS923" s="338"/>
      <c r="AT923" s="338"/>
      <c r="AU923" s="338"/>
      <c r="AV923" s="338"/>
      <c r="AW923" s="338"/>
      <c r="AX923" s="338"/>
      <c r="AY923" s="338"/>
      <c r="AZ923" s="338"/>
      <c r="BA923" s="338"/>
      <c r="BB923" s="338"/>
      <c r="BC923" s="338"/>
    </row>
    <row r="924">
      <c r="A924" s="115"/>
      <c r="B924" s="180"/>
      <c r="C924" s="117"/>
      <c r="D924" s="117"/>
      <c r="E924" s="117"/>
      <c r="F924" s="115"/>
      <c r="G924" s="180"/>
      <c r="H924" s="117"/>
      <c r="I924" s="117"/>
      <c r="J924" s="117"/>
      <c r="K924" s="92"/>
      <c r="L924" s="180"/>
      <c r="M924" s="117"/>
      <c r="N924" s="117"/>
      <c r="O924" s="117"/>
      <c r="P924" s="92"/>
      <c r="Q924" s="150"/>
      <c r="R924" s="117"/>
      <c r="S924" s="117"/>
      <c r="T924" s="117"/>
      <c r="U924" s="115"/>
      <c r="V924" s="180"/>
      <c r="W924" s="117"/>
      <c r="X924" s="117"/>
      <c r="Y924" s="117"/>
      <c r="Z924" s="115"/>
      <c r="AA924" s="180"/>
      <c r="AB924" s="117"/>
      <c r="AC924" s="117"/>
      <c r="AD924" s="117"/>
      <c r="AE924" s="115"/>
      <c r="AF924" s="180"/>
      <c r="AG924" s="117"/>
      <c r="AH924" s="117"/>
      <c r="AI924" s="117"/>
      <c r="AJ924" s="115"/>
      <c r="AK924" s="180"/>
      <c r="AL924" s="117"/>
      <c r="AM924" s="117"/>
      <c r="AN924" s="117"/>
      <c r="AO924" s="338"/>
      <c r="AP924" s="338"/>
      <c r="AQ924" s="338"/>
      <c r="AR924" s="338"/>
      <c r="AS924" s="338"/>
      <c r="AT924" s="338"/>
      <c r="AU924" s="338"/>
      <c r="AV924" s="338"/>
      <c r="AW924" s="338"/>
      <c r="AX924" s="338"/>
      <c r="AY924" s="338"/>
      <c r="AZ924" s="338"/>
      <c r="BA924" s="338"/>
      <c r="BB924" s="338"/>
      <c r="BC924" s="338"/>
    </row>
    <row r="925">
      <c r="A925" s="115"/>
      <c r="B925" s="180"/>
      <c r="C925" s="117"/>
      <c r="D925" s="117"/>
      <c r="E925" s="117"/>
      <c r="F925" s="115"/>
      <c r="G925" s="180"/>
      <c r="H925" s="117"/>
      <c r="I925" s="117"/>
      <c r="J925" s="117"/>
      <c r="K925" s="92"/>
      <c r="L925" s="180"/>
      <c r="M925" s="117"/>
      <c r="N925" s="117"/>
      <c r="O925" s="117"/>
      <c r="P925" s="92"/>
      <c r="Q925" s="150"/>
      <c r="R925" s="117"/>
      <c r="S925" s="117"/>
      <c r="T925" s="117"/>
      <c r="U925" s="115"/>
      <c r="V925" s="180"/>
      <c r="W925" s="117"/>
      <c r="X925" s="117"/>
      <c r="Y925" s="117"/>
      <c r="Z925" s="115"/>
      <c r="AA925" s="180"/>
      <c r="AB925" s="117"/>
      <c r="AC925" s="117"/>
      <c r="AD925" s="117"/>
      <c r="AE925" s="115"/>
      <c r="AF925" s="180"/>
      <c r="AG925" s="117"/>
      <c r="AH925" s="117"/>
      <c r="AI925" s="117"/>
      <c r="AJ925" s="115"/>
      <c r="AK925" s="180"/>
      <c r="AL925" s="117"/>
      <c r="AM925" s="117"/>
      <c r="AN925" s="117"/>
      <c r="AO925" s="338"/>
      <c r="AP925" s="338"/>
      <c r="AQ925" s="338"/>
      <c r="AR925" s="338"/>
      <c r="AS925" s="338"/>
      <c r="AT925" s="338"/>
      <c r="AU925" s="338"/>
      <c r="AV925" s="338"/>
      <c r="AW925" s="338"/>
      <c r="AX925" s="338"/>
      <c r="AY925" s="338"/>
      <c r="AZ925" s="338"/>
      <c r="BA925" s="338"/>
      <c r="BB925" s="338"/>
      <c r="BC925" s="338"/>
    </row>
    <row r="926">
      <c r="A926" s="115"/>
      <c r="B926" s="180"/>
      <c r="C926" s="117"/>
      <c r="D926" s="117"/>
      <c r="E926" s="117"/>
      <c r="F926" s="115"/>
      <c r="G926" s="180"/>
      <c r="H926" s="117"/>
      <c r="I926" s="117"/>
      <c r="J926" s="117"/>
      <c r="K926" s="92"/>
      <c r="L926" s="180"/>
      <c r="M926" s="117"/>
      <c r="N926" s="117"/>
      <c r="O926" s="117"/>
      <c r="P926" s="92"/>
      <c r="Q926" s="150"/>
      <c r="R926" s="117"/>
      <c r="S926" s="117"/>
      <c r="T926" s="117"/>
      <c r="U926" s="115"/>
      <c r="V926" s="180"/>
      <c r="W926" s="117"/>
      <c r="X926" s="117"/>
      <c r="Y926" s="117"/>
      <c r="Z926" s="115"/>
      <c r="AA926" s="180"/>
      <c r="AB926" s="117"/>
      <c r="AC926" s="117"/>
      <c r="AD926" s="117"/>
      <c r="AE926" s="115"/>
      <c r="AF926" s="180"/>
      <c r="AG926" s="117"/>
      <c r="AH926" s="117"/>
      <c r="AI926" s="117"/>
      <c r="AJ926" s="115"/>
      <c r="AK926" s="180"/>
      <c r="AL926" s="117"/>
      <c r="AM926" s="117"/>
      <c r="AN926" s="117"/>
      <c r="AO926" s="338"/>
      <c r="AP926" s="338"/>
      <c r="AQ926" s="338"/>
      <c r="AR926" s="338"/>
      <c r="AS926" s="338"/>
      <c r="AT926" s="338"/>
      <c r="AU926" s="338"/>
      <c r="AV926" s="338"/>
      <c r="AW926" s="338"/>
      <c r="AX926" s="338"/>
      <c r="AY926" s="338"/>
      <c r="AZ926" s="338"/>
      <c r="BA926" s="338"/>
      <c r="BB926" s="338"/>
      <c r="BC926" s="338"/>
    </row>
    <row r="927">
      <c r="A927" s="115"/>
      <c r="B927" s="180"/>
      <c r="C927" s="117"/>
      <c r="D927" s="117"/>
      <c r="E927" s="117"/>
      <c r="F927" s="115"/>
      <c r="G927" s="180"/>
      <c r="H927" s="117"/>
      <c r="I927" s="117"/>
      <c r="J927" s="117"/>
      <c r="K927" s="92"/>
      <c r="L927" s="180"/>
      <c r="M927" s="117"/>
      <c r="N927" s="117"/>
      <c r="O927" s="117"/>
      <c r="P927" s="92"/>
      <c r="Q927" s="150"/>
      <c r="R927" s="117"/>
      <c r="S927" s="117"/>
      <c r="T927" s="117"/>
      <c r="U927" s="115"/>
      <c r="V927" s="180"/>
      <c r="W927" s="117"/>
      <c r="X927" s="117"/>
      <c r="Y927" s="117"/>
      <c r="Z927" s="115"/>
      <c r="AA927" s="180"/>
      <c r="AB927" s="117"/>
      <c r="AC927" s="117"/>
      <c r="AD927" s="117"/>
      <c r="AE927" s="115"/>
      <c r="AF927" s="180"/>
      <c r="AG927" s="117"/>
      <c r="AH927" s="117"/>
      <c r="AI927" s="117"/>
      <c r="AJ927" s="115"/>
      <c r="AK927" s="180"/>
      <c r="AL927" s="117"/>
      <c r="AM927" s="117"/>
      <c r="AN927" s="117"/>
      <c r="AO927" s="338"/>
      <c r="AP927" s="338"/>
      <c r="AQ927" s="338"/>
      <c r="AR927" s="338"/>
      <c r="AS927" s="338"/>
      <c r="AT927" s="338"/>
      <c r="AU927" s="338"/>
      <c r="AV927" s="338"/>
      <c r="AW927" s="338"/>
      <c r="AX927" s="338"/>
      <c r="AY927" s="338"/>
      <c r="AZ927" s="338"/>
      <c r="BA927" s="338"/>
      <c r="BB927" s="338"/>
      <c r="BC927" s="338"/>
    </row>
    <row r="928">
      <c r="A928" s="115"/>
      <c r="B928" s="180"/>
      <c r="C928" s="117"/>
      <c r="D928" s="117"/>
      <c r="E928" s="117"/>
      <c r="F928" s="115"/>
      <c r="G928" s="180"/>
      <c r="H928" s="117"/>
      <c r="I928" s="117"/>
      <c r="J928" s="117"/>
      <c r="K928" s="92"/>
      <c r="L928" s="180"/>
      <c r="M928" s="117"/>
      <c r="N928" s="117"/>
      <c r="O928" s="117"/>
      <c r="P928" s="92"/>
      <c r="Q928" s="150"/>
      <c r="R928" s="117"/>
      <c r="S928" s="117"/>
      <c r="T928" s="117"/>
      <c r="U928" s="115"/>
      <c r="V928" s="180"/>
      <c r="W928" s="117"/>
      <c r="X928" s="117"/>
      <c r="Y928" s="117"/>
      <c r="Z928" s="115"/>
      <c r="AA928" s="180"/>
      <c r="AB928" s="117"/>
      <c r="AC928" s="117"/>
      <c r="AD928" s="117"/>
      <c r="AE928" s="115"/>
      <c r="AF928" s="180"/>
      <c r="AG928" s="117"/>
      <c r="AH928" s="117"/>
      <c r="AI928" s="117"/>
      <c r="AJ928" s="115"/>
      <c r="AK928" s="180"/>
      <c r="AL928" s="117"/>
      <c r="AM928" s="117"/>
      <c r="AN928" s="117"/>
      <c r="AO928" s="338"/>
      <c r="AP928" s="338"/>
      <c r="AQ928" s="338"/>
      <c r="AR928" s="338"/>
      <c r="AS928" s="338"/>
      <c r="AT928" s="338"/>
      <c r="AU928" s="338"/>
      <c r="AV928" s="338"/>
      <c r="AW928" s="338"/>
      <c r="AX928" s="338"/>
      <c r="AY928" s="338"/>
      <c r="AZ928" s="338"/>
      <c r="BA928" s="338"/>
      <c r="BB928" s="338"/>
      <c r="BC928" s="338"/>
    </row>
    <row r="929">
      <c r="A929" s="115"/>
      <c r="B929" s="180"/>
      <c r="C929" s="117"/>
      <c r="D929" s="117"/>
      <c r="E929" s="117"/>
      <c r="F929" s="115"/>
      <c r="G929" s="180"/>
      <c r="H929" s="117"/>
      <c r="I929" s="117"/>
      <c r="J929" s="117"/>
      <c r="K929" s="92"/>
      <c r="L929" s="180"/>
      <c r="M929" s="117"/>
      <c r="N929" s="117"/>
      <c r="O929" s="117"/>
      <c r="P929" s="92"/>
      <c r="Q929" s="150"/>
      <c r="R929" s="117"/>
      <c r="S929" s="117"/>
      <c r="T929" s="117"/>
      <c r="U929" s="115"/>
      <c r="V929" s="180"/>
      <c r="W929" s="117"/>
      <c r="X929" s="117"/>
      <c r="Y929" s="117"/>
      <c r="Z929" s="115"/>
      <c r="AA929" s="180"/>
      <c r="AB929" s="117"/>
      <c r="AC929" s="117"/>
      <c r="AD929" s="117"/>
      <c r="AE929" s="115"/>
      <c r="AF929" s="180"/>
      <c r="AG929" s="117"/>
      <c r="AH929" s="117"/>
      <c r="AI929" s="117"/>
      <c r="AJ929" s="115"/>
      <c r="AK929" s="180"/>
      <c r="AL929" s="117"/>
      <c r="AM929" s="117"/>
      <c r="AN929" s="117"/>
      <c r="AO929" s="338"/>
      <c r="AP929" s="338"/>
      <c r="AQ929" s="338"/>
      <c r="AR929" s="338"/>
      <c r="AS929" s="338"/>
      <c r="AT929" s="338"/>
      <c r="AU929" s="338"/>
      <c r="AV929" s="338"/>
      <c r="AW929" s="338"/>
      <c r="AX929" s="338"/>
      <c r="AY929" s="338"/>
      <c r="AZ929" s="338"/>
      <c r="BA929" s="338"/>
      <c r="BB929" s="338"/>
      <c r="BC929" s="338"/>
    </row>
    <row r="930">
      <c r="A930" s="115"/>
      <c r="B930" s="180"/>
      <c r="C930" s="117"/>
      <c r="D930" s="117"/>
      <c r="E930" s="117"/>
      <c r="F930" s="115"/>
      <c r="G930" s="180"/>
      <c r="H930" s="117"/>
      <c r="I930" s="117"/>
      <c r="J930" s="117"/>
      <c r="K930" s="92"/>
      <c r="L930" s="180"/>
      <c r="M930" s="117"/>
      <c r="N930" s="117"/>
      <c r="O930" s="117"/>
      <c r="P930" s="92"/>
      <c r="Q930" s="150"/>
      <c r="R930" s="117"/>
      <c r="S930" s="117"/>
      <c r="T930" s="117"/>
      <c r="U930" s="115"/>
      <c r="V930" s="180"/>
      <c r="W930" s="117"/>
      <c r="X930" s="117"/>
      <c r="Y930" s="117"/>
      <c r="Z930" s="115"/>
      <c r="AA930" s="180"/>
      <c r="AB930" s="117"/>
      <c r="AC930" s="117"/>
      <c r="AD930" s="117"/>
      <c r="AE930" s="115"/>
      <c r="AF930" s="180"/>
      <c r="AG930" s="117"/>
      <c r="AH930" s="117"/>
      <c r="AI930" s="117"/>
      <c r="AJ930" s="115"/>
      <c r="AK930" s="180"/>
      <c r="AL930" s="117"/>
      <c r="AM930" s="117"/>
      <c r="AN930" s="117"/>
      <c r="AO930" s="338"/>
      <c r="AP930" s="338"/>
      <c r="AQ930" s="338"/>
      <c r="AR930" s="338"/>
      <c r="AS930" s="338"/>
      <c r="AT930" s="338"/>
      <c r="AU930" s="338"/>
      <c r="AV930" s="338"/>
      <c r="AW930" s="338"/>
      <c r="AX930" s="338"/>
      <c r="AY930" s="338"/>
      <c r="AZ930" s="338"/>
      <c r="BA930" s="338"/>
      <c r="BB930" s="338"/>
      <c r="BC930" s="338"/>
    </row>
    <row r="931">
      <c r="A931" s="115"/>
      <c r="B931" s="180"/>
      <c r="C931" s="117"/>
      <c r="D931" s="117"/>
      <c r="E931" s="117"/>
      <c r="F931" s="115"/>
      <c r="G931" s="180"/>
      <c r="H931" s="117"/>
      <c r="I931" s="117"/>
      <c r="J931" s="117"/>
      <c r="K931" s="92"/>
      <c r="L931" s="180"/>
      <c r="M931" s="117"/>
      <c r="N931" s="117"/>
      <c r="O931" s="117"/>
      <c r="P931" s="92"/>
      <c r="Q931" s="150"/>
      <c r="R931" s="117"/>
      <c r="S931" s="117"/>
      <c r="T931" s="117"/>
      <c r="U931" s="115"/>
      <c r="V931" s="180"/>
      <c r="W931" s="117"/>
      <c r="X931" s="117"/>
      <c r="Y931" s="117"/>
      <c r="Z931" s="115"/>
      <c r="AA931" s="180"/>
      <c r="AB931" s="117"/>
      <c r="AC931" s="117"/>
      <c r="AD931" s="117"/>
      <c r="AE931" s="115"/>
      <c r="AF931" s="180"/>
      <c r="AG931" s="117"/>
      <c r="AH931" s="117"/>
      <c r="AI931" s="117"/>
      <c r="AJ931" s="115"/>
      <c r="AK931" s="180"/>
      <c r="AL931" s="117"/>
      <c r="AM931" s="117"/>
      <c r="AN931" s="117"/>
      <c r="AO931" s="338"/>
      <c r="AP931" s="338"/>
      <c r="AQ931" s="338"/>
      <c r="AR931" s="338"/>
      <c r="AS931" s="338"/>
      <c r="AT931" s="338"/>
      <c r="AU931" s="338"/>
      <c r="AV931" s="338"/>
      <c r="AW931" s="338"/>
      <c r="AX931" s="338"/>
      <c r="AY931" s="338"/>
      <c r="AZ931" s="338"/>
      <c r="BA931" s="338"/>
      <c r="BB931" s="338"/>
      <c r="BC931" s="338"/>
    </row>
    <row r="932">
      <c r="A932" s="115"/>
      <c r="B932" s="180"/>
      <c r="C932" s="117"/>
      <c r="D932" s="117"/>
      <c r="E932" s="117"/>
      <c r="F932" s="115"/>
      <c r="G932" s="180"/>
      <c r="H932" s="117"/>
      <c r="I932" s="117"/>
      <c r="J932" s="117"/>
      <c r="K932" s="92"/>
      <c r="L932" s="180"/>
      <c r="M932" s="117"/>
      <c r="N932" s="117"/>
      <c r="O932" s="117"/>
      <c r="P932" s="92"/>
      <c r="Q932" s="150"/>
      <c r="R932" s="117"/>
      <c r="S932" s="117"/>
      <c r="T932" s="117"/>
      <c r="U932" s="115"/>
      <c r="V932" s="180"/>
      <c r="W932" s="117"/>
      <c r="X932" s="117"/>
      <c r="Y932" s="117"/>
      <c r="Z932" s="115"/>
      <c r="AA932" s="180"/>
      <c r="AB932" s="117"/>
      <c r="AC932" s="117"/>
      <c r="AD932" s="117"/>
      <c r="AE932" s="115"/>
      <c r="AF932" s="180"/>
      <c r="AG932" s="117"/>
      <c r="AH932" s="117"/>
      <c r="AI932" s="117"/>
      <c r="AJ932" s="115"/>
      <c r="AK932" s="180"/>
      <c r="AL932" s="117"/>
      <c r="AM932" s="117"/>
      <c r="AN932" s="117"/>
      <c r="AO932" s="338"/>
      <c r="AP932" s="338"/>
      <c r="AQ932" s="338"/>
      <c r="AR932" s="338"/>
      <c r="AS932" s="338"/>
      <c r="AT932" s="338"/>
      <c r="AU932" s="338"/>
      <c r="AV932" s="338"/>
      <c r="AW932" s="338"/>
      <c r="AX932" s="338"/>
      <c r="AY932" s="338"/>
      <c r="AZ932" s="338"/>
      <c r="BA932" s="338"/>
      <c r="BB932" s="338"/>
      <c r="BC932" s="338"/>
    </row>
    <row r="933">
      <c r="A933" s="115"/>
      <c r="B933" s="180"/>
      <c r="C933" s="117"/>
      <c r="D933" s="117"/>
      <c r="E933" s="117"/>
      <c r="F933" s="115"/>
      <c r="G933" s="180"/>
      <c r="H933" s="117"/>
      <c r="I933" s="117"/>
      <c r="J933" s="117"/>
      <c r="K933" s="92"/>
      <c r="L933" s="180"/>
      <c r="M933" s="117"/>
      <c r="N933" s="117"/>
      <c r="O933" s="117"/>
      <c r="P933" s="92"/>
      <c r="Q933" s="150"/>
      <c r="R933" s="117"/>
      <c r="S933" s="117"/>
      <c r="T933" s="117"/>
      <c r="U933" s="115"/>
      <c r="V933" s="180"/>
      <c r="W933" s="117"/>
      <c r="X933" s="117"/>
      <c r="Y933" s="117"/>
      <c r="Z933" s="115"/>
      <c r="AA933" s="180"/>
      <c r="AB933" s="117"/>
      <c r="AC933" s="117"/>
      <c r="AD933" s="117"/>
      <c r="AE933" s="115"/>
      <c r="AF933" s="180"/>
      <c r="AG933" s="117"/>
      <c r="AH933" s="117"/>
      <c r="AI933" s="117"/>
      <c r="AJ933" s="115"/>
      <c r="AK933" s="180"/>
      <c r="AL933" s="117"/>
      <c r="AM933" s="117"/>
      <c r="AN933" s="117"/>
      <c r="AO933" s="338"/>
      <c r="AP933" s="338"/>
      <c r="AQ933" s="338"/>
      <c r="AR933" s="338"/>
      <c r="AS933" s="338"/>
      <c r="AT933" s="338"/>
      <c r="AU933" s="338"/>
      <c r="AV933" s="338"/>
      <c r="AW933" s="338"/>
      <c r="AX933" s="338"/>
      <c r="AY933" s="338"/>
      <c r="AZ933" s="338"/>
      <c r="BA933" s="338"/>
      <c r="BB933" s="338"/>
      <c r="BC933" s="338"/>
    </row>
    <row r="934">
      <c r="A934" s="115"/>
      <c r="B934" s="180"/>
      <c r="C934" s="117"/>
      <c r="D934" s="117"/>
      <c r="E934" s="117"/>
      <c r="F934" s="115"/>
      <c r="G934" s="180"/>
      <c r="H934" s="117"/>
      <c r="I934" s="117"/>
      <c r="J934" s="117"/>
      <c r="K934" s="92"/>
      <c r="L934" s="180"/>
      <c r="M934" s="117"/>
      <c r="N934" s="117"/>
      <c r="O934" s="117"/>
      <c r="P934" s="92"/>
      <c r="Q934" s="150"/>
      <c r="R934" s="117"/>
      <c r="S934" s="117"/>
      <c r="T934" s="117"/>
      <c r="U934" s="115"/>
      <c r="V934" s="180"/>
      <c r="W934" s="117"/>
      <c r="X934" s="117"/>
      <c r="Y934" s="117"/>
      <c r="Z934" s="115"/>
      <c r="AA934" s="180"/>
      <c r="AB934" s="117"/>
      <c r="AC934" s="117"/>
      <c r="AD934" s="117"/>
      <c r="AE934" s="115"/>
      <c r="AF934" s="180"/>
      <c r="AG934" s="117"/>
      <c r="AH934" s="117"/>
      <c r="AI934" s="117"/>
      <c r="AJ934" s="115"/>
      <c r="AK934" s="180"/>
      <c r="AL934" s="117"/>
      <c r="AM934" s="117"/>
      <c r="AN934" s="117"/>
      <c r="AO934" s="338"/>
      <c r="AP934" s="338"/>
      <c r="AQ934" s="338"/>
      <c r="AR934" s="338"/>
      <c r="AS934" s="338"/>
      <c r="AT934" s="338"/>
      <c r="AU934" s="338"/>
      <c r="AV934" s="338"/>
      <c r="AW934" s="338"/>
      <c r="AX934" s="338"/>
      <c r="AY934" s="338"/>
      <c r="AZ934" s="338"/>
      <c r="BA934" s="338"/>
      <c r="BB934" s="338"/>
      <c r="BC934" s="338"/>
    </row>
    <row r="935">
      <c r="A935" s="115"/>
      <c r="B935" s="180"/>
      <c r="C935" s="117"/>
      <c r="D935" s="117"/>
      <c r="E935" s="117"/>
      <c r="F935" s="115"/>
      <c r="G935" s="180"/>
      <c r="H935" s="117"/>
      <c r="I935" s="117"/>
      <c r="J935" s="117"/>
      <c r="K935" s="92"/>
      <c r="L935" s="180"/>
      <c r="M935" s="117"/>
      <c r="N935" s="117"/>
      <c r="O935" s="117"/>
      <c r="P935" s="92"/>
      <c r="Q935" s="150"/>
      <c r="R935" s="117"/>
      <c r="S935" s="117"/>
      <c r="T935" s="117"/>
      <c r="U935" s="115"/>
      <c r="V935" s="180"/>
      <c r="W935" s="117"/>
      <c r="X935" s="117"/>
      <c r="Y935" s="117"/>
      <c r="Z935" s="115"/>
      <c r="AA935" s="180"/>
      <c r="AB935" s="117"/>
      <c r="AC935" s="117"/>
      <c r="AD935" s="117"/>
      <c r="AE935" s="115"/>
      <c r="AF935" s="180"/>
      <c r="AG935" s="117"/>
      <c r="AH935" s="117"/>
      <c r="AI935" s="117"/>
      <c r="AJ935" s="115"/>
      <c r="AK935" s="180"/>
      <c r="AL935" s="117"/>
      <c r="AM935" s="117"/>
      <c r="AN935" s="117"/>
      <c r="AO935" s="338"/>
      <c r="AP935" s="338"/>
      <c r="AQ935" s="338"/>
      <c r="AR935" s="338"/>
      <c r="AS935" s="338"/>
      <c r="AT935" s="338"/>
      <c r="AU935" s="338"/>
      <c r="AV935" s="338"/>
      <c r="AW935" s="338"/>
      <c r="AX935" s="338"/>
      <c r="AY935" s="338"/>
      <c r="AZ935" s="338"/>
      <c r="BA935" s="338"/>
      <c r="BB935" s="338"/>
      <c r="BC935" s="338"/>
    </row>
    <row r="936">
      <c r="A936" s="115"/>
      <c r="B936" s="180"/>
      <c r="C936" s="117"/>
      <c r="D936" s="117"/>
      <c r="E936" s="117"/>
      <c r="F936" s="115"/>
      <c r="G936" s="180"/>
      <c r="H936" s="117"/>
      <c r="I936" s="117"/>
      <c r="J936" s="117"/>
      <c r="K936" s="92"/>
      <c r="L936" s="180"/>
      <c r="M936" s="117"/>
      <c r="N936" s="117"/>
      <c r="O936" s="117"/>
      <c r="P936" s="92"/>
      <c r="Q936" s="150"/>
      <c r="R936" s="117"/>
      <c r="S936" s="117"/>
      <c r="T936" s="117"/>
      <c r="U936" s="115"/>
      <c r="V936" s="180"/>
      <c r="W936" s="117"/>
      <c r="X936" s="117"/>
      <c r="Y936" s="117"/>
      <c r="Z936" s="115"/>
      <c r="AA936" s="180"/>
      <c r="AB936" s="117"/>
      <c r="AC936" s="117"/>
      <c r="AD936" s="117"/>
      <c r="AE936" s="115"/>
      <c r="AF936" s="180"/>
      <c r="AG936" s="117"/>
      <c r="AH936" s="117"/>
      <c r="AI936" s="117"/>
      <c r="AJ936" s="115"/>
      <c r="AK936" s="180"/>
      <c r="AL936" s="117"/>
      <c r="AM936" s="117"/>
      <c r="AN936" s="117"/>
      <c r="AO936" s="338"/>
      <c r="AP936" s="338"/>
      <c r="AQ936" s="338"/>
      <c r="AR936" s="338"/>
      <c r="AS936" s="338"/>
      <c r="AT936" s="338"/>
      <c r="AU936" s="338"/>
      <c r="AV936" s="338"/>
      <c r="AW936" s="338"/>
      <c r="AX936" s="338"/>
      <c r="AY936" s="338"/>
      <c r="AZ936" s="338"/>
      <c r="BA936" s="338"/>
      <c r="BB936" s="338"/>
      <c r="BC936" s="338"/>
    </row>
    <row r="937">
      <c r="A937" s="115"/>
      <c r="B937" s="180"/>
      <c r="C937" s="117"/>
      <c r="D937" s="117"/>
      <c r="E937" s="117"/>
      <c r="F937" s="115"/>
      <c r="G937" s="180"/>
      <c r="H937" s="117"/>
      <c r="I937" s="117"/>
      <c r="J937" s="117"/>
      <c r="K937" s="92"/>
      <c r="L937" s="180"/>
      <c r="M937" s="117"/>
      <c r="N937" s="117"/>
      <c r="O937" s="117"/>
      <c r="P937" s="92"/>
      <c r="Q937" s="150"/>
      <c r="R937" s="117"/>
      <c r="S937" s="117"/>
      <c r="T937" s="117"/>
      <c r="U937" s="115"/>
      <c r="V937" s="180"/>
      <c r="W937" s="117"/>
      <c r="X937" s="117"/>
      <c r="Y937" s="117"/>
      <c r="Z937" s="115"/>
      <c r="AA937" s="180"/>
      <c r="AB937" s="117"/>
      <c r="AC937" s="117"/>
      <c r="AD937" s="117"/>
      <c r="AE937" s="115"/>
      <c r="AF937" s="180"/>
      <c r="AG937" s="117"/>
      <c r="AH937" s="117"/>
      <c r="AI937" s="117"/>
      <c r="AJ937" s="115"/>
      <c r="AK937" s="180"/>
      <c r="AL937" s="117"/>
      <c r="AM937" s="117"/>
      <c r="AN937" s="117"/>
      <c r="AO937" s="338"/>
      <c r="AP937" s="338"/>
      <c r="AQ937" s="338"/>
      <c r="AR937" s="338"/>
      <c r="AS937" s="338"/>
      <c r="AT937" s="338"/>
      <c r="AU937" s="338"/>
      <c r="AV937" s="338"/>
      <c r="AW937" s="338"/>
      <c r="AX937" s="338"/>
      <c r="AY937" s="338"/>
      <c r="AZ937" s="338"/>
      <c r="BA937" s="338"/>
      <c r="BB937" s="338"/>
      <c r="BC937" s="338"/>
    </row>
    <row r="938">
      <c r="A938" s="115"/>
      <c r="B938" s="180"/>
      <c r="C938" s="117"/>
      <c r="D938" s="117"/>
      <c r="E938" s="117"/>
      <c r="F938" s="115"/>
      <c r="G938" s="180"/>
      <c r="H938" s="117"/>
      <c r="I938" s="117"/>
      <c r="J938" s="117"/>
      <c r="K938" s="92"/>
      <c r="L938" s="180"/>
      <c r="M938" s="117"/>
      <c r="N938" s="117"/>
      <c r="O938" s="117"/>
      <c r="P938" s="92"/>
      <c r="Q938" s="150"/>
      <c r="R938" s="117"/>
      <c r="S938" s="117"/>
      <c r="T938" s="117"/>
      <c r="U938" s="115"/>
      <c r="V938" s="180"/>
      <c r="W938" s="117"/>
      <c r="X938" s="117"/>
      <c r="Y938" s="117"/>
      <c r="Z938" s="115"/>
      <c r="AA938" s="180"/>
      <c r="AB938" s="117"/>
      <c r="AC938" s="117"/>
      <c r="AD938" s="117"/>
      <c r="AE938" s="115"/>
      <c r="AF938" s="180"/>
      <c r="AG938" s="117"/>
      <c r="AH938" s="117"/>
      <c r="AI938" s="117"/>
      <c r="AJ938" s="115"/>
      <c r="AK938" s="180"/>
      <c r="AL938" s="117"/>
      <c r="AM938" s="117"/>
      <c r="AN938" s="117"/>
      <c r="AO938" s="338"/>
      <c r="AP938" s="338"/>
      <c r="AQ938" s="338"/>
      <c r="AR938" s="338"/>
      <c r="AS938" s="338"/>
      <c r="AT938" s="338"/>
      <c r="AU938" s="338"/>
      <c r="AV938" s="338"/>
      <c r="AW938" s="338"/>
      <c r="AX938" s="338"/>
      <c r="AY938" s="338"/>
      <c r="AZ938" s="338"/>
      <c r="BA938" s="338"/>
      <c r="BB938" s="338"/>
      <c r="BC938" s="338"/>
    </row>
    <row r="939">
      <c r="A939" s="115"/>
      <c r="B939" s="180"/>
      <c r="C939" s="117"/>
      <c r="D939" s="117"/>
      <c r="E939" s="117"/>
      <c r="F939" s="115"/>
      <c r="G939" s="180"/>
      <c r="H939" s="117"/>
      <c r="I939" s="117"/>
      <c r="J939" s="117"/>
      <c r="K939" s="92"/>
      <c r="L939" s="180"/>
      <c r="M939" s="117"/>
      <c r="N939" s="117"/>
      <c r="O939" s="117"/>
      <c r="P939" s="92"/>
      <c r="Q939" s="150"/>
      <c r="R939" s="117"/>
      <c r="S939" s="117"/>
      <c r="T939" s="117"/>
      <c r="U939" s="115"/>
      <c r="V939" s="180"/>
      <c r="W939" s="117"/>
      <c r="X939" s="117"/>
      <c r="Y939" s="117"/>
      <c r="Z939" s="115"/>
      <c r="AA939" s="180"/>
      <c r="AB939" s="117"/>
      <c r="AC939" s="117"/>
      <c r="AD939" s="117"/>
      <c r="AE939" s="115"/>
      <c r="AF939" s="180"/>
      <c r="AG939" s="117"/>
      <c r="AH939" s="117"/>
      <c r="AI939" s="117"/>
      <c r="AJ939" s="115"/>
      <c r="AK939" s="180"/>
      <c r="AL939" s="117"/>
      <c r="AM939" s="117"/>
      <c r="AN939" s="117"/>
      <c r="AO939" s="338"/>
      <c r="AP939" s="338"/>
      <c r="AQ939" s="338"/>
      <c r="AR939" s="338"/>
      <c r="AS939" s="338"/>
      <c r="AT939" s="338"/>
      <c r="AU939" s="338"/>
      <c r="AV939" s="338"/>
      <c r="AW939" s="338"/>
      <c r="AX939" s="338"/>
      <c r="AY939" s="338"/>
      <c r="AZ939" s="338"/>
      <c r="BA939" s="338"/>
      <c r="BB939" s="338"/>
      <c r="BC939" s="338"/>
    </row>
    <row r="940">
      <c r="A940" s="115"/>
      <c r="B940" s="180"/>
      <c r="C940" s="117"/>
      <c r="D940" s="117"/>
      <c r="E940" s="117"/>
      <c r="F940" s="115"/>
      <c r="G940" s="180"/>
      <c r="H940" s="117"/>
      <c r="I940" s="117"/>
      <c r="J940" s="117"/>
      <c r="K940" s="92"/>
      <c r="L940" s="180"/>
      <c r="M940" s="117"/>
      <c r="N940" s="117"/>
      <c r="O940" s="117"/>
      <c r="P940" s="92"/>
      <c r="Q940" s="150"/>
      <c r="R940" s="117"/>
      <c r="S940" s="117"/>
      <c r="T940" s="117"/>
      <c r="U940" s="115"/>
      <c r="V940" s="180"/>
      <c r="W940" s="117"/>
      <c r="X940" s="117"/>
      <c r="Y940" s="117"/>
      <c r="Z940" s="115"/>
      <c r="AA940" s="180"/>
      <c r="AB940" s="117"/>
      <c r="AC940" s="117"/>
      <c r="AD940" s="117"/>
      <c r="AE940" s="115"/>
      <c r="AF940" s="180"/>
      <c r="AG940" s="117"/>
      <c r="AH940" s="117"/>
      <c r="AI940" s="117"/>
      <c r="AJ940" s="115"/>
      <c r="AK940" s="180"/>
      <c r="AL940" s="117"/>
      <c r="AM940" s="117"/>
      <c r="AN940" s="117"/>
      <c r="AO940" s="338"/>
      <c r="AP940" s="338"/>
      <c r="AQ940" s="338"/>
      <c r="AR940" s="338"/>
      <c r="AS940" s="338"/>
      <c r="AT940" s="338"/>
      <c r="AU940" s="338"/>
      <c r="AV940" s="338"/>
      <c r="AW940" s="338"/>
      <c r="AX940" s="338"/>
      <c r="AY940" s="338"/>
      <c r="AZ940" s="338"/>
      <c r="BA940" s="338"/>
      <c r="BB940" s="338"/>
      <c r="BC940" s="338"/>
    </row>
    <row r="941">
      <c r="A941" s="115"/>
      <c r="B941" s="180"/>
      <c r="C941" s="117"/>
      <c r="D941" s="117"/>
      <c r="E941" s="117"/>
      <c r="F941" s="115"/>
      <c r="G941" s="180"/>
      <c r="H941" s="117"/>
      <c r="I941" s="117"/>
      <c r="J941" s="117"/>
      <c r="K941" s="92"/>
      <c r="L941" s="180"/>
      <c r="M941" s="117"/>
      <c r="N941" s="117"/>
      <c r="O941" s="117"/>
      <c r="P941" s="92"/>
      <c r="Q941" s="150"/>
      <c r="R941" s="117"/>
      <c r="S941" s="117"/>
      <c r="T941" s="117"/>
      <c r="U941" s="115"/>
      <c r="V941" s="180"/>
      <c r="W941" s="117"/>
      <c r="X941" s="117"/>
      <c r="Y941" s="117"/>
      <c r="Z941" s="115"/>
      <c r="AA941" s="180"/>
      <c r="AB941" s="117"/>
      <c r="AC941" s="117"/>
      <c r="AD941" s="117"/>
      <c r="AE941" s="115"/>
      <c r="AF941" s="180"/>
      <c r="AG941" s="117"/>
      <c r="AH941" s="117"/>
      <c r="AI941" s="117"/>
      <c r="AJ941" s="115"/>
      <c r="AK941" s="180"/>
      <c r="AL941" s="117"/>
      <c r="AM941" s="117"/>
      <c r="AN941" s="117"/>
      <c r="AO941" s="338"/>
      <c r="AP941" s="338"/>
      <c r="AQ941" s="338"/>
      <c r="AR941" s="338"/>
      <c r="AS941" s="338"/>
      <c r="AT941" s="338"/>
      <c r="AU941" s="338"/>
      <c r="AV941" s="338"/>
      <c r="AW941" s="338"/>
      <c r="AX941" s="338"/>
      <c r="AY941" s="338"/>
      <c r="AZ941" s="338"/>
      <c r="BA941" s="338"/>
      <c r="BB941" s="338"/>
      <c r="BC941" s="338"/>
    </row>
    <row r="942">
      <c r="A942" s="115"/>
      <c r="B942" s="180"/>
      <c r="C942" s="117"/>
      <c r="D942" s="117"/>
      <c r="E942" s="117"/>
      <c r="F942" s="115"/>
      <c r="G942" s="180"/>
      <c r="H942" s="117"/>
      <c r="I942" s="117"/>
      <c r="J942" s="117"/>
      <c r="K942" s="92"/>
      <c r="L942" s="180"/>
      <c r="M942" s="117"/>
      <c r="N942" s="117"/>
      <c r="O942" s="117"/>
      <c r="P942" s="92"/>
      <c r="Q942" s="150"/>
      <c r="R942" s="117"/>
      <c r="S942" s="117"/>
      <c r="T942" s="117"/>
      <c r="U942" s="115"/>
      <c r="V942" s="180"/>
      <c r="W942" s="117"/>
      <c r="X942" s="117"/>
      <c r="Y942" s="117"/>
      <c r="Z942" s="115"/>
      <c r="AA942" s="180"/>
      <c r="AB942" s="117"/>
      <c r="AC942" s="117"/>
      <c r="AD942" s="117"/>
      <c r="AE942" s="115"/>
      <c r="AF942" s="180"/>
      <c r="AG942" s="117"/>
      <c r="AH942" s="117"/>
      <c r="AI942" s="117"/>
      <c r="AJ942" s="115"/>
      <c r="AK942" s="180"/>
      <c r="AL942" s="117"/>
      <c r="AM942" s="117"/>
      <c r="AN942" s="117"/>
      <c r="AO942" s="338"/>
      <c r="AP942" s="338"/>
      <c r="AQ942" s="338"/>
      <c r="AR942" s="338"/>
      <c r="AS942" s="338"/>
      <c r="AT942" s="338"/>
      <c r="AU942" s="338"/>
      <c r="AV942" s="338"/>
      <c r="AW942" s="338"/>
      <c r="AX942" s="338"/>
      <c r="AY942" s="338"/>
      <c r="AZ942" s="338"/>
      <c r="BA942" s="338"/>
      <c r="BB942" s="338"/>
      <c r="BC942" s="338"/>
    </row>
    <row r="943">
      <c r="A943" s="115"/>
      <c r="B943" s="180"/>
      <c r="C943" s="117"/>
      <c r="D943" s="117"/>
      <c r="E943" s="117"/>
      <c r="F943" s="115"/>
      <c r="G943" s="180"/>
      <c r="H943" s="117"/>
      <c r="I943" s="117"/>
      <c r="J943" s="117"/>
      <c r="K943" s="92"/>
      <c r="L943" s="180"/>
      <c r="M943" s="117"/>
      <c r="N943" s="117"/>
      <c r="O943" s="117"/>
      <c r="P943" s="92"/>
      <c r="Q943" s="150"/>
      <c r="R943" s="117"/>
      <c r="S943" s="117"/>
      <c r="T943" s="117"/>
      <c r="U943" s="115"/>
      <c r="V943" s="180"/>
      <c r="W943" s="117"/>
      <c r="X943" s="117"/>
      <c r="Y943" s="117"/>
      <c r="Z943" s="115"/>
      <c r="AA943" s="180"/>
      <c r="AB943" s="117"/>
      <c r="AC943" s="117"/>
      <c r="AD943" s="117"/>
      <c r="AE943" s="115"/>
      <c r="AF943" s="180"/>
      <c r="AG943" s="117"/>
      <c r="AH943" s="117"/>
      <c r="AI943" s="117"/>
      <c r="AJ943" s="115"/>
      <c r="AK943" s="180"/>
      <c r="AL943" s="117"/>
      <c r="AM943" s="117"/>
      <c r="AN943" s="117"/>
      <c r="AO943" s="338"/>
      <c r="AP943" s="338"/>
      <c r="AQ943" s="338"/>
      <c r="AR943" s="338"/>
      <c r="AS943" s="338"/>
      <c r="AT943" s="338"/>
      <c r="AU943" s="338"/>
      <c r="AV943" s="338"/>
      <c r="AW943" s="338"/>
      <c r="AX943" s="338"/>
      <c r="AY943" s="338"/>
      <c r="AZ943" s="338"/>
      <c r="BA943" s="338"/>
      <c r="BB943" s="338"/>
      <c r="BC943" s="338"/>
    </row>
    <row r="944">
      <c r="A944" s="115"/>
      <c r="B944" s="180"/>
      <c r="C944" s="117"/>
      <c r="D944" s="117"/>
      <c r="E944" s="117"/>
      <c r="F944" s="115"/>
      <c r="G944" s="180"/>
      <c r="H944" s="117"/>
      <c r="I944" s="117"/>
      <c r="J944" s="117"/>
      <c r="K944" s="92"/>
      <c r="L944" s="180"/>
      <c r="M944" s="117"/>
      <c r="N944" s="117"/>
      <c r="O944" s="117"/>
      <c r="P944" s="92"/>
      <c r="Q944" s="150"/>
      <c r="R944" s="117"/>
      <c r="S944" s="117"/>
      <c r="T944" s="117"/>
      <c r="U944" s="115"/>
      <c r="V944" s="180"/>
      <c r="W944" s="117"/>
      <c r="X944" s="117"/>
      <c r="Y944" s="117"/>
      <c r="Z944" s="115"/>
      <c r="AA944" s="180"/>
      <c r="AB944" s="117"/>
      <c r="AC944" s="117"/>
      <c r="AD944" s="117"/>
      <c r="AE944" s="115"/>
      <c r="AF944" s="180"/>
      <c r="AG944" s="117"/>
      <c r="AH944" s="117"/>
      <c r="AI944" s="117"/>
      <c r="AJ944" s="115"/>
      <c r="AK944" s="180"/>
      <c r="AL944" s="117"/>
      <c r="AM944" s="117"/>
      <c r="AN944" s="117"/>
      <c r="AO944" s="338"/>
      <c r="AP944" s="338"/>
      <c r="AQ944" s="338"/>
      <c r="AR944" s="338"/>
      <c r="AS944" s="338"/>
      <c r="AT944" s="338"/>
      <c r="AU944" s="338"/>
      <c r="AV944" s="338"/>
      <c r="AW944" s="338"/>
      <c r="AX944" s="338"/>
      <c r="AY944" s="338"/>
      <c r="AZ944" s="338"/>
      <c r="BA944" s="338"/>
      <c r="BB944" s="338"/>
      <c r="BC944" s="338"/>
    </row>
    <row r="945">
      <c r="A945" s="115"/>
      <c r="B945" s="180"/>
      <c r="C945" s="117"/>
      <c r="D945" s="117"/>
      <c r="E945" s="117"/>
      <c r="F945" s="115"/>
      <c r="G945" s="180"/>
      <c r="H945" s="117"/>
      <c r="I945" s="117"/>
      <c r="J945" s="117"/>
      <c r="K945" s="92"/>
      <c r="L945" s="180"/>
      <c r="M945" s="117"/>
      <c r="N945" s="117"/>
      <c r="O945" s="117"/>
      <c r="P945" s="92"/>
      <c r="Q945" s="150"/>
      <c r="R945" s="117"/>
      <c r="S945" s="117"/>
      <c r="T945" s="117"/>
      <c r="U945" s="115"/>
      <c r="V945" s="180"/>
      <c r="W945" s="117"/>
      <c r="X945" s="117"/>
      <c r="Y945" s="117"/>
      <c r="Z945" s="115"/>
      <c r="AA945" s="180"/>
      <c r="AB945" s="117"/>
      <c r="AC945" s="117"/>
      <c r="AD945" s="117"/>
      <c r="AE945" s="115"/>
      <c r="AF945" s="180"/>
      <c r="AG945" s="117"/>
      <c r="AH945" s="117"/>
      <c r="AI945" s="117"/>
      <c r="AJ945" s="115"/>
      <c r="AK945" s="180"/>
      <c r="AL945" s="117"/>
      <c r="AM945" s="117"/>
      <c r="AN945" s="117"/>
      <c r="AO945" s="338"/>
      <c r="AP945" s="338"/>
      <c r="AQ945" s="338"/>
      <c r="AR945" s="338"/>
      <c r="AS945" s="338"/>
      <c r="AT945" s="338"/>
      <c r="AU945" s="338"/>
      <c r="AV945" s="338"/>
      <c r="AW945" s="338"/>
      <c r="AX945" s="338"/>
      <c r="AY945" s="338"/>
      <c r="AZ945" s="338"/>
      <c r="BA945" s="338"/>
      <c r="BB945" s="338"/>
      <c r="BC945" s="338"/>
    </row>
    <row r="946">
      <c r="A946" s="115"/>
      <c r="B946" s="180"/>
      <c r="C946" s="117"/>
      <c r="D946" s="117"/>
      <c r="E946" s="117"/>
      <c r="F946" s="115"/>
      <c r="G946" s="180"/>
      <c r="H946" s="117"/>
      <c r="I946" s="117"/>
      <c r="J946" s="117"/>
      <c r="K946" s="92"/>
      <c r="L946" s="180"/>
      <c r="M946" s="117"/>
      <c r="N946" s="117"/>
      <c r="O946" s="117"/>
      <c r="P946" s="92"/>
      <c r="Q946" s="150"/>
      <c r="R946" s="117"/>
      <c r="S946" s="117"/>
      <c r="T946" s="117"/>
      <c r="U946" s="115"/>
      <c r="V946" s="180"/>
      <c r="W946" s="117"/>
      <c r="X946" s="117"/>
      <c r="Y946" s="117"/>
      <c r="Z946" s="115"/>
      <c r="AA946" s="180"/>
      <c r="AB946" s="117"/>
      <c r="AC946" s="117"/>
      <c r="AD946" s="117"/>
      <c r="AE946" s="115"/>
      <c r="AF946" s="180"/>
      <c r="AG946" s="117"/>
      <c r="AH946" s="117"/>
      <c r="AI946" s="117"/>
      <c r="AJ946" s="115"/>
      <c r="AK946" s="180"/>
      <c r="AL946" s="117"/>
      <c r="AM946" s="117"/>
      <c r="AN946" s="117"/>
      <c r="AO946" s="338"/>
      <c r="AP946" s="338"/>
      <c r="AQ946" s="338"/>
      <c r="AR946" s="338"/>
      <c r="AS946" s="338"/>
      <c r="AT946" s="338"/>
      <c r="AU946" s="338"/>
      <c r="AV946" s="338"/>
      <c r="AW946" s="338"/>
      <c r="AX946" s="338"/>
      <c r="AY946" s="338"/>
      <c r="AZ946" s="338"/>
      <c r="BA946" s="338"/>
      <c r="BB946" s="338"/>
      <c r="BC946" s="338"/>
    </row>
    <row r="947">
      <c r="A947" s="115"/>
      <c r="B947" s="180"/>
      <c r="C947" s="117"/>
      <c r="D947" s="117"/>
      <c r="E947" s="117"/>
      <c r="F947" s="115"/>
      <c r="G947" s="180"/>
      <c r="H947" s="117"/>
      <c r="I947" s="117"/>
      <c r="J947" s="117"/>
      <c r="K947" s="92"/>
      <c r="L947" s="180"/>
      <c r="M947" s="117"/>
      <c r="N947" s="117"/>
      <c r="O947" s="117"/>
      <c r="P947" s="92"/>
      <c r="Q947" s="150"/>
      <c r="R947" s="117"/>
      <c r="S947" s="117"/>
      <c r="T947" s="117"/>
      <c r="U947" s="115"/>
      <c r="V947" s="180"/>
      <c r="W947" s="117"/>
      <c r="X947" s="117"/>
      <c r="Y947" s="117"/>
      <c r="Z947" s="115"/>
      <c r="AA947" s="180"/>
      <c r="AB947" s="117"/>
      <c r="AC947" s="117"/>
      <c r="AD947" s="117"/>
      <c r="AE947" s="115"/>
      <c r="AF947" s="180"/>
      <c r="AG947" s="117"/>
      <c r="AH947" s="117"/>
      <c r="AI947" s="117"/>
      <c r="AJ947" s="115"/>
      <c r="AK947" s="180"/>
      <c r="AL947" s="117"/>
      <c r="AM947" s="117"/>
      <c r="AN947" s="117"/>
      <c r="AO947" s="338"/>
      <c r="AP947" s="338"/>
      <c r="AQ947" s="338"/>
      <c r="AR947" s="338"/>
      <c r="AS947" s="338"/>
      <c r="AT947" s="338"/>
      <c r="AU947" s="338"/>
      <c r="AV947" s="338"/>
      <c r="AW947" s="338"/>
      <c r="AX947" s="338"/>
      <c r="AY947" s="338"/>
      <c r="AZ947" s="338"/>
      <c r="BA947" s="338"/>
      <c r="BB947" s="338"/>
      <c r="BC947" s="338"/>
    </row>
    <row r="948">
      <c r="A948" s="115"/>
      <c r="B948" s="180"/>
      <c r="C948" s="117"/>
      <c r="D948" s="117"/>
      <c r="E948" s="117"/>
      <c r="F948" s="115"/>
      <c r="G948" s="180"/>
      <c r="H948" s="117"/>
      <c r="I948" s="117"/>
      <c r="J948" s="117"/>
      <c r="K948" s="92"/>
      <c r="L948" s="180"/>
      <c r="M948" s="117"/>
      <c r="N948" s="117"/>
      <c r="O948" s="117"/>
      <c r="P948" s="92"/>
      <c r="Q948" s="150"/>
      <c r="R948" s="117"/>
      <c r="S948" s="117"/>
      <c r="T948" s="117"/>
      <c r="U948" s="115"/>
      <c r="V948" s="180"/>
      <c r="W948" s="117"/>
      <c r="X948" s="117"/>
      <c r="Y948" s="117"/>
      <c r="Z948" s="115"/>
      <c r="AA948" s="180"/>
      <c r="AB948" s="117"/>
      <c r="AC948" s="117"/>
      <c r="AD948" s="117"/>
      <c r="AE948" s="115"/>
      <c r="AF948" s="180"/>
      <c r="AG948" s="117"/>
      <c r="AH948" s="117"/>
      <c r="AI948" s="117"/>
      <c r="AJ948" s="115"/>
      <c r="AK948" s="180"/>
      <c r="AL948" s="117"/>
      <c r="AM948" s="117"/>
      <c r="AN948" s="117"/>
      <c r="AO948" s="338"/>
      <c r="AP948" s="338"/>
      <c r="AQ948" s="338"/>
      <c r="AR948" s="338"/>
      <c r="AS948" s="338"/>
      <c r="AT948" s="338"/>
      <c r="AU948" s="338"/>
      <c r="AV948" s="338"/>
      <c r="AW948" s="338"/>
      <c r="AX948" s="338"/>
      <c r="AY948" s="338"/>
      <c r="AZ948" s="338"/>
      <c r="BA948" s="338"/>
      <c r="BB948" s="338"/>
      <c r="BC948" s="338"/>
    </row>
    <row r="949">
      <c r="A949" s="115"/>
      <c r="B949" s="180"/>
      <c r="C949" s="117"/>
      <c r="D949" s="117"/>
      <c r="E949" s="117"/>
      <c r="F949" s="115"/>
      <c r="G949" s="180"/>
      <c r="H949" s="117"/>
      <c r="I949" s="117"/>
      <c r="J949" s="117"/>
      <c r="K949" s="92"/>
      <c r="L949" s="180"/>
      <c r="M949" s="117"/>
      <c r="N949" s="117"/>
      <c r="O949" s="117"/>
      <c r="P949" s="92"/>
      <c r="Q949" s="150"/>
      <c r="R949" s="117"/>
      <c r="S949" s="117"/>
      <c r="T949" s="117"/>
      <c r="U949" s="115"/>
      <c r="V949" s="180"/>
      <c r="W949" s="117"/>
      <c r="X949" s="117"/>
      <c r="Y949" s="117"/>
      <c r="Z949" s="115"/>
      <c r="AA949" s="180"/>
      <c r="AB949" s="117"/>
      <c r="AC949" s="117"/>
      <c r="AD949" s="117"/>
      <c r="AE949" s="115"/>
      <c r="AF949" s="180"/>
      <c r="AG949" s="117"/>
      <c r="AH949" s="117"/>
      <c r="AI949" s="117"/>
      <c r="AJ949" s="115"/>
      <c r="AK949" s="180"/>
      <c r="AL949" s="117"/>
      <c r="AM949" s="117"/>
      <c r="AN949" s="117"/>
      <c r="AO949" s="338"/>
      <c r="AP949" s="338"/>
      <c r="AQ949" s="338"/>
      <c r="AR949" s="338"/>
      <c r="AS949" s="338"/>
      <c r="AT949" s="338"/>
      <c r="AU949" s="338"/>
      <c r="AV949" s="338"/>
      <c r="AW949" s="338"/>
      <c r="AX949" s="338"/>
      <c r="AY949" s="338"/>
      <c r="AZ949" s="338"/>
      <c r="BA949" s="338"/>
      <c r="BB949" s="338"/>
      <c r="BC949" s="338"/>
    </row>
    <row r="950">
      <c r="A950" s="115"/>
      <c r="B950" s="180"/>
      <c r="C950" s="117"/>
      <c r="D950" s="117"/>
      <c r="E950" s="117"/>
      <c r="F950" s="115"/>
      <c r="G950" s="180"/>
      <c r="H950" s="117"/>
      <c r="I950" s="117"/>
      <c r="J950" s="117"/>
      <c r="K950" s="92"/>
      <c r="L950" s="180"/>
      <c r="M950" s="117"/>
      <c r="N950" s="117"/>
      <c r="O950" s="117"/>
      <c r="P950" s="92"/>
      <c r="Q950" s="150"/>
      <c r="R950" s="117"/>
      <c r="S950" s="117"/>
      <c r="T950" s="117"/>
      <c r="U950" s="115"/>
      <c r="V950" s="180"/>
      <c r="W950" s="117"/>
      <c r="X950" s="117"/>
      <c r="Y950" s="117"/>
      <c r="Z950" s="115"/>
      <c r="AA950" s="180"/>
      <c r="AB950" s="117"/>
      <c r="AC950" s="117"/>
      <c r="AD950" s="117"/>
      <c r="AE950" s="115"/>
      <c r="AF950" s="180"/>
      <c r="AG950" s="117"/>
      <c r="AH950" s="117"/>
      <c r="AI950" s="117"/>
      <c r="AJ950" s="115"/>
      <c r="AK950" s="180"/>
      <c r="AL950" s="117"/>
      <c r="AM950" s="117"/>
      <c r="AN950" s="117"/>
      <c r="AO950" s="338"/>
      <c r="AP950" s="338"/>
      <c r="AQ950" s="338"/>
      <c r="AR950" s="338"/>
      <c r="AS950" s="338"/>
      <c r="AT950" s="338"/>
      <c r="AU950" s="338"/>
      <c r="AV950" s="338"/>
      <c r="AW950" s="338"/>
      <c r="AX950" s="338"/>
      <c r="AY950" s="338"/>
      <c r="AZ950" s="338"/>
      <c r="BA950" s="338"/>
      <c r="BB950" s="338"/>
      <c r="BC950" s="338"/>
    </row>
    <row r="951">
      <c r="A951" s="115"/>
      <c r="B951" s="180"/>
      <c r="C951" s="117"/>
      <c r="D951" s="117"/>
      <c r="E951" s="117"/>
      <c r="F951" s="115"/>
      <c r="G951" s="180"/>
      <c r="H951" s="117"/>
      <c r="I951" s="117"/>
      <c r="J951" s="117"/>
      <c r="K951" s="92"/>
      <c r="L951" s="180"/>
      <c r="M951" s="117"/>
      <c r="N951" s="117"/>
      <c r="O951" s="117"/>
      <c r="P951" s="92"/>
      <c r="Q951" s="150"/>
      <c r="R951" s="117"/>
      <c r="S951" s="117"/>
      <c r="T951" s="117"/>
      <c r="U951" s="115"/>
      <c r="V951" s="180"/>
      <c r="W951" s="117"/>
      <c r="X951" s="117"/>
      <c r="Y951" s="117"/>
      <c r="Z951" s="115"/>
      <c r="AA951" s="180"/>
      <c r="AB951" s="117"/>
      <c r="AC951" s="117"/>
      <c r="AD951" s="117"/>
      <c r="AE951" s="115"/>
      <c r="AF951" s="180"/>
      <c r="AG951" s="117"/>
      <c r="AH951" s="117"/>
      <c r="AI951" s="117"/>
      <c r="AJ951" s="115"/>
      <c r="AK951" s="180"/>
      <c r="AL951" s="117"/>
      <c r="AM951" s="117"/>
      <c r="AN951" s="117"/>
      <c r="AO951" s="338"/>
      <c r="AP951" s="338"/>
      <c r="AQ951" s="338"/>
      <c r="AR951" s="338"/>
      <c r="AS951" s="338"/>
      <c r="AT951" s="338"/>
      <c r="AU951" s="338"/>
      <c r="AV951" s="338"/>
      <c r="AW951" s="338"/>
      <c r="AX951" s="338"/>
      <c r="AY951" s="338"/>
      <c r="AZ951" s="338"/>
      <c r="BA951" s="338"/>
      <c r="BB951" s="338"/>
      <c r="BC951" s="338"/>
    </row>
    <row r="952">
      <c r="A952" s="115"/>
      <c r="B952" s="180"/>
      <c r="C952" s="117"/>
      <c r="D952" s="117"/>
      <c r="E952" s="117"/>
      <c r="F952" s="115"/>
      <c r="G952" s="180"/>
      <c r="H952" s="117"/>
      <c r="I952" s="117"/>
      <c r="J952" s="117"/>
      <c r="K952" s="92"/>
      <c r="L952" s="180"/>
      <c r="M952" s="117"/>
      <c r="N952" s="117"/>
      <c r="O952" s="117"/>
      <c r="P952" s="92"/>
      <c r="Q952" s="150"/>
      <c r="R952" s="117"/>
      <c r="S952" s="117"/>
      <c r="T952" s="117"/>
      <c r="U952" s="115"/>
      <c r="V952" s="180"/>
      <c r="W952" s="117"/>
      <c r="X952" s="117"/>
      <c r="Y952" s="117"/>
      <c r="Z952" s="115"/>
      <c r="AA952" s="180"/>
      <c r="AB952" s="117"/>
      <c r="AC952" s="117"/>
      <c r="AD952" s="117"/>
      <c r="AE952" s="115"/>
      <c r="AF952" s="180"/>
      <c r="AG952" s="117"/>
      <c r="AH952" s="117"/>
      <c r="AI952" s="117"/>
      <c r="AJ952" s="115"/>
      <c r="AK952" s="180"/>
      <c r="AL952" s="117"/>
      <c r="AM952" s="117"/>
      <c r="AN952" s="117"/>
      <c r="AO952" s="338"/>
      <c r="AP952" s="338"/>
      <c r="AQ952" s="338"/>
      <c r="AR952" s="338"/>
      <c r="AS952" s="338"/>
      <c r="AT952" s="338"/>
      <c r="AU952" s="338"/>
      <c r="AV952" s="338"/>
      <c r="AW952" s="338"/>
      <c r="AX952" s="338"/>
      <c r="AY952" s="338"/>
      <c r="AZ952" s="338"/>
      <c r="BA952" s="338"/>
      <c r="BB952" s="338"/>
      <c r="BC952" s="338"/>
    </row>
    <row r="953">
      <c r="A953" s="115"/>
      <c r="B953" s="180"/>
      <c r="C953" s="117"/>
      <c r="D953" s="117"/>
      <c r="E953" s="117"/>
      <c r="F953" s="115"/>
      <c r="G953" s="180"/>
      <c r="H953" s="117"/>
      <c r="I953" s="117"/>
      <c r="J953" s="117"/>
      <c r="K953" s="92"/>
      <c r="L953" s="180"/>
      <c r="M953" s="117"/>
      <c r="N953" s="117"/>
      <c r="O953" s="117"/>
      <c r="P953" s="92"/>
      <c r="Q953" s="150"/>
      <c r="R953" s="117"/>
      <c r="S953" s="117"/>
      <c r="T953" s="117"/>
      <c r="U953" s="115"/>
      <c r="V953" s="180"/>
      <c r="W953" s="117"/>
      <c r="X953" s="117"/>
      <c r="Y953" s="117"/>
      <c r="Z953" s="115"/>
      <c r="AA953" s="180"/>
      <c r="AB953" s="117"/>
      <c r="AC953" s="117"/>
      <c r="AD953" s="117"/>
      <c r="AE953" s="115"/>
      <c r="AF953" s="180"/>
      <c r="AG953" s="117"/>
      <c r="AH953" s="117"/>
      <c r="AI953" s="117"/>
      <c r="AJ953" s="115"/>
      <c r="AK953" s="180"/>
      <c r="AL953" s="117"/>
      <c r="AM953" s="117"/>
      <c r="AN953" s="117"/>
      <c r="AO953" s="338"/>
      <c r="AP953" s="338"/>
      <c r="AQ953" s="338"/>
      <c r="AR953" s="338"/>
      <c r="AS953" s="338"/>
      <c r="AT953" s="338"/>
      <c r="AU953" s="338"/>
      <c r="AV953" s="338"/>
      <c r="AW953" s="338"/>
      <c r="AX953" s="338"/>
      <c r="AY953" s="338"/>
      <c r="AZ953" s="338"/>
      <c r="BA953" s="338"/>
      <c r="BB953" s="338"/>
      <c r="BC953" s="338"/>
    </row>
    <row r="954">
      <c r="A954" s="115"/>
      <c r="B954" s="180"/>
      <c r="C954" s="117"/>
      <c r="D954" s="117"/>
      <c r="E954" s="117"/>
      <c r="F954" s="115"/>
      <c r="G954" s="180"/>
      <c r="H954" s="117"/>
      <c r="I954" s="117"/>
      <c r="J954" s="117"/>
      <c r="K954" s="92"/>
      <c r="L954" s="180"/>
      <c r="M954" s="117"/>
      <c r="N954" s="117"/>
      <c r="O954" s="117"/>
      <c r="P954" s="92"/>
      <c r="Q954" s="150"/>
      <c r="R954" s="117"/>
      <c r="S954" s="117"/>
      <c r="T954" s="117"/>
      <c r="U954" s="115"/>
      <c r="V954" s="180"/>
      <c r="W954" s="117"/>
      <c r="X954" s="117"/>
      <c r="Y954" s="117"/>
      <c r="Z954" s="115"/>
      <c r="AA954" s="180"/>
      <c r="AB954" s="117"/>
      <c r="AC954" s="117"/>
      <c r="AD954" s="117"/>
      <c r="AE954" s="115"/>
      <c r="AF954" s="180"/>
      <c r="AG954" s="117"/>
      <c r="AH954" s="117"/>
      <c r="AI954" s="117"/>
      <c r="AJ954" s="115"/>
      <c r="AK954" s="180"/>
      <c r="AL954" s="117"/>
      <c r="AM954" s="117"/>
      <c r="AN954" s="117"/>
      <c r="AO954" s="338"/>
      <c r="AP954" s="338"/>
      <c r="AQ954" s="338"/>
      <c r="AR954" s="338"/>
      <c r="AS954" s="338"/>
      <c r="AT954" s="338"/>
      <c r="AU954" s="338"/>
      <c r="AV954" s="338"/>
      <c r="AW954" s="338"/>
      <c r="AX954" s="338"/>
      <c r="AY954" s="338"/>
      <c r="AZ954" s="338"/>
      <c r="BA954" s="338"/>
      <c r="BB954" s="338"/>
      <c r="BC954" s="338"/>
    </row>
    <row r="955">
      <c r="A955" s="115"/>
      <c r="B955" s="180"/>
      <c r="C955" s="117"/>
      <c r="D955" s="117"/>
      <c r="E955" s="117"/>
      <c r="F955" s="115"/>
      <c r="G955" s="180"/>
      <c r="H955" s="117"/>
      <c r="I955" s="117"/>
      <c r="J955" s="117"/>
      <c r="K955" s="92"/>
      <c r="L955" s="180"/>
      <c r="M955" s="117"/>
      <c r="N955" s="117"/>
      <c r="O955" s="117"/>
      <c r="P955" s="92"/>
      <c r="Q955" s="150"/>
      <c r="R955" s="117"/>
      <c r="S955" s="117"/>
      <c r="T955" s="117"/>
      <c r="U955" s="115"/>
      <c r="V955" s="180"/>
      <c r="W955" s="117"/>
      <c r="X955" s="117"/>
      <c r="Y955" s="117"/>
      <c r="Z955" s="115"/>
      <c r="AA955" s="180"/>
      <c r="AB955" s="117"/>
      <c r="AC955" s="117"/>
      <c r="AD955" s="117"/>
      <c r="AE955" s="115"/>
      <c r="AF955" s="180"/>
      <c r="AG955" s="117"/>
      <c r="AH955" s="117"/>
      <c r="AI955" s="117"/>
      <c r="AJ955" s="115"/>
      <c r="AK955" s="180"/>
      <c r="AL955" s="117"/>
      <c r="AM955" s="117"/>
      <c r="AN955" s="117"/>
      <c r="AO955" s="338"/>
      <c r="AP955" s="338"/>
      <c r="AQ955" s="338"/>
      <c r="AR955" s="338"/>
      <c r="AS955" s="338"/>
      <c r="AT955" s="338"/>
      <c r="AU955" s="338"/>
      <c r="AV955" s="338"/>
      <c r="AW955" s="338"/>
      <c r="AX955" s="338"/>
      <c r="AY955" s="338"/>
      <c r="AZ955" s="338"/>
      <c r="BA955" s="338"/>
      <c r="BB955" s="338"/>
      <c r="BC955" s="338"/>
    </row>
    <row r="956">
      <c r="A956" s="115"/>
      <c r="B956" s="180"/>
      <c r="C956" s="117"/>
      <c r="D956" s="117"/>
      <c r="E956" s="117"/>
      <c r="F956" s="115"/>
      <c r="G956" s="180"/>
      <c r="H956" s="117"/>
      <c r="I956" s="117"/>
      <c r="J956" s="117"/>
      <c r="K956" s="92"/>
      <c r="L956" s="180"/>
      <c r="M956" s="117"/>
      <c r="N956" s="117"/>
      <c r="O956" s="117"/>
      <c r="P956" s="92"/>
      <c r="Q956" s="150"/>
      <c r="R956" s="117"/>
      <c r="S956" s="117"/>
      <c r="T956" s="117"/>
      <c r="U956" s="115"/>
      <c r="V956" s="180"/>
      <c r="W956" s="117"/>
      <c r="X956" s="117"/>
      <c r="Y956" s="117"/>
      <c r="Z956" s="115"/>
      <c r="AA956" s="180"/>
      <c r="AB956" s="117"/>
      <c r="AC956" s="117"/>
      <c r="AD956" s="117"/>
      <c r="AE956" s="115"/>
      <c r="AF956" s="180"/>
      <c r="AG956" s="117"/>
      <c r="AH956" s="117"/>
      <c r="AI956" s="117"/>
      <c r="AJ956" s="115"/>
      <c r="AK956" s="180"/>
      <c r="AL956" s="117"/>
      <c r="AM956" s="117"/>
      <c r="AN956" s="117"/>
      <c r="AO956" s="338"/>
      <c r="AP956" s="338"/>
      <c r="AQ956" s="338"/>
      <c r="AR956" s="338"/>
      <c r="AS956" s="338"/>
      <c r="AT956" s="338"/>
      <c r="AU956" s="338"/>
      <c r="AV956" s="338"/>
      <c r="AW956" s="338"/>
      <c r="AX956" s="338"/>
      <c r="AY956" s="338"/>
      <c r="AZ956" s="338"/>
      <c r="BA956" s="338"/>
      <c r="BB956" s="338"/>
      <c r="BC956" s="338"/>
    </row>
    <row r="957">
      <c r="A957" s="115"/>
      <c r="B957" s="180"/>
      <c r="C957" s="117"/>
      <c r="D957" s="117"/>
      <c r="E957" s="117"/>
      <c r="F957" s="115"/>
      <c r="G957" s="180"/>
      <c r="H957" s="117"/>
      <c r="I957" s="117"/>
      <c r="J957" s="117"/>
      <c r="K957" s="92"/>
      <c r="L957" s="180"/>
      <c r="M957" s="117"/>
      <c r="N957" s="117"/>
      <c r="O957" s="117"/>
      <c r="P957" s="92"/>
      <c r="Q957" s="150"/>
      <c r="R957" s="117"/>
      <c r="S957" s="117"/>
      <c r="T957" s="117"/>
      <c r="U957" s="115"/>
      <c r="V957" s="180"/>
      <c r="W957" s="117"/>
      <c r="X957" s="117"/>
      <c r="Y957" s="117"/>
      <c r="Z957" s="115"/>
      <c r="AA957" s="180"/>
      <c r="AB957" s="117"/>
      <c r="AC957" s="117"/>
      <c r="AD957" s="117"/>
      <c r="AE957" s="115"/>
      <c r="AF957" s="180"/>
      <c r="AG957" s="117"/>
      <c r="AH957" s="117"/>
      <c r="AI957" s="117"/>
      <c r="AJ957" s="115"/>
      <c r="AK957" s="180"/>
      <c r="AL957" s="117"/>
      <c r="AM957" s="117"/>
      <c r="AN957" s="117"/>
      <c r="AO957" s="338"/>
      <c r="AP957" s="338"/>
      <c r="AQ957" s="338"/>
      <c r="AR957" s="338"/>
      <c r="AS957" s="338"/>
      <c r="AT957" s="338"/>
      <c r="AU957" s="338"/>
      <c r="AV957" s="338"/>
      <c r="AW957" s="338"/>
      <c r="AX957" s="338"/>
      <c r="AY957" s="338"/>
      <c r="AZ957" s="338"/>
      <c r="BA957" s="338"/>
      <c r="BB957" s="338"/>
      <c r="BC957" s="338"/>
    </row>
    <row r="958">
      <c r="A958" s="115"/>
      <c r="B958" s="180"/>
      <c r="C958" s="117"/>
      <c r="D958" s="117"/>
      <c r="E958" s="117"/>
      <c r="F958" s="115"/>
      <c r="G958" s="180"/>
      <c r="H958" s="117"/>
      <c r="I958" s="117"/>
      <c r="J958" s="117"/>
      <c r="K958" s="92"/>
      <c r="L958" s="180"/>
      <c r="M958" s="117"/>
      <c r="N958" s="117"/>
      <c r="O958" s="117"/>
      <c r="P958" s="92"/>
      <c r="Q958" s="150"/>
      <c r="R958" s="117"/>
      <c r="S958" s="117"/>
      <c r="T958" s="117"/>
      <c r="U958" s="115"/>
      <c r="V958" s="180"/>
      <c r="W958" s="117"/>
      <c r="X958" s="117"/>
      <c r="Y958" s="117"/>
      <c r="Z958" s="115"/>
      <c r="AA958" s="180"/>
      <c r="AB958" s="117"/>
      <c r="AC958" s="117"/>
      <c r="AD958" s="117"/>
      <c r="AE958" s="115"/>
      <c r="AF958" s="180"/>
      <c r="AG958" s="117"/>
      <c r="AH958" s="117"/>
      <c r="AI958" s="117"/>
      <c r="AJ958" s="115"/>
      <c r="AK958" s="180"/>
      <c r="AL958" s="117"/>
      <c r="AM958" s="117"/>
      <c r="AN958" s="117"/>
      <c r="AO958" s="338"/>
      <c r="AP958" s="338"/>
      <c r="AQ958" s="338"/>
      <c r="AR958" s="338"/>
      <c r="AS958" s="338"/>
      <c r="AT958" s="338"/>
      <c r="AU958" s="338"/>
      <c r="AV958" s="338"/>
      <c r="AW958" s="338"/>
      <c r="AX958" s="338"/>
      <c r="AY958" s="338"/>
      <c r="AZ958" s="338"/>
      <c r="BA958" s="338"/>
      <c r="BB958" s="338"/>
      <c r="BC958" s="338"/>
    </row>
    <row r="959">
      <c r="A959" s="115"/>
      <c r="B959" s="180"/>
      <c r="C959" s="117"/>
      <c r="D959" s="117"/>
      <c r="E959" s="117"/>
      <c r="F959" s="115"/>
      <c r="G959" s="180"/>
      <c r="H959" s="117"/>
      <c r="I959" s="117"/>
      <c r="J959" s="117"/>
      <c r="K959" s="92"/>
      <c r="L959" s="180"/>
      <c r="M959" s="117"/>
      <c r="N959" s="117"/>
      <c r="O959" s="117"/>
      <c r="P959" s="92"/>
      <c r="Q959" s="150"/>
      <c r="R959" s="117"/>
      <c r="S959" s="117"/>
      <c r="T959" s="117"/>
      <c r="U959" s="115"/>
      <c r="V959" s="180"/>
      <c r="W959" s="117"/>
      <c r="X959" s="117"/>
      <c r="Y959" s="117"/>
      <c r="Z959" s="115"/>
      <c r="AA959" s="180"/>
      <c r="AB959" s="117"/>
      <c r="AC959" s="117"/>
      <c r="AD959" s="117"/>
      <c r="AE959" s="115"/>
      <c r="AF959" s="180"/>
      <c r="AG959" s="117"/>
      <c r="AH959" s="117"/>
      <c r="AI959" s="117"/>
      <c r="AJ959" s="115"/>
      <c r="AK959" s="180"/>
      <c r="AL959" s="117"/>
      <c r="AM959" s="117"/>
      <c r="AN959" s="117"/>
      <c r="AO959" s="338"/>
      <c r="AP959" s="338"/>
      <c r="AQ959" s="338"/>
      <c r="AR959" s="338"/>
      <c r="AS959" s="338"/>
      <c r="AT959" s="338"/>
      <c r="AU959" s="338"/>
      <c r="AV959" s="338"/>
      <c r="AW959" s="338"/>
      <c r="AX959" s="338"/>
      <c r="AY959" s="338"/>
      <c r="AZ959" s="338"/>
      <c r="BA959" s="338"/>
      <c r="BB959" s="338"/>
      <c r="BC959" s="338"/>
    </row>
    <row r="960">
      <c r="A960" s="115"/>
      <c r="B960" s="180"/>
      <c r="C960" s="117"/>
      <c r="D960" s="117"/>
      <c r="E960" s="117"/>
      <c r="F960" s="115"/>
      <c r="G960" s="180"/>
      <c r="H960" s="117"/>
      <c r="I960" s="117"/>
      <c r="J960" s="117"/>
      <c r="K960" s="92"/>
      <c r="L960" s="180"/>
      <c r="M960" s="117"/>
      <c r="N960" s="117"/>
      <c r="O960" s="117"/>
      <c r="P960" s="92"/>
      <c r="Q960" s="150"/>
      <c r="R960" s="117"/>
      <c r="S960" s="117"/>
      <c r="T960" s="117"/>
      <c r="U960" s="115"/>
      <c r="V960" s="180"/>
      <c r="W960" s="117"/>
      <c r="X960" s="117"/>
      <c r="Y960" s="117"/>
      <c r="Z960" s="115"/>
      <c r="AA960" s="180"/>
      <c r="AB960" s="117"/>
      <c r="AC960" s="117"/>
      <c r="AD960" s="117"/>
      <c r="AE960" s="115"/>
      <c r="AF960" s="180"/>
      <c r="AG960" s="117"/>
      <c r="AH960" s="117"/>
      <c r="AI960" s="117"/>
      <c r="AJ960" s="115"/>
      <c r="AK960" s="180"/>
      <c r="AL960" s="117"/>
      <c r="AM960" s="117"/>
      <c r="AN960" s="117"/>
      <c r="AO960" s="338"/>
      <c r="AP960" s="338"/>
      <c r="AQ960" s="338"/>
      <c r="AR960" s="338"/>
      <c r="AS960" s="338"/>
      <c r="AT960" s="338"/>
      <c r="AU960" s="338"/>
      <c r="AV960" s="338"/>
      <c r="AW960" s="338"/>
      <c r="AX960" s="338"/>
      <c r="AY960" s="338"/>
      <c r="AZ960" s="338"/>
      <c r="BA960" s="338"/>
      <c r="BB960" s="338"/>
      <c r="BC960" s="338"/>
    </row>
    <row r="961">
      <c r="A961" s="115"/>
      <c r="B961" s="180"/>
      <c r="C961" s="117"/>
      <c r="D961" s="117"/>
      <c r="E961" s="117"/>
      <c r="F961" s="115"/>
      <c r="G961" s="180"/>
      <c r="H961" s="117"/>
      <c r="I961" s="117"/>
      <c r="J961" s="117"/>
      <c r="K961" s="92"/>
      <c r="L961" s="180"/>
      <c r="M961" s="117"/>
      <c r="N961" s="117"/>
      <c r="O961" s="117"/>
      <c r="P961" s="92"/>
      <c r="Q961" s="150"/>
      <c r="R961" s="117"/>
      <c r="S961" s="117"/>
      <c r="T961" s="117"/>
      <c r="U961" s="115"/>
      <c r="V961" s="180"/>
      <c r="W961" s="117"/>
      <c r="X961" s="117"/>
      <c r="Y961" s="117"/>
      <c r="Z961" s="115"/>
      <c r="AA961" s="180"/>
      <c r="AB961" s="117"/>
      <c r="AC961" s="117"/>
      <c r="AD961" s="117"/>
      <c r="AE961" s="115"/>
      <c r="AF961" s="180"/>
      <c r="AG961" s="117"/>
      <c r="AH961" s="117"/>
      <c r="AI961" s="117"/>
      <c r="AJ961" s="115"/>
      <c r="AK961" s="180"/>
      <c r="AL961" s="117"/>
      <c r="AM961" s="117"/>
      <c r="AN961" s="117"/>
      <c r="AO961" s="338"/>
      <c r="AP961" s="338"/>
      <c r="AQ961" s="338"/>
      <c r="AR961" s="338"/>
      <c r="AS961" s="338"/>
      <c r="AT961" s="338"/>
      <c r="AU961" s="338"/>
      <c r="AV961" s="338"/>
      <c r="AW961" s="338"/>
      <c r="AX961" s="338"/>
      <c r="AY961" s="338"/>
      <c r="AZ961" s="338"/>
      <c r="BA961" s="338"/>
      <c r="BB961" s="338"/>
      <c r="BC961" s="338"/>
    </row>
    <row r="962">
      <c r="A962" s="115"/>
      <c r="B962" s="180"/>
      <c r="C962" s="117"/>
      <c r="D962" s="117"/>
      <c r="E962" s="117"/>
      <c r="F962" s="115"/>
      <c r="G962" s="180"/>
      <c r="H962" s="117"/>
      <c r="I962" s="117"/>
      <c r="J962" s="117"/>
      <c r="K962" s="92"/>
      <c r="L962" s="180"/>
      <c r="M962" s="117"/>
      <c r="N962" s="117"/>
      <c r="O962" s="117"/>
      <c r="P962" s="92"/>
      <c r="Q962" s="150"/>
      <c r="R962" s="117"/>
      <c r="S962" s="117"/>
      <c r="T962" s="117"/>
      <c r="U962" s="115"/>
      <c r="V962" s="180"/>
      <c r="W962" s="117"/>
      <c r="X962" s="117"/>
      <c r="Y962" s="117"/>
      <c r="Z962" s="115"/>
      <c r="AA962" s="180"/>
      <c r="AB962" s="117"/>
      <c r="AC962" s="117"/>
      <c r="AD962" s="117"/>
      <c r="AE962" s="115"/>
      <c r="AF962" s="180"/>
      <c r="AG962" s="117"/>
      <c r="AH962" s="117"/>
      <c r="AI962" s="117"/>
      <c r="AJ962" s="115"/>
      <c r="AK962" s="180"/>
      <c r="AL962" s="117"/>
      <c r="AM962" s="117"/>
      <c r="AN962" s="117"/>
      <c r="AO962" s="338"/>
      <c r="AP962" s="338"/>
      <c r="AQ962" s="338"/>
      <c r="AR962" s="338"/>
      <c r="AS962" s="338"/>
      <c r="AT962" s="338"/>
      <c r="AU962" s="338"/>
      <c r="AV962" s="338"/>
      <c r="AW962" s="338"/>
      <c r="AX962" s="338"/>
      <c r="AY962" s="338"/>
      <c r="AZ962" s="338"/>
      <c r="BA962" s="338"/>
      <c r="BB962" s="338"/>
      <c r="BC962" s="338"/>
    </row>
    <row r="963">
      <c r="A963" s="115"/>
      <c r="B963" s="180"/>
      <c r="C963" s="117"/>
      <c r="D963" s="117"/>
      <c r="E963" s="117"/>
      <c r="F963" s="115"/>
      <c r="G963" s="180"/>
      <c r="H963" s="117"/>
      <c r="I963" s="117"/>
      <c r="J963" s="117"/>
      <c r="K963" s="92"/>
      <c r="L963" s="180"/>
      <c r="M963" s="117"/>
      <c r="N963" s="117"/>
      <c r="O963" s="117"/>
      <c r="P963" s="92"/>
      <c r="Q963" s="150"/>
      <c r="R963" s="117"/>
      <c r="S963" s="117"/>
      <c r="T963" s="117"/>
      <c r="U963" s="115"/>
      <c r="V963" s="180"/>
      <c r="W963" s="117"/>
      <c r="X963" s="117"/>
      <c r="Y963" s="117"/>
      <c r="Z963" s="115"/>
      <c r="AA963" s="180"/>
      <c r="AB963" s="117"/>
      <c r="AC963" s="117"/>
      <c r="AD963" s="117"/>
      <c r="AE963" s="115"/>
      <c r="AF963" s="180"/>
      <c r="AG963" s="117"/>
      <c r="AH963" s="117"/>
      <c r="AI963" s="117"/>
      <c r="AJ963" s="115"/>
      <c r="AK963" s="180"/>
      <c r="AL963" s="117"/>
      <c r="AM963" s="117"/>
      <c r="AN963" s="117"/>
      <c r="AO963" s="338"/>
      <c r="AP963" s="338"/>
      <c r="AQ963" s="338"/>
      <c r="AR963" s="338"/>
      <c r="AS963" s="338"/>
      <c r="AT963" s="338"/>
      <c r="AU963" s="338"/>
      <c r="AV963" s="338"/>
      <c r="AW963" s="338"/>
      <c r="AX963" s="338"/>
      <c r="AY963" s="338"/>
      <c r="AZ963" s="338"/>
      <c r="BA963" s="338"/>
      <c r="BB963" s="338"/>
      <c r="BC963" s="338"/>
    </row>
    <row r="964">
      <c r="A964" s="115"/>
      <c r="B964" s="180"/>
      <c r="C964" s="117"/>
      <c r="D964" s="117"/>
      <c r="E964" s="117"/>
      <c r="F964" s="115"/>
      <c r="G964" s="180"/>
      <c r="H964" s="117"/>
      <c r="I964" s="117"/>
      <c r="J964" s="117"/>
      <c r="K964" s="92"/>
      <c r="L964" s="180"/>
      <c r="M964" s="117"/>
      <c r="N964" s="117"/>
      <c r="O964" s="117"/>
      <c r="P964" s="92"/>
      <c r="Q964" s="150"/>
      <c r="R964" s="117"/>
      <c r="S964" s="117"/>
      <c r="T964" s="117"/>
      <c r="U964" s="115"/>
      <c r="V964" s="180"/>
      <c r="W964" s="117"/>
      <c r="X964" s="117"/>
      <c r="Y964" s="117"/>
      <c r="Z964" s="115"/>
      <c r="AA964" s="180"/>
      <c r="AB964" s="117"/>
      <c r="AC964" s="117"/>
      <c r="AD964" s="117"/>
      <c r="AE964" s="115"/>
      <c r="AF964" s="180"/>
      <c r="AG964" s="117"/>
      <c r="AH964" s="117"/>
      <c r="AI964" s="117"/>
      <c r="AJ964" s="115"/>
      <c r="AK964" s="180"/>
      <c r="AL964" s="117"/>
      <c r="AM964" s="117"/>
      <c r="AN964" s="117"/>
      <c r="AO964" s="338"/>
      <c r="AP964" s="338"/>
      <c r="AQ964" s="338"/>
      <c r="AR964" s="338"/>
      <c r="AS964" s="338"/>
      <c r="AT964" s="338"/>
      <c r="AU964" s="338"/>
      <c r="AV964" s="338"/>
      <c r="AW964" s="338"/>
      <c r="AX964" s="338"/>
      <c r="AY964" s="338"/>
      <c r="AZ964" s="338"/>
      <c r="BA964" s="338"/>
      <c r="BB964" s="338"/>
      <c r="BC964" s="338"/>
    </row>
    <row r="965">
      <c r="A965" s="115"/>
      <c r="B965" s="180"/>
      <c r="C965" s="117"/>
      <c r="D965" s="117"/>
      <c r="E965" s="117"/>
      <c r="F965" s="115"/>
      <c r="G965" s="180"/>
      <c r="H965" s="117"/>
      <c r="I965" s="117"/>
      <c r="J965" s="117"/>
      <c r="K965" s="92"/>
      <c r="L965" s="180"/>
      <c r="M965" s="117"/>
      <c r="N965" s="117"/>
      <c r="O965" s="117"/>
      <c r="P965" s="92"/>
      <c r="Q965" s="150"/>
      <c r="R965" s="117"/>
      <c r="S965" s="117"/>
      <c r="T965" s="117"/>
      <c r="U965" s="115"/>
      <c r="V965" s="180"/>
      <c r="W965" s="117"/>
      <c r="X965" s="117"/>
      <c r="Y965" s="117"/>
      <c r="Z965" s="115"/>
      <c r="AA965" s="180"/>
      <c r="AB965" s="117"/>
      <c r="AC965" s="117"/>
      <c r="AD965" s="117"/>
      <c r="AE965" s="115"/>
      <c r="AF965" s="180"/>
      <c r="AG965" s="117"/>
      <c r="AH965" s="117"/>
      <c r="AI965" s="117"/>
      <c r="AJ965" s="115"/>
      <c r="AK965" s="180"/>
      <c r="AL965" s="117"/>
      <c r="AM965" s="117"/>
      <c r="AN965" s="117"/>
      <c r="AO965" s="338"/>
      <c r="AP965" s="338"/>
      <c r="AQ965" s="338"/>
      <c r="AR965" s="338"/>
      <c r="AS965" s="338"/>
      <c r="AT965" s="338"/>
      <c r="AU965" s="338"/>
      <c r="AV965" s="338"/>
      <c r="AW965" s="338"/>
      <c r="AX965" s="338"/>
      <c r="AY965" s="338"/>
      <c r="AZ965" s="338"/>
      <c r="BA965" s="338"/>
      <c r="BB965" s="338"/>
      <c r="BC965" s="338"/>
    </row>
    <row r="966">
      <c r="A966" s="115"/>
      <c r="B966" s="180"/>
      <c r="C966" s="117"/>
      <c r="D966" s="117"/>
      <c r="E966" s="117"/>
      <c r="F966" s="115"/>
      <c r="G966" s="180"/>
      <c r="H966" s="117"/>
      <c r="I966" s="117"/>
      <c r="J966" s="117"/>
      <c r="K966" s="92"/>
      <c r="L966" s="180"/>
      <c r="M966" s="117"/>
      <c r="N966" s="117"/>
      <c r="O966" s="117"/>
      <c r="P966" s="92"/>
      <c r="Q966" s="150"/>
      <c r="R966" s="117"/>
      <c r="S966" s="117"/>
      <c r="T966" s="117"/>
      <c r="U966" s="115"/>
      <c r="V966" s="180"/>
      <c r="W966" s="117"/>
      <c r="X966" s="117"/>
      <c r="Y966" s="117"/>
      <c r="Z966" s="115"/>
      <c r="AA966" s="180"/>
      <c r="AB966" s="117"/>
      <c r="AC966" s="117"/>
      <c r="AD966" s="117"/>
      <c r="AE966" s="115"/>
      <c r="AF966" s="180"/>
      <c r="AG966" s="117"/>
      <c r="AH966" s="117"/>
      <c r="AI966" s="117"/>
      <c r="AJ966" s="115"/>
      <c r="AK966" s="180"/>
      <c r="AL966" s="117"/>
      <c r="AM966" s="117"/>
      <c r="AN966" s="117"/>
      <c r="AO966" s="338"/>
      <c r="AP966" s="338"/>
      <c r="AQ966" s="338"/>
      <c r="AR966" s="338"/>
      <c r="AS966" s="338"/>
      <c r="AT966" s="338"/>
      <c r="AU966" s="338"/>
      <c r="AV966" s="338"/>
      <c r="AW966" s="338"/>
      <c r="AX966" s="338"/>
      <c r="AY966" s="338"/>
      <c r="AZ966" s="338"/>
      <c r="BA966" s="338"/>
      <c r="BB966" s="338"/>
      <c r="BC966" s="338"/>
    </row>
    <row r="967">
      <c r="A967" s="115"/>
      <c r="B967" s="180"/>
      <c r="C967" s="117"/>
      <c r="D967" s="117"/>
      <c r="E967" s="117"/>
      <c r="F967" s="115"/>
      <c r="G967" s="180"/>
      <c r="H967" s="117"/>
      <c r="I967" s="117"/>
      <c r="J967" s="117"/>
      <c r="K967" s="92"/>
      <c r="L967" s="180"/>
      <c r="M967" s="117"/>
      <c r="N967" s="117"/>
      <c r="O967" s="117"/>
      <c r="P967" s="92"/>
      <c r="Q967" s="150"/>
      <c r="R967" s="117"/>
      <c r="S967" s="117"/>
      <c r="T967" s="117"/>
      <c r="U967" s="115"/>
      <c r="V967" s="180"/>
      <c r="W967" s="117"/>
      <c r="X967" s="117"/>
      <c r="Y967" s="117"/>
      <c r="Z967" s="115"/>
      <c r="AA967" s="180"/>
      <c r="AB967" s="117"/>
      <c r="AC967" s="117"/>
      <c r="AD967" s="117"/>
      <c r="AE967" s="115"/>
      <c r="AF967" s="180"/>
      <c r="AG967" s="117"/>
      <c r="AH967" s="117"/>
      <c r="AI967" s="117"/>
      <c r="AJ967" s="115"/>
      <c r="AK967" s="180"/>
      <c r="AL967" s="117"/>
      <c r="AM967" s="117"/>
      <c r="AN967" s="117"/>
      <c r="AO967" s="338"/>
      <c r="AP967" s="338"/>
      <c r="AQ967" s="338"/>
      <c r="AR967" s="338"/>
      <c r="AS967" s="338"/>
      <c r="AT967" s="338"/>
      <c r="AU967" s="338"/>
      <c r="AV967" s="338"/>
      <c r="AW967" s="338"/>
      <c r="AX967" s="338"/>
      <c r="AY967" s="338"/>
      <c r="AZ967" s="338"/>
      <c r="BA967" s="338"/>
      <c r="BB967" s="338"/>
      <c r="BC967" s="338"/>
    </row>
    <row r="968">
      <c r="A968" s="115"/>
      <c r="B968" s="180"/>
      <c r="C968" s="117"/>
      <c r="D968" s="117"/>
      <c r="E968" s="117"/>
      <c r="F968" s="115"/>
      <c r="G968" s="180"/>
      <c r="H968" s="117"/>
      <c r="I968" s="117"/>
      <c r="J968" s="117"/>
      <c r="K968" s="92"/>
      <c r="L968" s="180"/>
      <c r="M968" s="117"/>
      <c r="N968" s="117"/>
      <c r="O968" s="117"/>
      <c r="P968" s="92"/>
      <c r="Q968" s="150"/>
      <c r="R968" s="117"/>
      <c r="S968" s="117"/>
      <c r="T968" s="117"/>
      <c r="U968" s="115"/>
      <c r="V968" s="180"/>
      <c r="W968" s="117"/>
      <c r="X968" s="117"/>
      <c r="Y968" s="117"/>
      <c r="Z968" s="115"/>
      <c r="AA968" s="180"/>
      <c r="AB968" s="117"/>
      <c r="AC968" s="117"/>
      <c r="AD968" s="117"/>
      <c r="AE968" s="115"/>
      <c r="AF968" s="180"/>
      <c r="AG968" s="117"/>
      <c r="AH968" s="117"/>
      <c r="AI968" s="117"/>
      <c r="AJ968" s="115"/>
      <c r="AK968" s="180"/>
      <c r="AL968" s="117"/>
      <c r="AM968" s="117"/>
      <c r="AN968" s="117"/>
      <c r="AO968" s="338"/>
      <c r="AP968" s="338"/>
      <c r="AQ968" s="338"/>
      <c r="AR968" s="338"/>
      <c r="AS968" s="338"/>
      <c r="AT968" s="338"/>
      <c r="AU968" s="338"/>
      <c r="AV968" s="338"/>
      <c r="AW968" s="338"/>
      <c r="AX968" s="338"/>
      <c r="AY968" s="338"/>
      <c r="AZ968" s="338"/>
      <c r="BA968" s="338"/>
      <c r="BB968" s="338"/>
      <c r="BC968" s="338"/>
    </row>
    <row r="969">
      <c r="A969" s="115"/>
      <c r="B969" s="180"/>
      <c r="C969" s="117"/>
      <c r="D969" s="117"/>
      <c r="E969" s="117"/>
      <c r="F969" s="115"/>
      <c r="G969" s="180"/>
      <c r="H969" s="117"/>
      <c r="I969" s="117"/>
      <c r="J969" s="117"/>
      <c r="K969" s="92"/>
      <c r="L969" s="180"/>
      <c r="M969" s="117"/>
      <c r="N969" s="117"/>
      <c r="O969" s="117"/>
      <c r="P969" s="92"/>
      <c r="Q969" s="150"/>
      <c r="R969" s="117"/>
      <c r="S969" s="117"/>
      <c r="T969" s="117"/>
      <c r="U969" s="115"/>
      <c r="V969" s="180"/>
      <c r="W969" s="117"/>
      <c r="X969" s="117"/>
      <c r="Y969" s="117"/>
      <c r="Z969" s="115"/>
      <c r="AA969" s="180"/>
      <c r="AB969" s="117"/>
      <c r="AC969" s="117"/>
      <c r="AD969" s="117"/>
      <c r="AE969" s="115"/>
      <c r="AF969" s="180"/>
      <c r="AG969" s="117"/>
      <c r="AH969" s="117"/>
      <c r="AI969" s="117"/>
      <c r="AJ969" s="115"/>
      <c r="AK969" s="180"/>
      <c r="AL969" s="117"/>
      <c r="AM969" s="117"/>
      <c r="AN969" s="117"/>
      <c r="AO969" s="338"/>
      <c r="AP969" s="338"/>
      <c r="AQ969" s="338"/>
      <c r="AR969" s="338"/>
      <c r="AS969" s="338"/>
      <c r="AT969" s="338"/>
      <c r="AU969" s="338"/>
      <c r="AV969" s="338"/>
      <c r="AW969" s="338"/>
      <c r="AX969" s="338"/>
      <c r="AY969" s="338"/>
      <c r="AZ969" s="338"/>
      <c r="BA969" s="338"/>
      <c r="BB969" s="338"/>
      <c r="BC969" s="338"/>
    </row>
    <row r="970">
      <c r="A970" s="115"/>
      <c r="B970" s="180"/>
      <c r="C970" s="117"/>
      <c r="D970" s="117"/>
      <c r="E970" s="117"/>
      <c r="F970" s="115"/>
      <c r="G970" s="180"/>
      <c r="H970" s="117"/>
      <c r="I970" s="117"/>
      <c r="J970" s="117"/>
      <c r="K970" s="92"/>
      <c r="L970" s="180"/>
      <c r="M970" s="117"/>
      <c r="N970" s="117"/>
      <c r="O970" s="117"/>
      <c r="P970" s="92"/>
      <c r="Q970" s="150"/>
      <c r="R970" s="117"/>
      <c r="S970" s="117"/>
      <c r="T970" s="117"/>
      <c r="U970" s="115"/>
      <c r="V970" s="180"/>
      <c r="W970" s="117"/>
      <c r="X970" s="117"/>
      <c r="Y970" s="117"/>
      <c r="Z970" s="115"/>
      <c r="AA970" s="180"/>
      <c r="AB970" s="117"/>
      <c r="AC970" s="117"/>
      <c r="AD970" s="117"/>
      <c r="AE970" s="115"/>
      <c r="AF970" s="180"/>
      <c r="AG970" s="117"/>
      <c r="AH970" s="117"/>
      <c r="AI970" s="117"/>
      <c r="AJ970" s="115"/>
      <c r="AK970" s="180"/>
      <c r="AL970" s="117"/>
      <c r="AM970" s="117"/>
      <c r="AN970" s="117"/>
      <c r="AO970" s="338"/>
      <c r="AP970" s="338"/>
      <c r="AQ970" s="338"/>
      <c r="AR970" s="338"/>
      <c r="AS970" s="338"/>
      <c r="AT970" s="338"/>
      <c r="AU970" s="338"/>
      <c r="AV970" s="338"/>
      <c r="AW970" s="338"/>
      <c r="AX970" s="338"/>
      <c r="AY970" s="338"/>
      <c r="AZ970" s="338"/>
      <c r="BA970" s="338"/>
      <c r="BB970" s="338"/>
      <c r="BC970" s="338"/>
    </row>
    <row r="971">
      <c r="A971" s="115"/>
      <c r="B971" s="180"/>
      <c r="C971" s="117"/>
      <c r="D971" s="117"/>
      <c r="E971" s="117"/>
      <c r="F971" s="115"/>
      <c r="G971" s="180"/>
      <c r="H971" s="117"/>
      <c r="I971" s="117"/>
      <c r="J971" s="117"/>
      <c r="K971" s="92"/>
      <c r="L971" s="180"/>
      <c r="M971" s="117"/>
      <c r="N971" s="117"/>
      <c r="O971" s="117"/>
      <c r="P971" s="92"/>
      <c r="Q971" s="150"/>
      <c r="R971" s="117"/>
      <c r="S971" s="117"/>
      <c r="T971" s="117"/>
      <c r="U971" s="115"/>
      <c r="V971" s="180"/>
      <c r="W971" s="117"/>
      <c r="X971" s="117"/>
      <c r="Y971" s="117"/>
      <c r="Z971" s="115"/>
      <c r="AA971" s="180"/>
      <c r="AB971" s="117"/>
      <c r="AC971" s="117"/>
      <c r="AD971" s="117"/>
      <c r="AE971" s="115"/>
      <c r="AF971" s="180"/>
      <c r="AG971" s="117"/>
      <c r="AH971" s="117"/>
      <c r="AI971" s="117"/>
      <c r="AJ971" s="115"/>
      <c r="AK971" s="180"/>
      <c r="AL971" s="117"/>
      <c r="AM971" s="117"/>
      <c r="AN971" s="117"/>
      <c r="AO971" s="338"/>
      <c r="AP971" s="338"/>
      <c r="AQ971" s="338"/>
      <c r="AR971" s="338"/>
      <c r="AS971" s="338"/>
      <c r="AT971" s="338"/>
      <c r="AU971" s="338"/>
      <c r="AV971" s="338"/>
      <c r="AW971" s="338"/>
      <c r="AX971" s="338"/>
      <c r="AY971" s="338"/>
      <c r="AZ971" s="338"/>
      <c r="BA971" s="338"/>
      <c r="BB971" s="338"/>
      <c r="BC971" s="338"/>
    </row>
    <row r="972">
      <c r="A972" s="115"/>
      <c r="B972" s="180"/>
      <c r="C972" s="117"/>
      <c r="D972" s="117"/>
      <c r="E972" s="117"/>
      <c r="F972" s="115"/>
      <c r="G972" s="180"/>
      <c r="H972" s="117"/>
      <c r="I972" s="117"/>
      <c r="J972" s="117"/>
      <c r="K972" s="92"/>
      <c r="L972" s="180"/>
      <c r="M972" s="117"/>
      <c r="N972" s="117"/>
      <c r="O972" s="117"/>
      <c r="P972" s="92"/>
      <c r="Q972" s="150"/>
      <c r="R972" s="117"/>
      <c r="S972" s="117"/>
      <c r="T972" s="117"/>
      <c r="U972" s="115"/>
      <c r="V972" s="180"/>
      <c r="W972" s="117"/>
      <c r="X972" s="117"/>
      <c r="Y972" s="117"/>
      <c r="Z972" s="115"/>
      <c r="AA972" s="180"/>
      <c r="AB972" s="117"/>
      <c r="AC972" s="117"/>
      <c r="AD972" s="117"/>
      <c r="AE972" s="115"/>
      <c r="AF972" s="180"/>
      <c r="AG972" s="117"/>
      <c r="AH972" s="117"/>
      <c r="AI972" s="117"/>
      <c r="AJ972" s="115"/>
      <c r="AK972" s="180"/>
      <c r="AL972" s="117"/>
      <c r="AM972" s="117"/>
      <c r="AN972" s="117"/>
      <c r="AO972" s="338"/>
      <c r="AP972" s="338"/>
      <c r="AQ972" s="338"/>
      <c r="AR972" s="338"/>
      <c r="AS972" s="338"/>
      <c r="AT972" s="338"/>
      <c r="AU972" s="338"/>
      <c r="AV972" s="338"/>
      <c r="AW972" s="338"/>
      <c r="AX972" s="338"/>
      <c r="AY972" s="338"/>
      <c r="AZ972" s="338"/>
      <c r="BA972" s="338"/>
      <c r="BB972" s="338"/>
      <c r="BC972" s="338"/>
    </row>
    <row r="973">
      <c r="A973" s="115"/>
      <c r="B973" s="180"/>
      <c r="C973" s="117"/>
      <c r="D973" s="117"/>
      <c r="E973" s="117"/>
      <c r="F973" s="115"/>
      <c r="G973" s="180"/>
      <c r="H973" s="117"/>
      <c r="I973" s="117"/>
      <c r="J973" s="117"/>
      <c r="K973" s="92"/>
      <c r="L973" s="180"/>
      <c r="M973" s="117"/>
      <c r="N973" s="117"/>
      <c r="O973" s="117"/>
      <c r="P973" s="92"/>
      <c r="Q973" s="150"/>
      <c r="R973" s="117"/>
      <c r="S973" s="117"/>
      <c r="T973" s="117"/>
      <c r="U973" s="115"/>
      <c r="V973" s="180"/>
      <c r="W973" s="117"/>
      <c r="X973" s="117"/>
      <c r="Y973" s="117"/>
      <c r="Z973" s="115"/>
      <c r="AA973" s="180"/>
      <c r="AB973" s="117"/>
      <c r="AC973" s="117"/>
      <c r="AD973" s="117"/>
      <c r="AE973" s="115"/>
      <c r="AF973" s="180"/>
      <c r="AG973" s="117"/>
      <c r="AH973" s="117"/>
      <c r="AI973" s="117"/>
      <c r="AJ973" s="115"/>
      <c r="AK973" s="180"/>
      <c r="AL973" s="117"/>
      <c r="AM973" s="117"/>
      <c r="AN973" s="117"/>
      <c r="AO973" s="338"/>
      <c r="AP973" s="338"/>
      <c r="AQ973" s="338"/>
      <c r="AR973" s="338"/>
      <c r="AS973" s="338"/>
      <c r="AT973" s="338"/>
      <c r="AU973" s="338"/>
      <c r="AV973" s="338"/>
      <c r="AW973" s="338"/>
      <c r="AX973" s="338"/>
      <c r="AY973" s="338"/>
      <c r="AZ973" s="338"/>
      <c r="BA973" s="338"/>
      <c r="BB973" s="338"/>
      <c r="BC973" s="338"/>
    </row>
    <row r="974">
      <c r="A974" s="115"/>
      <c r="B974" s="180"/>
      <c r="C974" s="117"/>
      <c r="D974" s="117"/>
      <c r="E974" s="117"/>
      <c r="F974" s="115"/>
      <c r="G974" s="180"/>
      <c r="H974" s="117"/>
      <c r="I974" s="117"/>
      <c r="J974" s="117"/>
      <c r="K974" s="92"/>
      <c r="L974" s="180"/>
      <c r="M974" s="117"/>
      <c r="N974" s="117"/>
      <c r="O974" s="117"/>
      <c r="P974" s="92"/>
      <c r="Q974" s="150"/>
      <c r="R974" s="117"/>
      <c r="S974" s="117"/>
      <c r="T974" s="117"/>
      <c r="U974" s="115"/>
      <c r="V974" s="180"/>
      <c r="W974" s="117"/>
      <c r="X974" s="117"/>
      <c r="Y974" s="117"/>
      <c r="Z974" s="115"/>
      <c r="AA974" s="180"/>
      <c r="AB974" s="117"/>
      <c r="AC974" s="117"/>
      <c r="AD974" s="117"/>
      <c r="AE974" s="115"/>
      <c r="AF974" s="180"/>
      <c r="AG974" s="117"/>
      <c r="AH974" s="117"/>
      <c r="AI974" s="117"/>
      <c r="AJ974" s="115"/>
      <c r="AK974" s="180"/>
      <c r="AL974" s="117"/>
      <c r="AM974" s="117"/>
      <c r="AN974" s="117"/>
      <c r="AO974" s="338"/>
      <c r="AP974" s="338"/>
      <c r="AQ974" s="338"/>
      <c r="AR974" s="338"/>
      <c r="AS974" s="338"/>
      <c r="AT974" s="338"/>
      <c r="AU974" s="338"/>
      <c r="AV974" s="338"/>
      <c r="AW974" s="338"/>
      <c r="AX974" s="338"/>
      <c r="AY974" s="338"/>
      <c r="AZ974" s="338"/>
      <c r="BA974" s="338"/>
      <c r="BB974" s="338"/>
      <c r="BC974" s="338"/>
    </row>
    <row r="975">
      <c r="A975" s="115"/>
      <c r="B975" s="180"/>
      <c r="C975" s="117"/>
      <c r="D975" s="117"/>
      <c r="E975" s="117"/>
      <c r="F975" s="115"/>
      <c r="G975" s="180"/>
      <c r="H975" s="117"/>
      <c r="I975" s="117"/>
      <c r="J975" s="117"/>
      <c r="K975" s="92"/>
      <c r="L975" s="180"/>
      <c r="M975" s="117"/>
      <c r="N975" s="117"/>
      <c r="O975" s="117"/>
      <c r="P975" s="92"/>
      <c r="Q975" s="150"/>
      <c r="R975" s="117"/>
      <c r="S975" s="117"/>
      <c r="T975" s="117"/>
      <c r="U975" s="115"/>
      <c r="V975" s="180"/>
      <c r="W975" s="117"/>
      <c r="X975" s="117"/>
      <c r="Y975" s="117"/>
      <c r="Z975" s="115"/>
      <c r="AA975" s="180"/>
      <c r="AB975" s="117"/>
      <c r="AC975" s="117"/>
      <c r="AD975" s="117"/>
      <c r="AE975" s="115"/>
      <c r="AF975" s="180"/>
      <c r="AG975" s="117"/>
      <c r="AH975" s="117"/>
      <c r="AI975" s="117"/>
      <c r="AJ975" s="115"/>
      <c r="AK975" s="180"/>
      <c r="AL975" s="117"/>
      <c r="AM975" s="117"/>
      <c r="AN975" s="117"/>
      <c r="AO975" s="338"/>
      <c r="AP975" s="338"/>
      <c r="AQ975" s="338"/>
      <c r="AR975" s="338"/>
      <c r="AS975" s="338"/>
      <c r="AT975" s="338"/>
      <c r="AU975" s="338"/>
      <c r="AV975" s="338"/>
      <c r="AW975" s="338"/>
      <c r="AX975" s="338"/>
      <c r="AY975" s="338"/>
      <c r="AZ975" s="338"/>
      <c r="BA975" s="338"/>
      <c r="BB975" s="338"/>
      <c r="BC975" s="338"/>
    </row>
    <row r="976">
      <c r="A976" s="115"/>
      <c r="B976" s="180"/>
      <c r="C976" s="117"/>
      <c r="D976" s="117"/>
      <c r="E976" s="117"/>
      <c r="F976" s="115"/>
      <c r="G976" s="180"/>
      <c r="H976" s="117"/>
      <c r="I976" s="117"/>
      <c r="J976" s="117"/>
      <c r="K976" s="92"/>
      <c r="L976" s="180"/>
      <c r="M976" s="117"/>
      <c r="N976" s="117"/>
      <c r="O976" s="117"/>
      <c r="P976" s="92"/>
      <c r="Q976" s="150"/>
      <c r="R976" s="117"/>
      <c r="S976" s="117"/>
      <c r="T976" s="117"/>
      <c r="U976" s="115"/>
      <c r="V976" s="180"/>
      <c r="W976" s="117"/>
      <c r="X976" s="117"/>
      <c r="Y976" s="117"/>
      <c r="Z976" s="115"/>
      <c r="AA976" s="180"/>
      <c r="AB976" s="117"/>
      <c r="AC976" s="117"/>
      <c r="AD976" s="117"/>
      <c r="AE976" s="115"/>
      <c r="AF976" s="180"/>
      <c r="AG976" s="117"/>
      <c r="AH976" s="117"/>
      <c r="AI976" s="117"/>
      <c r="AJ976" s="115"/>
      <c r="AK976" s="180"/>
      <c r="AL976" s="117"/>
      <c r="AM976" s="117"/>
      <c r="AN976" s="117"/>
      <c r="AO976" s="338"/>
      <c r="AP976" s="338"/>
      <c r="AQ976" s="338"/>
      <c r="AR976" s="338"/>
      <c r="AS976" s="338"/>
      <c r="AT976" s="338"/>
      <c r="AU976" s="338"/>
      <c r="AV976" s="338"/>
      <c r="AW976" s="338"/>
      <c r="AX976" s="338"/>
      <c r="AY976" s="338"/>
      <c r="AZ976" s="338"/>
      <c r="BA976" s="338"/>
      <c r="BB976" s="338"/>
      <c r="BC976" s="338"/>
    </row>
    <row r="977">
      <c r="A977" s="115"/>
      <c r="B977" s="180"/>
      <c r="C977" s="117"/>
      <c r="D977" s="117"/>
      <c r="E977" s="117"/>
      <c r="F977" s="115"/>
      <c r="G977" s="180"/>
      <c r="H977" s="117"/>
      <c r="I977" s="117"/>
      <c r="J977" s="117"/>
      <c r="K977" s="92"/>
      <c r="L977" s="180"/>
      <c r="M977" s="117"/>
      <c r="N977" s="117"/>
      <c r="O977" s="117"/>
      <c r="P977" s="92"/>
      <c r="Q977" s="150"/>
      <c r="R977" s="117"/>
      <c r="S977" s="117"/>
      <c r="T977" s="117"/>
      <c r="U977" s="115"/>
      <c r="V977" s="180"/>
      <c r="W977" s="117"/>
      <c r="X977" s="117"/>
      <c r="Y977" s="117"/>
      <c r="Z977" s="115"/>
      <c r="AA977" s="180"/>
      <c r="AB977" s="117"/>
      <c r="AC977" s="117"/>
      <c r="AD977" s="117"/>
      <c r="AE977" s="115"/>
      <c r="AF977" s="180"/>
      <c r="AG977" s="117"/>
      <c r="AH977" s="117"/>
      <c r="AI977" s="117"/>
      <c r="AJ977" s="115"/>
      <c r="AK977" s="180"/>
      <c r="AL977" s="117"/>
      <c r="AM977" s="117"/>
      <c r="AN977" s="117"/>
      <c r="AO977" s="338"/>
      <c r="AP977" s="338"/>
      <c r="AQ977" s="338"/>
      <c r="AR977" s="338"/>
      <c r="AS977" s="338"/>
      <c r="AT977" s="338"/>
      <c r="AU977" s="338"/>
      <c r="AV977" s="338"/>
      <c r="AW977" s="338"/>
      <c r="AX977" s="338"/>
      <c r="AY977" s="338"/>
      <c r="AZ977" s="338"/>
      <c r="BA977" s="338"/>
      <c r="BB977" s="338"/>
      <c r="BC977" s="338"/>
    </row>
    <row r="978">
      <c r="A978" s="115"/>
      <c r="B978" s="180"/>
      <c r="C978" s="117"/>
      <c r="D978" s="117"/>
      <c r="E978" s="117"/>
      <c r="F978" s="115"/>
      <c r="G978" s="180"/>
      <c r="H978" s="117"/>
      <c r="I978" s="117"/>
      <c r="J978" s="117"/>
      <c r="K978" s="92"/>
      <c r="L978" s="180"/>
      <c r="M978" s="117"/>
      <c r="N978" s="117"/>
      <c r="O978" s="117"/>
      <c r="P978" s="92"/>
      <c r="Q978" s="150"/>
      <c r="R978" s="117"/>
      <c r="S978" s="117"/>
      <c r="T978" s="117"/>
      <c r="U978" s="115"/>
      <c r="V978" s="180"/>
      <c r="W978" s="117"/>
      <c r="X978" s="117"/>
      <c r="Y978" s="117"/>
      <c r="Z978" s="115"/>
      <c r="AA978" s="180"/>
      <c r="AB978" s="117"/>
      <c r="AC978" s="117"/>
      <c r="AD978" s="117"/>
      <c r="AE978" s="115"/>
      <c r="AF978" s="180"/>
      <c r="AG978" s="117"/>
      <c r="AH978" s="117"/>
      <c r="AI978" s="117"/>
      <c r="AJ978" s="115"/>
      <c r="AK978" s="180"/>
      <c r="AL978" s="117"/>
      <c r="AM978" s="117"/>
      <c r="AN978" s="117"/>
      <c r="AO978" s="338"/>
      <c r="AP978" s="338"/>
      <c r="AQ978" s="338"/>
      <c r="AR978" s="338"/>
      <c r="AS978" s="338"/>
      <c r="AT978" s="338"/>
      <c r="AU978" s="338"/>
      <c r="AV978" s="338"/>
      <c r="AW978" s="338"/>
      <c r="AX978" s="338"/>
      <c r="AY978" s="338"/>
      <c r="AZ978" s="338"/>
      <c r="BA978" s="338"/>
      <c r="BB978" s="338"/>
      <c r="BC978" s="338"/>
    </row>
    <row r="979">
      <c r="A979" s="115"/>
      <c r="B979" s="180"/>
      <c r="C979" s="117"/>
      <c r="D979" s="117"/>
      <c r="E979" s="117"/>
      <c r="F979" s="115"/>
      <c r="G979" s="180"/>
      <c r="H979" s="117"/>
      <c r="I979" s="117"/>
      <c r="J979" s="117"/>
      <c r="K979" s="92"/>
      <c r="L979" s="180"/>
      <c r="M979" s="117"/>
      <c r="N979" s="117"/>
      <c r="O979" s="117"/>
      <c r="P979" s="92"/>
      <c r="Q979" s="150"/>
      <c r="R979" s="117"/>
      <c r="S979" s="117"/>
      <c r="T979" s="117"/>
      <c r="U979" s="115"/>
      <c r="V979" s="180"/>
      <c r="W979" s="117"/>
      <c r="X979" s="117"/>
      <c r="Y979" s="117"/>
      <c r="Z979" s="115"/>
      <c r="AA979" s="180"/>
      <c r="AB979" s="117"/>
      <c r="AC979" s="117"/>
      <c r="AD979" s="117"/>
      <c r="AE979" s="115"/>
      <c r="AF979" s="180"/>
      <c r="AG979" s="117"/>
      <c r="AH979" s="117"/>
      <c r="AI979" s="117"/>
      <c r="AJ979" s="115"/>
      <c r="AK979" s="180"/>
      <c r="AL979" s="117"/>
      <c r="AM979" s="117"/>
      <c r="AN979" s="117"/>
      <c r="AO979" s="338"/>
      <c r="AP979" s="338"/>
      <c r="AQ979" s="338"/>
      <c r="AR979" s="338"/>
      <c r="AS979" s="338"/>
      <c r="AT979" s="338"/>
      <c r="AU979" s="338"/>
      <c r="AV979" s="338"/>
      <c r="AW979" s="338"/>
      <c r="AX979" s="338"/>
      <c r="AY979" s="338"/>
      <c r="AZ979" s="338"/>
      <c r="BA979" s="338"/>
      <c r="BB979" s="338"/>
      <c r="BC979" s="338"/>
    </row>
    <row r="980">
      <c r="A980" s="115"/>
      <c r="B980" s="180"/>
      <c r="C980" s="117"/>
      <c r="D980" s="117"/>
      <c r="E980" s="117"/>
      <c r="F980" s="115"/>
      <c r="G980" s="180"/>
      <c r="H980" s="117"/>
      <c r="I980" s="117"/>
      <c r="J980" s="117"/>
      <c r="K980" s="92"/>
      <c r="L980" s="180"/>
      <c r="M980" s="117"/>
      <c r="N980" s="117"/>
      <c r="O980" s="117"/>
      <c r="P980" s="92"/>
      <c r="Q980" s="150"/>
      <c r="R980" s="117"/>
      <c r="S980" s="117"/>
      <c r="T980" s="117"/>
      <c r="U980" s="115"/>
      <c r="V980" s="180"/>
      <c r="W980" s="117"/>
      <c r="X980" s="117"/>
      <c r="Y980" s="117"/>
      <c r="Z980" s="115"/>
      <c r="AA980" s="180"/>
      <c r="AB980" s="117"/>
      <c r="AC980" s="117"/>
      <c r="AD980" s="117"/>
      <c r="AE980" s="115"/>
      <c r="AF980" s="180"/>
      <c r="AG980" s="117"/>
      <c r="AH980" s="117"/>
      <c r="AI980" s="117"/>
      <c r="AJ980" s="115"/>
      <c r="AK980" s="180"/>
      <c r="AL980" s="117"/>
      <c r="AM980" s="117"/>
      <c r="AN980" s="117"/>
      <c r="AO980" s="338"/>
      <c r="AP980" s="338"/>
      <c r="AQ980" s="338"/>
      <c r="AR980" s="338"/>
      <c r="AS980" s="338"/>
      <c r="AT980" s="338"/>
      <c r="AU980" s="338"/>
      <c r="AV980" s="338"/>
      <c r="AW980" s="338"/>
      <c r="AX980" s="338"/>
      <c r="AY980" s="338"/>
      <c r="AZ980" s="338"/>
      <c r="BA980" s="338"/>
      <c r="BB980" s="338"/>
      <c r="BC980" s="338"/>
    </row>
    <row r="981">
      <c r="A981" s="115"/>
      <c r="B981" s="180"/>
      <c r="C981" s="117"/>
      <c r="D981" s="117"/>
      <c r="E981" s="117"/>
      <c r="F981" s="115"/>
      <c r="G981" s="180"/>
      <c r="H981" s="117"/>
      <c r="I981" s="117"/>
      <c r="J981" s="117"/>
      <c r="K981" s="92"/>
      <c r="L981" s="180"/>
      <c r="M981" s="117"/>
      <c r="N981" s="117"/>
      <c r="O981" s="117"/>
      <c r="P981" s="92"/>
      <c r="Q981" s="150"/>
      <c r="R981" s="117"/>
      <c r="S981" s="117"/>
      <c r="T981" s="117"/>
      <c r="U981" s="115"/>
      <c r="V981" s="180"/>
      <c r="W981" s="117"/>
      <c r="X981" s="117"/>
      <c r="Y981" s="117"/>
      <c r="Z981" s="115"/>
      <c r="AA981" s="180"/>
      <c r="AB981" s="117"/>
      <c r="AC981" s="117"/>
      <c r="AD981" s="117"/>
      <c r="AE981" s="115"/>
      <c r="AF981" s="180"/>
      <c r="AG981" s="117"/>
      <c r="AH981" s="117"/>
      <c r="AI981" s="117"/>
      <c r="AJ981" s="115"/>
      <c r="AK981" s="180"/>
      <c r="AL981" s="117"/>
      <c r="AM981" s="117"/>
      <c r="AN981" s="117"/>
      <c r="AO981" s="338"/>
      <c r="AP981" s="338"/>
      <c r="AQ981" s="338"/>
      <c r="AR981" s="338"/>
      <c r="AS981" s="338"/>
      <c r="AT981" s="338"/>
      <c r="AU981" s="338"/>
      <c r="AV981" s="338"/>
      <c r="AW981" s="338"/>
      <c r="AX981" s="338"/>
      <c r="AY981" s="338"/>
      <c r="AZ981" s="338"/>
      <c r="BA981" s="338"/>
      <c r="BB981" s="338"/>
      <c r="BC981" s="338"/>
    </row>
    <row r="982">
      <c r="A982" s="115"/>
      <c r="B982" s="180"/>
      <c r="C982" s="117"/>
      <c r="D982" s="117"/>
      <c r="E982" s="117"/>
      <c r="F982" s="115"/>
      <c r="G982" s="180"/>
      <c r="H982" s="117"/>
      <c r="I982" s="117"/>
      <c r="J982" s="117"/>
      <c r="K982" s="92"/>
      <c r="L982" s="180"/>
      <c r="M982" s="117"/>
      <c r="N982" s="117"/>
      <c r="O982" s="117"/>
      <c r="P982" s="92"/>
      <c r="Q982" s="150"/>
      <c r="R982" s="117"/>
      <c r="S982" s="117"/>
      <c r="T982" s="117"/>
      <c r="U982" s="115"/>
      <c r="V982" s="180"/>
      <c r="W982" s="117"/>
      <c r="X982" s="117"/>
      <c r="Y982" s="117"/>
      <c r="Z982" s="115"/>
      <c r="AA982" s="180"/>
      <c r="AB982" s="117"/>
      <c r="AC982" s="117"/>
      <c r="AD982" s="117"/>
      <c r="AE982" s="115"/>
      <c r="AF982" s="180"/>
      <c r="AG982" s="117"/>
      <c r="AH982" s="117"/>
      <c r="AI982" s="117"/>
      <c r="AJ982" s="115"/>
      <c r="AK982" s="180"/>
      <c r="AL982" s="117"/>
      <c r="AM982" s="117"/>
      <c r="AN982" s="117"/>
      <c r="AO982" s="338"/>
      <c r="AP982" s="338"/>
      <c r="AQ982" s="338"/>
      <c r="AR982" s="338"/>
      <c r="AS982" s="338"/>
      <c r="AT982" s="338"/>
      <c r="AU982" s="338"/>
      <c r="AV982" s="338"/>
      <c r="AW982" s="338"/>
      <c r="AX982" s="338"/>
      <c r="AY982" s="338"/>
      <c r="AZ982" s="338"/>
      <c r="BA982" s="338"/>
      <c r="BB982" s="338"/>
      <c r="BC982" s="338"/>
    </row>
    <row r="983">
      <c r="A983" s="115"/>
      <c r="B983" s="180"/>
      <c r="C983" s="117"/>
      <c r="D983" s="117"/>
      <c r="E983" s="117"/>
      <c r="F983" s="115"/>
      <c r="G983" s="180"/>
      <c r="H983" s="117"/>
      <c r="I983" s="117"/>
      <c r="J983" s="117"/>
      <c r="K983" s="92"/>
      <c r="L983" s="180"/>
      <c r="M983" s="117"/>
      <c r="N983" s="117"/>
      <c r="O983" s="117"/>
      <c r="P983" s="92"/>
      <c r="Q983" s="150"/>
      <c r="R983" s="117"/>
      <c r="S983" s="117"/>
      <c r="T983" s="117"/>
      <c r="U983" s="115"/>
      <c r="V983" s="180"/>
      <c r="W983" s="117"/>
      <c r="X983" s="117"/>
      <c r="Y983" s="117"/>
      <c r="Z983" s="115"/>
      <c r="AA983" s="180"/>
      <c r="AB983" s="117"/>
      <c r="AC983" s="117"/>
      <c r="AD983" s="117"/>
      <c r="AE983" s="115"/>
      <c r="AF983" s="180"/>
      <c r="AG983" s="117"/>
      <c r="AH983" s="117"/>
      <c r="AI983" s="117"/>
      <c r="AJ983" s="115"/>
      <c r="AK983" s="180"/>
      <c r="AL983" s="117"/>
      <c r="AM983" s="117"/>
      <c r="AN983" s="117"/>
      <c r="AO983" s="338"/>
      <c r="AP983" s="338"/>
      <c r="AQ983" s="338"/>
      <c r="AR983" s="338"/>
      <c r="AS983" s="338"/>
      <c r="AT983" s="338"/>
      <c r="AU983" s="338"/>
      <c r="AV983" s="338"/>
      <c r="AW983" s="338"/>
      <c r="AX983" s="338"/>
      <c r="AY983" s="338"/>
      <c r="AZ983" s="338"/>
      <c r="BA983" s="338"/>
      <c r="BB983" s="338"/>
      <c r="BC983" s="338"/>
    </row>
    <row r="984">
      <c r="A984" s="115"/>
      <c r="B984" s="180"/>
      <c r="C984" s="117"/>
      <c r="D984" s="117"/>
      <c r="E984" s="117"/>
      <c r="F984" s="115"/>
      <c r="G984" s="180"/>
      <c r="H984" s="117"/>
      <c r="I984" s="117"/>
      <c r="J984" s="117"/>
      <c r="K984" s="92"/>
      <c r="L984" s="180"/>
      <c r="M984" s="117"/>
      <c r="N984" s="117"/>
      <c r="O984" s="117"/>
      <c r="P984" s="92"/>
      <c r="Q984" s="150"/>
      <c r="R984" s="117"/>
      <c r="S984" s="117"/>
      <c r="T984" s="117"/>
      <c r="U984" s="115"/>
      <c r="V984" s="180"/>
      <c r="W984" s="117"/>
      <c r="X984" s="117"/>
      <c r="Y984" s="117"/>
      <c r="Z984" s="115"/>
      <c r="AA984" s="180"/>
      <c r="AB984" s="117"/>
      <c r="AC984" s="117"/>
      <c r="AD984" s="117"/>
      <c r="AE984" s="115"/>
      <c r="AF984" s="180"/>
      <c r="AG984" s="117"/>
      <c r="AH984" s="117"/>
      <c r="AI984" s="117"/>
      <c r="AJ984" s="115"/>
      <c r="AK984" s="180"/>
      <c r="AL984" s="117"/>
      <c r="AM984" s="117"/>
      <c r="AN984" s="117"/>
      <c r="AO984" s="338"/>
      <c r="AP984" s="338"/>
      <c r="AQ984" s="338"/>
      <c r="AR984" s="338"/>
      <c r="AS984" s="338"/>
      <c r="AT984" s="338"/>
      <c r="AU984" s="338"/>
      <c r="AV984" s="338"/>
      <c r="AW984" s="338"/>
      <c r="AX984" s="338"/>
      <c r="AY984" s="338"/>
      <c r="AZ984" s="338"/>
      <c r="BA984" s="338"/>
      <c r="BB984" s="338"/>
      <c r="BC984" s="338"/>
    </row>
    <row r="985">
      <c r="A985" s="115"/>
      <c r="B985" s="180"/>
      <c r="C985" s="117"/>
      <c r="D985" s="117"/>
      <c r="E985" s="117"/>
      <c r="F985" s="115"/>
      <c r="G985" s="180"/>
      <c r="H985" s="117"/>
      <c r="I985" s="117"/>
      <c r="J985" s="117"/>
      <c r="K985" s="92"/>
      <c r="L985" s="180"/>
      <c r="M985" s="117"/>
      <c r="N985" s="117"/>
      <c r="O985" s="117"/>
      <c r="P985" s="92"/>
      <c r="Q985" s="150"/>
      <c r="R985" s="117"/>
      <c r="S985" s="117"/>
      <c r="T985" s="117"/>
      <c r="U985" s="115"/>
      <c r="V985" s="180"/>
      <c r="W985" s="117"/>
      <c r="X985" s="117"/>
      <c r="Y985" s="117"/>
      <c r="Z985" s="115"/>
      <c r="AA985" s="180"/>
      <c r="AB985" s="117"/>
      <c r="AC985" s="117"/>
      <c r="AD985" s="117"/>
      <c r="AE985" s="115"/>
      <c r="AF985" s="180"/>
      <c r="AG985" s="117"/>
      <c r="AH985" s="117"/>
      <c r="AI985" s="117"/>
      <c r="AJ985" s="115"/>
      <c r="AK985" s="180"/>
      <c r="AL985" s="117"/>
      <c r="AM985" s="117"/>
      <c r="AN985" s="117"/>
      <c r="AO985" s="338"/>
      <c r="AP985" s="338"/>
      <c r="AQ985" s="338"/>
      <c r="AR985" s="338"/>
      <c r="AS985" s="338"/>
      <c r="AT985" s="338"/>
      <c r="AU985" s="338"/>
      <c r="AV985" s="338"/>
      <c r="AW985" s="338"/>
      <c r="AX985" s="338"/>
      <c r="AY985" s="338"/>
      <c r="AZ985" s="338"/>
      <c r="BA985" s="338"/>
      <c r="BB985" s="338"/>
      <c r="BC985" s="338"/>
    </row>
    <row r="986">
      <c r="A986" s="115"/>
      <c r="B986" s="180"/>
      <c r="C986" s="117"/>
      <c r="D986" s="117"/>
      <c r="E986" s="117"/>
      <c r="F986" s="115"/>
      <c r="G986" s="180"/>
      <c r="H986" s="117"/>
      <c r="I986" s="117"/>
      <c r="J986" s="117"/>
      <c r="K986" s="92"/>
      <c r="L986" s="180"/>
      <c r="M986" s="117"/>
      <c r="N986" s="117"/>
      <c r="O986" s="117"/>
      <c r="P986" s="92"/>
      <c r="Q986" s="150"/>
      <c r="R986" s="117"/>
      <c r="S986" s="117"/>
      <c r="T986" s="117"/>
      <c r="U986" s="115"/>
      <c r="V986" s="180"/>
      <c r="W986" s="117"/>
      <c r="X986" s="117"/>
      <c r="Y986" s="117"/>
      <c r="Z986" s="115"/>
      <c r="AA986" s="180"/>
      <c r="AB986" s="117"/>
      <c r="AC986" s="117"/>
      <c r="AD986" s="117"/>
      <c r="AE986" s="115"/>
      <c r="AF986" s="180"/>
      <c r="AG986" s="117"/>
      <c r="AH986" s="117"/>
      <c r="AI986" s="117"/>
      <c r="AJ986" s="115"/>
      <c r="AK986" s="180"/>
      <c r="AL986" s="117"/>
      <c r="AM986" s="117"/>
      <c r="AN986" s="117"/>
      <c r="AO986" s="338"/>
      <c r="AP986" s="338"/>
      <c r="AQ986" s="338"/>
      <c r="AR986" s="338"/>
      <c r="AS986" s="338"/>
      <c r="AT986" s="338"/>
      <c r="AU986" s="338"/>
      <c r="AV986" s="338"/>
      <c r="AW986" s="338"/>
      <c r="AX986" s="338"/>
      <c r="AY986" s="338"/>
      <c r="AZ986" s="338"/>
      <c r="BA986" s="338"/>
      <c r="BB986" s="338"/>
      <c r="BC986" s="338"/>
    </row>
    <row r="987">
      <c r="A987" s="115"/>
      <c r="B987" s="180"/>
      <c r="C987" s="117"/>
      <c r="D987" s="117"/>
      <c r="E987" s="117"/>
      <c r="F987" s="115"/>
      <c r="G987" s="180"/>
      <c r="H987" s="117"/>
      <c r="I987" s="117"/>
      <c r="J987" s="117"/>
      <c r="K987" s="92"/>
      <c r="L987" s="180"/>
      <c r="M987" s="117"/>
      <c r="N987" s="117"/>
      <c r="O987" s="117"/>
      <c r="P987" s="92"/>
      <c r="Q987" s="150"/>
      <c r="R987" s="117"/>
      <c r="S987" s="117"/>
      <c r="T987" s="117"/>
      <c r="U987" s="115"/>
      <c r="V987" s="180"/>
      <c r="W987" s="117"/>
      <c r="X987" s="117"/>
      <c r="Y987" s="117"/>
      <c r="Z987" s="115"/>
      <c r="AA987" s="180"/>
      <c r="AB987" s="117"/>
      <c r="AC987" s="117"/>
      <c r="AD987" s="117"/>
      <c r="AE987" s="115"/>
      <c r="AF987" s="180"/>
      <c r="AG987" s="117"/>
      <c r="AH987" s="117"/>
      <c r="AI987" s="117"/>
      <c r="AJ987" s="115"/>
      <c r="AK987" s="180"/>
      <c r="AL987" s="117"/>
      <c r="AM987" s="117"/>
      <c r="AN987" s="117"/>
      <c r="AO987" s="338"/>
      <c r="AP987" s="338"/>
      <c r="AQ987" s="338"/>
      <c r="AR987" s="338"/>
      <c r="AS987" s="338"/>
      <c r="AT987" s="338"/>
      <c r="AU987" s="338"/>
      <c r="AV987" s="338"/>
      <c r="AW987" s="338"/>
      <c r="AX987" s="338"/>
      <c r="AY987" s="338"/>
      <c r="AZ987" s="338"/>
      <c r="BA987" s="338"/>
      <c r="BB987" s="338"/>
      <c r="BC987" s="338"/>
    </row>
    <row r="988">
      <c r="A988" s="115"/>
      <c r="B988" s="180"/>
      <c r="C988" s="117"/>
      <c r="D988" s="117"/>
      <c r="E988" s="117"/>
      <c r="F988" s="115"/>
      <c r="G988" s="180"/>
      <c r="H988" s="117"/>
      <c r="I988" s="117"/>
      <c r="J988" s="117"/>
      <c r="K988" s="92"/>
      <c r="L988" s="180"/>
      <c r="M988" s="117"/>
      <c r="N988" s="117"/>
      <c r="O988" s="117"/>
      <c r="P988" s="92"/>
      <c r="Q988" s="150"/>
      <c r="R988" s="117"/>
      <c r="S988" s="117"/>
      <c r="T988" s="117"/>
      <c r="U988" s="115"/>
      <c r="V988" s="180"/>
      <c r="W988" s="117"/>
      <c r="X988" s="117"/>
      <c r="Y988" s="117"/>
      <c r="Z988" s="115"/>
      <c r="AA988" s="180"/>
      <c r="AB988" s="117"/>
      <c r="AC988" s="117"/>
      <c r="AD988" s="117"/>
      <c r="AE988" s="115"/>
      <c r="AF988" s="180"/>
      <c r="AG988" s="117"/>
      <c r="AH988" s="117"/>
      <c r="AI988" s="117"/>
      <c r="AJ988" s="115"/>
      <c r="AK988" s="180"/>
      <c r="AL988" s="117"/>
      <c r="AM988" s="117"/>
      <c r="AN988" s="117"/>
      <c r="AO988" s="338"/>
      <c r="AP988" s="338"/>
      <c r="AQ988" s="338"/>
      <c r="AR988" s="338"/>
      <c r="AS988" s="338"/>
      <c r="AT988" s="338"/>
      <c r="AU988" s="338"/>
      <c r="AV988" s="338"/>
      <c r="AW988" s="338"/>
      <c r="AX988" s="338"/>
      <c r="AY988" s="338"/>
      <c r="AZ988" s="338"/>
      <c r="BA988" s="338"/>
      <c r="BB988" s="338"/>
      <c r="BC988" s="338"/>
    </row>
    <row r="989">
      <c r="A989" s="115"/>
      <c r="B989" s="180"/>
      <c r="C989" s="117"/>
      <c r="D989" s="117"/>
      <c r="E989" s="117"/>
      <c r="F989" s="115"/>
      <c r="G989" s="180"/>
      <c r="H989" s="117"/>
      <c r="I989" s="117"/>
      <c r="J989" s="117"/>
      <c r="K989" s="92"/>
      <c r="L989" s="180"/>
      <c r="M989" s="117"/>
      <c r="N989" s="117"/>
      <c r="O989" s="117"/>
      <c r="P989" s="92"/>
      <c r="Q989" s="150"/>
      <c r="R989" s="117"/>
      <c r="S989" s="117"/>
      <c r="T989" s="117"/>
      <c r="U989" s="115"/>
      <c r="V989" s="180"/>
      <c r="W989" s="117"/>
      <c r="X989" s="117"/>
      <c r="Y989" s="117"/>
      <c r="Z989" s="115"/>
      <c r="AA989" s="180"/>
      <c r="AB989" s="117"/>
      <c r="AC989" s="117"/>
      <c r="AD989" s="117"/>
      <c r="AE989" s="115"/>
      <c r="AF989" s="180"/>
      <c r="AG989" s="117"/>
      <c r="AH989" s="117"/>
      <c r="AI989" s="117"/>
      <c r="AJ989" s="115"/>
      <c r="AK989" s="180"/>
      <c r="AL989" s="117"/>
      <c r="AM989" s="117"/>
      <c r="AN989" s="117"/>
      <c r="AO989" s="338"/>
      <c r="AP989" s="338"/>
      <c r="AQ989" s="338"/>
      <c r="AR989" s="338"/>
      <c r="AS989" s="338"/>
      <c r="AT989" s="338"/>
      <c r="AU989" s="338"/>
      <c r="AV989" s="338"/>
      <c r="AW989" s="338"/>
      <c r="AX989" s="338"/>
      <c r="AY989" s="338"/>
      <c r="AZ989" s="338"/>
      <c r="BA989" s="338"/>
      <c r="BB989" s="338"/>
      <c r="BC989" s="338"/>
    </row>
    <row r="990">
      <c r="A990" s="115"/>
      <c r="B990" s="180"/>
      <c r="C990" s="117"/>
      <c r="D990" s="117"/>
      <c r="E990" s="117"/>
      <c r="F990" s="115"/>
      <c r="G990" s="180"/>
      <c r="H990" s="117"/>
      <c r="I990" s="117"/>
      <c r="J990" s="117"/>
      <c r="K990" s="92"/>
      <c r="L990" s="180"/>
      <c r="M990" s="117"/>
      <c r="N990" s="117"/>
      <c r="O990" s="117"/>
      <c r="P990" s="92"/>
      <c r="Q990" s="150"/>
      <c r="R990" s="117"/>
      <c r="S990" s="117"/>
      <c r="T990" s="117"/>
      <c r="U990" s="115"/>
      <c r="V990" s="180"/>
      <c r="W990" s="117"/>
      <c r="X990" s="117"/>
      <c r="Y990" s="117"/>
      <c r="Z990" s="115"/>
      <c r="AA990" s="180"/>
      <c r="AB990" s="117"/>
      <c r="AC990" s="117"/>
      <c r="AD990" s="117"/>
      <c r="AE990" s="115"/>
      <c r="AF990" s="180"/>
      <c r="AG990" s="117"/>
      <c r="AH990" s="117"/>
      <c r="AI990" s="117"/>
      <c r="AJ990" s="115"/>
      <c r="AK990" s="180"/>
      <c r="AL990" s="117"/>
      <c r="AM990" s="117"/>
      <c r="AN990" s="117"/>
      <c r="AO990" s="338"/>
      <c r="AP990" s="338"/>
      <c r="AQ990" s="338"/>
      <c r="AR990" s="338"/>
      <c r="AS990" s="338"/>
      <c r="AT990" s="338"/>
      <c r="AU990" s="338"/>
      <c r="AV990" s="338"/>
      <c r="AW990" s="338"/>
      <c r="AX990" s="338"/>
      <c r="AY990" s="338"/>
      <c r="AZ990" s="338"/>
      <c r="BA990" s="338"/>
      <c r="BB990" s="338"/>
      <c r="BC990" s="338"/>
    </row>
    <row r="991">
      <c r="A991" s="115"/>
      <c r="B991" s="180"/>
      <c r="C991" s="117"/>
      <c r="D991" s="117"/>
      <c r="E991" s="117"/>
      <c r="F991" s="115"/>
      <c r="G991" s="180"/>
      <c r="H991" s="117"/>
      <c r="I991" s="117"/>
      <c r="J991" s="117"/>
      <c r="K991" s="92"/>
      <c r="L991" s="180"/>
      <c r="M991" s="117"/>
      <c r="N991" s="117"/>
      <c r="O991" s="117"/>
      <c r="P991" s="92"/>
      <c r="Q991" s="150"/>
      <c r="R991" s="117"/>
      <c r="S991" s="117"/>
      <c r="T991" s="117"/>
      <c r="U991" s="115"/>
      <c r="V991" s="180"/>
      <c r="W991" s="117"/>
      <c r="X991" s="117"/>
      <c r="Y991" s="117"/>
      <c r="Z991" s="115"/>
      <c r="AA991" s="180"/>
      <c r="AB991" s="117"/>
      <c r="AC991" s="117"/>
      <c r="AD991" s="117"/>
      <c r="AE991" s="115"/>
      <c r="AF991" s="180"/>
      <c r="AG991" s="117"/>
      <c r="AH991" s="117"/>
      <c r="AI991" s="117"/>
      <c r="AJ991" s="115"/>
      <c r="AK991" s="180"/>
      <c r="AL991" s="117"/>
      <c r="AM991" s="117"/>
      <c r="AN991" s="117"/>
      <c r="AO991" s="338"/>
      <c r="AP991" s="338"/>
      <c r="AQ991" s="338"/>
      <c r="AR991" s="338"/>
      <c r="AS991" s="338"/>
      <c r="AT991" s="338"/>
      <c r="AU991" s="338"/>
      <c r="AV991" s="338"/>
      <c r="AW991" s="338"/>
      <c r="AX991" s="338"/>
      <c r="AY991" s="338"/>
      <c r="AZ991" s="338"/>
      <c r="BA991" s="338"/>
      <c r="BB991" s="338"/>
      <c r="BC991" s="338"/>
    </row>
    <row r="992">
      <c r="A992" s="115"/>
      <c r="B992" s="180"/>
      <c r="C992" s="117"/>
      <c r="D992" s="117"/>
      <c r="E992" s="117"/>
      <c r="F992" s="115"/>
      <c r="G992" s="180"/>
      <c r="H992" s="117"/>
      <c r="I992" s="117"/>
      <c r="J992" s="117"/>
      <c r="K992" s="92"/>
      <c r="L992" s="180"/>
      <c r="M992" s="117"/>
      <c r="N992" s="117"/>
      <c r="O992" s="117"/>
      <c r="P992" s="92"/>
      <c r="Q992" s="150"/>
      <c r="R992" s="117"/>
      <c r="S992" s="117"/>
      <c r="T992" s="117"/>
      <c r="U992" s="115"/>
      <c r="V992" s="180"/>
      <c r="W992" s="117"/>
      <c r="X992" s="117"/>
      <c r="Y992" s="117"/>
      <c r="Z992" s="115"/>
      <c r="AA992" s="180"/>
      <c r="AB992" s="117"/>
      <c r="AC992" s="117"/>
      <c r="AD992" s="117"/>
      <c r="AE992" s="115"/>
      <c r="AF992" s="180"/>
      <c r="AG992" s="117"/>
      <c r="AH992" s="117"/>
      <c r="AI992" s="117"/>
      <c r="AJ992" s="115"/>
      <c r="AK992" s="180"/>
      <c r="AL992" s="117"/>
      <c r="AM992" s="117"/>
      <c r="AN992" s="117"/>
      <c r="AO992" s="338"/>
      <c r="AP992" s="338"/>
      <c r="AQ992" s="338"/>
      <c r="AR992" s="338"/>
      <c r="AS992" s="338"/>
      <c r="AT992" s="338"/>
      <c r="AU992" s="338"/>
      <c r="AV992" s="338"/>
      <c r="AW992" s="338"/>
      <c r="AX992" s="338"/>
      <c r="AY992" s="338"/>
      <c r="AZ992" s="338"/>
      <c r="BA992" s="338"/>
      <c r="BB992" s="338"/>
      <c r="BC992" s="338"/>
    </row>
    <row r="993">
      <c r="A993" s="115"/>
      <c r="B993" s="180"/>
      <c r="C993" s="117"/>
      <c r="D993" s="117"/>
      <c r="E993" s="117"/>
      <c r="F993" s="115"/>
      <c r="G993" s="180"/>
      <c r="H993" s="117"/>
      <c r="I993" s="117"/>
      <c r="J993" s="117"/>
      <c r="K993" s="92"/>
      <c r="L993" s="180"/>
      <c r="M993" s="117"/>
      <c r="N993" s="117"/>
      <c r="O993" s="117"/>
      <c r="P993" s="92"/>
      <c r="Q993" s="150"/>
      <c r="R993" s="117"/>
      <c r="S993" s="117"/>
      <c r="T993" s="117"/>
      <c r="U993" s="115"/>
      <c r="V993" s="180"/>
      <c r="W993" s="117"/>
      <c r="X993" s="117"/>
      <c r="Y993" s="117"/>
      <c r="Z993" s="115"/>
      <c r="AA993" s="180"/>
      <c r="AB993" s="117"/>
      <c r="AC993" s="117"/>
      <c r="AD993" s="117"/>
      <c r="AE993" s="115"/>
      <c r="AF993" s="180"/>
      <c r="AG993" s="117"/>
      <c r="AH993" s="117"/>
      <c r="AI993" s="117"/>
      <c r="AJ993" s="115"/>
      <c r="AK993" s="180"/>
      <c r="AL993" s="117"/>
      <c r="AM993" s="117"/>
      <c r="AN993" s="117"/>
      <c r="AO993" s="338"/>
      <c r="AP993" s="338"/>
      <c r="AQ993" s="338"/>
      <c r="AR993" s="338"/>
      <c r="AS993" s="338"/>
      <c r="AT993" s="338"/>
      <c r="AU993" s="338"/>
      <c r="AV993" s="338"/>
      <c r="AW993" s="338"/>
      <c r="AX993" s="338"/>
      <c r="AY993" s="338"/>
      <c r="AZ993" s="338"/>
      <c r="BA993" s="338"/>
      <c r="BB993" s="338"/>
      <c r="BC993" s="338"/>
    </row>
    <row r="994">
      <c r="A994" s="115"/>
      <c r="B994" s="180"/>
      <c r="C994" s="117"/>
      <c r="D994" s="117"/>
      <c r="E994" s="117"/>
      <c r="F994" s="115"/>
      <c r="G994" s="180"/>
      <c r="H994" s="117"/>
      <c r="I994" s="117"/>
      <c r="J994" s="117"/>
      <c r="K994" s="92"/>
      <c r="L994" s="180"/>
      <c r="M994" s="117"/>
      <c r="N994" s="117"/>
      <c r="O994" s="117"/>
      <c r="P994" s="92"/>
      <c r="Q994" s="150"/>
      <c r="R994" s="117"/>
      <c r="S994" s="117"/>
      <c r="T994" s="117"/>
      <c r="U994" s="115"/>
      <c r="V994" s="180"/>
      <c r="W994" s="117"/>
      <c r="X994" s="117"/>
      <c r="Y994" s="117"/>
      <c r="Z994" s="115"/>
      <c r="AA994" s="180"/>
      <c r="AB994" s="117"/>
      <c r="AC994" s="117"/>
      <c r="AD994" s="117"/>
      <c r="AE994" s="115"/>
      <c r="AF994" s="180"/>
      <c r="AG994" s="117"/>
      <c r="AH994" s="117"/>
      <c r="AI994" s="117"/>
      <c r="AJ994" s="115"/>
      <c r="AK994" s="180"/>
      <c r="AL994" s="117"/>
      <c r="AM994" s="117"/>
      <c r="AN994" s="117"/>
      <c r="AO994" s="338"/>
      <c r="AP994" s="338"/>
      <c r="AQ994" s="338"/>
      <c r="AR994" s="338"/>
      <c r="AS994" s="338"/>
      <c r="AT994" s="338"/>
      <c r="AU994" s="338"/>
      <c r="AV994" s="338"/>
      <c r="AW994" s="338"/>
      <c r="AX994" s="338"/>
      <c r="AY994" s="338"/>
      <c r="AZ994" s="338"/>
      <c r="BA994" s="338"/>
      <c r="BB994" s="338"/>
      <c r="BC994" s="338"/>
    </row>
    <row r="995">
      <c r="A995" s="115"/>
      <c r="B995" s="180"/>
      <c r="C995" s="117"/>
      <c r="D995" s="117"/>
      <c r="E995" s="117"/>
      <c r="F995" s="115"/>
      <c r="G995" s="180"/>
      <c r="H995" s="117"/>
      <c r="I995" s="117"/>
      <c r="J995" s="117"/>
      <c r="K995" s="92"/>
      <c r="L995" s="180"/>
      <c r="M995" s="117"/>
      <c r="N995" s="117"/>
      <c r="O995" s="117"/>
      <c r="P995" s="92"/>
      <c r="Q995" s="150"/>
      <c r="R995" s="117"/>
      <c r="S995" s="117"/>
      <c r="T995" s="117"/>
      <c r="U995" s="115"/>
      <c r="V995" s="180"/>
      <c r="W995" s="117"/>
      <c r="X995" s="117"/>
      <c r="Y995" s="117"/>
      <c r="Z995" s="115"/>
      <c r="AA995" s="180"/>
      <c r="AB995" s="117"/>
      <c r="AC995" s="117"/>
      <c r="AD995" s="117"/>
      <c r="AE995" s="115"/>
      <c r="AF995" s="180"/>
      <c r="AG995" s="117"/>
      <c r="AH995" s="117"/>
      <c r="AI995" s="117"/>
      <c r="AJ995" s="115"/>
      <c r="AK995" s="180"/>
      <c r="AL995" s="117"/>
      <c r="AM995" s="117"/>
      <c r="AN995" s="117"/>
      <c r="AO995" s="338"/>
      <c r="AP995" s="338"/>
      <c r="AQ995" s="338"/>
      <c r="AR995" s="338"/>
      <c r="AS995" s="338"/>
      <c r="AT995" s="338"/>
      <c r="AU995" s="338"/>
      <c r="AV995" s="338"/>
      <c r="AW995" s="338"/>
      <c r="AX995" s="338"/>
      <c r="AY995" s="338"/>
      <c r="AZ995" s="338"/>
      <c r="BA995" s="338"/>
      <c r="BB995" s="338"/>
      <c r="BC995" s="338"/>
    </row>
    <row r="996">
      <c r="A996" s="115"/>
      <c r="B996" s="180"/>
      <c r="C996" s="117"/>
      <c r="D996" s="117"/>
      <c r="E996" s="117"/>
      <c r="F996" s="115"/>
      <c r="G996" s="180"/>
      <c r="H996" s="117"/>
      <c r="I996" s="117"/>
      <c r="J996" s="117"/>
      <c r="K996" s="92"/>
      <c r="L996" s="180"/>
      <c r="M996" s="117"/>
      <c r="N996" s="117"/>
      <c r="O996" s="117"/>
      <c r="P996" s="92"/>
      <c r="Q996" s="150"/>
      <c r="R996" s="117"/>
      <c r="S996" s="117"/>
      <c r="T996" s="117"/>
      <c r="U996" s="115"/>
      <c r="V996" s="180"/>
      <c r="W996" s="117"/>
      <c r="X996" s="117"/>
      <c r="Y996" s="117"/>
      <c r="Z996" s="115"/>
      <c r="AA996" s="180"/>
      <c r="AB996" s="117"/>
      <c r="AC996" s="117"/>
      <c r="AD996" s="117"/>
      <c r="AE996" s="115"/>
      <c r="AF996" s="180"/>
      <c r="AG996" s="117"/>
      <c r="AH996" s="117"/>
      <c r="AI996" s="117"/>
      <c r="AJ996" s="115"/>
      <c r="AK996" s="180"/>
      <c r="AL996" s="117"/>
      <c r="AM996" s="117"/>
      <c r="AN996" s="117"/>
      <c r="AO996" s="338"/>
      <c r="AP996" s="338"/>
      <c r="AQ996" s="338"/>
      <c r="AR996" s="338"/>
      <c r="AS996" s="338"/>
      <c r="AT996" s="338"/>
      <c r="AU996" s="338"/>
      <c r="AV996" s="338"/>
      <c r="AW996" s="338"/>
      <c r="AX996" s="338"/>
      <c r="AY996" s="338"/>
      <c r="AZ996" s="338"/>
      <c r="BA996" s="338"/>
      <c r="BB996" s="338"/>
      <c r="BC996" s="338"/>
    </row>
    <row r="997">
      <c r="A997" s="115"/>
      <c r="B997" s="180"/>
      <c r="C997" s="117"/>
      <c r="D997" s="117"/>
      <c r="E997" s="117"/>
      <c r="F997" s="115"/>
      <c r="G997" s="180"/>
      <c r="H997" s="117"/>
      <c r="I997" s="117"/>
      <c r="J997" s="117"/>
      <c r="K997" s="92"/>
      <c r="L997" s="180"/>
      <c r="M997" s="117"/>
      <c r="N997" s="117"/>
      <c r="O997" s="117"/>
      <c r="P997" s="92"/>
      <c r="Q997" s="150"/>
      <c r="R997" s="117"/>
      <c r="S997" s="117"/>
      <c r="T997" s="117"/>
      <c r="U997" s="115"/>
      <c r="V997" s="180"/>
      <c r="W997" s="117"/>
      <c r="X997" s="117"/>
      <c r="Y997" s="117"/>
      <c r="Z997" s="115"/>
      <c r="AA997" s="180"/>
      <c r="AB997" s="117"/>
      <c r="AC997" s="117"/>
      <c r="AD997" s="117"/>
      <c r="AE997" s="115"/>
      <c r="AF997" s="180"/>
      <c r="AG997" s="117"/>
      <c r="AH997" s="117"/>
      <c r="AI997" s="117"/>
      <c r="AJ997" s="115"/>
      <c r="AK997" s="180"/>
      <c r="AL997" s="117"/>
      <c r="AM997" s="117"/>
      <c r="AN997" s="117"/>
      <c r="AO997" s="338"/>
      <c r="AP997" s="338"/>
      <c r="AQ997" s="338"/>
      <c r="AR997" s="338"/>
      <c r="AS997" s="338"/>
      <c r="AT997" s="338"/>
      <c r="AU997" s="338"/>
      <c r="AV997" s="338"/>
      <c r="AW997" s="338"/>
      <c r="AX997" s="338"/>
      <c r="AY997" s="338"/>
      <c r="AZ997" s="338"/>
      <c r="BA997" s="338"/>
      <c r="BB997" s="338"/>
      <c r="BC997" s="338"/>
    </row>
    <row r="998">
      <c r="A998" s="115"/>
      <c r="B998" s="180"/>
      <c r="C998" s="117"/>
      <c r="D998" s="117"/>
      <c r="E998" s="117"/>
      <c r="F998" s="115"/>
      <c r="G998" s="180"/>
      <c r="H998" s="117"/>
      <c r="I998" s="117"/>
      <c r="J998" s="117"/>
      <c r="K998" s="92"/>
      <c r="L998" s="180"/>
      <c r="M998" s="117"/>
      <c r="N998" s="117"/>
      <c r="O998" s="117"/>
      <c r="P998" s="92"/>
      <c r="Q998" s="150"/>
      <c r="R998" s="117"/>
      <c r="S998" s="117"/>
      <c r="T998" s="117"/>
      <c r="U998" s="115"/>
      <c r="V998" s="180"/>
      <c r="W998" s="117"/>
      <c r="X998" s="117"/>
      <c r="Y998" s="117"/>
      <c r="Z998" s="115"/>
      <c r="AA998" s="180"/>
      <c r="AB998" s="117"/>
      <c r="AC998" s="117"/>
      <c r="AD998" s="117"/>
      <c r="AE998" s="115"/>
      <c r="AF998" s="180"/>
      <c r="AG998" s="117"/>
      <c r="AH998" s="117"/>
      <c r="AI998" s="117"/>
      <c r="AJ998" s="115"/>
      <c r="AK998" s="180"/>
      <c r="AL998" s="117"/>
      <c r="AM998" s="117"/>
      <c r="AN998" s="117"/>
      <c r="AO998" s="338"/>
      <c r="AP998" s="338"/>
      <c r="AQ998" s="338"/>
      <c r="AR998" s="338"/>
      <c r="AS998" s="338"/>
      <c r="AT998" s="338"/>
      <c r="AU998" s="338"/>
      <c r="AV998" s="338"/>
      <c r="AW998" s="338"/>
      <c r="AX998" s="338"/>
      <c r="AY998" s="338"/>
      <c r="AZ998" s="338"/>
      <c r="BA998" s="338"/>
      <c r="BB998" s="338"/>
      <c r="BC998" s="338"/>
    </row>
    <row r="999">
      <c r="A999" s="115"/>
      <c r="B999" s="180"/>
      <c r="C999" s="117"/>
      <c r="D999" s="117"/>
      <c r="E999" s="117"/>
      <c r="F999" s="115"/>
      <c r="G999" s="180"/>
      <c r="H999" s="117"/>
      <c r="I999" s="117"/>
      <c r="J999" s="117"/>
      <c r="K999" s="92"/>
      <c r="L999" s="180"/>
      <c r="M999" s="117"/>
      <c r="N999" s="117"/>
      <c r="O999" s="117"/>
      <c r="P999" s="92"/>
      <c r="Q999" s="150"/>
      <c r="R999" s="117"/>
      <c r="S999" s="117"/>
      <c r="T999" s="117"/>
      <c r="U999" s="115"/>
      <c r="V999" s="180"/>
      <c r="W999" s="117"/>
      <c r="X999" s="117"/>
      <c r="Y999" s="117"/>
      <c r="Z999" s="115"/>
      <c r="AA999" s="180"/>
      <c r="AB999" s="117"/>
      <c r="AC999" s="117"/>
      <c r="AD999" s="117"/>
      <c r="AE999" s="115"/>
      <c r="AF999" s="180"/>
      <c r="AG999" s="117"/>
      <c r="AH999" s="117"/>
      <c r="AI999" s="117"/>
      <c r="AJ999" s="115"/>
      <c r="AK999" s="180"/>
      <c r="AL999" s="117"/>
      <c r="AM999" s="117"/>
      <c r="AN999" s="117"/>
      <c r="AO999" s="338"/>
      <c r="AP999" s="338"/>
      <c r="AQ999" s="338"/>
      <c r="AR999" s="338"/>
      <c r="AS999" s="338"/>
      <c r="AT999" s="338"/>
      <c r="AU999" s="338"/>
      <c r="AV999" s="338"/>
      <c r="AW999" s="338"/>
      <c r="AX999" s="338"/>
      <c r="AY999" s="338"/>
      <c r="AZ999" s="338"/>
      <c r="BA999" s="338"/>
      <c r="BB999" s="338"/>
      <c r="BC999" s="338"/>
    </row>
    <row r="1000">
      <c r="A1000" s="115"/>
      <c r="B1000" s="180"/>
      <c r="C1000" s="117"/>
      <c r="D1000" s="117"/>
      <c r="E1000" s="117"/>
      <c r="F1000" s="115"/>
      <c r="G1000" s="180"/>
      <c r="H1000" s="117"/>
      <c r="I1000" s="117"/>
      <c r="J1000" s="117"/>
      <c r="K1000" s="92"/>
      <c r="L1000" s="180"/>
      <c r="M1000" s="117"/>
      <c r="N1000" s="117"/>
      <c r="O1000" s="117"/>
      <c r="P1000" s="92"/>
      <c r="Q1000" s="150"/>
      <c r="R1000" s="117"/>
      <c r="S1000" s="117"/>
      <c r="T1000" s="117"/>
      <c r="U1000" s="115"/>
      <c r="V1000" s="180"/>
      <c r="W1000" s="117"/>
      <c r="X1000" s="117"/>
      <c r="Y1000" s="117"/>
      <c r="Z1000" s="115"/>
      <c r="AA1000" s="180"/>
      <c r="AB1000" s="117"/>
      <c r="AC1000" s="117"/>
      <c r="AD1000" s="117"/>
      <c r="AE1000" s="115"/>
      <c r="AF1000" s="180"/>
      <c r="AG1000" s="117"/>
      <c r="AH1000" s="117"/>
      <c r="AI1000" s="117"/>
      <c r="AJ1000" s="115"/>
      <c r="AK1000" s="180"/>
      <c r="AL1000" s="117"/>
      <c r="AM1000" s="117"/>
      <c r="AN1000" s="117"/>
      <c r="AO1000" s="338"/>
      <c r="AP1000" s="338"/>
      <c r="AQ1000" s="338"/>
      <c r="AR1000" s="338"/>
      <c r="AS1000" s="338"/>
      <c r="AT1000" s="338"/>
      <c r="AU1000" s="338"/>
      <c r="AV1000" s="338"/>
      <c r="AW1000" s="338"/>
      <c r="AX1000" s="338"/>
      <c r="AY1000" s="338"/>
      <c r="AZ1000" s="338"/>
      <c r="BA1000" s="338"/>
      <c r="BB1000" s="338"/>
      <c r="BC1000" s="33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6" t="s">
        <v>7581</v>
      </c>
      <c r="AK1" s="62" t="s">
        <v>7582</v>
      </c>
      <c r="AO1" s="62"/>
      <c r="AP1" s="62"/>
    </row>
    <row r="2" ht="45.0" customHeight="1">
      <c r="AO2" s="62"/>
      <c r="AP2" s="62"/>
    </row>
    <row r="3" ht="55.5" customHeight="1">
      <c r="A3" s="359" t="s">
        <v>7583</v>
      </c>
      <c r="B3" s="15" t="s">
        <v>7584</v>
      </c>
      <c r="C3" s="296" t="s">
        <v>7585</v>
      </c>
      <c r="D3" s="139" t="s">
        <v>7586</v>
      </c>
      <c r="E3" s="292" t="str">
        <f>IFERROR(__xludf.DUMMYFUNCTION("GOOGLETRANSLATE(A3,""zh-tw"",""ja"")"),"ステータス図")</f>
        <v>ステータス図</v>
      </c>
      <c r="F3" s="43" t="str">
        <f>IFERROR(__xludf.DUMMYFUNCTION("GOOGLETRANSLATE(B3,""zh-tw"",""ja"")"),"名前")</f>
        <v>名前</v>
      </c>
      <c r="G3" s="294" t="str">
        <f>IFERROR(__xludf.DUMMYFUNCTION("GOOGLETRANSLATE(C3,""zh-tw"",""ja"")"),"物語")</f>
        <v>物語</v>
      </c>
      <c r="H3" s="138" t="str">
        <f>IFERROR(__xludf.DUMMYFUNCTION("GOOGLETRANSLATE(D3,""zh-tw"",""ja"")"),"例えば")</f>
        <v>例えば</v>
      </c>
      <c r="I3" s="359" t="s">
        <v>7587</v>
      </c>
      <c r="J3" s="15" t="s">
        <v>7588</v>
      </c>
      <c r="K3" s="296" t="s">
        <v>7589</v>
      </c>
      <c r="L3" s="139" t="s">
        <v>7590</v>
      </c>
      <c r="M3" s="292" t="str">
        <f>IFERROR(__xludf.DUMMYFUNCTION("GOOGLETRANSLATE(A3,""zh-tw"",""zh"")"),"状态图示")</f>
        <v>状态图示</v>
      </c>
      <c r="N3" s="43" t="str">
        <f>IFERROR(__xludf.DUMMYFUNCTION("GOOGLETRANSLATE(B3,""zh-tw"",""zh"")"),"名称")</f>
        <v>名称</v>
      </c>
      <c r="O3" s="294" t="str">
        <f>IFERROR(__xludf.DUMMYFUNCTION("GOOGLETRANSLATE(C3,""zh-tw"",""zh"")"),"叙述")</f>
        <v>叙述</v>
      </c>
      <c r="P3" s="138" t="str">
        <f>IFERROR(__xludf.DUMMYFUNCTION("GOOGLETRANSLATE(D3,""zh-tw"",""zh"")"),"举例")</f>
        <v>举例</v>
      </c>
      <c r="Q3" s="292" t="str">
        <f>IFERROR(__xludf.DUMMYFUNCTION("GOOGLETRANSLATE(A3,""zh-tw"",""es-MX"")"),"Diagrama de estado")</f>
        <v>Diagrama de estado</v>
      </c>
      <c r="R3" s="43" t="str">
        <f>IFERROR(__xludf.DUMMYFUNCTION("GOOGLETRANSLATE(B3,""zh-tw"",""es-MX"")"),"nombre")</f>
        <v>nombre</v>
      </c>
      <c r="S3" s="294" t="str">
        <f>IFERROR(__xludf.DUMMYFUNCTION("GOOGLETRANSLATE(C3,""zh-tw"",""es-MX"")"),"Narrativo")</f>
        <v>Narrativo</v>
      </c>
      <c r="T3" s="138" t="str">
        <f>IFERROR(__xludf.DUMMYFUNCTION("GOOGLETRANSLATE(D3,""zh-tw"",""es-MX"")"),"Por ejemplo")</f>
        <v>Por ejemplo</v>
      </c>
      <c r="U3" s="292" t="str">
        <f>IFERROR(__xludf.DUMMYFUNCTION("GOOGLETRANSLATE(A3,""zh-tw"",""KO"")"),"상태 다이어그램")</f>
        <v>상태 다이어그램</v>
      </c>
      <c r="V3" s="43" t="str">
        <f>IFERROR(__xludf.DUMMYFUNCTION("GOOGLETRANSLATE(B3,""zh-tw"",""KO"")"),"이름")</f>
        <v>이름</v>
      </c>
      <c r="W3" s="294" t="str">
        <f>IFERROR(__xludf.DUMMYFUNCTION("GOOGLETRANSLATE(C3,""zh-tw"",""KO"")"),"이야기")</f>
        <v>이야기</v>
      </c>
      <c r="X3" s="138" t="str">
        <f>IFERROR(__xludf.DUMMYFUNCTION("GOOGLETRANSLATE(D3,""zh-tw"",""KO"")"),"예를 들어")</f>
        <v>예를 들어</v>
      </c>
      <c r="Y3" s="292" t="str">
        <f>IFERROR(__xludf.DUMMYFUNCTION("GOOGLETRANSLATE(A3,""zh-tw"",""RU"")"),"Диаграмма состояния")</f>
        <v>Диаграмма состояния</v>
      </c>
      <c r="Z3" s="43" t="str">
        <f>IFERROR(__xludf.DUMMYFUNCTION("GOOGLETRANSLATE(B3,""zh-tw"",""RU"")"),"имя")</f>
        <v>имя</v>
      </c>
      <c r="AA3" s="294" t="str">
        <f>IFERROR(__xludf.DUMMYFUNCTION("GOOGLETRANSLATE(C3,""zh-tw"",""RU"")"),"Повествование")</f>
        <v>Повествование</v>
      </c>
      <c r="AB3" s="138" t="str">
        <f>IFERROR(__xludf.DUMMYFUNCTION("GOOGLETRANSLATE(D3,""zh-tw"",""RU"")"),"Например")</f>
        <v>Например</v>
      </c>
      <c r="AC3" s="292" t="str">
        <f>IFERROR(__xludf.DUMMYFUNCTION("GOOGLETRANSLATE(A3,""zh-tw"",""DE"")"),"Statusdiagramm")</f>
        <v>Statusdiagramm</v>
      </c>
      <c r="AD3" s="43" t="str">
        <f>IFERROR(__xludf.DUMMYFUNCTION("GOOGLETRANSLATE(B3,""zh-tw"",""DE"")"),"Name")</f>
        <v>Name</v>
      </c>
      <c r="AE3" s="294" t="str">
        <f>IFERROR(__xludf.DUMMYFUNCTION("GOOGLETRANSLATE(C3,""zh-tw"",""DE"")"),"Erzählung")</f>
        <v>Erzählung</v>
      </c>
      <c r="AF3" s="138" t="str">
        <f>IFERROR(__xludf.DUMMYFUNCTION("GOOGLETRANSLATE(D3,""zh-tw"",""DE"")"),"Zum Beispiel")</f>
        <v>Zum Beispiel</v>
      </c>
      <c r="AG3" s="360" t="s">
        <v>7591</v>
      </c>
      <c r="AH3" s="297" t="s">
        <v>7592</v>
      </c>
      <c r="AI3" s="361" t="s">
        <v>7593</v>
      </c>
      <c r="AJ3" s="362" t="s">
        <v>4460</v>
      </c>
      <c r="AK3" s="141" t="s">
        <v>7594</v>
      </c>
      <c r="AL3" s="143" t="s">
        <v>7595</v>
      </c>
      <c r="AM3" s="298" t="s">
        <v>7596</v>
      </c>
      <c r="AN3" s="363" t="s">
        <v>4463</v>
      </c>
      <c r="AO3" s="139"/>
      <c r="AP3" s="139"/>
    </row>
    <row r="4" ht="26.25" customHeight="1">
      <c r="A4" s="173" t="s">
        <v>7597</v>
      </c>
      <c r="B4" s="305" t="s">
        <v>7598</v>
      </c>
      <c r="C4" s="307" t="s">
        <v>792</v>
      </c>
      <c r="D4" s="364" t="s">
        <v>7599</v>
      </c>
      <c r="E4" s="173" t="s">
        <v>7600</v>
      </c>
      <c r="F4" s="303" t="str">
        <f>IFERROR(__xludf.DUMMYFUNCTION("GOOGLETRANSLATE(B4,""zh-tw"",""ja"")"),"少し落ち着かない気分です")</f>
        <v>少し落ち着かない気分です</v>
      </c>
      <c r="G4" s="304" t="str">
        <f>IFERROR(__xludf.DUMMYFUNCTION("GOOGLETRANSLATE(C4,""zh-tw"",""ja"")"),"-")</f>
        <v>-</v>
      </c>
      <c r="H4" s="364" t="s">
        <v>7601</v>
      </c>
      <c r="I4" s="173" t="s">
        <v>7602</v>
      </c>
      <c r="J4" s="305" t="s">
        <v>7603</v>
      </c>
      <c r="K4" s="304" t="str">
        <f>IFERROR(__xludf.DUMMYFUNCTION("GOOGLETRANSLATE(C4,""zh-tw"",""en"")"),"-")</f>
        <v>-</v>
      </c>
      <c r="L4" s="364" t="s">
        <v>7604</v>
      </c>
      <c r="M4" s="302" t="str">
        <f>IFERROR(__xludf.DUMMYFUNCTION("GOOGLETRANSLATE(A4,""zh-tw"",""zh"")"),"兴奋")</f>
        <v>兴奋</v>
      </c>
      <c r="N4" s="303" t="str">
        <f>IFERROR(__xludf.DUMMYFUNCTION("GOOGLETRANSLATE(B4,""zh-tw"",""zh"")"),"感觉有些躁动")</f>
        <v>感觉有些躁动</v>
      </c>
      <c r="O4" s="304" t="str">
        <f>IFERROR(__xludf.DUMMYFUNCTION("GOOGLETRANSLATE(C4,""zh-tw"",""zh"")"),"-")</f>
        <v>-</v>
      </c>
      <c r="P4" s="365" t="str">
        <f>IFERROR(__xludf.DUMMYFUNCTION("GOOGLETRANSLATE(D4,""zh-tw"",""zh"")"),"哥哥有些性欲")</f>
        <v>哥哥有些性欲</v>
      </c>
      <c r="Q4" s="149" t="str">
        <f>IFERROR(__xludf.DUMMYFUNCTION("GOOGLETRANSLATE(A4,""zh-tw"",""es-MX"")"),"entusiasmado")</f>
        <v>entusiasmado</v>
      </c>
      <c r="R4" s="164" t="str">
        <f>IFERROR(__xludf.DUMMYFUNCTION("GOOGLETRANSLATE(B4,""zh-tw"",""es-MX"")"),"Me siento un poco inquieto")</f>
        <v>Me siento un poco inquieto</v>
      </c>
      <c r="S4" s="306" t="str">
        <f>IFERROR(__xludf.DUMMYFUNCTION("GOOGLETRANSLATE(C4,""zh-tw"",""es-MX"")"),"-")</f>
        <v>-</v>
      </c>
      <c r="T4" s="174" t="str">
        <f>IFERROR(__xludf.DUMMYFUNCTION("GOOGLETRANSLATE(D4,""zh-tw"",""es-MX"")"),"Mi hermano tiene algún deseo sexual.")</f>
        <v>Mi hermano tiene algún deseo sexual.</v>
      </c>
      <c r="U4" s="149" t="str">
        <f>IFERROR(__xludf.DUMMYFUNCTION("GOOGLETRANSLATE(A4,""zh-tw"",""KO"")"),"흥분한")</f>
        <v>흥분한</v>
      </c>
      <c r="V4" s="164" t="str">
        <f>IFERROR(__xludf.DUMMYFUNCTION("GOOGLETRANSLATE(B4,""zh-tw"",""KO"")"),"나는 조금 불안하다")</f>
        <v>나는 조금 불안하다</v>
      </c>
      <c r="W4" s="306" t="str">
        <f>IFERROR(__xludf.DUMMYFUNCTION("GOOGLETRANSLATE(C4,""zh-tw"",""KO"")"),"-")</f>
        <v>-</v>
      </c>
      <c r="X4" s="174" t="str">
        <f>IFERROR(__xludf.DUMMYFUNCTION("GOOGLETRANSLATE(D4,""zh-tw"",""KO"")"),"내 동생은 성적 욕망이 있어요.")</f>
        <v>내 동생은 성적 욕망이 있어요.</v>
      </c>
      <c r="Y4" s="302" t="str">
        <f>IFERROR(__xludf.DUMMYFUNCTION("GOOGLETRANSLATE(A4,""zh-tw"",""RU"")"),"взволнованный")</f>
        <v>взволнованный</v>
      </c>
      <c r="Z4" s="303" t="str">
        <f>IFERROR(__xludf.DUMMYFUNCTION("GOOGLETRANSLATE(B4,""zh-tw"",""RU"")"),"Я чувствую себя немного беспокойно.")</f>
        <v>Я чувствую себя немного беспокойно.</v>
      </c>
      <c r="AA4" s="304" t="str">
        <f>IFERROR(__xludf.DUMMYFUNCTION("GOOGLETRANSLATE(C4,""zh-tw"",""RU"")"),"-")</f>
        <v>-</v>
      </c>
      <c r="AB4" s="365" t="str">
        <f>IFERROR(__xludf.DUMMYFUNCTION("GOOGLETRANSLATE(D4,""zh-tw"",""RU"")"),"У моего брата есть сексуальное желание.")</f>
        <v>У моего брата есть сексуальное желание.</v>
      </c>
      <c r="AC4" s="302" t="str">
        <f>IFERROR(__xludf.DUMMYFUNCTION("GOOGLETRANSLATE(A4,""zh-tw"",""DE"")"),"aufgeregt")</f>
        <v>aufgeregt</v>
      </c>
      <c r="AD4" s="303" t="str">
        <f>IFERROR(__xludf.DUMMYFUNCTION("GOOGLETRANSLATE(B4,""zh-tw"",""DE"")"),"Ich fühle mich etwas unruhig")</f>
        <v>Ich fühle mich etwas unruhig</v>
      </c>
      <c r="AE4" s="304" t="str">
        <f>IFERROR(__xludf.DUMMYFUNCTION("GOOGLETRANSLATE(C4,""zh-tw"",""DE"")"),"-")</f>
        <v>-</v>
      </c>
      <c r="AF4" s="365" t="str">
        <f>IFERROR(__xludf.DUMMYFUNCTION("GOOGLETRANSLATE(D4,""zh-tw"",""DE"")"),"Mein Bruder hat sexuelle Bedürfnisse.")</f>
        <v>Mein Bruder hat sexuelle Bedürfnisse.</v>
      </c>
      <c r="AG4" s="154" t="s">
        <v>7605</v>
      </c>
      <c r="AH4" s="41" t="s">
        <v>7606</v>
      </c>
      <c r="AI4" s="308" t="s">
        <v>792</v>
      </c>
      <c r="AJ4" s="366" t="s">
        <v>7607</v>
      </c>
      <c r="AK4" s="154" t="s">
        <v>7608</v>
      </c>
      <c r="AL4" s="41" t="s">
        <v>7609</v>
      </c>
      <c r="AM4" s="308" t="s">
        <v>792</v>
      </c>
      <c r="AN4" s="366" t="s">
        <v>7610</v>
      </c>
      <c r="AO4" s="364"/>
      <c r="AP4" s="364"/>
    </row>
    <row r="5" ht="26.25" customHeight="1">
      <c r="A5" s="173" t="s">
        <v>7597</v>
      </c>
      <c r="B5" s="305" t="s">
        <v>7611</v>
      </c>
      <c r="C5" s="307" t="s">
        <v>792</v>
      </c>
      <c r="D5" s="364" t="s">
        <v>7612</v>
      </c>
      <c r="E5" s="173" t="s">
        <v>7600</v>
      </c>
      <c r="F5" s="303" t="str">
        <f>IFERROR(__xludf.DUMMYFUNCTION("GOOGLETRANSLATE(B5,""zh-tw"",""ja"")"),"体全体が何らかの刺激を求めている。")</f>
        <v>体全体が何らかの刺激を求めている。</v>
      </c>
      <c r="G5" s="307" t="s">
        <v>792</v>
      </c>
      <c r="H5" s="364" t="s">
        <v>7613</v>
      </c>
      <c r="I5" s="173" t="s">
        <v>7602</v>
      </c>
      <c r="J5" s="305" t="s">
        <v>7614</v>
      </c>
      <c r="K5" s="307" t="s">
        <v>792</v>
      </c>
      <c r="L5" s="364" t="s">
        <v>7615</v>
      </c>
      <c r="M5" s="302" t="str">
        <f>IFERROR(__xludf.DUMMYFUNCTION("GOOGLETRANSLATE(A5,""zh-tw"",""zh"")"),"兴奋")</f>
        <v>兴奋</v>
      </c>
      <c r="N5" s="303" t="str">
        <f>IFERROR(__xludf.DUMMYFUNCTION("GOOGLETRANSLATE(B5,""zh-tw"",""zh"")"),"全身都在渴望着某种刺激")</f>
        <v>全身都在渴望着某种刺激</v>
      </c>
      <c r="O5" s="304" t="str">
        <f>IFERROR(__xludf.DUMMYFUNCTION("GOOGLETRANSLATE(C5,""zh-tw"",""zh"")"),"-")</f>
        <v>-</v>
      </c>
      <c r="P5" s="365" t="str">
        <f>IFERROR(__xludf.DUMMYFUNCTION("GOOGLETRANSLATE(D5,""zh-tw"",""zh"")"),"哥哥有许多性欲")</f>
        <v>哥哥有许多性欲</v>
      </c>
      <c r="Q5" s="149" t="str">
        <f>IFERROR(__xludf.DUMMYFUNCTION("GOOGLETRANSLATE(A5,""zh-tw"",""es-MX"")"),"entusiasmado")</f>
        <v>entusiasmado</v>
      </c>
      <c r="R5" s="164" t="str">
        <f>IFERROR(__xludf.DUMMYFUNCTION("GOOGLETRANSLATE(B5,""zh-tw"",""es-MX"")"),"Todo mi cuerpo anhela algún tipo de estimulación.")</f>
        <v>Todo mi cuerpo anhela algún tipo de estimulación.</v>
      </c>
      <c r="S5" s="306" t="str">
        <f>IFERROR(__xludf.DUMMYFUNCTION("GOOGLETRANSLATE(C5,""zh-tw"",""es-MX"")"),"-")</f>
        <v>-</v>
      </c>
      <c r="T5" s="174" t="str">
        <f>IFERROR(__xludf.DUMMYFUNCTION("GOOGLETRANSLATE(D5,""zh-tw"",""es-MX"")"),"Mi hermano tiene un alto deseo sexual.")</f>
        <v>Mi hermano tiene un alto deseo sexual.</v>
      </c>
      <c r="U5" s="149"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06" t="str">
        <f>IFERROR(__xludf.DUMMYFUNCTION("GOOGLETRANSLATE(C5,""zh-tw"",""KO"")"),"-")</f>
        <v>-</v>
      </c>
      <c r="X5" s="174" t="str">
        <f>IFERROR(__xludf.DUMMYFUNCTION("GOOGLETRANSLATE(D5,""zh-tw"",""KO"")"),"내 동생은 성욕이 강해요.")</f>
        <v>내 동생은 성욕이 강해요.</v>
      </c>
      <c r="Y5" s="302" t="str">
        <f>IFERROR(__xludf.DUMMYFUNCTION("GOOGLETRANSLATE(A5,""zh-tw"",""RU"")"),"взволнованный")</f>
        <v>взволнованный</v>
      </c>
      <c r="Z5" s="303" t="str">
        <f>IFERROR(__xludf.DUMMYFUNCTION("GOOGLETRANSLATE(B5,""zh-tw"",""RU"")"),"Все мое тело жаждет какой-то стимуляции.")</f>
        <v>Все мое тело жаждет какой-то стимуляции.</v>
      </c>
      <c r="AA5" s="304" t="str">
        <f>IFERROR(__xludf.DUMMYFUNCTION("GOOGLETRANSLATE(C5,""zh-tw"",""RU"")"),"-")</f>
        <v>-</v>
      </c>
      <c r="AB5" s="365" t="str">
        <f>IFERROR(__xludf.DUMMYFUNCTION("GOOGLETRANSLATE(D5,""zh-tw"",""RU"")"),"У моего брата высокое сексуальное влечение.")</f>
        <v>У моего брата высокое сексуальное влечение.</v>
      </c>
      <c r="AC5" s="302" t="str">
        <f>IFERROR(__xludf.DUMMYFUNCTION("GOOGLETRANSLATE(A5,""zh-tw"",""DE"")"),"aufgeregt")</f>
        <v>aufgeregt</v>
      </c>
      <c r="AD5" s="303" t="str">
        <f>IFERROR(__xludf.DUMMYFUNCTION("GOOGLETRANSLATE(B5,""zh-tw"",""DE"")"),"Mein ganzer Körper verlangt nach irgendeiner Art von Stimulation.")</f>
        <v>Mein ganzer Körper verlangt nach irgendeiner Art von Stimulation.</v>
      </c>
      <c r="AE5" s="304" t="str">
        <f>IFERROR(__xludf.DUMMYFUNCTION("GOOGLETRANSLATE(C5,""zh-tw"",""DE"")"),"-")</f>
        <v>-</v>
      </c>
      <c r="AF5" s="365" t="str">
        <f>IFERROR(__xludf.DUMMYFUNCTION("GOOGLETRANSLATE(D5,""zh-tw"",""DE"")"),"Mein Bruder hat einen starken Sexualtrieb.")</f>
        <v>Mein Bruder hat einen starken Sexualtrieb.</v>
      </c>
      <c r="AG5" s="154" t="s">
        <v>7605</v>
      </c>
      <c r="AH5" s="41" t="s">
        <v>7616</v>
      </c>
      <c r="AI5" s="308" t="s">
        <v>792</v>
      </c>
      <c r="AJ5" s="366" t="s">
        <v>7617</v>
      </c>
      <c r="AK5" s="154" t="s">
        <v>7608</v>
      </c>
      <c r="AL5" s="41" t="s">
        <v>7618</v>
      </c>
      <c r="AM5" s="308" t="s">
        <v>792</v>
      </c>
      <c r="AN5" s="366" t="s">
        <v>7619</v>
      </c>
      <c r="AO5" s="364"/>
      <c r="AP5" s="364"/>
    </row>
    <row r="6" ht="26.25" customHeight="1">
      <c r="A6" s="173" t="s">
        <v>7597</v>
      </c>
      <c r="B6" s="305" t="s">
        <v>7620</v>
      </c>
      <c r="C6" s="307" t="s">
        <v>792</v>
      </c>
      <c r="D6" s="364" t="s">
        <v>7621</v>
      </c>
      <c r="E6" s="173" t="s">
        <v>7600</v>
      </c>
      <c r="F6" s="303" t="str">
        <f>IFERROR(__xludf.DUMMYFUNCTION("GOOGLETRANSLATE(B6,""zh-tw"",""ja"")"),"もう自分をコントロールできない。")</f>
        <v>もう自分をコントロールできない。</v>
      </c>
      <c r="G6" s="307" t="s">
        <v>792</v>
      </c>
      <c r="H6" s="364" t="s">
        <v>7622</v>
      </c>
      <c r="I6" s="173" t="s">
        <v>7602</v>
      </c>
      <c r="J6" s="305" t="s">
        <v>7623</v>
      </c>
      <c r="K6" s="307" t="s">
        <v>792</v>
      </c>
      <c r="L6" s="364" t="s">
        <v>7624</v>
      </c>
      <c r="M6" s="302" t="str">
        <f>IFERROR(__xludf.DUMMYFUNCTION("GOOGLETRANSLATE(A6,""zh-tw"",""zh"")"),"兴奋")</f>
        <v>兴奋</v>
      </c>
      <c r="N6" s="303" t="str">
        <f>IFERROR(__xludf.DUMMYFUNCTION("GOOGLETRANSLATE(B6,""zh-tw"",""zh"")"),"要控制不住自己了")</f>
        <v>要控制不住自己了</v>
      </c>
      <c r="O6" s="304" t="str">
        <f>IFERROR(__xludf.DUMMYFUNCTION("GOOGLETRANSLATE(C6,""zh-tw"",""zh"")"),"-")</f>
        <v>-</v>
      </c>
      <c r="P6" s="365" t="str">
        <f>IFERROR(__xludf.DUMMYFUNCTION("GOOGLETRANSLATE(D6,""zh-tw"",""zh"")"),"哥哥更多性欲")</f>
        <v>哥哥更多性欲</v>
      </c>
      <c r="Q6" s="149" t="str">
        <f>IFERROR(__xludf.DUMMYFUNCTION("GOOGLETRANSLATE(A6,""zh-tw"",""es-MX"")"),"entusiasmado")</f>
        <v>entusiasmado</v>
      </c>
      <c r="R6" s="164" t="str">
        <f>IFERROR(__xludf.DUMMYFUNCTION("GOOGLETRANSLATE(B6,""zh-tw"",""es-MX"")"),"Ya no puedo controlarme más.")</f>
        <v>Ya no puedo controlarme más.</v>
      </c>
      <c r="S6" s="306" t="str">
        <f>IFERROR(__xludf.DUMMYFUNCTION("GOOGLETRANSLATE(C6,""zh-tw"",""es-MX"")"),"-")</f>
        <v>-</v>
      </c>
      <c r="T6" s="174" t="str">
        <f>IFERROR(__xludf.DUMMYFUNCTION("GOOGLETRANSLATE(D6,""zh-tw"",""es-MX"")"),"El hermano mayor tiene un mayor deseo sexual.")</f>
        <v>El hermano mayor tiene un mayor deseo sexual.</v>
      </c>
      <c r="U6" s="149" t="str">
        <f>IFERROR(__xludf.DUMMYFUNCTION("GOOGLETRANSLATE(A6,""zh-tw"",""KO"")"),"흥분한")</f>
        <v>흥분한</v>
      </c>
      <c r="V6" s="164" t="str">
        <f>IFERROR(__xludf.DUMMYFUNCTION("GOOGLETRANSLATE(B6,""zh-tw"",""KO"")"),"나는 더 이상 나 자신을 통제할 수 없어.")</f>
        <v>나는 더 이상 나 자신을 통제할 수 없어.</v>
      </c>
      <c r="W6" s="306" t="str">
        <f>IFERROR(__xludf.DUMMYFUNCTION("GOOGLETRANSLATE(C6,""zh-tw"",""KO"")"),"-")</f>
        <v>-</v>
      </c>
      <c r="X6" s="174" t="str">
        <f>IFERROR(__xludf.DUMMYFUNCTION("GOOGLETRANSLATE(D6,""zh-tw"",""KO"")"),"형은 성욕이 더 강하다")</f>
        <v>형은 성욕이 더 강하다</v>
      </c>
      <c r="Y6" s="302" t="str">
        <f>IFERROR(__xludf.DUMMYFUNCTION("GOOGLETRANSLATE(A6,""zh-tw"",""RU"")"),"взволнованный")</f>
        <v>взволнованный</v>
      </c>
      <c r="Z6" s="303" t="str">
        <f>IFERROR(__xludf.DUMMYFUNCTION("GOOGLETRANSLATE(B6,""zh-tw"",""RU"")"),"Я больше не могу себя контролировать.")</f>
        <v>Я больше не могу себя контролировать.</v>
      </c>
      <c r="AA6" s="304" t="str">
        <f>IFERROR(__xludf.DUMMYFUNCTION("GOOGLETRANSLATE(C6,""zh-tw"",""RU"")"),"-")</f>
        <v>-</v>
      </c>
      <c r="AB6" s="365" t="str">
        <f>IFERROR(__xludf.DUMMYFUNCTION("GOOGLETRANSLATE(D6,""zh-tw"",""RU"")"),"У старшего брата более сильное сексуальное влечение")</f>
        <v>У старшего брата более сильное сексуальное влечение</v>
      </c>
      <c r="AC6" s="302" t="str">
        <f>IFERROR(__xludf.DUMMYFUNCTION("GOOGLETRANSLATE(A6,""zh-tw"",""DE"")"),"aufgeregt")</f>
        <v>aufgeregt</v>
      </c>
      <c r="AD6" s="303" t="str">
        <f>IFERROR(__xludf.DUMMYFUNCTION("GOOGLETRANSLATE(B6,""zh-tw"",""DE"")"),"Ich kann mich nicht mehr beherrschen.")</f>
        <v>Ich kann mich nicht mehr beherrschen.</v>
      </c>
      <c r="AE6" s="304" t="str">
        <f>IFERROR(__xludf.DUMMYFUNCTION("GOOGLETRANSLATE(C6,""zh-tw"",""DE"")"),"-")</f>
        <v>-</v>
      </c>
      <c r="AF6" s="365" t="str">
        <f>IFERROR(__xludf.DUMMYFUNCTION("GOOGLETRANSLATE(D6,""zh-tw"",""DE"")"),"Der ältere Bruder hat einen stärkeren Sexualtrieb.")</f>
        <v>Der ältere Bruder hat einen stärkeren Sexualtrieb.</v>
      </c>
      <c r="AG6" s="154" t="s">
        <v>7605</v>
      </c>
      <c r="AH6" s="41" t="s">
        <v>7625</v>
      </c>
      <c r="AI6" s="308" t="s">
        <v>792</v>
      </c>
      <c r="AJ6" s="366" t="s">
        <v>7626</v>
      </c>
      <c r="AK6" s="154" t="s">
        <v>7608</v>
      </c>
      <c r="AL6" s="41" t="s">
        <v>7627</v>
      </c>
      <c r="AM6" s="308" t="s">
        <v>792</v>
      </c>
      <c r="AN6" s="366" t="s">
        <v>7628</v>
      </c>
      <c r="AO6" s="364"/>
      <c r="AP6" s="364"/>
    </row>
    <row r="7">
      <c r="A7" s="173" t="s">
        <v>7629</v>
      </c>
      <c r="B7" s="305" t="s">
        <v>7630</v>
      </c>
      <c r="C7" s="307" t="s">
        <v>7631</v>
      </c>
      <c r="D7" s="364" t="s">
        <v>7632</v>
      </c>
      <c r="E7" s="173" t="s">
        <v>7633</v>
      </c>
      <c r="F7" s="303" t="str">
        <f>IFERROR(__xludf.DUMMYFUNCTION("GOOGLETRANSLATE(B7,""zh-tw"",""ja"")"),"うーん…")</f>
        <v>うーん…</v>
      </c>
      <c r="G7" s="307" t="s">
        <v>7634</v>
      </c>
      <c r="H7" s="364" t="s">
        <v>7635</v>
      </c>
      <c r="I7" s="173" t="s">
        <v>7636</v>
      </c>
      <c r="J7" s="305" t="s">
        <v>7637</v>
      </c>
      <c r="K7" s="307" t="s">
        <v>7638</v>
      </c>
      <c r="L7" s="364" t="s">
        <v>7639</v>
      </c>
      <c r="M7" s="302" t="str">
        <f>IFERROR(__xludf.DUMMYFUNCTION("GOOGLETRANSLATE(A7,""zh-tw"",""zh"")"),"兽人")</f>
        <v>兽人</v>
      </c>
      <c r="N7" s="303" t="str">
        <f>IFERROR(__xludf.DUMMYFUNCTION("GOOGLETRANSLATE(B7,""zh-tw"",""zh"")"),"唔噢噢噢噢.......!")</f>
        <v>唔噢噢噢噢.......!</v>
      </c>
      <c r="O7" s="304" t="str">
        <f>IFERROR(__xludf.DUMMYFUNCTION("GOOGLETRANSLATE(C7,""zh-tw"",""zh"")"),"扭曲为了满脑子都是欲望的Beast！")</f>
        <v>扭曲为了满脑子都是欲望的Beast！</v>
      </c>
      <c r="P7" s="365" t="str">
        <f>IFERROR(__xludf.DUMMYFUNCTION("GOOGLETRANSLATE(D7,""zh-tw"",""zh"")"),"哥哥性欲极高")</f>
        <v>哥哥性欲极高</v>
      </c>
      <c r="Q7" s="149" t="str">
        <f>IFERROR(__xludf.DUMMYFUNCTION("GOOGLETRANSLATE(A7,""zh-tw"",""es-MX"")"),"Orcos")</f>
        <v>Orcos</v>
      </c>
      <c r="R7" s="164" t="str">
        <f>IFERROR(__xludf.DUMMYFUNCTION("GOOGLETRANSLATE(B7,""zh-tw"",""es-MX"")"),"Ughh...")</f>
        <v>Ughh...</v>
      </c>
      <c r="S7" s="306" t="str">
        <f>IFERROR(__xludf.DUMMYFUNCTION("GOOGLETRANSLATE(C7,""zh-tw"",""es-MX"")"),"¡Se ha transformado en una Bestia cuya mente está llena de deseo!")</f>
        <v>¡Se ha transformado en una Bestia cuya mente está llena de deseo!</v>
      </c>
      <c r="T7" s="174" t="str">
        <f>IFERROR(__xludf.DUMMYFUNCTION("GOOGLETRANSLATE(D7,""zh-tw"",""es-MX"")"),"Mi hermano tiene un deseo sexual extremadamente alto.")</f>
        <v>Mi hermano tiene un deseo sexual extremadamente alto.</v>
      </c>
      <c r="U7" s="149" t="str">
        <f>IFERROR(__xludf.DUMMYFUNCTION("GOOGLETRANSLATE(A7,""zh-tw"",""KO"")"),"오크들")</f>
        <v>오크들</v>
      </c>
      <c r="V7" s="164" t="str">
        <f>IFERROR(__xludf.DUMMYFUNCTION("GOOGLETRANSLATE(B7,""zh-tw"",""KO"")"),"으악...")</f>
        <v>으악...</v>
      </c>
      <c r="W7" s="306" t="str">
        <f>IFERROR(__xludf.DUMMYFUNCTION("GOOGLETRANSLATE(C7,""zh-tw"",""KO"")"),"그것은 욕망으로 가득 찬 마음을 가진 짐승으로 뒤틀렸습니다!")</f>
        <v>그것은 욕망으로 가득 찬 마음을 가진 짐승으로 뒤틀렸습니다!</v>
      </c>
      <c r="X7" s="174" t="str">
        <f>IFERROR(__xludf.DUMMYFUNCTION("GOOGLETRANSLATE(D7,""zh-tw"",""KO"")"),"내 동생은 성욕이 매우 강해요.")</f>
        <v>내 동생은 성욕이 매우 강해요.</v>
      </c>
      <c r="Y7" s="302" t="str">
        <f>IFERROR(__xludf.DUMMYFUNCTION("GOOGLETRANSLATE(A7,""zh-tw"",""RU"")"),"Орки")</f>
        <v>Орки</v>
      </c>
      <c r="Z7" s="303" t="str">
        <f>IFERROR(__xludf.DUMMYFUNCTION("GOOGLETRANSLATE(B7,""zh-tw"",""RU"")"),"Уф...")</f>
        <v>Уф...</v>
      </c>
      <c r="AA7" s="304" t="str">
        <f>IFERROR(__xludf.DUMMYFUNCTION("GOOGLETRANSLATE(C7,""zh-tw"",""RU"")"),"Он превратился в Зверя, разум которого полон желания!")</f>
        <v>Он превратился в Зверя, разум которого полон желания!</v>
      </c>
      <c r="AB7" s="365" t="str">
        <f>IFERROR(__xludf.DUMMYFUNCTION("GOOGLETRANSLATE(D7,""zh-tw"",""RU"")"),"У моего брата чрезвычайно высокое сексуальное влечение.")</f>
        <v>У моего брата чрезвычайно высокое сексуальное влечение.</v>
      </c>
      <c r="AC7" s="302" t="str">
        <f>IFERROR(__xludf.DUMMYFUNCTION("GOOGLETRANSLATE(A7,""zh-tw"",""DE"")"),"Orks")</f>
        <v>Orks</v>
      </c>
      <c r="AD7" s="303" t="str">
        <f>IFERROR(__xludf.DUMMYFUNCTION("GOOGLETRANSLATE(B7,""zh-tw"",""DE"")"),"Ugh ...")</f>
        <v>Ugh ...</v>
      </c>
      <c r="AE7" s="304" t="str">
        <f>IFERROR(__xludf.DUMMYFUNCTION("GOOGLETRANSLATE(C7,""zh-tw"",""DE"")"),"Es wurde zu einem Ungeheuer verdreht, dessen Geist von Begierde erfüllt ist!")</f>
        <v>Es wurde zu einem Ungeheuer verdreht, dessen Geist von Begierde erfüllt ist!</v>
      </c>
      <c r="AF7" s="365" t="str">
        <f>IFERROR(__xludf.DUMMYFUNCTION("GOOGLETRANSLATE(D7,""zh-tw"",""DE"")"),"Mein Bruder hat einen extrem hohen Sexualtrieb.")</f>
        <v>Mein Bruder hat einen extrem hohen Sexualtrieb.</v>
      </c>
      <c r="AG7" s="154" t="s">
        <v>7636</v>
      </c>
      <c r="AH7" s="41" t="s">
        <v>7637</v>
      </c>
      <c r="AI7" s="308" t="s">
        <v>7640</v>
      </c>
      <c r="AJ7" s="366" t="s">
        <v>7641</v>
      </c>
      <c r="AK7" s="154" t="s">
        <v>7636</v>
      </c>
      <c r="AL7" s="41" t="s">
        <v>7637</v>
      </c>
      <c r="AM7" s="301" t="s">
        <v>7642</v>
      </c>
      <c r="AN7" s="366" t="s">
        <v>7643</v>
      </c>
      <c r="AO7" s="364"/>
      <c r="AP7" s="364"/>
    </row>
    <row r="8">
      <c r="A8" s="173" t="s">
        <v>7644</v>
      </c>
      <c r="B8" s="305" t="s">
        <v>7645</v>
      </c>
      <c r="C8" s="307" t="s">
        <v>7646</v>
      </c>
      <c r="D8" s="364" t="s">
        <v>7647</v>
      </c>
      <c r="E8" s="173" t="s">
        <v>7648</v>
      </c>
      <c r="F8" s="305" t="s">
        <v>7649</v>
      </c>
      <c r="G8" s="304" t="str">
        <f>IFERROR(__xludf.DUMMYFUNCTION("GOOGLETRANSLATE(C8,""zh-tw"",""ja"")"),"賢者モードに入ると、すべての属性が上昇します。")</f>
        <v>賢者モードに入ると、すべての属性が上昇します。</v>
      </c>
      <c r="H8" s="364" t="s">
        <v>7650</v>
      </c>
      <c r="I8" s="173" t="s">
        <v>7651</v>
      </c>
      <c r="J8" s="305" t="s">
        <v>7652</v>
      </c>
      <c r="K8" s="307" t="s">
        <v>7653</v>
      </c>
      <c r="L8" s="364" t="s">
        <v>7654</v>
      </c>
      <c r="M8" s="302" t="str">
        <f>IFERROR(__xludf.DUMMYFUNCTION("GOOGLETRANSLATE(A8,""zh-tw"",""zh"")"),"贤者")</f>
        <v>贤者</v>
      </c>
      <c r="N8" s="303" t="str">
        <f>IFERROR(__xludf.DUMMYFUNCTION("GOOGLETRANSLATE(B8,""zh-tw"",""zh"")"),"现在我感觉自己无所不能。")</f>
        <v>现在我感觉自己无所不能。</v>
      </c>
      <c r="O8" s="304" t="str">
        <f>IFERROR(__xludf.DUMMYFUNCTION("GOOGLETRANSLATE(C8,""zh-tw"",""zh"")"),"进入了贤者模式，全属性上升")</f>
        <v>进入了贤者模式，全属性上升</v>
      </c>
      <c r="P8" s="365" t="str">
        <f>IFERROR(__xludf.DUMMYFUNCTION("GOOGLETRANSLATE(D8,""zh-tw"",""zh"")"),"哥哥毫无性欲")</f>
        <v>哥哥毫无性欲</v>
      </c>
      <c r="Q8" s="149" t="str">
        <f>IFERROR(__xludf.DUMMYFUNCTION("GOOGLETRANSLATE(A8,""zh-tw"",""es-MX"")"),"Sabio")</f>
        <v>Sabio</v>
      </c>
      <c r="R8" s="164" t="str">
        <f>IFERROR(__xludf.DUMMYFUNCTION("GOOGLETRANSLATE(B8,""zh-tw"",""es-MX"")"),"Siento que puedo hacer cualquier cosa ahora mismo.")</f>
        <v>Siento que puedo hacer cualquier cosa ahora mismo.</v>
      </c>
      <c r="S8" s="306" t="str">
        <f>IFERROR(__xludf.DUMMYFUNCTION("GOOGLETRANSLATE(C8,""zh-tw"",""es-MX"")"),"Al ingresar al modo sabio, todos los atributos aumentan.")</f>
        <v>Al ingresar al modo sabio, todos los atributos aumentan.</v>
      </c>
      <c r="T8" s="174" t="str">
        <f>IFERROR(__xludf.DUMMYFUNCTION("GOOGLETRANSLATE(D8,""zh-tw"",""es-MX"")"),"Mi hermano no tiene deseo sexual.")</f>
        <v>Mi hermano no tiene deseo sexual.</v>
      </c>
      <c r="U8" s="149"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06" t="str">
        <f>IFERROR(__xludf.DUMMYFUNCTION("GOOGLETRANSLATE(C8,""zh-tw"",""KO"")"),"세이지 모드에 들어가면 모든 속성이 증가합니다.")</f>
        <v>세이지 모드에 들어가면 모든 속성이 증가합니다.</v>
      </c>
      <c r="X8" s="174" t="str">
        <f>IFERROR(__xludf.DUMMYFUNCTION("GOOGLETRANSLATE(D8,""zh-tw"",""KO"")"),"내 동생은 성욕이 없어요.")</f>
        <v>내 동생은 성욕이 없어요.</v>
      </c>
      <c r="Y8" s="302" t="str">
        <f>IFERROR(__xludf.DUMMYFUNCTION("GOOGLETRANSLATE(A8,""zh-tw"",""RU"")"),"Мудрец")</f>
        <v>Мудрец</v>
      </c>
      <c r="Z8" s="303" t="str">
        <f>IFERROR(__xludf.DUMMYFUNCTION("GOOGLETRANSLATE(B8,""zh-tw"",""RU"")"),"Я чувствую, что сейчас я могу сделать все, что угодно.")</f>
        <v>Я чувствую, что сейчас я могу сделать все, что угодно.</v>
      </c>
      <c r="AA8" s="30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65" t="str">
        <f>IFERROR(__xludf.DUMMYFUNCTION("GOOGLETRANSLATE(D8,""zh-tw"",""RU"")"),"У моего брата нет сексуального влечения.")</f>
        <v>У моего брата нет сексуального влечения.</v>
      </c>
      <c r="AC8" s="302" t="str">
        <f>IFERROR(__xludf.DUMMYFUNCTION("GOOGLETRANSLATE(A8,""zh-tw"",""DE"")"),"Salbei")</f>
        <v>Salbei</v>
      </c>
      <c r="AD8" s="303" t="str">
        <f>IFERROR(__xludf.DUMMYFUNCTION("GOOGLETRANSLATE(B8,""zh-tw"",""DE"")"),"Ich habe das Gefühl, ich kann im Moment alles schaffen.")</f>
        <v>Ich habe das Gefühl, ich kann im Moment alles schaffen.</v>
      </c>
      <c r="AE8" s="304" t="str">
        <f>IFERROR(__xludf.DUMMYFUNCTION("GOOGLETRANSLATE(C8,""zh-tw"",""DE"")"),"Beim Aktivieren des Sage-Modus erhöhen sich alle Attribute.")</f>
        <v>Beim Aktivieren des Sage-Modus erhöhen sich alle Attribute.</v>
      </c>
      <c r="AF8" s="365" t="str">
        <f>IFERROR(__xludf.DUMMYFUNCTION("GOOGLETRANSLATE(D8,""zh-tw"",""DE"")"),"Mein Bruder hat kein sexuelles Verlangen.")</f>
        <v>Mein Bruder hat kein sexuelles Verlangen.</v>
      </c>
      <c r="AG8" s="154" t="s">
        <v>7655</v>
      </c>
      <c r="AH8" s="41" t="s">
        <v>7656</v>
      </c>
      <c r="AI8" s="308" t="s">
        <v>7657</v>
      </c>
      <c r="AJ8" s="366" t="s">
        <v>7658</v>
      </c>
      <c r="AK8" s="154" t="s">
        <v>7659</v>
      </c>
      <c r="AL8" s="41" t="s">
        <v>7660</v>
      </c>
      <c r="AM8" s="308" t="s">
        <v>7661</v>
      </c>
      <c r="AN8" s="366" t="s">
        <v>7662</v>
      </c>
      <c r="AO8" s="364"/>
      <c r="AP8" s="364"/>
    </row>
    <row r="9">
      <c r="A9" s="173" t="s">
        <v>7663</v>
      </c>
      <c r="B9" s="305" t="s">
        <v>792</v>
      </c>
      <c r="C9" s="307" t="s">
        <v>7664</v>
      </c>
      <c r="D9" s="364" t="s">
        <v>7665</v>
      </c>
      <c r="E9" s="302" t="str">
        <f>IFERROR(__xludf.DUMMYFUNCTION("GOOGLETRANSLATE(A9,""zh-tw"",""ja"")"),"集中")</f>
        <v>集中</v>
      </c>
      <c r="F9" s="303" t="str">
        <f>IFERROR(__xludf.DUMMYFUNCTION("GOOGLETRANSLATE(B9,""zh-tw"",""ja"")"),"-")</f>
        <v>-</v>
      </c>
      <c r="G9" s="307" t="s">
        <v>7666</v>
      </c>
      <c r="H9" s="364" t="s">
        <v>7667</v>
      </c>
      <c r="I9" s="173" t="s">
        <v>7668</v>
      </c>
      <c r="J9" s="303" t="str">
        <f>IFERROR(__xludf.DUMMYFUNCTION("GOOGLETRANSLATE(B9,""zh-tw"",""en"")"),"-")</f>
        <v>-</v>
      </c>
      <c r="K9" s="307" t="s">
        <v>7669</v>
      </c>
      <c r="L9" s="364" t="s">
        <v>7670</v>
      </c>
      <c r="M9" s="302" t="str">
        <f>IFERROR(__xludf.DUMMYFUNCTION("GOOGLETRANSLATE(A9,""zh-tw"",""zh"")"),"专注")</f>
        <v>专注</v>
      </c>
      <c r="N9" s="303" t="str">
        <f>IFERROR(__xludf.DUMMYFUNCTION("GOOGLETRANSLATE(B9,""zh-tw"",""zh"")"),"-")</f>
        <v>-</v>
      </c>
      <c r="O9" s="304" t="str">
        <f>IFERROR(__xludf.DUMMYFUNCTION("GOOGLETRANSLATE(C9,""zh-tw"",""zh"")"),"集中精力为下一击做准被，移动速度下降")</f>
        <v>集中精力为下一击做准被，移动速度下降</v>
      </c>
      <c r="P9" s="365" t="str">
        <f>IFERROR(__xludf.DUMMYFUNCTION("GOOGLETRANSLATE(D9,""zh-tw"",""zh"")"),"近战武器滑鼠右键")</f>
        <v>近战武器滑鼠右键</v>
      </c>
      <c r="Q9" s="149" t="str">
        <f>IFERROR(__xludf.DUMMYFUNCTION("GOOGLETRANSLATE(A9,""zh-tw"",""es-MX"")"),"Enfocar")</f>
        <v>Enfocar</v>
      </c>
      <c r="R9" s="164" t="str">
        <f>IFERROR(__xludf.DUMMYFUNCTION("GOOGLETRANSLATE(B9,""zh-tw"",""es-MX"")"),"-")</f>
        <v>-</v>
      </c>
      <c r="S9" s="306" t="str">
        <f>IFERROR(__xludf.DUMMYFUNCTION("GOOGLETRANSLATE(C9,""zh-tw"",""es-MX"")"),"Concentrarse en prepararse para el próximo ataque reduce la velocidad de movimiento.")</f>
        <v>Concentrarse en prepararse para el próximo ataque reduce la velocidad de movimiento.</v>
      </c>
      <c r="T9" s="174" t="str">
        <f>IFERROR(__xludf.DUMMYFUNCTION("GOOGLETRANSLATE(D9,""zh-tw"",""es-MX"")"),"Botón derecho del ratón para arma cuerpo a cuerpo")</f>
        <v>Botón derecho del ratón para arma cuerpo a cuerpo</v>
      </c>
      <c r="U9" s="149" t="str">
        <f>IFERROR(__xludf.DUMMYFUNCTION("GOOGLETRANSLATE(A9,""zh-tw"",""KO"")"),"집중하다")</f>
        <v>집중하다</v>
      </c>
      <c r="V9" s="164" t="str">
        <f>IFERROR(__xludf.DUMMYFUNCTION("GOOGLETRANSLATE(B9,""zh-tw"",""KO"")"),"-")</f>
        <v>-</v>
      </c>
      <c r="W9" s="306" t="str">
        <f>IFERROR(__xludf.DUMMYFUNCTION("GOOGLETRANSLATE(C9,""zh-tw"",""KO"")"),"다음 공격에 대비하는 데 집중하면 이동 속도가 감소합니다.")</f>
        <v>다음 공격에 대비하는 데 집중하면 이동 속도가 감소합니다.</v>
      </c>
      <c r="X9" s="174" t="str">
        <f>IFERROR(__xludf.DUMMYFUNCTION("GOOGLETRANSLATE(D9,""zh-tw"",""KO"")"),"근접 무기 오른쪽 마우스 버튼")</f>
        <v>근접 무기 오른쪽 마우스 버튼</v>
      </c>
      <c r="Y9" s="302" t="str">
        <f>IFERROR(__xludf.DUMMYFUNCTION("GOOGLETRANSLATE(A9,""zh-tw"",""RU"")"),"Фокус")</f>
        <v>Фокус</v>
      </c>
      <c r="Z9" s="303" t="str">
        <f>IFERROR(__xludf.DUMMYFUNCTION("GOOGLETRANSLATE(B9,""zh-tw"",""RU"")"),"-")</f>
        <v>-</v>
      </c>
      <c r="AA9" s="30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65" t="str">
        <f>IFERROR(__xludf.DUMMYFUNCTION("GOOGLETRANSLATE(D9,""zh-tw"",""RU"")"),"Оружие ближнего боя правая кнопка мыши")</f>
        <v>Оружие ближнего боя правая кнопка мыши</v>
      </c>
      <c r="AC9" s="302" t="str">
        <f>IFERROR(__xludf.DUMMYFUNCTION("GOOGLETRANSLATE(A9,""zh-tw"",""DE"")"),"Fokus")</f>
        <v>Fokus</v>
      </c>
      <c r="AD9" s="303" t="str">
        <f>IFERROR(__xludf.DUMMYFUNCTION("GOOGLETRANSLATE(B9,""zh-tw"",""DE"")"),"-")</f>
        <v>-</v>
      </c>
      <c r="AE9" s="304" t="str">
        <f>IFERROR(__xludf.DUMMYFUNCTION("GOOGLETRANSLATE(C9,""zh-tw"",""DE"")"),"Die Konzentration auf die Vorbereitung des nächsten Angriffs verringert die Bewegungsgeschwindigkeit.")</f>
        <v>Die Konzentration auf die Vorbereitung des nächsten Angriffs verringert die Bewegungsgeschwindigkeit.</v>
      </c>
      <c r="AF9" s="365" t="str">
        <f>IFERROR(__xludf.DUMMYFUNCTION("GOOGLETRANSLATE(D9,""zh-tw"",""DE"")"),"rechte Maustaste für Nahkampfwaffen")</f>
        <v>rechte Maustaste für Nahkampfwaffen</v>
      </c>
      <c r="AG9" s="154" t="s">
        <v>7671</v>
      </c>
      <c r="AH9" s="41" t="s">
        <v>792</v>
      </c>
      <c r="AI9" s="308" t="s">
        <v>7672</v>
      </c>
      <c r="AJ9" s="366" t="s">
        <v>7673</v>
      </c>
      <c r="AK9" s="154" t="s">
        <v>7668</v>
      </c>
      <c r="AL9" s="41" t="s">
        <v>792</v>
      </c>
      <c r="AM9" s="308" t="s">
        <v>7674</v>
      </c>
      <c r="AN9" s="366" t="s">
        <v>7675</v>
      </c>
      <c r="AO9" s="364"/>
      <c r="AP9" s="364"/>
    </row>
    <row r="10">
      <c r="A10" s="173" t="s">
        <v>7676</v>
      </c>
      <c r="B10" s="305" t="s">
        <v>7677</v>
      </c>
      <c r="C10" s="307" t="s">
        <v>792</v>
      </c>
      <c r="D10" s="364" t="s">
        <v>7678</v>
      </c>
      <c r="E10" s="173" t="s">
        <v>7679</v>
      </c>
      <c r="F10" s="305" t="s">
        <v>7680</v>
      </c>
      <c r="G10" s="304" t="str">
        <f>IFERROR(__xludf.DUMMYFUNCTION("GOOGLETRANSLATE(C10,""zh-tw"",""ja"")"),"-")</f>
        <v>-</v>
      </c>
      <c r="H10" s="364" t="s">
        <v>7681</v>
      </c>
      <c r="I10" s="173" t="s">
        <v>7682</v>
      </c>
      <c r="J10" s="305" t="s">
        <v>7683</v>
      </c>
      <c r="K10" s="304" t="str">
        <f>IFERROR(__xludf.DUMMYFUNCTION("GOOGLETRANSLATE(C10,""zh-tw"",""en"")"),"-")</f>
        <v>-</v>
      </c>
      <c r="L10" s="364" t="s">
        <v>7684</v>
      </c>
      <c r="M10" s="302" t="str">
        <f>IFERROR(__xludf.DUMMYFUNCTION("GOOGLETRANSLATE(A10,""zh-tw"",""zh"")"),"闪步")</f>
        <v>闪步</v>
      </c>
      <c r="N10" s="303" t="str">
        <f>IFERROR(__xludf.DUMMYFUNCTION("GOOGLETRANSLATE(B10,""zh-tw"",""zh"")"),"真红的三倍速")</f>
        <v>真红的三倍速</v>
      </c>
      <c r="O10" s="304" t="str">
        <f>IFERROR(__xludf.DUMMYFUNCTION("GOOGLETRANSLATE(C10,""zh-tw"",""zh"")"),"-")</f>
        <v>-</v>
      </c>
      <c r="P10" s="365" t="str">
        <f>IFERROR(__xludf.DUMMYFUNCTION("GOOGLETRANSLATE(D10,""zh-tw"",""zh"")"),"闪步过程中或过图时永久BUG")</f>
        <v>闪步过程中或过图时永久BUG</v>
      </c>
      <c r="Q10" s="149" t="str">
        <f>IFERROR(__xludf.DUMMYFUNCTION("GOOGLETRANSLATE(A10,""zh-tw"",""es-MX"")"),"Paso rápido")</f>
        <v>Paso rápido</v>
      </c>
      <c r="R10" s="164" t="str">
        <f>IFERROR(__xludf.DUMMYFUNCTION("GOOGLETRANSLATE(B10,""zh-tw"",""es-MX"")"),"Triple velocidad carmesí")</f>
        <v>Triple velocidad carmesí</v>
      </c>
      <c r="S10" s="306" t="str">
        <f>IFERROR(__xludf.DUMMYFUNCTION("GOOGLETRANSLATE(C10,""zh-tw"",""es-MX"")"),"-")</f>
        <v>-</v>
      </c>
      <c r="T10" s="174"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4" t="str">
        <f>IFERROR(__xludf.DUMMYFUNCTION("GOOGLETRANSLATE(B10,""zh-tw"",""KO"")"),"크림슨 트리플 스피드")</f>
        <v>크림슨 트리플 스피드</v>
      </c>
      <c r="W10" s="306" t="str">
        <f>IFERROR(__xludf.DUMMYFUNCTION("GOOGLETRANSLATE(C10,""zh-tw"",""KO"")"),"-")</f>
        <v>-</v>
      </c>
      <c r="X10" s="174" t="str">
        <f>IFERROR(__xludf.DUMMYFUNCTION("GOOGLETRANSLATE(D10,""zh-tw"",""KO"")"),"플래시 스텝이나 맵 전환 중 영구적인 버그 발생")</f>
        <v>플래시 스텝이나 맵 전환 중 영구적인 버그 발생</v>
      </c>
      <c r="Y10" s="302" t="str">
        <f>IFERROR(__xludf.DUMMYFUNCTION("GOOGLETRANSLATE(A10,""zh-tw"",""RU"")"),"Флэш-шаг")</f>
        <v>Флэш-шаг</v>
      </c>
      <c r="Z10" s="303" t="str">
        <f>IFERROR(__xludf.DUMMYFUNCTION("GOOGLETRANSLATE(B10,""zh-tw"",""RU"")"),"Багровая тройная скорость")</f>
        <v>Багровая тройная скорость</v>
      </c>
      <c r="AA10" s="304" t="str">
        <f>IFERROR(__xludf.DUMMYFUNCTION("GOOGLETRANSLATE(C10,""zh-tw"",""RU"")"),"-")</f>
        <v>-</v>
      </c>
      <c r="AB10" s="365"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2" t="str">
        <f>IFERROR(__xludf.DUMMYFUNCTION("GOOGLETRANSLATE(A10,""zh-tw"",""DE"")"),"Blitzschritt")</f>
        <v>Blitzschritt</v>
      </c>
      <c r="AD10" s="303" t="str">
        <f>IFERROR(__xludf.DUMMYFUNCTION("GOOGLETRANSLATE(B10,""zh-tw"",""DE"")"),"Crimson Triple Speed")</f>
        <v>Crimson Triple Speed</v>
      </c>
      <c r="AE10" s="304" t="str">
        <f>IFERROR(__xludf.DUMMYFUNCTION("GOOGLETRANSLATE(C10,""zh-tw"",""DE"")"),"-")</f>
        <v>-</v>
      </c>
      <c r="AF10" s="365" t="str">
        <f>IFERROR(__xludf.DUMMYFUNCTION("GOOGLETRANSLATE(D10,""zh-tw"",""DE"")"),"Permanenter Fehler während des Flash-Schritts oder Kartenübergangs")</f>
        <v>Permanenter Fehler während des Flash-Schritts oder Kartenübergangs</v>
      </c>
      <c r="AG10" s="154" t="s">
        <v>7682</v>
      </c>
      <c r="AH10" s="41" t="s">
        <v>7685</v>
      </c>
      <c r="AI10" s="308" t="s">
        <v>792</v>
      </c>
      <c r="AJ10" s="366" t="s">
        <v>7686</v>
      </c>
      <c r="AK10" s="154" t="s">
        <v>7682</v>
      </c>
      <c r="AL10" s="41" t="s">
        <v>7687</v>
      </c>
      <c r="AM10" s="308" t="s">
        <v>792</v>
      </c>
      <c r="AN10" s="366" t="s">
        <v>7688</v>
      </c>
      <c r="AO10" s="364"/>
      <c r="AP10" s="364"/>
    </row>
    <row r="11">
      <c r="A11" s="173" t="s">
        <v>7689</v>
      </c>
      <c r="B11" s="305" t="s">
        <v>792</v>
      </c>
      <c r="C11" s="307" t="s">
        <v>7690</v>
      </c>
      <c r="D11" s="364" t="s">
        <v>7691</v>
      </c>
      <c r="E11" s="173" t="s">
        <v>7692</v>
      </c>
      <c r="F11" s="303" t="str">
        <f>IFERROR(__xludf.DUMMYFUNCTION("GOOGLETRANSLATE(B11,""zh-tw"",""ja"")"),"-")</f>
        <v>-</v>
      </c>
      <c r="G11" s="307" t="s">
        <v>7693</v>
      </c>
      <c r="H11" s="364" t="s">
        <v>7694</v>
      </c>
      <c r="I11" s="173" t="s">
        <v>7695</v>
      </c>
      <c r="J11" s="303" t="str">
        <f>IFERROR(__xludf.DUMMYFUNCTION("GOOGLETRANSLATE(B11,""zh-tw"",""en"")"),"-")</f>
        <v>-</v>
      </c>
      <c r="K11" s="307" t="s">
        <v>7696</v>
      </c>
      <c r="L11" s="364" t="s">
        <v>7697</v>
      </c>
      <c r="M11" s="302" t="str">
        <f>IFERROR(__xludf.DUMMYFUNCTION("GOOGLETRANSLATE(A11,""zh-tw"",""zh"")"),"闪步禁止")</f>
        <v>闪步禁止</v>
      </c>
      <c r="N11" s="303" t="str">
        <f>IFERROR(__xludf.DUMMYFUNCTION("GOOGLETRANSLATE(B11,""zh-tw"",""zh"")"),"-")</f>
        <v>-</v>
      </c>
      <c r="O11" s="304" t="str">
        <f>IFERROR(__xludf.DUMMYFUNCTION("GOOGLETRANSLATE(C11,""zh-tw"",""zh"")"),"禁止发动闪步")</f>
        <v>禁止发动闪步</v>
      </c>
      <c r="P11" s="365" t="str">
        <f>IFERROR(__xludf.DUMMYFUNCTION("GOOGLETRANSLATE(D11,""zh-tw"",""zh"")"),"闪步cd期间")</f>
        <v>闪步cd期间</v>
      </c>
      <c r="Q11" s="149" t="str">
        <f>IFERROR(__xludf.DUMMYFUNCTION("GOOGLETRANSLATE(A11,""zh-tw"",""es-MX"")"),"Paso de flash prohibido")</f>
        <v>Paso de flash prohibido</v>
      </c>
      <c r="R11" s="164" t="str">
        <f>IFERROR(__xludf.DUMMYFUNCTION("GOOGLETRANSLATE(B11,""zh-tw"",""es-MX"")"),"-")</f>
        <v>-</v>
      </c>
      <c r="S11" s="306" t="str">
        <f>IFERROR(__xludf.DUMMYFUNCTION("GOOGLETRANSLATE(C11,""zh-tw"",""es-MX"")"),"No utilice Flash Step")</f>
        <v>No utilice Flash Step</v>
      </c>
      <c r="T11" s="174"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4" t="str">
        <f>IFERROR(__xludf.DUMMYFUNCTION("GOOGLETRANSLATE(B11,""zh-tw"",""KO"")"),"-")</f>
        <v>-</v>
      </c>
      <c r="W11" s="306" t="str">
        <f>IFERROR(__xludf.DUMMYFUNCTION("GOOGLETRANSLATE(C11,""zh-tw"",""KO"")"),"플래시 스텝을 사용하지 마세요")</f>
        <v>플래시 스텝을 사용하지 마세요</v>
      </c>
      <c r="X11" s="174" t="str">
        <f>IFERROR(__xludf.DUMMYFUNCTION("GOOGLETRANSLATE(D11,""zh-tw"",""KO"")"),"플래시 스텝 쿨다운")</f>
        <v>플래시 스텝 쿨다운</v>
      </c>
      <c r="Y11" s="302" t="str">
        <f>IFERROR(__xludf.DUMMYFUNCTION("GOOGLETRANSLATE(A11,""zh-tw"",""RU"")"),"Флэш-шаг запрещен")</f>
        <v>Флэш-шаг запрещен</v>
      </c>
      <c r="Z11" s="303" t="str">
        <f>IFERROR(__xludf.DUMMYFUNCTION("GOOGLETRANSLATE(B11,""zh-tw"",""RU"")"),"-")</f>
        <v>-</v>
      </c>
      <c r="AA11" s="304" t="str">
        <f>IFERROR(__xludf.DUMMYFUNCTION("GOOGLETRANSLATE(C11,""zh-tw"",""RU"")"),"Не используйте Flash Step")</f>
        <v>Не используйте Flash Step</v>
      </c>
      <c r="AB11" s="365" t="str">
        <f>IFERROR(__xludf.DUMMYFUNCTION("GOOGLETRANSLATE(D11,""zh-tw"",""RU"")"),"Перезарядка Flash Step")</f>
        <v>Перезарядка Flash Step</v>
      </c>
      <c r="AC11" s="302" t="str">
        <f>IFERROR(__xludf.DUMMYFUNCTION("GOOGLETRANSLATE(A11,""zh-tw"",""DE"")"),"Blitzschritt verboten")</f>
        <v>Blitzschritt verboten</v>
      </c>
      <c r="AD11" s="303" t="str">
        <f>IFERROR(__xludf.DUMMYFUNCTION("GOOGLETRANSLATE(B11,""zh-tw"",""DE"")"),"-")</f>
        <v>-</v>
      </c>
      <c r="AE11" s="304" t="str">
        <f>IFERROR(__xludf.DUMMYFUNCTION("GOOGLETRANSLATE(C11,""zh-tw"",""DE"")"),"Flash Step nicht verwenden")</f>
        <v>Flash Step nicht verwenden</v>
      </c>
      <c r="AF11" s="365" t="str">
        <f>IFERROR(__xludf.DUMMYFUNCTION("GOOGLETRANSLATE(D11,""zh-tw"",""DE"")"),"Flash Step-Abklingzeit")</f>
        <v>Flash Step-Abklingzeit</v>
      </c>
      <c r="AG11" s="154" t="s">
        <v>7698</v>
      </c>
      <c r="AH11" s="41" t="s">
        <v>792</v>
      </c>
      <c r="AI11" s="308" t="s">
        <v>7699</v>
      </c>
      <c r="AJ11" s="366" t="s">
        <v>7700</v>
      </c>
      <c r="AK11" s="154" t="s">
        <v>7701</v>
      </c>
      <c r="AL11" s="41" t="s">
        <v>792</v>
      </c>
      <c r="AM11" s="308" t="s">
        <v>7701</v>
      </c>
      <c r="AN11" s="366" t="s">
        <v>7702</v>
      </c>
      <c r="AO11" s="364"/>
      <c r="AP11" s="364"/>
    </row>
    <row r="12">
      <c r="A12" s="173" t="s">
        <v>7703</v>
      </c>
      <c r="B12" s="305" t="s">
        <v>792</v>
      </c>
      <c r="C12" s="307" t="s">
        <v>7704</v>
      </c>
      <c r="D12" s="364" t="s">
        <v>7705</v>
      </c>
      <c r="E12" s="173" t="s">
        <v>7706</v>
      </c>
      <c r="F12" s="303" t="str">
        <f>IFERROR(__xludf.DUMMYFUNCTION("GOOGLETRANSLATE(B12,""zh-tw"",""ja"")"),"-")</f>
        <v>-</v>
      </c>
      <c r="G12" s="307" t="s">
        <v>7707</v>
      </c>
      <c r="H12" s="364" t="s">
        <v>7708</v>
      </c>
      <c r="I12" s="173" t="s">
        <v>7709</v>
      </c>
      <c r="J12" s="303" t="str">
        <f>IFERROR(__xludf.DUMMYFUNCTION("GOOGLETRANSLATE(B12,""zh-tw"",""en"")"),"-")</f>
        <v>-</v>
      </c>
      <c r="K12" s="307" t="s">
        <v>7710</v>
      </c>
      <c r="L12" s="364" t="s">
        <v>7711</v>
      </c>
      <c r="M12" s="302" t="str">
        <f>IFERROR(__xludf.DUMMYFUNCTION("GOOGLETRANSLATE(A12,""zh-tw"",""zh"")"),"眩晕")</f>
        <v>眩晕</v>
      </c>
      <c r="N12" s="303" t="str">
        <f>IFERROR(__xludf.DUMMYFUNCTION("GOOGLETRANSLATE(B12,""zh-tw"",""zh"")"),"-")</f>
        <v>-</v>
      </c>
      <c r="O12" s="304" t="str">
        <f>IFERROR(__xludf.DUMMYFUNCTION("GOOGLETRANSLATE(C12,""zh-tw"",""zh"")"),"转的头晕了。")</f>
        <v>转的头晕了。</v>
      </c>
      <c r="P12" s="365" t="str">
        <f>IFERROR(__xludf.DUMMYFUNCTION("GOOGLETRANSLATE(D12,""zh-tw"",""zh"")"),"近战武器滑鼠右键结束后")</f>
        <v>近战武器滑鼠右键结束后</v>
      </c>
      <c r="Q12" s="149" t="str">
        <f>IFERROR(__xludf.DUMMYFUNCTION("GOOGLETRANSLATE(A12,""zh-tw"",""es-MX"")"),"mareo")</f>
        <v>mareo</v>
      </c>
      <c r="R12" s="164" t="str">
        <f>IFERROR(__xludf.DUMMYFUNCTION("GOOGLETRANSLATE(B12,""zh-tw"",""es-MX"")"),"-")</f>
        <v>-</v>
      </c>
      <c r="S12" s="306" t="str">
        <f>IFERROR(__xludf.DUMMYFUNCTION("GOOGLETRANSLATE(C12,""zh-tw"",""es-MX"")"),"Estoy mareado de dar vueltas.")</f>
        <v>Estoy mareado de dar vueltas.</v>
      </c>
      <c r="T12" s="174"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4" t="str">
        <f>IFERROR(__xludf.DUMMYFUNCTION("GOOGLETRANSLATE(B12,""zh-tw"",""KO"")"),"-")</f>
        <v>-</v>
      </c>
      <c r="W12" s="306" t="str">
        <f>IFERROR(__xludf.DUMMYFUNCTION("GOOGLETRANSLATE(C12,""zh-tw"",""KO"")"),"나는 빙빙 돌아서서 어지러움을 느낀다.")</f>
        <v>나는 빙빙 돌아서서 어지러움을 느낀다.</v>
      </c>
      <c r="X12" s="174" t="str">
        <f>IFERROR(__xludf.DUMMYFUNCTION("GOOGLETRANSLATE(D12,""zh-tw"",""KO"")"),"근접 무기를 마우스 오른쪽 버튼으로 클릭한 후...")</f>
        <v>근접 무기를 마우스 오른쪽 버튼으로 클릭한 후...</v>
      </c>
      <c r="Y12" s="302" t="str">
        <f>IFERROR(__xludf.DUMMYFUNCTION("GOOGLETRANSLATE(A12,""zh-tw"",""RU"")"),"головокружение")</f>
        <v>головокружение</v>
      </c>
      <c r="Z12" s="303" t="str">
        <f>IFERROR(__xludf.DUMMYFUNCTION("GOOGLETRANSLATE(B12,""zh-tw"",""RU"")"),"-")</f>
        <v>-</v>
      </c>
      <c r="AA12" s="304" t="str">
        <f>IFERROR(__xludf.DUMMYFUNCTION("GOOGLETRANSLATE(C12,""zh-tw"",""RU"")"),"У меня кружится голова от вращения.")</f>
        <v>У меня кружится голова от вращения.</v>
      </c>
      <c r="AB12" s="3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2" t="str">
        <f>IFERROR(__xludf.DUMMYFUNCTION("GOOGLETRANSLATE(A12,""zh-tw"",""DE"")"),"Schwindel")</f>
        <v>Schwindel</v>
      </c>
      <c r="AD12" s="303" t="str">
        <f>IFERROR(__xludf.DUMMYFUNCTION("GOOGLETRANSLATE(B12,""zh-tw"",""DE"")"),"-")</f>
        <v>-</v>
      </c>
      <c r="AE12" s="304" t="str">
        <f>IFERROR(__xludf.DUMMYFUNCTION("GOOGLETRANSLATE(C12,""zh-tw"",""DE"")"),"Mir ist schwindlig vom vielen Drehen.")</f>
        <v>Mir ist schwindlig vom vielen Drehen.</v>
      </c>
      <c r="AF12" s="365" t="str">
        <f>IFERROR(__xludf.DUMMYFUNCTION("GOOGLETRANSLATE(D12,""zh-tw"",""DE"")"),"Nach einem Rechtsklick auf die Nahkampfwaffe...")</f>
        <v>Nach einem Rechtsklick auf die Nahkampfwaffe...</v>
      </c>
      <c r="AG12" s="154" t="s">
        <v>7712</v>
      </c>
      <c r="AH12" s="41" t="s">
        <v>792</v>
      </c>
      <c r="AI12" s="308" t="s">
        <v>7713</v>
      </c>
      <c r="AJ12" s="366" t="s">
        <v>7714</v>
      </c>
      <c r="AK12" s="154" t="s">
        <v>7715</v>
      </c>
      <c r="AL12" s="41" t="s">
        <v>792</v>
      </c>
      <c r="AM12" s="308" t="s">
        <v>7716</v>
      </c>
      <c r="AN12" s="366" t="s">
        <v>7717</v>
      </c>
      <c r="AO12" s="364"/>
      <c r="AP12" s="364"/>
    </row>
    <row r="13">
      <c r="A13" s="173" t="s">
        <v>7718</v>
      </c>
      <c r="B13" s="305" t="s">
        <v>792</v>
      </c>
      <c r="C13" s="307" t="s">
        <v>7719</v>
      </c>
      <c r="D13" s="364" t="s">
        <v>7720</v>
      </c>
      <c r="E13" s="302" t="str">
        <f>IFERROR(__xludf.DUMMYFUNCTION("GOOGLETRANSLATE(A13,""zh-tw"",""ja"")"),"呪文詠唱")</f>
        <v>呪文詠唱</v>
      </c>
      <c r="F13" s="303" t="str">
        <f>IFERROR(__xludf.DUMMYFUNCTION("GOOGLETRANSLATE(B13,""zh-tw"",""ja"")"),"-")</f>
        <v>-</v>
      </c>
      <c r="G13" s="304" t="str">
        <f>IFERROR(__xludf.DUMMYFUNCTION("GOOGLETRANSLATE(C13,""zh-tw"",""ja"")"),"魔法の詠唱中")</f>
        <v>魔法の詠唱中</v>
      </c>
      <c r="H13" s="365" t="str">
        <f>IFERROR(__xludf.DUMMYFUNCTION("GOOGLETRANSLATE(D13,""zh-tw"",""ja"")"),"杖武器を右クリックします。")</f>
        <v>杖武器を右クリックします。</v>
      </c>
      <c r="I13" s="173" t="s">
        <v>7721</v>
      </c>
      <c r="J13" s="303" t="str">
        <f>IFERROR(__xludf.DUMMYFUNCTION("GOOGLETRANSLATE(B13,""zh-tw"",""en"")"),"-")</f>
        <v>-</v>
      </c>
      <c r="K13" s="307" t="s">
        <v>7722</v>
      </c>
      <c r="L13" s="364" t="s">
        <v>7723</v>
      </c>
      <c r="M13" s="302" t="str">
        <f>IFERROR(__xludf.DUMMYFUNCTION("GOOGLETRANSLATE(A13,""zh-tw"",""zh"")"),"施法")</f>
        <v>施法</v>
      </c>
      <c r="N13" s="303" t="str">
        <f>IFERROR(__xludf.DUMMYFUNCTION("GOOGLETRANSLATE(B13,""zh-tw"",""zh"")"),"-")</f>
        <v>-</v>
      </c>
      <c r="O13" s="304" t="str">
        <f>IFERROR(__xludf.DUMMYFUNCTION("GOOGLETRANSLATE(C13,""zh-tw"",""zh"")"),"魔法吟唱中")</f>
        <v>魔法吟唱中</v>
      </c>
      <c r="P13" s="365" t="str">
        <f>IFERROR(__xludf.DUMMYFUNCTION("GOOGLETRANSLATE(D13,""zh-tw"",""zh"")"),"法杖武器滑鼠右键")</f>
        <v>法杖武器滑鼠右键</v>
      </c>
      <c r="Q13" s="149" t="str">
        <f>IFERROR(__xludf.DUMMYFUNCTION("GOOGLETRANSLATE(A13,""zh-tw"",""es-MX"")"),"Lanzamiento de hechizos")</f>
        <v>Lanzamiento de hechizos</v>
      </c>
      <c r="R13" s="164" t="str">
        <f>IFERROR(__xludf.DUMMYFUNCTION("GOOGLETRANSLATE(B13,""zh-tw"",""es-MX"")"),"-")</f>
        <v>-</v>
      </c>
      <c r="S13" s="306" t="str">
        <f>IFERROR(__xludf.DUMMYFUNCTION("GOOGLETRANSLATE(C13,""zh-tw"",""es-MX"")"),"Durante el canto mágico")</f>
        <v>Durante el canto mágico</v>
      </c>
      <c r="T13" s="174" t="str">
        <f>IFERROR(__xludf.DUMMYFUNCTION("GOOGLETRANSLATE(D13,""zh-tw"",""es-MX"")"),"Haz clic derecho en el arma del bastón.")</f>
        <v>Haz clic derecho en el arma del bastón.</v>
      </c>
      <c r="U13" s="149" t="str">
        <f>IFERROR(__xludf.DUMMYFUNCTION("GOOGLETRANSLATE(A13,""zh-tw"",""KO"")"),"주문시전")</f>
        <v>주문시전</v>
      </c>
      <c r="V13" s="164" t="str">
        <f>IFERROR(__xludf.DUMMYFUNCTION("GOOGLETRANSLATE(B13,""zh-tw"",""KO"")"),"-")</f>
        <v>-</v>
      </c>
      <c r="W13" s="306" t="str">
        <f>IFERROR(__xludf.DUMMYFUNCTION("GOOGLETRANSLATE(C13,""zh-tw"",""KO"")"),"마법의 주문을 외우는 동안")</f>
        <v>마법의 주문을 외우는 동안</v>
      </c>
      <c r="X13" s="174" t="str">
        <f>IFERROR(__xludf.DUMMYFUNCTION("GOOGLETRANSLATE(D13,""zh-tw"",""KO"")"),"지팡이 무기를 마우스 오른쪽 버튼으로 클릭합니다.")</f>
        <v>지팡이 무기를 마우스 오른쪽 버튼으로 클릭합니다.</v>
      </c>
      <c r="Y13" s="302" t="str">
        <f>IFERROR(__xludf.DUMMYFUNCTION("GOOGLETRANSLATE(A13,""zh-tw"",""RU"")"),"Колдовство")</f>
        <v>Колдовство</v>
      </c>
      <c r="Z13" s="303" t="str">
        <f>IFERROR(__xludf.DUMMYFUNCTION("GOOGLETRANSLATE(B13,""zh-tw"",""RU"")"),"-")</f>
        <v>-</v>
      </c>
      <c r="AA13" s="304" t="str">
        <f>IFERROR(__xludf.DUMMYFUNCTION("GOOGLETRANSLATE(C13,""zh-tw"",""RU"")"),"Во время магического песнопения")</f>
        <v>Во время магического песнопения</v>
      </c>
      <c r="AB13" s="365" t="str">
        <f>IFERROR(__xludf.DUMMYFUNCTION("GOOGLETRANSLATE(D13,""zh-tw"",""RU"")"),"Щелкните правой кнопкой мыши по оружию-посоху.")</f>
        <v>Щелкните правой кнопкой мыши по оружию-посоху.</v>
      </c>
      <c r="AC13" s="302" t="str">
        <f>IFERROR(__xludf.DUMMYFUNCTION("GOOGLETRANSLATE(A13,""zh-tw"",""DE"")"),"Zauberwirken")</f>
        <v>Zauberwirken</v>
      </c>
      <c r="AD13" s="303" t="str">
        <f>IFERROR(__xludf.DUMMYFUNCTION("GOOGLETRANSLATE(B13,""zh-tw"",""DE"")"),"-")</f>
        <v>-</v>
      </c>
      <c r="AE13" s="304" t="str">
        <f>IFERROR(__xludf.DUMMYFUNCTION("GOOGLETRANSLATE(C13,""zh-tw"",""DE"")"),"Während des Zaubergesangs")</f>
        <v>Während des Zaubergesangs</v>
      </c>
      <c r="AF13" s="365" t="str">
        <f>IFERROR(__xludf.DUMMYFUNCTION("GOOGLETRANSLATE(D13,""zh-tw"",""DE"")"),"Rechtsklicken Sie auf die Stabwaffe.")</f>
        <v>Rechtsklicken Sie auf die Stabwaffe.</v>
      </c>
      <c r="AG13" s="154" t="s">
        <v>7724</v>
      </c>
      <c r="AH13" s="41" t="s">
        <v>792</v>
      </c>
      <c r="AI13" s="308" t="s">
        <v>7725</v>
      </c>
      <c r="AJ13" s="366" t="s">
        <v>7726</v>
      </c>
      <c r="AK13" s="154" t="s">
        <v>7727</v>
      </c>
      <c r="AL13" s="41" t="s">
        <v>792</v>
      </c>
      <c r="AM13" s="308" t="s">
        <v>7728</v>
      </c>
      <c r="AN13" s="366" t="s">
        <v>7729</v>
      </c>
      <c r="AO13" s="364"/>
      <c r="AP13" s="364"/>
    </row>
    <row r="14">
      <c r="A14" s="173" t="s">
        <v>7730</v>
      </c>
      <c r="B14" s="305" t="s">
        <v>7731</v>
      </c>
      <c r="C14" s="307" t="s">
        <v>7732</v>
      </c>
      <c r="D14" s="364" t="s">
        <v>7733</v>
      </c>
      <c r="E14" s="173" t="s">
        <v>7730</v>
      </c>
      <c r="F14" s="305" t="s">
        <v>7734</v>
      </c>
      <c r="G14" s="307" t="s">
        <v>7735</v>
      </c>
      <c r="H14" s="364" t="s">
        <v>7736</v>
      </c>
      <c r="I14" s="173" t="s">
        <v>7737</v>
      </c>
      <c r="J14" s="305" t="s">
        <v>7738</v>
      </c>
      <c r="K14" s="307" t="s">
        <v>7739</v>
      </c>
      <c r="L14" s="364" t="s">
        <v>7740</v>
      </c>
      <c r="M14" s="302" t="str">
        <f>IFERROR(__xludf.DUMMYFUNCTION("GOOGLETRANSLATE(A14,""zh-tw"",""zh"")"),"中毒")</f>
        <v>中毒</v>
      </c>
      <c r="N14" s="303" t="str">
        <f>IFERROR(__xludf.DUMMYFUNCTION("GOOGLETRANSLATE(B14,""zh-tw"",""zh"")"),"体内感染了毒素")</f>
        <v>体内感染了毒素</v>
      </c>
      <c r="O14" s="304" t="str">
        <f>IFERROR(__xludf.DUMMYFUNCTION("GOOGLETRANSLATE(C14,""zh-tw"",""zh"")"),"随时间经过受到更多伤害")</f>
        <v>随时间经过受到更多伤害</v>
      </c>
      <c r="P14" s="365" t="str">
        <f>IFERROR(__xludf.DUMMYFUNCTION("GOOGLETRANSLATE(D14,""zh-tw"",""zh"")"),"被丧尸攻击")</f>
        <v>被丧尸攻击</v>
      </c>
      <c r="Q14" s="149" t="str">
        <f>IFERROR(__xludf.DUMMYFUNCTION("GOOGLETRANSLATE(A14,""zh-tw"",""es-MX"")"),"Envenenamiento")</f>
        <v>Envenenamiento</v>
      </c>
      <c r="R14" s="164" t="str">
        <f>IFERROR(__xludf.DUMMYFUNCTION("GOOGLETRANSLATE(B14,""zh-tw"",""es-MX"")"),"Infección con toxinas")</f>
        <v>Infección con toxinas</v>
      </c>
      <c r="S14" s="306" t="str">
        <f>IFERROR(__xludf.DUMMYFUNCTION("GOOGLETRANSLATE(C14,""zh-tw"",""es-MX"")"),"Más daños con el tiempo")</f>
        <v>Más daños con el tiempo</v>
      </c>
      <c r="T14" s="174" t="str">
        <f>IFERROR(__xludf.DUMMYFUNCTION("GOOGLETRANSLATE(D14,""zh-tw"",""es-MX"")"),"Atacado por zombies")</f>
        <v>Atacado por zombies</v>
      </c>
      <c r="U14" s="149" t="str">
        <f>IFERROR(__xludf.DUMMYFUNCTION("GOOGLETRANSLATE(A14,""zh-tw"",""KO"")"),"중독")</f>
        <v>중독</v>
      </c>
      <c r="V14" s="164" t="str">
        <f>IFERROR(__xludf.DUMMYFUNCTION("GOOGLETRANSLATE(B14,""zh-tw"",""KO"")"),"독소 감염")</f>
        <v>독소 감염</v>
      </c>
      <c r="W14" s="306" t="str">
        <f>IFERROR(__xludf.DUMMYFUNCTION("GOOGLETRANSLATE(C14,""zh-tw"",""KO"")"),"시간이 지남에 따라 더 많은 손상")</f>
        <v>시간이 지남에 따라 더 많은 손상</v>
      </c>
      <c r="X14" s="174" t="str">
        <f>IFERROR(__xludf.DUMMYFUNCTION("GOOGLETRANSLATE(D14,""zh-tw"",""KO"")"),"좀비의 공격을 받다")</f>
        <v>좀비의 공격을 받다</v>
      </c>
      <c r="Y14" s="302" t="str">
        <f>IFERROR(__xludf.DUMMYFUNCTION("GOOGLETRANSLATE(A14,""zh-tw"",""RU"")"),"Отравление")</f>
        <v>Отравление</v>
      </c>
      <c r="Z14" s="303" t="str">
        <f>IFERROR(__xludf.DUMMYFUNCTION("GOOGLETRANSLATE(B14,""zh-tw"",""RU"")"),"Заражение токсинами")</f>
        <v>Заражение токсинами</v>
      </c>
      <c r="AA14" s="304" t="str">
        <f>IFERROR(__xludf.DUMMYFUNCTION("GOOGLETRANSLATE(C14,""zh-tw"",""RU"")"),"Со временем ущерб увеличивается")</f>
        <v>Со временем ущерб увеличивается</v>
      </c>
      <c r="AB14" s="365" t="str">
        <f>IFERROR(__xludf.DUMMYFUNCTION("GOOGLETRANSLATE(D14,""zh-tw"",""RU"")"),"Напали зомби")</f>
        <v>Напали зомби</v>
      </c>
      <c r="AC14" s="302" t="str">
        <f>IFERROR(__xludf.DUMMYFUNCTION("GOOGLETRANSLATE(A14,""zh-tw"",""DE"")"),"Vergiftung")</f>
        <v>Vergiftung</v>
      </c>
      <c r="AD14" s="303" t="str">
        <f>IFERROR(__xludf.DUMMYFUNCTION("GOOGLETRANSLATE(B14,""zh-tw"",""DE"")"),"Infektion mit Toxinen")</f>
        <v>Infektion mit Toxinen</v>
      </c>
      <c r="AE14" s="304" t="str">
        <f>IFERROR(__xludf.DUMMYFUNCTION("GOOGLETRANSLATE(C14,""zh-tw"",""DE"")"),"Mehr Schaden im Laufe der Zeit")</f>
        <v>Mehr Schaden im Laufe der Zeit</v>
      </c>
      <c r="AF14" s="365" t="str">
        <f>IFERROR(__xludf.DUMMYFUNCTION("GOOGLETRANSLATE(D14,""zh-tw"",""DE"")"),"Von Zombies angegriffen")</f>
        <v>Von Zombies angegriffen</v>
      </c>
      <c r="AG14" s="154" t="s">
        <v>7741</v>
      </c>
      <c r="AH14" s="41" t="s">
        <v>7742</v>
      </c>
      <c r="AI14" s="308" t="s">
        <v>7743</v>
      </c>
      <c r="AJ14" s="366" t="s">
        <v>7744</v>
      </c>
      <c r="AK14" s="154" t="s">
        <v>7745</v>
      </c>
      <c r="AL14" s="41" t="s">
        <v>7746</v>
      </c>
      <c r="AM14" s="308" t="s">
        <v>7747</v>
      </c>
      <c r="AN14" s="366" t="s">
        <v>7748</v>
      </c>
      <c r="AO14" s="364"/>
      <c r="AP14" s="364"/>
    </row>
    <row r="15">
      <c r="A15" s="173" t="s">
        <v>7749</v>
      </c>
      <c r="B15" s="305" t="s">
        <v>7750</v>
      </c>
      <c r="C15" s="307" t="s">
        <v>7751</v>
      </c>
      <c r="D15" s="364" t="s">
        <v>7752</v>
      </c>
      <c r="E15" s="302" t="str">
        <f>IFERROR(__xludf.DUMMYFUNCTION("GOOGLETRANSLATE(A15,""zh-tw"",""ja"")"),"出血")</f>
        <v>出血</v>
      </c>
      <c r="F15" s="305" t="s">
        <v>7753</v>
      </c>
      <c r="G15" s="304" t="str">
        <f>IFERROR(__xludf.DUMMYFUNCTION("GOOGLETRANSLATE(C15,""zh-tw"",""ja"")"),"受けるダメージは最大スタミナに基づいて決まります。")</f>
        <v>受けるダメージは最大スタミナに基づいて決まります。</v>
      </c>
      <c r="H15" s="364" t="s">
        <v>7754</v>
      </c>
      <c r="I15" s="302" t="str">
        <f>IFERROR(__xludf.DUMMYFUNCTION("GOOGLETRANSLATE(A15,""zh-tw"",""en"")"),"Bleeding")</f>
        <v>Bleeding</v>
      </c>
      <c r="J15" s="305" t="s">
        <v>7755</v>
      </c>
      <c r="K15" s="307" t="s">
        <v>7756</v>
      </c>
      <c r="L15" s="364" t="s">
        <v>7757</v>
      </c>
      <c r="M15" s="302" t="str">
        <f>IFERROR(__xludf.DUMMYFUNCTION("GOOGLETRANSLATE(A15,""zh-tw"",""zh"")"),"出血")</f>
        <v>出血</v>
      </c>
      <c r="N15" s="303" t="str">
        <f>IFERROR(__xludf.DUMMYFUNCTION("GOOGLETRANSLATE(B15,""zh-tw"",""zh"")"),"血流不止。")</f>
        <v>血流不止。</v>
      </c>
      <c r="O15" s="304" t="str">
        <f>IFERROR(__xludf.DUMMYFUNCTION("GOOGLETRANSLATE(C15,""zh-tw"",""zh"")"),"根据体力上限受到伤害")</f>
        <v>根据体力上限受到伤害</v>
      </c>
      <c r="P15" s="365" t="str">
        <f>IFERROR(__xludf.DUMMYFUNCTION("GOOGLETRANSLATE(D15,""zh-tw"",""zh"")"),"被小红兽攻击")</f>
        <v>被小红兽攻击</v>
      </c>
      <c r="Q15" s="149" t="str">
        <f>IFERROR(__xludf.DUMMYFUNCTION("GOOGLETRANSLATE(A15,""zh-tw"",""es-MX"")"),"Sangría")</f>
        <v>Sangría</v>
      </c>
      <c r="R15" s="164" t="str">
        <f>IFERROR(__xludf.DUMMYFUNCTION("GOOGLETRANSLATE(B15,""zh-tw"",""es-MX"")"),"El sangrado no se detenía.")</f>
        <v>El sangrado no se detenía.</v>
      </c>
      <c r="S15" s="306" t="str">
        <f>IFERROR(__xludf.DUMMYFUNCTION("GOOGLETRANSLATE(C15,""zh-tw"",""es-MX"")"),"Daño recibido según la resistencia máxima.")</f>
        <v>Daño recibido según la resistencia máxima.</v>
      </c>
      <c r="T15" s="174" t="str">
        <f>IFERROR(__xludf.DUMMYFUNCTION("GOOGLETRANSLATE(D15,""zh-tw"",""es-MX"")"),"Atacado por la pequeña bestia roja")</f>
        <v>Atacado por la pequeña bestia roja</v>
      </c>
      <c r="U15" s="149" t="str">
        <f>IFERROR(__xludf.DUMMYFUNCTION("GOOGLETRANSLATE(A15,""zh-tw"",""KO"")"),"출혈")</f>
        <v>출혈</v>
      </c>
      <c r="V15" s="164" t="str">
        <f>IFERROR(__xludf.DUMMYFUNCTION("GOOGLETRANSLATE(B15,""zh-tw"",""KO"")"),"출혈이 멈추지 않았습니다.")</f>
        <v>출혈이 멈추지 않았습니다.</v>
      </c>
      <c r="W15" s="306" t="str">
        <f>IFERROR(__xludf.DUMMYFUNCTION("GOOGLETRANSLATE(C15,""zh-tw"",""KO"")"),"최대 체력에 따라 받은 피해량입니다.")</f>
        <v>최대 체력에 따라 받은 피해량입니다.</v>
      </c>
      <c r="X15" s="174" t="str">
        <f>IFERROR(__xludf.DUMMYFUNCTION("GOOGLETRANSLATE(D15,""zh-tw"",""KO"")"),"작은 붉은 짐승에게 공격당함")</f>
        <v>작은 붉은 짐승에게 공격당함</v>
      </c>
      <c r="Y15" s="302" t="str">
        <f>IFERROR(__xludf.DUMMYFUNCTION("GOOGLETRANSLATE(A15,""zh-tw"",""RU"")"),"Кровотечение")</f>
        <v>Кровотечение</v>
      </c>
      <c r="Z15" s="303" t="str">
        <f>IFERROR(__xludf.DUMMYFUNCTION("GOOGLETRANSLATE(B15,""zh-tw"",""RU"")"),"Кровотечение не останавливалось.")</f>
        <v>Кровотечение не останавливалось.</v>
      </c>
      <c r="AA15" s="30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65" t="str">
        <f>IFERROR(__xludf.DUMMYFUNCTION("GOOGLETRANSLATE(D15,""zh-tw"",""RU"")"),"Напал маленький красный зверь")</f>
        <v>Напал маленький красный зверь</v>
      </c>
      <c r="AC15" s="302" t="str">
        <f>IFERROR(__xludf.DUMMYFUNCTION("GOOGLETRANSLATE(A15,""zh-tw"",""DE"")"),"Blutung")</f>
        <v>Blutung</v>
      </c>
      <c r="AD15" s="303" t="str">
        <f>IFERROR(__xludf.DUMMYFUNCTION("GOOGLETRANSLATE(B15,""zh-tw"",""DE"")"),"Die Blutung hörte nicht auf.")</f>
        <v>Die Blutung hörte nicht auf.</v>
      </c>
      <c r="AE15" s="304" t="str">
        <f>IFERROR(__xludf.DUMMYFUNCTION("GOOGLETRANSLATE(C15,""zh-tw"",""DE"")"),"Der erlittene Schaden basiert auf der maximalen Ausdauer.")</f>
        <v>Der erlittene Schaden basiert auf der maximalen Ausdauer.</v>
      </c>
      <c r="AF15" s="365" t="str">
        <f>IFERROR(__xludf.DUMMYFUNCTION("GOOGLETRANSLATE(D15,""zh-tw"",""DE"")"),"Angegriffen von dem kleinen roten Biest")</f>
        <v>Angegriffen von dem kleinen roten Biest</v>
      </c>
      <c r="AG15" s="154" t="s">
        <v>7758</v>
      </c>
      <c r="AH15" s="41" t="s">
        <v>7759</v>
      </c>
      <c r="AI15" s="308" t="s">
        <v>7760</v>
      </c>
      <c r="AJ15" s="366" t="s">
        <v>7761</v>
      </c>
      <c r="AK15" s="154" t="s">
        <v>7762</v>
      </c>
      <c r="AL15" s="41" t="s">
        <v>7763</v>
      </c>
      <c r="AM15" s="308" t="s">
        <v>7764</v>
      </c>
      <c r="AN15" s="366" t="s">
        <v>7765</v>
      </c>
      <c r="AO15" s="364"/>
      <c r="AP15" s="364"/>
    </row>
    <row r="16">
      <c r="A16" s="173" t="s">
        <v>7766</v>
      </c>
      <c r="B16" s="305" t="s">
        <v>7767</v>
      </c>
      <c r="C16" s="307" t="s">
        <v>7768</v>
      </c>
      <c r="D16" s="364" t="s">
        <v>7769</v>
      </c>
      <c r="E16" s="173" t="s">
        <v>7770</v>
      </c>
      <c r="F16" s="303" t="str">
        <f>IFERROR(__xludf.DUMMYFUNCTION("GOOGLETRANSLATE(B16,""zh-tw"",""ja"")"),"見て、この男は雷に打たれたんだ！")</f>
        <v>見て、この男は雷に打たれたんだ！</v>
      </c>
      <c r="G16" s="307" t="s">
        <v>7771</v>
      </c>
      <c r="H16" s="364" t="s">
        <v>7772</v>
      </c>
      <c r="I16" s="173" t="s">
        <v>7773</v>
      </c>
      <c r="J16" s="305" t="s">
        <v>7774</v>
      </c>
      <c r="K16" s="307" t="s">
        <v>7775</v>
      </c>
      <c r="L16" s="364" t="s">
        <v>7776</v>
      </c>
      <c r="M16" s="302" t="str">
        <f>IFERROR(__xludf.DUMMYFUNCTION("GOOGLETRANSLATE(A16,""zh-tw"",""zh"")"),"打雷")</f>
        <v>打雷</v>
      </c>
      <c r="N16" s="303" t="str">
        <f>IFERROR(__xludf.DUMMYFUNCTION("GOOGLETRANSLATE(B16,""zh-tw"",""zh"")"),"看啊，这家伙被雷劈了！")</f>
        <v>看啊，这家伙被雷劈了！</v>
      </c>
      <c r="O16" s="304" t="str">
        <f>IFERROR(__xludf.DUMMYFUNCTION("GOOGLETRANSLATE(C16,""zh-tw"",""zh"")"),"全身麻痹无法动弹！")</f>
        <v>全身麻痹无法动弹！</v>
      </c>
      <c r="P16" s="365" t="str">
        <f>IFERROR(__xludf.DUMMYFUNCTION("GOOGLETRANSLATE(D16,""zh-tw"",""zh"")"),"会漏电的的不良品、哔哩哔哩史莱姆")</f>
        <v>会漏电的的不良品、哔哩哔哩史莱姆</v>
      </c>
      <c r="Q16" s="149" t="str">
        <f>IFERROR(__xludf.DUMMYFUNCTION("GOOGLETRANSLATE(A16,""zh-tw"",""es-MX"")"),"trueno")</f>
        <v>trueno</v>
      </c>
      <c r="R16" s="164" t="str">
        <f>IFERROR(__xludf.DUMMYFUNCTION("GOOGLETRANSLATE(B16,""zh-tw"",""es-MX"")"),"¡Mira, a este tipo le cayó un rayo!")</f>
        <v>¡Mira, a este tipo le cayó un rayo!</v>
      </c>
      <c r="S16" s="306" t="str">
        <f>IFERROR(__xludf.DUMMYFUNCTION("GOOGLETRANSLATE(C16,""zh-tw"",""es-MX"")"),"¡Parálisis completa, incapaz de moverse!")</f>
        <v>¡Parálisis completa, incapaz de moverse!</v>
      </c>
      <c r="T16" s="174"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4" t="str">
        <f>IFERROR(__xludf.DUMMYFUNCTION("GOOGLETRANSLATE(B16,""zh-tw"",""KO"")"),"보세요, 이 사람이 번개를 맞았어요!")</f>
        <v>보세요, 이 사람이 번개를 맞았어요!</v>
      </c>
      <c r="W16" s="306" t="str">
        <f>IFERROR(__xludf.DUMMYFUNCTION("GOOGLETRANSLATE(C16,""zh-tw"",""KO"")"),"완전 마비로 움직일 수 없습니다!")</f>
        <v>완전 마비로 움직일 수 없습니다!</v>
      </c>
      <c r="X16" s="174" t="str">
        <f>IFERROR(__xludf.DUMMYFUNCTION("GOOGLETRANSLATE(D16,""zh-tw"",""KO"")"),"전기가 새는 불량품, 빌리빌리 슬라임")</f>
        <v>전기가 새는 불량품, 빌리빌리 슬라임</v>
      </c>
      <c r="Y16" s="302" t="str">
        <f>IFERROR(__xludf.DUMMYFUNCTION("GOOGLETRANSLATE(A16,""zh-tw"",""RU"")"),"гром")</f>
        <v>гром</v>
      </c>
      <c r="Z16" s="303" t="str">
        <f>IFERROR(__xludf.DUMMYFUNCTION("GOOGLETRANSLATE(B16,""zh-tw"",""RU"")"),"Смотри, в этого парня ударила молния!")</f>
        <v>Смотри, в этого парня ударила молния!</v>
      </c>
      <c r="AA16" s="304" t="str">
        <f>IFERROR(__xludf.DUMMYFUNCTION("GOOGLETRANSLATE(C16,""zh-tw"",""RU"")"),"Полный паралич, не могу пошевелиться!")</f>
        <v>Полный паралич, не могу пошевелиться!</v>
      </c>
      <c r="AB16" s="365"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2" t="str">
        <f>IFERROR(__xludf.DUMMYFUNCTION("GOOGLETRANSLATE(A16,""zh-tw"",""DE"")"),"Donner")</f>
        <v>Donner</v>
      </c>
      <c r="AD16" s="303" t="str">
        <f>IFERROR(__xludf.DUMMYFUNCTION("GOOGLETRANSLATE(B16,""zh-tw"",""DE"")"),"Schau mal, dieser Typ wurde vom Blitz getroffen!")</f>
        <v>Schau mal, dieser Typ wurde vom Blitz getroffen!</v>
      </c>
      <c r="AE16" s="304" t="str">
        <f>IFERROR(__xludf.DUMMYFUNCTION("GOOGLETRANSLATE(C16,""zh-tw"",""DE"")"),"Völlige Lähmung, unfähig sich zu bewegen!")</f>
        <v>Völlige Lähmung, unfähig sich zu bewegen!</v>
      </c>
      <c r="AF16" s="365" t="str">
        <f>IFERROR(__xludf.DUMMYFUNCTION("GOOGLETRANSLATE(D16,""zh-tw"",""DE"")"),"Defekte Produkte, die Strom verlieren; Bilibili-Schleim")</f>
        <v>Defekte Produkte, die Strom verlieren; Bilibili-Schleim</v>
      </c>
      <c r="AG16" s="154" t="s">
        <v>7777</v>
      </c>
      <c r="AH16" s="41" t="s">
        <v>7778</v>
      </c>
      <c r="AI16" s="308" t="s">
        <v>7779</v>
      </c>
      <c r="AJ16" s="366" t="s">
        <v>7780</v>
      </c>
      <c r="AK16" s="154" t="s">
        <v>7781</v>
      </c>
      <c r="AL16" s="41" t="s">
        <v>7782</v>
      </c>
      <c r="AM16" s="308" t="s">
        <v>7783</v>
      </c>
      <c r="AN16" s="366" t="s">
        <v>7784</v>
      </c>
      <c r="AO16" s="364"/>
      <c r="AP16" s="364"/>
    </row>
    <row r="17">
      <c r="A17" s="173" t="s">
        <v>7785</v>
      </c>
      <c r="B17" s="305" t="s">
        <v>7786</v>
      </c>
      <c r="C17" s="307" t="s">
        <v>7787</v>
      </c>
      <c r="D17" s="364" t="s">
        <v>7788</v>
      </c>
      <c r="E17" s="173" t="s">
        <v>7785</v>
      </c>
      <c r="F17" s="303" t="str">
        <f>IFERROR(__xludf.DUMMYFUNCTION("GOOGLETRANSLATE(B17,""zh-tw"",""ja"")"),"暑い！暑い！暑い！暑い！")</f>
        <v>暑い！暑い！暑い！暑い！</v>
      </c>
      <c r="G17" s="307" t="s">
        <v>7789</v>
      </c>
      <c r="H17" s="364" t="s">
        <v>7790</v>
      </c>
      <c r="I17" s="173" t="s">
        <v>7791</v>
      </c>
      <c r="J17" s="305" t="s">
        <v>7792</v>
      </c>
      <c r="K17" s="307" t="s">
        <v>7793</v>
      </c>
      <c r="L17" s="364" t="s">
        <v>7794</v>
      </c>
      <c r="M17" s="302" t="str">
        <f>IFERROR(__xludf.DUMMYFUNCTION("GOOGLETRANSLATE(A17,""zh-tw"",""zh"")"),"炎上")</f>
        <v>炎上</v>
      </c>
      <c r="N17" s="303" t="str">
        <f>IFERROR(__xludf.DUMMYFUNCTION("GOOGLETRANSLATE(B17,""zh-tw"",""zh"")"),"好烫好烫好烫——！")</f>
        <v>好烫好烫好烫——！</v>
      </c>
      <c r="O17" s="304" t="str">
        <f>IFERROR(__xludf.DUMMYFUNCTION("GOOGLETRANSLATE(C17,""zh-tw"",""zh"")"),"对自身范围内所有单位持续的灼烧")</f>
        <v>对自身范围内所有单位持续的灼烧</v>
      </c>
      <c r="P17" s="365" t="str">
        <f>IFERROR(__xludf.DUMMYFUNCTION("GOOGLETRANSLATE(D17,""zh-tw"",""zh"")"),"被火焰属性攻击")</f>
        <v>被火焰属性攻击</v>
      </c>
      <c r="Q17" s="149" t="str">
        <f>IFERROR(__xludf.DUMMYFUNCTION("GOOGLETRANSLATE(A17,""zh-tw"",""es-MX"")"),"Yan Shang")</f>
        <v>Yan Shang</v>
      </c>
      <c r="R17" s="164" t="str">
        <f>IFERROR(__xludf.DUMMYFUNCTION("GOOGLETRANSLATE(B17,""zh-tw"",""es-MX"")"),"¡Hace mucho calor! ¡Hace mucho calor! ¡Hace mucho calor!")</f>
        <v>¡Hace mucho calor! ¡Hace mucho calor! ¡Hace mucho calor!</v>
      </c>
      <c r="S17" s="306" t="str">
        <f>IFERROR(__xludf.DUMMYFUNCTION("GOOGLETRANSLATE(C17,""zh-tw"",""es-MX"")"),"Quema continua de todas las unidades dentro de su alcance.")</f>
        <v>Quema continua de todas las unidades dentro de su alcance.</v>
      </c>
      <c r="T17" s="174" t="str">
        <f>IFERROR(__xludf.DUMMYFUNCTION("GOOGLETRANSLATE(D17,""zh-tw"",""es-MX"")"),"Atacado por el fuego")</f>
        <v>Atacado por el fuego</v>
      </c>
      <c r="U17" s="149" t="str">
        <f>IFERROR(__xludf.DUMMYFUNCTION("GOOGLETRANSLATE(A17,""zh-tw"",""KO"")"),"옌샹")</f>
        <v>옌샹</v>
      </c>
      <c r="V17" s="164" t="str">
        <f>IFERROR(__xludf.DUMMYFUNCTION("GOOGLETRANSLATE(B17,""zh-tw"",""KO"")"),"너무 더워요! 너무 더워요! 너무 더워요!")</f>
        <v>너무 더워요! 너무 더워요! 너무 더워요!</v>
      </c>
      <c r="W17" s="306" t="str">
        <f>IFERROR(__xludf.DUMMYFUNCTION("GOOGLETRANSLATE(C17,""zh-tw"",""KO"")"),"범위 내의 모든 유닛을 지속적으로 불태웁니다.")</f>
        <v>범위 내의 모든 유닛을 지속적으로 불태웁니다.</v>
      </c>
      <c r="X17" s="174" t="str">
        <f>IFERROR(__xludf.DUMMYFUNCTION("GOOGLETRANSLATE(D17,""zh-tw"",""KO"")"),"화재로 공격받다")</f>
        <v>화재로 공격받다</v>
      </c>
      <c r="Y17" s="302" t="str">
        <f>IFERROR(__xludf.DUMMYFUNCTION("GOOGLETRANSLATE(A17,""zh-tw"",""RU"")"),"Ян Шан")</f>
        <v>Ян Шан</v>
      </c>
      <c r="Z17" s="303" t="str">
        <f>IFERROR(__xludf.DUMMYFUNCTION("GOOGLETRANSLATE(B17,""zh-tw"",""RU"")"),"Так жарко! Так жарко! Так жарко!")</f>
        <v>Так жарко! Так жарко! Так жарко!</v>
      </c>
      <c r="AA17" s="304" t="str">
        <f>IFERROR(__xludf.DUMMYFUNCTION("GOOGLETRANSLATE(C17,""zh-tw"",""RU"")"),"Непрерывное горение всех единиц в радиусе действия.")</f>
        <v>Непрерывное горение всех единиц в радиусе действия.</v>
      </c>
      <c r="AB17" s="365" t="str">
        <f>IFERROR(__xludf.DUMMYFUNCTION("GOOGLETRANSLATE(D17,""zh-tw"",""RU"")"),"Атакован огнем")</f>
        <v>Атакован огнем</v>
      </c>
      <c r="AC17" s="302" t="str">
        <f>IFERROR(__xludf.DUMMYFUNCTION("GOOGLETRANSLATE(A17,""zh-tw"",""DE"")"),"Yan Shang")</f>
        <v>Yan Shang</v>
      </c>
      <c r="AD17" s="303" t="str">
        <f>IFERROR(__xludf.DUMMYFUNCTION("GOOGLETRANSLATE(B17,""zh-tw"",""DE"")"),"Es ist so heiß! Es ist so heiß! Es ist so heiß!")</f>
        <v>Es ist so heiß! Es ist so heiß! Es ist so heiß!</v>
      </c>
      <c r="AE17" s="304" t="str">
        <f>IFERROR(__xludf.DUMMYFUNCTION("GOOGLETRANSLATE(C17,""zh-tw"",""DE"")"),"Kontinuierliches Abbrennen aller Einheiten innerhalb seiner Reichweite.")</f>
        <v>Kontinuierliches Abbrennen aller Einheiten innerhalb seiner Reichweite.</v>
      </c>
      <c r="AF17" s="365" t="str">
        <f>IFERROR(__xludf.DUMMYFUNCTION("GOOGLETRANSLATE(D17,""zh-tw"",""DE"")"),"Von Feuer angegriffen")</f>
        <v>Von Feuer angegriffen</v>
      </c>
      <c r="AG17" s="154" t="s">
        <v>7795</v>
      </c>
      <c r="AH17" s="41" t="s">
        <v>7796</v>
      </c>
      <c r="AI17" s="308" t="s">
        <v>7797</v>
      </c>
      <c r="AJ17" s="366" t="s">
        <v>7798</v>
      </c>
      <c r="AK17" s="154" t="s">
        <v>7799</v>
      </c>
      <c r="AL17" s="41" t="s">
        <v>7800</v>
      </c>
      <c r="AM17" s="308" t="s">
        <v>7801</v>
      </c>
      <c r="AN17" s="366" t="s">
        <v>7802</v>
      </c>
      <c r="AO17" s="364"/>
      <c r="AP17" s="364"/>
    </row>
    <row r="18">
      <c r="A18" s="173" t="s">
        <v>7803</v>
      </c>
      <c r="B18" s="305" t="s">
        <v>7804</v>
      </c>
      <c r="C18" s="307" t="s">
        <v>7805</v>
      </c>
      <c r="D18" s="364" t="s">
        <v>4514</v>
      </c>
      <c r="E18" s="173" t="s">
        <v>7806</v>
      </c>
      <c r="F18" s="303" t="str">
        <f>IFERROR(__xludf.DUMMYFUNCTION("GOOGLETRANSLATE(B18,""zh-tw"",""ja"")"),"アイスキャンディーにしてみよう！")</f>
        <v>アイスキャンディーにしてみよう！</v>
      </c>
      <c r="G18" s="307" t="s">
        <v>7807</v>
      </c>
      <c r="H18" s="364" t="s">
        <v>7808</v>
      </c>
      <c r="I18" s="173" t="s">
        <v>7809</v>
      </c>
      <c r="J18" s="305" t="s">
        <v>7810</v>
      </c>
      <c r="K18" s="307" t="s">
        <v>7811</v>
      </c>
      <c r="L18" s="364" t="s">
        <v>4518</v>
      </c>
      <c r="M18" s="302" t="str">
        <f>IFERROR(__xludf.DUMMYFUNCTION("GOOGLETRANSLATE(A18,""zh-tw"",""zh"")"),"冰结")</f>
        <v>冰结</v>
      </c>
      <c r="N18" s="303" t="str">
        <f>IFERROR(__xludf.DUMMYFUNCTION("GOOGLETRANSLATE(B18,""zh-tw"",""zh"")"),"变成冰棍吧！")</f>
        <v>变成冰棍吧！</v>
      </c>
      <c r="O18" s="304" t="str">
        <f>IFERROR(__xludf.DUMMYFUNCTION("GOOGLETRANSLATE(C18,""zh-tw"",""zh"")"),"被冻住了！")</f>
        <v>被冻住了！</v>
      </c>
      <c r="P18" s="365" t="str">
        <f>IFERROR(__xludf.DUMMYFUNCTION("GOOGLETRANSLATE(D18,""zh-tw"",""zh"")"),"急冻史莱姆")</f>
        <v>急冻史莱姆</v>
      </c>
      <c r="Q18" s="149" t="str">
        <f>IFERROR(__xludf.DUMMYFUNCTION("GOOGLETRANSLATE(A18,""zh-tw"",""es-MX"")"),"Hielo")</f>
        <v>Hielo</v>
      </c>
      <c r="R18" s="164" t="str">
        <f>IFERROR(__xludf.DUMMYFUNCTION("GOOGLETRANSLATE(B18,""zh-tw"",""es-MX"")"),"¡Conviértelo en un helado!")</f>
        <v>¡Conviértelo en un helado!</v>
      </c>
      <c r="S18" s="306" t="str">
        <f>IFERROR(__xludf.DUMMYFUNCTION("GOOGLETRANSLATE(C18,""zh-tw"",""es-MX"")"),"¡Está completamente congelado!")</f>
        <v>¡Está completamente congelado!</v>
      </c>
      <c r="T18" s="174" t="str">
        <f>IFERROR(__xludf.DUMMYFUNCTION("GOOGLETRANSLATE(D18,""zh-tw"",""es-MX"")"),"Slime congelado")</f>
        <v>Slime congelado</v>
      </c>
      <c r="U18" s="149" t="str">
        <f>IFERROR(__xludf.DUMMYFUNCTION("GOOGLETRANSLATE(A18,""zh-tw"",""KO"")"),"얼음")</f>
        <v>얼음</v>
      </c>
      <c r="V18" s="164" t="str">
        <f>IFERROR(__xludf.DUMMYFUNCTION("GOOGLETRANSLATE(B18,""zh-tw"",""KO"")"),"아이스팝으로 만들어 보세요!")</f>
        <v>아이스팝으로 만들어 보세요!</v>
      </c>
      <c r="W18" s="306" t="str">
        <f>IFERROR(__xludf.DUMMYFUNCTION("GOOGLETRANSLATE(C18,""zh-tw"",""KO"")"),"완전히 얼어붙어 버렸어요!")</f>
        <v>완전히 얼어붙어 버렸어요!</v>
      </c>
      <c r="X18" s="174" t="str">
        <f>IFERROR(__xludf.DUMMYFUNCTION("GOOGLETRANSLATE(D18,""zh-tw"",""KO"")"),"얼어붙은 슬라임")</f>
        <v>얼어붙은 슬라임</v>
      </c>
      <c r="Y18" s="302" t="str">
        <f>IFERROR(__xludf.DUMMYFUNCTION("GOOGLETRANSLATE(A18,""zh-tw"",""RU"")"),"Лед")</f>
        <v>Лед</v>
      </c>
      <c r="Z18" s="303" t="str">
        <f>IFERROR(__xludf.DUMMYFUNCTION("GOOGLETRANSLATE(B18,""zh-tw"",""RU"")"),"Превратите его в фруктовый лед!")</f>
        <v>Превратите его в фруктовый лед!</v>
      </c>
      <c r="AA18" s="304" t="str">
        <f>IFERROR(__xludf.DUMMYFUNCTION("GOOGLETRANSLATE(C18,""zh-tw"",""RU"")"),"Он замёрз!")</f>
        <v>Он замёрз!</v>
      </c>
      <c r="AB18" s="365" t="str">
        <f>IFERROR(__xludf.DUMMYFUNCTION("GOOGLETRANSLATE(D18,""zh-tw"",""RU"")"),"Замороженная слизь")</f>
        <v>Замороженная слизь</v>
      </c>
      <c r="AC18" s="302" t="str">
        <f>IFERROR(__xludf.DUMMYFUNCTION("GOOGLETRANSLATE(A18,""zh-tw"",""DE"")"),"Eis")</f>
        <v>Eis</v>
      </c>
      <c r="AD18" s="303" t="str">
        <f>IFERROR(__xludf.DUMMYFUNCTION("GOOGLETRANSLATE(B18,""zh-tw"",""DE"")"),"Verwandle es in ein Eis am Stiel!")</f>
        <v>Verwandle es in ein Eis am Stiel!</v>
      </c>
      <c r="AE18" s="304" t="str">
        <f>IFERROR(__xludf.DUMMYFUNCTION("GOOGLETRANSLATE(C18,""zh-tw"",""DE"")"),"Es ist komplett durchgefroren!")</f>
        <v>Es ist komplett durchgefroren!</v>
      </c>
      <c r="AF18" s="365" t="str">
        <f>IFERROR(__xludf.DUMMYFUNCTION("GOOGLETRANSLATE(D18,""zh-tw"",""DE"")"),"Gefrorener Schleim")</f>
        <v>Gefrorener Schleim</v>
      </c>
      <c r="AG18" s="154" t="s">
        <v>7812</v>
      </c>
      <c r="AH18" s="41" t="s">
        <v>7813</v>
      </c>
      <c r="AI18" s="308" t="s">
        <v>7814</v>
      </c>
      <c r="AJ18" s="366" t="s">
        <v>4524</v>
      </c>
      <c r="AK18" s="154" t="s">
        <v>7815</v>
      </c>
      <c r="AL18" s="41" t="s">
        <v>7816</v>
      </c>
      <c r="AM18" s="308" t="s">
        <v>7817</v>
      </c>
      <c r="AN18" s="366" t="s">
        <v>4526</v>
      </c>
      <c r="AO18" s="364"/>
      <c r="AP18" s="364"/>
    </row>
    <row r="19">
      <c r="A19" s="173" t="s">
        <v>7818</v>
      </c>
      <c r="B19" s="305" t="s">
        <v>7819</v>
      </c>
      <c r="C19" s="307" t="s">
        <v>7820</v>
      </c>
      <c r="D19" s="364" t="s">
        <v>7821</v>
      </c>
      <c r="E19" s="173" t="s">
        <v>7822</v>
      </c>
      <c r="F19" s="303" t="str">
        <f>IFERROR(__xludf.DUMMYFUNCTION("GOOGLETRANSLATE(B19,""zh-tw"",""ja"")"),"ふふ、私に反抗するとこうなるのね～♡")</f>
        <v>ふふ、私に反抗するとこうなるのね～♡</v>
      </c>
      <c r="G19" s="307" t="s">
        <v>7823</v>
      </c>
      <c r="H19" s="365" t="str">
        <f>IFERROR(__xludf.DUMMYFUNCTION("GOOGLETRANSLATE(D19,""zh-tw"",""ja"")"),"ミステリーショップでは魚はもらえません。")</f>
        <v>ミステリーショップでは魚はもらえません。</v>
      </c>
      <c r="I19" s="173" t="s">
        <v>7824</v>
      </c>
      <c r="J19" s="305" t="s">
        <v>7825</v>
      </c>
      <c r="K19" s="307" t="s">
        <v>7826</v>
      </c>
      <c r="L19" s="364" t="s">
        <v>7827</v>
      </c>
      <c r="M19" s="302" t="str">
        <f>IFERROR(__xludf.DUMMYFUNCTION("GOOGLETRANSLATE(A19,""zh-tw"",""zh"")"),"恶魔诅咒")</f>
        <v>恶魔诅咒</v>
      </c>
      <c r="N19" s="303" t="str">
        <f>IFERROR(__xludf.DUMMYFUNCTION("GOOGLETRANSLATE(B19,""zh-tw"",""zh"")"),"呋呋，这就是反抗我的下场噢~♡")</f>
        <v>呋呋，这就是反抗我的下场噢~♡</v>
      </c>
      <c r="O19" s="304" t="str">
        <f>IFERROR(__xludf.DUMMYFUNCTION("GOOGLETRANSLATE(C19,""zh-tw"",""zh"")"),"被奇怪的小鬼店长诅咒了")</f>
        <v>被奇怪的小鬼店长诅咒了</v>
      </c>
      <c r="P19" s="365" t="str">
        <f>IFERROR(__xludf.DUMMYFUNCTION("GOOGLETRANSLATE(D19,""zh-tw"",""zh"")"),"神秘商店不给鱼")</f>
        <v>神秘商店不给鱼</v>
      </c>
      <c r="Q19" s="149" t="str">
        <f>IFERROR(__xludf.DUMMYFUNCTION("GOOGLETRANSLATE(A19,""zh-tw"",""es-MX"")"),"Maldición del demonio")</f>
        <v>Maldición del demonio</v>
      </c>
      <c r="R19" s="164" t="str">
        <f>IFERROR(__xludf.DUMMYFUNCTION("GOOGLETRANSLATE(B19,""zh-tw"",""es-MX"")"),"Fufu, esto es lo que pasa cuando te rebelas contra mí~♡")</f>
        <v>Fufu, esto es lo que pasa cuando te rebelas contra mí~♡</v>
      </c>
      <c r="S19" s="306" t="str">
        <f>IFERROR(__xludf.DUMMYFUNCTION("GOOGLETRANSLATE(C19,""zh-tw"",""es-MX"")"),"Maldecido por el extraño y diablillo tendero")</f>
        <v>Maldecido por el extraño y diablillo tendero</v>
      </c>
      <c r="T19" s="174" t="str">
        <f>IFERROR(__xludf.DUMMYFUNCTION("GOOGLETRANSLATE(D19,""zh-tw"",""es-MX"")"),"La tienda misteriosa no te da pescado.")</f>
        <v>La tienda misteriosa no te da pescado.</v>
      </c>
      <c r="U19" s="149"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06" t="str">
        <f>IFERROR(__xludf.DUMMYFUNCTION("GOOGLETRANSLATE(C19,""zh-tw"",""KO"")"),"이상한 작은 악마 가게 주인의 저주를 받았습니다")</f>
        <v>이상한 작은 악마 가게 주인의 저주를 받았습니다</v>
      </c>
      <c r="X19" s="174" t="str">
        <f>IFERROR(__xludf.DUMMYFUNCTION("GOOGLETRANSLATE(D19,""zh-tw"",""KO"")"),"미스터리 샵에서는 물고기를 팔지 않습니다.")</f>
        <v>미스터리 샵에서는 물고기를 팔지 않습니다.</v>
      </c>
      <c r="Y19" s="302" t="str">
        <f>IFERROR(__xludf.DUMMYFUNCTION("GOOGLETRANSLATE(A19,""zh-tw"",""RU"")"),"Проклятие демона")</f>
        <v>Проклятие демона</v>
      </c>
      <c r="Z19" s="303" t="str">
        <f>IFERROR(__xludf.DUMMYFUNCTION("GOOGLETRANSLATE(B19,""zh-tw"",""RU"")"),"Фуфу, вот что происходит, когда ты восстаёшь против меня~♡")</f>
        <v>Фуфу, вот что происходит, когда ты восстаёшь против меня~♡</v>
      </c>
      <c r="AA19" s="304" t="str">
        <f>IFERROR(__xludf.DUMMYFUNCTION("GOOGLETRANSLATE(C19,""zh-tw"",""RU"")"),"Проклят странным маленьким дьяволом-торговцем")</f>
        <v>Проклят странным маленьким дьяволом-торговцем</v>
      </c>
      <c r="AB19" s="365" t="str">
        <f>IFERROR(__xludf.DUMMYFUNCTION("GOOGLETRANSLATE(D19,""zh-tw"",""RU"")"),"Таинственный магазин не даст вам рыбу.")</f>
        <v>Таинственный магазин не даст вам рыбу.</v>
      </c>
      <c r="AC19" s="302" t="str">
        <f>IFERROR(__xludf.DUMMYFUNCTION("GOOGLETRANSLATE(A19,""zh-tw"",""DE"")"),"Dämonenfluch")</f>
        <v>Dämonenfluch</v>
      </c>
      <c r="AD19" s="303" t="str">
        <f>IFERROR(__xludf.DUMMYFUNCTION("GOOGLETRANSLATE(B19,""zh-tw"",""DE"")"),"Fufu, das passiert, wenn man gegen mich rebelliert~♡")</f>
        <v>Fufu, das passiert, wenn man gegen mich rebelliert~♡</v>
      </c>
      <c r="AE19" s="304" t="str">
        <f>IFERROR(__xludf.DUMMYFUNCTION("GOOGLETRANSLATE(C19,""zh-tw"",""DE"")"),"Verflucht von dem seltsamen kleinen Teufelsladenbesitzer")</f>
        <v>Verflucht von dem seltsamen kleinen Teufelsladenbesitzer</v>
      </c>
      <c r="AF19" s="365" t="str">
        <f>IFERROR(__xludf.DUMMYFUNCTION("GOOGLETRANSLATE(D19,""zh-tw"",""DE"")"),"Der Mystery Shop schenkt Ihnen keinen Fisch.")</f>
        <v>Der Mystery Shop schenkt Ihnen keinen Fisch.</v>
      </c>
      <c r="AG19" s="154" t="s">
        <v>7828</v>
      </c>
      <c r="AH19" s="41" t="s">
        <v>7829</v>
      </c>
      <c r="AI19" s="308" t="s">
        <v>7830</v>
      </c>
      <c r="AJ19" s="366" t="s">
        <v>7831</v>
      </c>
      <c r="AK19" s="154" t="s">
        <v>7832</v>
      </c>
      <c r="AL19" s="41" t="s">
        <v>7833</v>
      </c>
      <c r="AM19" s="308" t="s">
        <v>7834</v>
      </c>
      <c r="AN19" s="366" t="s">
        <v>7835</v>
      </c>
      <c r="AO19" s="364"/>
      <c r="AP19" s="364"/>
    </row>
    <row r="20">
      <c r="A20" s="173" t="s">
        <v>7836</v>
      </c>
      <c r="B20" s="305" t="s">
        <v>7837</v>
      </c>
      <c r="C20" s="307" t="s">
        <v>7838</v>
      </c>
      <c r="D20" s="364" t="s">
        <v>7839</v>
      </c>
      <c r="E20" s="173" t="s">
        <v>7840</v>
      </c>
      <c r="F20" s="303" t="str">
        <f>IFERROR(__xludf.DUMMYFUNCTION("GOOGLETRANSLATE(B20,""zh-tw"",""ja"")"),"ここは私の領土だから悪いことはしちゃダメよ！♡")</f>
        <v>ここは私の領土だから悪いことはしちゃダメよ！♡</v>
      </c>
      <c r="G20" s="304" t="str">
        <f>IFERROR(__xludf.DUMMYFUNCTION("GOOGLETRANSLATE(C20,""zh-tw"",""ja"")"),"攻撃行為は禁止されています")</f>
        <v>攻撃行為は禁止されています</v>
      </c>
      <c r="H20" s="365" t="str">
        <f>IFERROR(__xludf.DUMMYFUNCTION("GOOGLETRANSLATE(D20,""zh-tw"",""ja"")"),"ミステリーショップの近く")</f>
        <v>ミステリーショップの近く</v>
      </c>
      <c r="I20" s="173" t="s">
        <v>7841</v>
      </c>
      <c r="J20" s="305" t="s">
        <v>7842</v>
      </c>
      <c r="K20" s="307" t="s">
        <v>7843</v>
      </c>
      <c r="L20" s="364" t="s">
        <v>7844</v>
      </c>
      <c r="M20" s="302" t="str">
        <f>IFERROR(__xludf.DUMMYFUNCTION("GOOGLETRANSLATE(A20,""zh-tw"",""zh"")"),"禁止攻击")</f>
        <v>禁止攻击</v>
      </c>
      <c r="N20" s="303" t="str">
        <f>IFERROR(__xludf.DUMMYFUNCTION("GOOGLETRANSLATE(B20,""zh-tw"",""zh"")"),"这里可是我的领域噢，可不能做坏事呢♡！")</f>
        <v>这里可是我的领域噢，可不能做坏事呢♡！</v>
      </c>
      <c r="O20" s="304" t="str">
        <f>IFERROR(__xludf.DUMMYFUNCTION("GOOGLETRANSLATE(C20,""zh-tw"",""zh"")"),"攻击行为禁止")</f>
        <v>攻击行为禁止</v>
      </c>
      <c r="P20" s="365" t="str">
        <f>IFERROR(__xludf.DUMMYFUNCTION("GOOGLETRANSLATE(D20,""zh-tw"",""zh"")"),"神秘商店附近")</f>
        <v>神秘商店附近</v>
      </c>
      <c r="Q20" s="149" t="str">
        <f>IFERROR(__xludf.DUMMYFUNCTION("GOOGLETRANSLATE(A20,""zh-tw"",""es-MX"")"),"No ataques")</f>
        <v>No ataques</v>
      </c>
      <c r="R20" s="164" t="str">
        <f>IFERROR(__xludf.DUMMYFUNCTION("GOOGLETRANSLATE(B20,""zh-tw"",""es-MX"")"),"Este es mi territorio, ¡no puedes hacer nada malo aquí!♡")</f>
        <v>Este es mi territorio, ¡no puedes hacer nada malo aquí!♡</v>
      </c>
      <c r="S20" s="306" t="str">
        <f>IFERROR(__xludf.DUMMYFUNCTION("GOOGLETRANSLATE(C20,""zh-tw"",""es-MX"")"),"Conducta de ataque prohibida")</f>
        <v>Conducta de ataque prohibida</v>
      </c>
      <c r="T20" s="174" t="str">
        <f>IFERROR(__xludf.DUMMYFUNCTION("GOOGLETRANSLATE(D20,""zh-tw"",""es-MX"")"),"Cerca de la tienda misteriosa")</f>
        <v>Cerca de la tienda misteriosa</v>
      </c>
      <c r="U20" s="149"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06" t="str">
        <f>IFERROR(__xludf.DUMMYFUNCTION("GOOGLETRANSLATE(C20,""zh-tw"",""KO"")"),"공격 행위 금지")</f>
        <v>공격 행위 금지</v>
      </c>
      <c r="X20" s="174" t="str">
        <f>IFERROR(__xludf.DUMMYFUNCTION("GOOGLETRANSLATE(D20,""zh-tw"",""KO"")"),"미스터리 샵 근처")</f>
        <v>미스터리 샵 근처</v>
      </c>
      <c r="Y20" s="302" t="str">
        <f>IFERROR(__xludf.DUMMYFUNCTION("GOOGLETRANSLATE(A20,""zh-tw"",""RU"")"),"Не нападать")</f>
        <v>Не нападать</v>
      </c>
      <c r="Z20" s="303" t="str">
        <f>IFERROR(__xludf.DUMMYFUNCTION("GOOGLETRANSLATE(B20,""zh-tw"",""RU"")"),"Это моя территория, здесь нельзя делать ничего плохого!♡")</f>
        <v>Это моя территория, здесь нельзя делать ничего плохого!♡</v>
      </c>
      <c r="AA20" s="304" t="str">
        <f>IFERROR(__xludf.DUMMYFUNCTION("GOOGLETRANSLATE(C20,""zh-tw"",""RU"")"),"Атакующее поведение запрещено")</f>
        <v>Атакующее поведение запрещено</v>
      </c>
      <c r="AB20" s="365" t="str">
        <f>IFERROR(__xludf.DUMMYFUNCTION("GOOGLETRANSLATE(D20,""zh-tw"",""RU"")"),"Рядом с таинственным магазином")</f>
        <v>Рядом с таинственным магазином</v>
      </c>
      <c r="AC20" s="302" t="str">
        <f>IFERROR(__xludf.DUMMYFUNCTION("GOOGLETRANSLATE(A20,""zh-tw"",""DE"")"),"Nicht angreifen")</f>
        <v>Nicht angreifen</v>
      </c>
      <c r="AD20" s="303" t="str">
        <f>IFERROR(__xludf.DUMMYFUNCTION("GOOGLETRANSLATE(B20,""zh-tw"",""DE"")"),"Das ist mein Revier, hier kannst du nichts Schlimmes anstellen! ♡")</f>
        <v>Das ist mein Revier, hier kannst du nichts Schlimmes anstellen! ♡</v>
      </c>
      <c r="AE20" s="304" t="str">
        <f>IFERROR(__xludf.DUMMYFUNCTION("GOOGLETRANSLATE(C20,""zh-tw"",""DE"")"),"Angriffsverhalten verboten")</f>
        <v>Angriffsverhalten verboten</v>
      </c>
      <c r="AF20" s="365" t="str">
        <f>IFERROR(__xludf.DUMMYFUNCTION("GOOGLETRANSLATE(D20,""zh-tw"",""DE"")"),"In der Nähe des Mystery Shops")</f>
        <v>In der Nähe des Mystery Shops</v>
      </c>
      <c r="AG20" s="154" t="s">
        <v>7845</v>
      </c>
      <c r="AH20" s="41" t="s">
        <v>7846</v>
      </c>
      <c r="AI20" s="308" t="s">
        <v>7847</v>
      </c>
      <c r="AJ20" s="366" t="s">
        <v>7848</v>
      </c>
      <c r="AK20" s="154" t="s">
        <v>7849</v>
      </c>
      <c r="AL20" s="41" t="s">
        <v>7850</v>
      </c>
      <c r="AM20" s="308" t="s">
        <v>7851</v>
      </c>
      <c r="AN20" s="366" t="s">
        <v>7852</v>
      </c>
      <c r="AO20" s="364"/>
      <c r="AP20" s="364"/>
    </row>
    <row r="21">
      <c r="A21" s="173" t="s">
        <v>7853</v>
      </c>
      <c r="B21" s="305" t="s">
        <v>7854</v>
      </c>
      <c r="C21" s="307" t="s">
        <v>7855</v>
      </c>
      <c r="D21" s="364" t="s">
        <v>7856</v>
      </c>
      <c r="E21" s="173" t="s">
        <v>7857</v>
      </c>
      <c r="F21" s="305" t="s">
        <v>7858</v>
      </c>
      <c r="G21" s="307" t="s">
        <v>7859</v>
      </c>
      <c r="H21" s="365" t="str">
        <f>IFERROR(__xludf.DUMMYFUNCTION("GOOGLETRANSLATE(D21,""zh-tw"",""ja"")"),"妹にいたずらをすると怒る")</f>
        <v>妹にいたずらをすると怒る</v>
      </c>
      <c r="I21" s="173" t="s">
        <v>7860</v>
      </c>
      <c r="J21" s="305" t="s">
        <v>7861</v>
      </c>
      <c r="K21" s="307" t="s">
        <v>7862</v>
      </c>
      <c r="L21" s="364" t="s">
        <v>7863</v>
      </c>
      <c r="M21" s="302" t="str">
        <f>IFERROR(__xludf.DUMMYFUNCTION("GOOGLETRANSLATE(A21,""zh-tw"",""zh"")"),"不要受伤")</f>
        <v>不要受伤</v>
      </c>
      <c r="N21" s="303" t="str">
        <f>IFERROR(__xludf.DUMMYFUNCTION("GOOGLETRANSLATE(B21,""zh-tw"",""zh"")"),"和妹妹重要的约定，必须要遵守呢")</f>
        <v>和妹妹重要的约定，必须要遵守呢</v>
      </c>
      <c r="O21" s="304" t="str">
        <f>IFERROR(__xludf.DUMMYFUNCTION("GOOGLETRANSLATE(C21,""zh-tw"",""zh"")"),"不要重伤回家")</f>
        <v>不要重伤回家</v>
      </c>
      <c r="P21" s="365" t="str">
        <f>IFERROR(__xludf.DUMMYFUNCTION("GOOGLETRANSLATE(D21,""zh-tw"",""zh"")"),"对妹妹恶作剧时生气")</f>
        <v>对妹妹恶作剧时生气</v>
      </c>
      <c r="Q21" s="149" t="str">
        <f>IFERROR(__xludf.DUMMYFUNCTION("GOOGLETRANSLATE(A21,""zh-tw"",""es-MX"")"),"No te lastimes.")</f>
        <v>No te lastimes.</v>
      </c>
      <c r="R21" s="164" t="str">
        <f>IFERROR(__xludf.DUMMYFUNCTION("GOOGLETRANSLATE(B21,""zh-tw"",""es-MX"")"),"Debo cumplir mi importante promesa a mi hermana.")</f>
        <v>Debo cumplir mi importante promesa a mi hermana.</v>
      </c>
      <c r="S21" s="306" t="str">
        <f>IFERROR(__xludf.DUMMYFUNCTION("GOOGLETRANSLATE(C21,""zh-tw"",""es-MX"")"),"No regrese a casa con heridas graves.")</f>
        <v>No regrese a casa con heridas graves.</v>
      </c>
      <c r="T21" s="174"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06" t="str">
        <f>IFERROR(__xludf.DUMMYFUNCTION("GOOGLETRANSLATE(C21,""zh-tw"",""KO"")"),"심각한 부상을 입고 집으로 돌아가지 마세요.")</f>
        <v>심각한 부상을 입고 집으로 돌아가지 마세요.</v>
      </c>
      <c r="X21" s="174" t="str">
        <f>IFERROR(__xludf.DUMMYFUNCTION("GOOGLETRANSLATE(D21,""zh-tw"",""KO"")"),"여동생에게 장난을 치다가 화가 난다")</f>
        <v>여동생에게 장난을 치다가 화가 난다</v>
      </c>
      <c r="Y21" s="302" t="str">
        <f>IFERROR(__xludf.DUMMYFUNCTION("GOOGLETRANSLATE(A21,""zh-tw"",""RU"")"),"Не пораньтесь.")</f>
        <v>Не пораньтесь.</v>
      </c>
      <c r="Z21" s="303" t="str">
        <f>IFERROR(__xludf.DUMMYFUNCTION("GOOGLETRANSLATE(B21,""zh-tw"",""RU"")"),"Я должен сдержать важное обещание, данное моей сестре.")</f>
        <v>Я должен сдержать важное обещание, данное моей сестре.</v>
      </c>
      <c r="AA21" s="304" t="str">
        <f>IFERROR(__xludf.DUMMYFUNCTION("GOOGLETRANSLATE(C21,""zh-tw"",""RU"")"),"Не возвращайтесь домой с серьезными травмами.")</f>
        <v>Не возвращайтесь домой с серьезными травмами.</v>
      </c>
      <c r="AB21" s="365" t="str">
        <f>IFERROR(__xludf.DUMMYFUNCTION("GOOGLETRANSLATE(D21,""zh-tw"",""RU"")"),"Я злюсь, когда подшучиваю над своей младшей сестрой.")</f>
        <v>Я злюсь, когда подшучиваю над своей младшей сестрой.</v>
      </c>
      <c r="AC21" s="302" t="str">
        <f>IFERROR(__xludf.DUMMYFUNCTION("GOOGLETRANSLATE(A21,""zh-tw"",""DE"")"),"Verletz dich nicht.")</f>
        <v>Verletz dich nicht.</v>
      </c>
      <c r="AD21" s="303" t="str">
        <f>IFERROR(__xludf.DUMMYFUNCTION("GOOGLETRANSLATE(B21,""zh-tw"",""DE"")"),"Ich muss mein wichtiges Versprechen an meine Schwester halten.")</f>
        <v>Ich muss mein wichtiges Versprechen an meine Schwester halten.</v>
      </c>
      <c r="AE21" s="304" t="str">
        <f>IFERROR(__xludf.DUMMYFUNCTION("GOOGLETRANSLATE(C21,""zh-tw"",""DE"")"),"Kehren Sie nicht mit schweren Verletzungen nach Hause zurück.")</f>
        <v>Kehren Sie nicht mit schweren Verletzungen nach Hause zurück.</v>
      </c>
      <c r="AF21" s="365" t="str">
        <f>IFERROR(__xludf.DUMMYFUNCTION("GOOGLETRANSLATE(D21,""zh-tw"",""DE"")"),"Ich werde wütend, wenn ich meiner jüngeren Schwester Streiche spiele")</f>
        <v>Ich werde wütend, wenn ich meiner jüngeren Schwester Streiche spiele</v>
      </c>
      <c r="AG21" s="154" t="s">
        <v>7864</v>
      </c>
      <c r="AH21" s="41" t="s">
        <v>7865</v>
      </c>
      <c r="AI21" s="308" t="s">
        <v>7864</v>
      </c>
      <c r="AJ21" s="366" t="s">
        <v>7866</v>
      </c>
      <c r="AK21" s="154" t="s">
        <v>7867</v>
      </c>
      <c r="AL21" s="41" t="s">
        <v>7868</v>
      </c>
      <c r="AM21" s="308" t="s">
        <v>7869</v>
      </c>
      <c r="AN21" s="366" t="s">
        <v>7870</v>
      </c>
      <c r="AO21" s="364"/>
      <c r="AP21" s="364"/>
    </row>
    <row r="22">
      <c r="A22" s="173" t="s">
        <v>7871</v>
      </c>
      <c r="B22" s="305" t="s">
        <v>7854</v>
      </c>
      <c r="C22" s="307" t="s">
        <v>7872</v>
      </c>
      <c r="D22" s="364" t="s">
        <v>7856</v>
      </c>
      <c r="E22" s="173" t="s">
        <v>7873</v>
      </c>
      <c r="F22" s="305" t="s">
        <v>7858</v>
      </c>
      <c r="G22" s="304" t="str">
        <f>IFERROR(__xludf.DUMMYFUNCTION("GOOGLETRANSLATE(C22,""zh-tw"",""ja"")"),"肉料理を作る")</f>
        <v>肉料理を作る</v>
      </c>
      <c r="H22" s="365" t="str">
        <f>IFERROR(__xludf.DUMMYFUNCTION("GOOGLETRANSLATE(D22,""zh-tw"",""ja"")"),"妹にいたずらをすると怒る")</f>
        <v>妹にいたずらをすると怒る</v>
      </c>
      <c r="I22" s="173" t="s">
        <v>7874</v>
      </c>
      <c r="J22" s="305" t="s">
        <v>7861</v>
      </c>
      <c r="K22" s="304" t="str">
        <f>IFERROR(__xludf.DUMMYFUNCTION("GOOGLETRANSLATE(C22,""zh-tw"",""en"")"),"Making meat dishes")</f>
        <v>Making meat dishes</v>
      </c>
      <c r="L22" s="364" t="s">
        <v>7863</v>
      </c>
      <c r="M22" s="302" t="str">
        <f>IFERROR(__xludf.DUMMYFUNCTION("GOOGLETRANSLATE(A22,""zh-tw"",""zh"")"),"肉料理")</f>
        <v>肉料理</v>
      </c>
      <c r="N22" s="303" t="str">
        <f>IFERROR(__xludf.DUMMYFUNCTION("GOOGLETRANSLATE(B22,""zh-tw"",""zh"")"),"和妹妹重要的约定，必须要遵守呢")</f>
        <v>和妹妹重要的约定，必须要遵守呢</v>
      </c>
      <c r="O22" s="304" t="str">
        <f>IFERROR(__xludf.DUMMYFUNCTION("GOOGLETRANSLATE(C22,""zh-tw"",""zh"")"),"做肉料理")</f>
        <v>做肉料理</v>
      </c>
      <c r="P22" s="365" t="str">
        <f>IFERROR(__xludf.DUMMYFUNCTION("GOOGLETRANSLATE(D22,""zh-tw"",""zh"")"),"对妹妹恶作剧时生气")</f>
        <v>对妹妹恶作剧时生气</v>
      </c>
      <c r="Q22" s="149" t="str">
        <f>IFERROR(__xludf.DUMMYFUNCTION("GOOGLETRANSLATE(A22,""zh-tw"",""es-MX"")"),"Platos de carne")</f>
        <v>Platos de carne</v>
      </c>
      <c r="R22" s="164" t="str">
        <f>IFERROR(__xludf.DUMMYFUNCTION("GOOGLETRANSLATE(B22,""zh-tw"",""es-MX"")"),"Debo cumplir mi importante promesa a mi hermana.")</f>
        <v>Debo cumplir mi importante promesa a mi hermana.</v>
      </c>
      <c r="S22" s="306" t="str">
        <f>IFERROR(__xludf.DUMMYFUNCTION("GOOGLETRANSLATE(C22,""zh-tw"",""es-MX"")"),"Preparación de platos de carne")</f>
        <v>Preparación de platos de carne</v>
      </c>
      <c r="T22" s="174" t="str">
        <f>IFERROR(__xludf.DUMMYFUNCTION("GOOGLETRANSLATE(D22,""zh-tw"",""es-MX"")"),"Me enojo cuando le hago bromas a mi hermana menor.")</f>
        <v>Me enojo cuando le hago bromas a mi hermana menor.</v>
      </c>
      <c r="U22" s="149"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06" t="str">
        <f>IFERROR(__xludf.DUMMYFUNCTION("GOOGLETRANSLATE(C22,""zh-tw"",""KO"")"),"고기 요리 만들기")</f>
        <v>고기 요리 만들기</v>
      </c>
      <c r="X22" s="174" t="str">
        <f>IFERROR(__xludf.DUMMYFUNCTION("GOOGLETRANSLATE(D22,""zh-tw"",""KO"")"),"여동생에게 장난을 치다가 화가 난다")</f>
        <v>여동생에게 장난을 치다가 화가 난다</v>
      </c>
      <c r="Y22" s="302" t="str">
        <f>IFERROR(__xludf.DUMMYFUNCTION("GOOGLETRANSLATE(A22,""zh-tw"",""RU"")"),"Мясные блюда")</f>
        <v>Мясные блюда</v>
      </c>
      <c r="Z22" s="303" t="str">
        <f>IFERROR(__xludf.DUMMYFUNCTION("GOOGLETRANSLATE(B22,""zh-tw"",""RU"")"),"Я должен сдержать важное обещание, данное моей сестре.")</f>
        <v>Я должен сдержать важное обещание, данное моей сестре.</v>
      </c>
      <c r="AA22" s="304" t="str">
        <f>IFERROR(__xludf.DUMMYFUNCTION("GOOGLETRANSLATE(C22,""zh-tw"",""RU"")"),"Приготовление мясных блюд")</f>
        <v>Приготовление мясных блюд</v>
      </c>
      <c r="AB22" s="365" t="str">
        <f>IFERROR(__xludf.DUMMYFUNCTION("GOOGLETRANSLATE(D22,""zh-tw"",""RU"")"),"Я злюсь, когда подшучиваю над своей младшей сестрой.")</f>
        <v>Я злюсь, когда подшучиваю над своей младшей сестрой.</v>
      </c>
      <c r="AC22" s="302" t="str">
        <f>IFERROR(__xludf.DUMMYFUNCTION("GOOGLETRANSLATE(A22,""zh-tw"",""DE"")"),"Fleischgerichte")</f>
        <v>Fleischgerichte</v>
      </c>
      <c r="AD22" s="303" t="str">
        <f>IFERROR(__xludf.DUMMYFUNCTION("GOOGLETRANSLATE(B22,""zh-tw"",""DE"")"),"Ich muss mein wichtiges Versprechen an meine Schwester halten.")</f>
        <v>Ich muss mein wichtiges Versprechen an meine Schwester halten.</v>
      </c>
      <c r="AE22" s="304" t="str">
        <f>IFERROR(__xludf.DUMMYFUNCTION("GOOGLETRANSLATE(C22,""zh-tw"",""DE"")"),"Fleischgerichte zubereiten")</f>
        <v>Fleischgerichte zubereiten</v>
      </c>
      <c r="AF22" s="365" t="str">
        <f>IFERROR(__xludf.DUMMYFUNCTION("GOOGLETRANSLATE(D22,""zh-tw"",""DE"")"),"Ich werde wütend, wenn ich meiner jüngeren Schwester Streiche spiele")</f>
        <v>Ich werde wütend, wenn ich meiner jüngeren Schwester Streiche spiele</v>
      </c>
      <c r="AG22" s="154" t="s">
        <v>7875</v>
      </c>
      <c r="AH22" s="41" t="s">
        <v>7865</v>
      </c>
      <c r="AI22" s="308" t="s">
        <v>7876</v>
      </c>
      <c r="AJ22" s="366" t="s">
        <v>7866</v>
      </c>
      <c r="AK22" s="154" t="s">
        <v>7877</v>
      </c>
      <c r="AL22" s="41" t="s">
        <v>7868</v>
      </c>
      <c r="AM22" s="301" t="s">
        <v>7878</v>
      </c>
      <c r="AN22" s="366" t="s">
        <v>7870</v>
      </c>
      <c r="AO22" s="364"/>
      <c r="AP22" s="364"/>
    </row>
    <row r="23">
      <c r="A23" s="173" t="s">
        <v>7879</v>
      </c>
      <c r="B23" s="305" t="s">
        <v>7880</v>
      </c>
      <c r="C23" s="307" t="s">
        <v>7881</v>
      </c>
      <c r="D23" s="364" t="s">
        <v>249</v>
      </c>
      <c r="E23" s="173" t="s">
        <v>312</v>
      </c>
      <c r="F23" s="303" t="str">
        <f>IFERROR(__xludf.DUMMYFUNCTION("GOOGLETRANSLATE(B23,""zh-tw"",""ja"")"),"...")</f>
        <v>...</v>
      </c>
      <c r="G23" s="307" t="s">
        <v>7882</v>
      </c>
      <c r="H23" s="364" t="s">
        <v>252</v>
      </c>
      <c r="I23" s="173" t="s">
        <v>7883</v>
      </c>
      <c r="J23" s="303" t="str">
        <f>IFERROR(__xludf.DUMMYFUNCTION("GOOGLETRANSLATE(B23,""zh-tw"",""en"")"),"...")</f>
        <v>...</v>
      </c>
      <c r="K23" s="307" t="s">
        <v>7884</v>
      </c>
      <c r="L23" s="364" t="s">
        <v>254</v>
      </c>
      <c r="M23" s="302" t="str">
        <f>IFERROR(__xludf.DUMMYFUNCTION("GOOGLETRANSLATE(A23,""zh-tw"",""zh"")"),"到底忘记了什么")</f>
        <v>到底忘记了什么</v>
      </c>
      <c r="N23" s="303" t="str">
        <f>IFERROR(__xludf.DUMMYFUNCTION("GOOGLETRANSLATE(B23,""zh-tw"",""zh"")"),".....")</f>
        <v>.....</v>
      </c>
      <c r="O23" s="304" t="str">
        <f>IFERROR(__xludf.DUMMYFUNCTION("GOOGLETRANSLATE(C23,""zh-tw"",""zh"")"),"感觉忘记了什么重要的事情，总有一天会想起来吧？")</f>
        <v>感觉忘记了什么重要的事情，总有一天会想起来吧？</v>
      </c>
      <c r="P23" s="365" t="str">
        <f>IFERROR(__xludf.DUMMYFUNCTION("GOOGLETRANSLATE(D23,""zh-tw"",""zh"")"),"开局选项")</f>
        <v>开局选项</v>
      </c>
      <c r="Q23" s="149" t="str">
        <f>IFERROR(__xludf.DUMMYFUNCTION("GOOGLETRANSLATE(A23,""zh-tw"",""es-MX"")"),"¿Qué es exactamente lo que has olvidado?")</f>
        <v>¿Qué es exactamente lo que has olvidado?</v>
      </c>
      <c r="R23" s="164" t="str">
        <f>IFERROR(__xludf.DUMMYFUNCTION("GOOGLETRANSLATE(B23,""zh-tw"",""es-MX"")"),"...")</f>
        <v>...</v>
      </c>
      <c r="S23" s="306" t="str">
        <f>IFERROR(__xludf.DUMMYFUNCTION("GOOGLETRANSLATE(C23,""zh-tw"",""es-MX"")"),"Siento que he olvidado algo importante. Lo recordaré algún día, ¿verdad?")</f>
        <v>Siento que he olvidado algo importante. Lo recordaré algún día, ¿verdad?</v>
      </c>
      <c r="T23" s="174" t="str">
        <f>IFERROR(__xludf.DUMMYFUNCTION("GOOGLETRANSLATE(D23,""zh-tw"",""es-MX"")"),"Opciones de inicio")</f>
        <v>Opciones de inicio</v>
      </c>
      <c r="U23" s="149" t="str">
        <f>IFERROR(__xludf.DUMMYFUNCTION("GOOGLETRANSLATE(A23,""zh-tw"",""KO"")"),"정확히 무엇을 잊으셨나요?")</f>
        <v>정확히 무엇을 잊으셨나요?</v>
      </c>
      <c r="V23" s="164" t="str">
        <f>IFERROR(__xludf.DUMMYFUNCTION("GOOGLETRANSLATE(B23,""zh-tw"",""KO"")"),"...")</f>
        <v>...</v>
      </c>
      <c r="W23" s="306" t="str">
        <f>IFERROR(__xludf.DUMMYFUNCTION("GOOGLETRANSLATE(C23,""zh-tw"",""KO"")"),"뭔가 중요한 걸 잊어버린 것 같아요. 언젠가는 생각날 거예요, 그렇죠?")</f>
        <v>뭔가 중요한 걸 잊어버린 것 같아요. 언젠가는 생각날 거예요, 그렇죠?</v>
      </c>
      <c r="X23" s="174" t="str">
        <f>IFERROR(__xludf.DUMMYFUNCTION("GOOGLETRANSLATE(D23,""zh-tw"",""KO"")"),"시작 옵션")</f>
        <v>시작 옵션</v>
      </c>
      <c r="Y23" s="302" t="str">
        <f>IFERROR(__xludf.DUMMYFUNCTION("GOOGLETRANSLATE(A23,""zh-tw"",""RU"")"),"Что именно вы забыли?")</f>
        <v>Что именно вы забыли?</v>
      </c>
      <c r="Z23" s="303" t="str">
        <f>IFERROR(__xludf.DUMMYFUNCTION("GOOGLETRANSLATE(B23,""zh-tw"",""RU"")"),"...")</f>
        <v>...</v>
      </c>
      <c r="AA23" s="30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65" t="str">
        <f>IFERROR(__xludf.DUMMYFUNCTION("GOOGLETRANSLATE(D23,""zh-tw"",""RU"")"),"Начальные параметры")</f>
        <v>Начальные параметры</v>
      </c>
      <c r="AC23" s="302" t="str">
        <f>IFERROR(__xludf.DUMMYFUNCTION("GOOGLETRANSLATE(A23,""zh-tw"",""DE"")"),"Was genau haben Sie vergessen?")</f>
        <v>Was genau haben Sie vergessen?</v>
      </c>
      <c r="AD23" s="303" t="str">
        <f>IFERROR(__xludf.DUMMYFUNCTION("GOOGLETRANSLATE(B23,""zh-tw"",""DE"")"),"...")</f>
        <v>...</v>
      </c>
      <c r="AE23" s="30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65" t="str">
        <f>IFERROR(__xludf.DUMMYFUNCTION("GOOGLETRANSLATE(D23,""zh-tw"",""DE"")"),"Startoptionen")</f>
        <v>Startoptionen</v>
      </c>
      <c r="AG23" s="154" t="s">
        <v>7885</v>
      </c>
      <c r="AH23" s="41" t="s">
        <v>7886</v>
      </c>
      <c r="AI23" s="308" t="s">
        <v>7887</v>
      </c>
      <c r="AJ23" s="366" t="s">
        <v>269</v>
      </c>
      <c r="AK23" s="154" t="s">
        <v>7888</v>
      </c>
      <c r="AL23" s="41" t="s">
        <v>792</v>
      </c>
      <c r="AM23" s="308" t="s">
        <v>7889</v>
      </c>
      <c r="AN23" s="366" t="s">
        <v>272</v>
      </c>
      <c r="AO23" s="364"/>
      <c r="AP23" s="364"/>
    </row>
    <row r="24">
      <c r="A24" s="173" t="s">
        <v>7890</v>
      </c>
      <c r="B24" s="305" t="s">
        <v>7891</v>
      </c>
      <c r="C24" s="307" t="s">
        <v>7892</v>
      </c>
      <c r="D24" s="364" t="s">
        <v>5221</v>
      </c>
      <c r="E24" s="173" t="s">
        <v>7893</v>
      </c>
      <c r="F24" s="305" t="s">
        <v>7894</v>
      </c>
      <c r="G24" s="304" t="str">
        <f>IFERROR(__xludf.DUMMYFUNCTION("GOOGLETRANSLATE(C24,""zh-tw"",""ja"")"),"彼の体は常に悪臭を放っていた")</f>
        <v>彼の体は常に悪臭を放っていた</v>
      </c>
      <c r="H24" s="364" t="s">
        <v>5223</v>
      </c>
      <c r="I24" s="173" t="s">
        <v>7895</v>
      </c>
      <c r="J24" s="305" t="s">
        <v>7896</v>
      </c>
      <c r="K24" s="307" t="s">
        <v>7897</v>
      </c>
      <c r="L24" s="364" t="s">
        <v>5224</v>
      </c>
      <c r="M24" s="302" t="str">
        <f>IFERROR(__xludf.DUMMYFUNCTION("GOOGLETRANSLATE(A24,""zh-tw"",""zh"")"),"浑身恶臭")</f>
        <v>浑身恶臭</v>
      </c>
      <c r="N24" s="303" t="str">
        <f>IFERROR(__xludf.DUMMYFUNCTION("GOOGLETRANSLATE(B24,""zh-tw"",""zh"")"),"浑身恶臭。")</f>
        <v>浑身恶臭。</v>
      </c>
      <c r="O24" s="304" t="str">
        <f>IFERROR(__xludf.DUMMYFUNCTION("GOOGLETRANSLATE(C24,""zh-tw"",""zh"")"),"身上不断散发着恶臭")</f>
        <v>身上不断散发着恶臭</v>
      </c>
      <c r="P24" s="365" t="str">
        <f>IFERROR(__xludf.DUMMYFUNCTION("GOOGLETRANSLATE(D24,""zh-tw"",""zh"")"),"臭鱼骨")</f>
        <v>臭鱼骨</v>
      </c>
      <c r="Q24" s="149" t="str">
        <f>IFERROR(__xludf.DUMMYFUNCTION("GOOGLETRANSLATE(A24,""zh-tw"",""es-MX"")"),"Todo el cuerpo olía asqueroso.")</f>
        <v>Todo el cuerpo olía asqueroso.</v>
      </c>
      <c r="R24" s="164" t="str">
        <f>IFERROR(__xludf.DUMMYFUNCTION("GOOGLETRANSLATE(B24,""zh-tw"",""es-MX"")"),"Olía horrible.")</f>
        <v>Olía horrible.</v>
      </c>
      <c r="S24" s="306" t="str">
        <f>IFERROR(__xludf.DUMMYFUNCTION("GOOGLETRANSLATE(C24,""zh-tw"",""es-MX"")"),"Su cuerpo emitía constantemente un hedor nauseabundo.")</f>
        <v>Su cuerpo emitía constantemente un hedor nauseabundo.</v>
      </c>
      <c r="T24" s="174" t="str">
        <f>IFERROR(__xludf.DUMMYFUNCTION("GOOGLETRANSLATE(D24,""zh-tw"",""es-MX"")"),"Huesos de pescado apestosos")</f>
        <v>Huesos de pescado apestosos</v>
      </c>
      <c r="U24" s="149"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06" t="str">
        <f>IFERROR(__xludf.DUMMYFUNCTION("GOOGLETRANSLATE(C24,""zh-tw"",""KO"")"),"그의 몸은 끊임없이 악취를 풍겼다")</f>
        <v>그의 몸은 끊임없이 악취를 풍겼다</v>
      </c>
      <c r="X24" s="174" t="str">
        <f>IFERROR(__xludf.DUMMYFUNCTION("GOOGLETRANSLATE(D24,""zh-tw"",""KO"")"),"냄새나는 생선 뼈")</f>
        <v>냄새나는 생선 뼈</v>
      </c>
      <c r="Y24" s="302" t="str">
        <f>IFERROR(__xludf.DUMMYFUNCTION("GOOGLETRANSLATE(A24,""zh-tw"",""RU"")"),"Все тело пахло отвратительно.")</f>
        <v>Все тело пахло отвратительно.</v>
      </c>
      <c r="Z24" s="303" t="str">
        <f>IFERROR(__xludf.DUMMYFUNCTION("GOOGLETRANSLATE(B24,""zh-tw"",""RU"")"),"От него ужасно пахло.")</f>
        <v>От него ужасно пахло.</v>
      </c>
      <c r="AA24" s="304" t="str">
        <f>IFERROR(__xludf.DUMMYFUNCTION("GOOGLETRANSLATE(C24,""zh-tw"",""RU"")"),"Его тело постоянно издавало неприятный запах.")</f>
        <v>Его тело постоянно издавало неприятный запах.</v>
      </c>
      <c r="AB24" s="365" t="str">
        <f>IFERROR(__xludf.DUMMYFUNCTION("GOOGLETRANSLATE(D24,""zh-tw"",""RU"")"),"Вонючие рыбьи кости")</f>
        <v>Вонючие рыбьи кости</v>
      </c>
      <c r="AC24" s="302" t="str">
        <f>IFERROR(__xludf.DUMMYFUNCTION("GOOGLETRANSLATE(A24,""zh-tw"",""DE"")"),"Der ganze Körper roch widerlich.")</f>
        <v>Der ganze Körper roch widerlich.</v>
      </c>
      <c r="AD24" s="303" t="str">
        <f>IFERROR(__xludf.DUMMYFUNCTION("GOOGLETRANSLATE(B24,""zh-tw"",""DE"")"),"Er roch abscheulich.")</f>
        <v>Er roch abscheulich.</v>
      </c>
      <c r="AE24" s="304" t="str">
        <f>IFERROR(__xludf.DUMMYFUNCTION("GOOGLETRANSLATE(C24,""zh-tw"",""DE"")"),"Sein Körper verströmte unaufhörlich einen widerlichen Gestank.")</f>
        <v>Sein Körper verströmte unaufhörlich einen widerlichen Gestank.</v>
      </c>
      <c r="AF24" s="365" t="str">
        <f>IFERROR(__xludf.DUMMYFUNCTION("GOOGLETRANSLATE(D24,""zh-tw"",""DE"")"),"Stinkende Fischgräten")</f>
        <v>Stinkende Fischgräten</v>
      </c>
      <c r="AG24" s="154" t="s">
        <v>7898</v>
      </c>
      <c r="AH24" s="41" t="s">
        <v>7899</v>
      </c>
      <c r="AI24" s="308" t="s">
        <v>7900</v>
      </c>
      <c r="AJ24" s="366" t="s">
        <v>5229</v>
      </c>
      <c r="AK24" s="154" t="s">
        <v>7901</v>
      </c>
      <c r="AL24" s="41" t="s">
        <v>7902</v>
      </c>
      <c r="AM24" s="308" t="s">
        <v>7903</v>
      </c>
      <c r="AN24" s="366" t="s">
        <v>5231</v>
      </c>
      <c r="AO24" s="364"/>
      <c r="AP24" s="364"/>
    </row>
    <row r="25">
      <c r="A25" s="173" t="s">
        <v>7904</v>
      </c>
      <c r="B25" s="305" t="s">
        <v>7905</v>
      </c>
      <c r="C25" s="307" t="s">
        <v>7906</v>
      </c>
      <c r="D25" s="364" t="s">
        <v>7907</v>
      </c>
      <c r="E25" s="302" t="str">
        <f>IFERROR(__xludf.DUMMYFUNCTION("GOOGLETRANSLATE(A25,""zh-tw"",""ja"")"),"美味しい")</f>
        <v>美味しい</v>
      </c>
      <c r="F25" s="303" t="str">
        <f>IFERROR(__xludf.DUMMYFUNCTION("GOOGLETRANSLATE(B25,""zh-tw"",""ja"")"),"美味しいものを食べてお腹も温まりました〜")</f>
        <v>美味しいものを食べてお腹も温まりました〜</v>
      </c>
      <c r="G25" s="304" t="str">
        <f>IFERROR(__xludf.DUMMYFUNCTION("GOOGLETRANSLATE(C25,""zh-tw"",""ja"")"),"スタミナは1秒ごとに少しずつ回復します")</f>
        <v>スタミナは1秒ごとに少しずつ回復します</v>
      </c>
      <c r="H25" s="365" t="str">
        <f>IFERROR(__xludf.DUMMYFUNCTION("GOOGLETRANSLATE(D25,""zh-tw"",""ja"")"),"美味しい料理")</f>
        <v>美味しい料理</v>
      </c>
      <c r="I25" s="173" t="s">
        <v>7908</v>
      </c>
      <c r="J25" s="305" t="s">
        <v>7909</v>
      </c>
      <c r="K25" s="307" t="s">
        <v>7910</v>
      </c>
      <c r="L25" s="364" t="s">
        <v>7911</v>
      </c>
      <c r="M25" s="302" t="str">
        <f>IFERROR(__xludf.DUMMYFUNCTION("GOOGLETRANSLATE(A25,""zh-tw"",""zh"")"),"美味い")</f>
        <v>美味い</v>
      </c>
      <c r="N25" s="303" t="str">
        <f>IFERROR(__xludf.DUMMYFUNCTION("GOOGLETRANSLATE(B25,""zh-tw"",""zh"")"),"吃到了美味的东西，肚子里暖暖的~")</f>
        <v>吃到了美味的东西，肚子里暖暖的~</v>
      </c>
      <c r="O25" s="304" t="str">
        <f>IFERROR(__xludf.DUMMYFUNCTION("GOOGLETRANSLATE(C25,""zh-tw"",""zh"")"),"每秒体力少量回复")</f>
        <v>每秒体力少量回复</v>
      </c>
      <c r="P25" s="365" t="str">
        <f>IFERROR(__xludf.DUMMYFUNCTION("GOOGLETRANSLATE(D25,""zh-tw"",""zh"")"),"美味料理")</f>
        <v>美味料理</v>
      </c>
      <c r="Q25" s="149" t="str">
        <f>IFERROR(__xludf.DUMMYFUNCTION("GOOGLETRANSLATE(A25,""zh-tw"",""es-MX"")"),"Delicioso")</f>
        <v>Delicioso</v>
      </c>
      <c r="R25" s="164" t="str">
        <f>IFERROR(__xludf.DUMMYFUNCTION("GOOGLETRANSLATE(B25,""zh-tw"",""es-MX"")"),"Comí algo delicioso y siento calor en el estómago.")</f>
        <v>Comí algo delicioso y siento calor en el estómago.</v>
      </c>
      <c r="S25" s="306" t="str">
        <f>IFERROR(__xludf.DUMMYFUNCTION("GOOGLETRANSLATE(C25,""zh-tw"",""es-MX"")"),"La resistencia se recupera una pequeña cantidad por segundo.")</f>
        <v>La resistencia se recupera una pequeña cantidad por segundo.</v>
      </c>
      <c r="T25" s="174" t="str">
        <f>IFERROR(__xludf.DUMMYFUNCTION("GOOGLETRANSLATE(D25,""zh-tw"",""es-MX"")"),"Deliciosa cocina")</f>
        <v>Deliciosa cocina</v>
      </c>
      <c r="U25" s="149" t="str">
        <f>IFERROR(__xludf.DUMMYFUNCTION("GOOGLETRANSLATE(A25,""zh-tw"",""KO"")"),"맛있는")</f>
        <v>맛있는</v>
      </c>
      <c r="V25" s="164" t="str">
        <f>IFERROR(__xludf.DUMMYFUNCTION("GOOGLETRANSLATE(B25,""zh-tw"",""KO"")"),"맛있는거 먹고 나니 배가 따뜻해졌어요~")</f>
        <v>맛있는거 먹고 나니 배가 따뜻해졌어요~</v>
      </c>
      <c r="W25" s="306" t="str">
        <f>IFERROR(__xludf.DUMMYFUNCTION("GOOGLETRANSLATE(C25,""zh-tw"",""KO"")"),"체력은 초당 소량 회복됩니다.")</f>
        <v>체력은 초당 소량 회복됩니다.</v>
      </c>
      <c r="X25" s="174" t="str">
        <f>IFERROR(__xludf.DUMMYFUNCTION("GOOGLETRANSLATE(D25,""zh-tw"",""KO"")"),"맛있는 요리")</f>
        <v>맛있는 요리</v>
      </c>
      <c r="Y25" s="302" t="str">
        <f>IFERROR(__xludf.DUMMYFUNCTION("GOOGLETRANSLATE(A25,""zh-tw"",""RU"")"),"Вкусный")</f>
        <v>Вкусный</v>
      </c>
      <c r="Z25" s="303" t="str">
        <f>IFERROR(__xludf.DUMMYFUNCTION("GOOGLETRANSLATE(B25,""zh-tw"",""RU"")"),"Я съела что-то вкусненькое, и у меня внутри тепло~")</f>
        <v>Я съела что-то вкусненькое, и у меня внутри тепло~</v>
      </c>
      <c r="AA25" s="30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65" t="str">
        <f>IFERROR(__xludf.DUMMYFUNCTION("GOOGLETRANSLATE(D25,""zh-tw"",""RU"")"),"Вкусная кухня")</f>
        <v>Вкусная кухня</v>
      </c>
      <c r="AC25" s="302" t="str">
        <f>IFERROR(__xludf.DUMMYFUNCTION("GOOGLETRANSLATE(A25,""zh-tw"",""DE"")"),"Lecker")</f>
        <v>Lecker</v>
      </c>
      <c r="AD25" s="303" t="str">
        <f>IFERROR(__xludf.DUMMYFUNCTION("GOOGLETRANSLATE(B25,""zh-tw"",""DE"")"),"Ich habe etwas Leckeres gegessen und mein Bauch fühlt sich warm an.")</f>
        <v>Ich habe etwas Leckeres gegessen und mein Bauch fühlt sich warm an.</v>
      </c>
      <c r="AE25" s="304" t="str">
        <f>IFERROR(__xludf.DUMMYFUNCTION("GOOGLETRANSLATE(C25,""zh-tw"",""DE"")"),"Die Ausdauer regeneriert sich pro Sekunde nur geringfügig.")</f>
        <v>Die Ausdauer regeneriert sich pro Sekunde nur geringfügig.</v>
      </c>
      <c r="AF25" s="365" t="str">
        <f>IFERROR(__xludf.DUMMYFUNCTION("GOOGLETRANSLATE(D25,""zh-tw"",""DE"")"),"Köstliche Küche")</f>
        <v>Köstliche Küche</v>
      </c>
      <c r="AG25" s="154" t="s">
        <v>7912</v>
      </c>
      <c r="AH25" s="41" t="s">
        <v>7913</v>
      </c>
      <c r="AI25" s="308" t="s">
        <v>7914</v>
      </c>
      <c r="AJ25" s="366" t="s">
        <v>7915</v>
      </c>
      <c r="AK25" s="154" t="s">
        <v>7916</v>
      </c>
      <c r="AL25" s="41" t="s">
        <v>7917</v>
      </c>
      <c r="AM25" s="308" t="s">
        <v>7918</v>
      </c>
      <c r="AN25" s="366" t="s">
        <v>7919</v>
      </c>
      <c r="AO25" s="364"/>
      <c r="AP25" s="364"/>
    </row>
    <row r="26">
      <c r="A26" s="173" t="s">
        <v>7920</v>
      </c>
      <c r="B26" s="305" t="s">
        <v>7921</v>
      </c>
      <c r="C26" s="307" t="s">
        <v>7922</v>
      </c>
      <c r="D26" s="364" t="s">
        <v>7923</v>
      </c>
      <c r="E26" s="173" t="s">
        <v>7924</v>
      </c>
      <c r="F26" s="305" t="s">
        <v>7925</v>
      </c>
      <c r="G26" s="304" t="str">
        <f>IFERROR(__xludf.DUMMYFUNCTION("GOOGLETRANSLATE(C26,""zh-tw"",""ja"")"),"攻撃力+50%")</f>
        <v>攻撃力+50%</v>
      </c>
      <c r="H26" s="365" t="str">
        <f>IFERROR(__xludf.DUMMYFUNCTION("GOOGLETRANSLATE(D26,""zh-tw"",""ja"")"),"食べ物")</f>
        <v>食べ物</v>
      </c>
      <c r="I26" s="173" t="s">
        <v>7926</v>
      </c>
      <c r="J26" s="305" t="s">
        <v>7927</v>
      </c>
      <c r="K26" s="307" t="s">
        <v>7928</v>
      </c>
      <c r="L26" s="364" t="s">
        <v>7929</v>
      </c>
      <c r="M26" s="302" t="str">
        <f>IFERROR(__xludf.DUMMYFUNCTION("GOOGLETRANSLATE(A26,""zh-tw"",""zh"")"),"力量提升")</f>
        <v>力量提升</v>
      </c>
      <c r="N26" s="303" t="str">
        <f>IFERROR(__xludf.DUMMYFUNCTION("GOOGLETRANSLATE(B26,""zh-tw"",""zh"")"),"力量……涌上来了！")</f>
        <v>力量……涌上来了！</v>
      </c>
      <c r="O26" s="304" t="str">
        <f>IFERROR(__xludf.DUMMYFUNCTION("GOOGLETRANSLATE(C26,""zh-tw"",""zh"")"),"攻击力+50%")</f>
        <v>攻击力+50%</v>
      </c>
      <c r="P26" s="365" t="str">
        <f>IFERROR(__xludf.DUMMYFUNCTION("GOOGLETRANSLATE(D26,""zh-tw"",""zh"")"),"食物")</f>
        <v>食物</v>
      </c>
      <c r="Q26" s="149" t="str">
        <f>IFERROR(__xludf.DUMMYFUNCTION("GOOGLETRANSLATE(A26,""zh-tw"",""es-MX"")"),"Mejora de la fuerza")</f>
        <v>Mejora de la fuerza</v>
      </c>
      <c r="R26" s="164" t="str">
        <f>IFERROR(__xludf.DUMMYFUNCTION("GOOGLETRANSLATE(B26,""zh-tw"",""es-MX"")"),"El poder... ¡aumentó!")</f>
        <v>El poder... ¡aumentó!</v>
      </c>
      <c r="S26" s="306" t="str">
        <f>IFERROR(__xludf.DUMMYFUNCTION("GOOGLETRANSLATE(C26,""zh-tw"",""es-MX"")"),"Poder de ataque +50%")</f>
        <v>Poder de ataque +50%</v>
      </c>
      <c r="T26" s="174" t="str">
        <f>IFERROR(__xludf.DUMMYFUNCTION("GOOGLETRANSLATE(D26,""zh-tw"",""es-MX"")"),"alimento")</f>
        <v>alimento</v>
      </c>
      <c r="U26" s="149" t="str">
        <f>IFERROR(__xludf.DUMMYFUNCTION("GOOGLETRANSLATE(A26,""zh-tw"",""KO"")"),"근력 강화")</f>
        <v>근력 강화</v>
      </c>
      <c r="V26" s="164" t="str">
        <f>IFERROR(__xludf.DUMMYFUNCTION("GOOGLETRANSLATE(B26,""zh-tw"",""KO"")"),"힘이... 솟구쳐 올랐다!")</f>
        <v>힘이... 솟구쳐 올랐다!</v>
      </c>
      <c r="W26" s="306" t="str">
        <f>IFERROR(__xludf.DUMMYFUNCTION("GOOGLETRANSLATE(C26,""zh-tw"",""KO"")"),"공격력 +50%")</f>
        <v>공격력 +50%</v>
      </c>
      <c r="X26" s="174" t="str">
        <f>IFERROR(__xludf.DUMMYFUNCTION("GOOGLETRANSLATE(D26,""zh-tw"",""KO"")"),"음식")</f>
        <v>음식</v>
      </c>
      <c r="Y26" s="302" t="str">
        <f>IFERROR(__xludf.DUMMYFUNCTION("GOOGLETRANSLATE(A26,""zh-tw"",""RU"")"),"Увеличение силы")</f>
        <v>Увеличение силы</v>
      </c>
      <c r="Z26" s="303" t="str">
        <f>IFERROR(__xludf.DUMMYFUNCTION("GOOGLETRANSLATE(B26,""zh-tw"",""RU"")"),"Сила... возросла!")</f>
        <v>Сила... возросла!</v>
      </c>
      <c r="AA26" s="304" t="str">
        <f>IFERROR(__xludf.DUMMYFUNCTION("GOOGLETRANSLATE(C26,""zh-tw"",""RU"")"),"Сила атаки +50%")</f>
        <v>Сила атаки +50%</v>
      </c>
      <c r="AB26" s="365" t="str">
        <f>IFERROR(__xludf.DUMMYFUNCTION("GOOGLETRANSLATE(D26,""zh-tw"",""RU"")"),"еда")</f>
        <v>еда</v>
      </c>
      <c r="AC26" s="302" t="str">
        <f>IFERROR(__xludf.DUMMYFUNCTION("GOOGLETRANSLATE(A26,""zh-tw"",""DE"")"),"Kraftsteigerung")</f>
        <v>Kraftsteigerung</v>
      </c>
      <c r="AD26" s="303" t="str">
        <f>IFERROR(__xludf.DUMMYFUNCTION("GOOGLETRANSLATE(B26,""zh-tw"",""DE"")"),"Die Leistung... stieg sprunghaft an!")</f>
        <v>Die Leistung... stieg sprunghaft an!</v>
      </c>
      <c r="AE26" s="304" t="str">
        <f>IFERROR(__xludf.DUMMYFUNCTION("GOOGLETRANSLATE(C26,""zh-tw"",""DE"")"),"Angriffskraft +50%")</f>
        <v>Angriffskraft +50%</v>
      </c>
      <c r="AF26" s="365" t="str">
        <f>IFERROR(__xludf.DUMMYFUNCTION("GOOGLETRANSLATE(D26,""zh-tw"",""DE"")"),"Essen")</f>
        <v>Essen</v>
      </c>
      <c r="AG26" s="154" t="s">
        <v>7930</v>
      </c>
      <c r="AH26" s="41" t="s">
        <v>7931</v>
      </c>
      <c r="AI26" s="308" t="s">
        <v>7932</v>
      </c>
      <c r="AJ26" s="366" t="s">
        <v>7933</v>
      </c>
      <c r="AK26" s="154" t="s">
        <v>7934</v>
      </c>
      <c r="AL26" s="41" t="s">
        <v>7935</v>
      </c>
      <c r="AM26" s="308" t="s">
        <v>7936</v>
      </c>
      <c r="AN26" s="366" t="s">
        <v>7937</v>
      </c>
      <c r="AO26" s="364"/>
      <c r="AP26" s="364"/>
    </row>
    <row r="27">
      <c r="A27" s="173" t="s">
        <v>7938</v>
      </c>
      <c r="B27" s="305" t="s">
        <v>7939</v>
      </c>
      <c r="C27" s="307" t="s">
        <v>7940</v>
      </c>
      <c r="D27" s="364" t="s">
        <v>7923</v>
      </c>
      <c r="E27" s="173" t="s">
        <v>7941</v>
      </c>
      <c r="F27" s="305" t="s">
        <v>7942</v>
      </c>
      <c r="G27" s="304" t="str">
        <f>IFERROR(__xludf.DUMMYFUNCTION("GOOGLETRANSLATE(C27,""zh-tw"",""ja"")"),"魔法力+50%")</f>
        <v>魔法力+50%</v>
      </c>
      <c r="H27" s="365" t="str">
        <f>IFERROR(__xludf.DUMMYFUNCTION("GOOGLETRANSLATE(D27,""zh-tw"",""ja"")"),"食べ物")</f>
        <v>食べ物</v>
      </c>
      <c r="I27" s="173" t="s">
        <v>7943</v>
      </c>
      <c r="J27" s="305" t="s">
        <v>7944</v>
      </c>
      <c r="K27" s="307" t="s">
        <v>7945</v>
      </c>
      <c r="L27" s="364" t="s">
        <v>7929</v>
      </c>
      <c r="M27" s="302" t="str">
        <f>IFERROR(__xludf.DUMMYFUNCTION("GOOGLETRANSLATE(A27,""zh-tw"",""zh"")"),"魔力提升")</f>
        <v>魔力提升</v>
      </c>
      <c r="N27" s="303" t="str">
        <f>IFERROR(__xludf.DUMMYFUNCTION("GOOGLETRANSLATE(B27,""zh-tw"",""zh"")"),"我逐渐理解一切。")</f>
        <v>我逐渐理解一切。</v>
      </c>
      <c r="O27" s="304" t="str">
        <f>IFERROR(__xludf.DUMMYFUNCTION("GOOGLETRANSLATE(C27,""zh-tw"",""zh"")"),"魔功力+50%")</f>
        <v>魔功力+50%</v>
      </c>
      <c r="P27" s="365" t="str">
        <f>IFERROR(__xludf.DUMMYFUNCTION("GOOGLETRANSLATE(D27,""zh-tw"",""zh"")"),"食物")</f>
        <v>食物</v>
      </c>
      <c r="Q27" s="149" t="str">
        <f>IFERROR(__xludf.DUMMYFUNCTION("GOOGLETRANSLATE(A27,""zh-tw"",""es-MX"")"),"Mejora mágica")</f>
        <v>Mejora mágica</v>
      </c>
      <c r="R27" s="164" t="str">
        <f>IFERROR(__xludf.DUMMYFUNCTION("GOOGLETRANSLATE(B27,""zh-tw"",""es-MX"")"),"Poco a poco fui comprendiendo todo.")</f>
        <v>Poco a poco fui comprendiendo todo.</v>
      </c>
      <c r="S27" s="306" t="str">
        <f>IFERROR(__xludf.DUMMYFUNCTION("GOOGLETRANSLATE(C27,""zh-tw"",""es-MX"")"),"Poder mágico +50%")</f>
        <v>Poder mágico +50%</v>
      </c>
      <c r="T27" s="174" t="str">
        <f>IFERROR(__xludf.DUMMYFUNCTION("GOOGLETRANSLATE(D27,""zh-tw"",""es-MX"")"),"alimento")</f>
        <v>alimento</v>
      </c>
      <c r="U27" s="149"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06" t="str">
        <f>IFERROR(__xludf.DUMMYFUNCTION("GOOGLETRANSLATE(C27,""zh-tw"",""KO"")"),"마법력 +50%")</f>
        <v>마법력 +50%</v>
      </c>
      <c r="X27" s="174" t="str">
        <f>IFERROR(__xludf.DUMMYFUNCTION("GOOGLETRANSLATE(D27,""zh-tw"",""KO"")"),"음식")</f>
        <v>음식</v>
      </c>
      <c r="Y27" s="302" t="str">
        <f>IFERROR(__xludf.DUMMYFUNCTION("GOOGLETRANSLATE(A27,""zh-tw"",""RU"")"),"Улучшение магии")</f>
        <v>Улучшение магии</v>
      </c>
      <c r="Z27" s="303" t="str">
        <f>IFERROR(__xludf.DUMMYFUNCTION("GOOGLETRANSLATE(B27,""zh-tw"",""RU"")"),"Постепенно я все понял.")</f>
        <v>Постепенно я все понял.</v>
      </c>
      <c r="AA27" s="304" t="str">
        <f>IFERROR(__xludf.DUMMYFUNCTION("GOOGLETRANSLATE(C27,""zh-tw"",""RU"")"),"Магическая сила +50%")</f>
        <v>Магическая сила +50%</v>
      </c>
      <c r="AB27" s="365" t="str">
        <f>IFERROR(__xludf.DUMMYFUNCTION("GOOGLETRANSLATE(D27,""zh-tw"",""RU"")"),"еда")</f>
        <v>еда</v>
      </c>
      <c r="AC27" s="302" t="str">
        <f>IFERROR(__xludf.DUMMYFUNCTION("GOOGLETRANSLATE(A27,""zh-tw"",""DE"")"),"Magische Verstärkung")</f>
        <v>Magische Verstärkung</v>
      </c>
      <c r="AD27" s="303" t="str">
        <f>IFERROR(__xludf.DUMMYFUNCTION("GOOGLETRANSLATE(B27,""zh-tw"",""DE"")"),"Nach und nach verstand ich alles.")</f>
        <v>Nach und nach verstand ich alles.</v>
      </c>
      <c r="AE27" s="304" t="str">
        <f>IFERROR(__xludf.DUMMYFUNCTION("GOOGLETRANSLATE(C27,""zh-tw"",""DE"")"),"Magische Kraft +50%")</f>
        <v>Magische Kraft +50%</v>
      </c>
      <c r="AF27" s="365" t="str">
        <f>IFERROR(__xludf.DUMMYFUNCTION("GOOGLETRANSLATE(D27,""zh-tw"",""DE"")"),"Essen")</f>
        <v>Essen</v>
      </c>
      <c r="AG27" s="154" t="s">
        <v>7946</v>
      </c>
      <c r="AH27" s="41" t="s">
        <v>7947</v>
      </c>
      <c r="AI27" s="308" t="s">
        <v>7948</v>
      </c>
      <c r="AJ27" s="366" t="s">
        <v>7933</v>
      </c>
      <c r="AK27" s="154" t="s">
        <v>7949</v>
      </c>
      <c r="AL27" s="41" t="s">
        <v>7950</v>
      </c>
      <c r="AM27" s="308" t="s">
        <v>7951</v>
      </c>
      <c r="AN27" s="366" t="s">
        <v>7937</v>
      </c>
      <c r="AO27" s="364"/>
      <c r="AP27" s="364"/>
    </row>
    <row r="28">
      <c r="A28" s="173" t="s">
        <v>7952</v>
      </c>
      <c r="B28" s="305" t="s">
        <v>7953</v>
      </c>
      <c r="C28" s="307" t="s">
        <v>7954</v>
      </c>
      <c r="D28" s="364" t="s">
        <v>7923</v>
      </c>
      <c r="E28" s="302" t="str">
        <f>IFERROR(__xludf.DUMMYFUNCTION("GOOGLETRANSLATE(A28,""zh-tw"",""ja"")"),"速度増加")</f>
        <v>速度増加</v>
      </c>
      <c r="F28" s="303" t="str">
        <f>IFERROR(__xludf.DUMMYFUNCTION("GOOGLETRANSLATE(B28,""zh-tw"",""ja"")"),"ついていけるかな…？私のスピード！")</f>
        <v>ついていけるかな…？私のスピード！</v>
      </c>
      <c r="G28" s="304" t="str">
        <f>IFERROR(__xludf.DUMMYFUNCTION("GOOGLETRANSLATE(C28,""zh-tw"",""ja"")"),"移動速度の向上")</f>
        <v>移動速度の向上</v>
      </c>
      <c r="H28" s="365" t="str">
        <f>IFERROR(__xludf.DUMMYFUNCTION("GOOGLETRANSLATE(D28,""zh-tw"",""ja"")"),"食べ物")</f>
        <v>食べ物</v>
      </c>
      <c r="I28" s="173" t="s">
        <v>7955</v>
      </c>
      <c r="J28" s="305" t="s">
        <v>7956</v>
      </c>
      <c r="K28" s="307" t="s">
        <v>7957</v>
      </c>
      <c r="L28" s="364" t="s">
        <v>7929</v>
      </c>
      <c r="M28" s="302" t="str">
        <f>IFERROR(__xludf.DUMMYFUNCTION("GOOGLETRANSLATE(A28,""zh-tw"",""zh"")"),"速度提升")</f>
        <v>速度提升</v>
      </c>
      <c r="N28" s="303" t="str">
        <f>IFERROR(__xludf.DUMMYFUNCTION("GOOGLETRANSLATE(B28,""zh-tw"",""zh"")"),"跟得上吗……我的SPEED！")</f>
        <v>跟得上吗……我的SPEED！</v>
      </c>
      <c r="O28" s="304" t="str">
        <f>IFERROR(__xludf.DUMMYFUNCTION("GOOGLETRANSLATE(C28,""zh-tw"",""zh"")"),"移动速度上升")</f>
        <v>移动速度上升</v>
      </c>
      <c r="P28" s="365" t="str">
        <f>IFERROR(__xludf.DUMMYFUNCTION("GOOGLETRANSLATE(D28,""zh-tw"",""zh"")"),"食物")</f>
        <v>食物</v>
      </c>
      <c r="Q28" s="149" t="str">
        <f>IFERROR(__xludf.DUMMYFUNCTION("GOOGLETRANSLATE(A28,""zh-tw"",""es-MX"")"),"Aumento de velocidad")</f>
        <v>Aumento de velocidad</v>
      </c>
      <c r="R28" s="164" t="str">
        <f>IFERROR(__xludf.DUMMYFUNCTION("GOOGLETRANSLATE(B28,""zh-tw"",""es-MX"")"),"¿Puedo seguir el ritmo...? ¡Mi velocidad!")</f>
        <v>¿Puedo seguir el ritmo...? ¡Mi velocidad!</v>
      </c>
      <c r="S28" s="306" t="str">
        <f>IFERROR(__xludf.DUMMYFUNCTION("GOOGLETRANSLATE(C28,""zh-tw"",""es-MX"")"),"Mayor velocidad de movimiento")</f>
        <v>Mayor velocidad de movimiento</v>
      </c>
      <c r="T28" s="174" t="str">
        <f>IFERROR(__xludf.DUMMYFUNCTION("GOOGLETRANSLATE(D28,""zh-tw"",""es-MX"")"),"alimento")</f>
        <v>alimento</v>
      </c>
      <c r="U28" s="149" t="str">
        <f>IFERROR(__xludf.DUMMYFUNCTION("GOOGLETRANSLATE(A28,""zh-tw"",""KO"")"),"속도 증가")</f>
        <v>속도 증가</v>
      </c>
      <c r="V28" s="164" t="str">
        <f>IFERROR(__xludf.DUMMYFUNCTION("GOOGLETRANSLATE(B28,""zh-tw"",""KO"")"),"따라잡을 수 있을까...? 내 속도!")</f>
        <v>따라잡을 수 있을까...? 내 속도!</v>
      </c>
      <c r="W28" s="306" t="str">
        <f>IFERROR(__xludf.DUMMYFUNCTION("GOOGLETRANSLATE(C28,""zh-tw"",""KO"")"),"이동 속도 증가")</f>
        <v>이동 속도 증가</v>
      </c>
      <c r="X28" s="174" t="str">
        <f>IFERROR(__xludf.DUMMYFUNCTION("GOOGLETRANSLATE(D28,""zh-tw"",""KO"")"),"음식")</f>
        <v>음식</v>
      </c>
      <c r="Y28" s="302" t="str">
        <f>IFERROR(__xludf.DUMMYFUNCTION("GOOGLETRANSLATE(A28,""zh-tw"",""RU"")"),"Увеличение скорости")</f>
        <v>Увеличение скорости</v>
      </c>
      <c r="Z28" s="303" t="str">
        <f>IFERROR(__xludf.DUMMYFUNCTION("GOOGLETRANSLATE(B28,""zh-tw"",""RU"")"),"Смогу ли я угнаться...? Моя скорость!")</f>
        <v>Смогу ли я угнаться...? Моя скорость!</v>
      </c>
      <c r="AA28" s="304" t="str">
        <f>IFERROR(__xludf.DUMMYFUNCTION("GOOGLETRANSLATE(C28,""zh-tw"",""RU"")"),"Увеличенная скорость передвижения")</f>
        <v>Увеличенная скорость передвижения</v>
      </c>
      <c r="AB28" s="365" t="str">
        <f>IFERROR(__xludf.DUMMYFUNCTION("GOOGLETRANSLATE(D28,""zh-tw"",""RU"")"),"еда")</f>
        <v>еда</v>
      </c>
      <c r="AC28" s="302" t="str">
        <f>IFERROR(__xludf.DUMMYFUNCTION("GOOGLETRANSLATE(A28,""zh-tw"",""DE"")"),"Geschwindigkeitserhöhung")</f>
        <v>Geschwindigkeitserhöhung</v>
      </c>
      <c r="AD28" s="303" t="str">
        <f>IFERROR(__xludf.DUMMYFUNCTION("GOOGLETRANSLATE(B28,""zh-tw"",""DE"")"),"Kann ich mithalten...? Meine Geschwindigkeit!")</f>
        <v>Kann ich mithalten...? Meine Geschwindigkeit!</v>
      </c>
      <c r="AE28" s="304" t="str">
        <f>IFERROR(__xludf.DUMMYFUNCTION("GOOGLETRANSLATE(C28,""zh-tw"",""DE"")"),"Erhöhte Bewegungsgeschwindigkeit")</f>
        <v>Erhöhte Bewegungsgeschwindigkeit</v>
      </c>
      <c r="AF28" s="365" t="str">
        <f>IFERROR(__xludf.DUMMYFUNCTION("GOOGLETRANSLATE(D28,""zh-tw"",""DE"")"),"Essen")</f>
        <v>Essen</v>
      </c>
      <c r="AG28" s="154" t="s">
        <v>7958</v>
      </c>
      <c r="AH28" s="41" t="s">
        <v>7959</v>
      </c>
      <c r="AI28" s="308" t="s">
        <v>7960</v>
      </c>
      <c r="AJ28" s="366" t="s">
        <v>7933</v>
      </c>
      <c r="AK28" s="154" t="s">
        <v>7961</v>
      </c>
      <c r="AL28" s="41" t="s">
        <v>7962</v>
      </c>
      <c r="AM28" s="308" t="s">
        <v>7963</v>
      </c>
      <c r="AN28" s="366" t="s">
        <v>7937</v>
      </c>
      <c r="AO28" s="364"/>
      <c r="AP28" s="364"/>
    </row>
    <row r="29">
      <c r="A29" s="173" t="s">
        <v>7964</v>
      </c>
      <c r="B29" s="305" t="s">
        <v>7965</v>
      </c>
      <c r="C29" s="307" t="s">
        <v>7966</v>
      </c>
      <c r="D29" s="364" t="s">
        <v>7967</v>
      </c>
      <c r="E29" s="302" t="str">
        <f>IFERROR(__xludf.DUMMYFUNCTION("GOOGLETRANSLATE(A29,""zh-tw"",""ja"")"),"巨神兵")</f>
        <v>巨神兵</v>
      </c>
      <c r="F29" s="305" t="s">
        <v>7968</v>
      </c>
      <c r="G29" s="307" t="s">
        <v>7969</v>
      </c>
      <c r="H29" s="365" t="str">
        <f>IFERROR(__xludf.DUMMYFUNCTION("GOOGLETRANSLATE(D29,""zh-tw"",""ja"")"),"タロットカード")</f>
        <v>タロットカード</v>
      </c>
      <c r="I29" s="173" t="s">
        <v>7970</v>
      </c>
      <c r="J29" s="305" t="s">
        <v>7971</v>
      </c>
      <c r="K29" s="307" t="s">
        <v>7972</v>
      </c>
      <c r="L29" s="364" t="s">
        <v>7973</v>
      </c>
      <c r="M29" s="302" t="str">
        <f>IFERROR(__xludf.DUMMYFUNCTION("GOOGLETRANSLATE(A29,""zh-tw"",""zh"")"),"巨神兵")</f>
        <v>巨神兵</v>
      </c>
      <c r="N29" s="303" t="str">
        <f>IFERROR(__xludf.DUMMYFUNCTION("GOOGLETRANSLATE(B29,""zh-tw"",""zh"")"),"神兵天将")</f>
        <v>神兵天将</v>
      </c>
      <c r="O29" s="304" t="str">
        <f>IFERROR(__xludf.DUMMYFUNCTION("GOOGLETRANSLATE(C29,""zh-tw"",""zh"")"),"状态持续期间武器巨大化，提升攻击范围和伤害")</f>
        <v>状态持续期间武器巨大化，提升攻击范围和伤害</v>
      </c>
      <c r="P29" s="365" t="str">
        <f>IFERROR(__xludf.DUMMYFUNCTION("GOOGLETRANSLATE(D29,""zh-tw"",""zh"")"),"塔罗牌")</f>
        <v>塔罗牌</v>
      </c>
      <c r="Q29" s="149" t="str">
        <f>IFERROR(__xludf.DUMMYFUNCTION("GOOGLETRANSLATE(A29,""zh-tw"",""es-MX"")"),"Soldado dios gigante")</f>
        <v>Soldado dios gigante</v>
      </c>
      <c r="R29" s="164" t="str">
        <f>IFERROR(__xludf.DUMMYFUNCTION("GOOGLETRANSLATE(B29,""zh-tw"",""es-MX"")"),"Soldados divinos y generales celestiales")</f>
        <v>Soldados divinos y generales celestiales</v>
      </c>
      <c r="S29" s="306" t="str">
        <f>IFERROR(__xludf.DUMMYFUNCTION("GOOGLETRANSLATE(C29,""zh-tw"",""es-MX"")"),"Durante la duración del efecto, el arma crece, aumentando su alcance de ataque y daño.")</f>
        <v>Durante la duración del efecto, el arma crece, aumentando su alcance de ataque y daño.</v>
      </c>
      <c r="T29" s="174" t="str">
        <f>IFERROR(__xludf.DUMMYFUNCTION("GOOGLETRANSLATE(D29,""zh-tw"",""es-MX"")"),"Cartas del tarot")</f>
        <v>Cartas del tarot</v>
      </c>
      <c r="U29" s="149" t="str">
        <f>IFERROR(__xludf.DUMMYFUNCTION("GOOGLETRANSLATE(A29,""zh-tw"",""KO"")"),"거신병")</f>
        <v>거신병</v>
      </c>
      <c r="V29" s="164" t="str">
        <f>IFERROR(__xludf.DUMMYFUNCTION("GOOGLETRANSLATE(B29,""zh-tw"",""KO"")"),"신성한 군인들과 천상의 장군들")</f>
        <v>신성한 군인들과 천상의 장군들</v>
      </c>
      <c r="W29" s="306" t="str">
        <f>IFERROR(__xludf.DUMMYFUNCTION("GOOGLETRANSLATE(C29,""zh-tw"",""KO"")"),"효과가 지속되는 동안 무기가 더 커져 공격 범위와 피해가 증가합니다.")</f>
        <v>효과가 지속되는 동안 무기가 더 커져 공격 범위와 피해가 증가합니다.</v>
      </c>
      <c r="X29" s="174" t="str">
        <f>IFERROR(__xludf.DUMMYFUNCTION("GOOGLETRANSLATE(D29,""zh-tw"",""KO"")"),"타로 카드")</f>
        <v>타로 카드</v>
      </c>
      <c r="Y29" s="302" t="str">
        <f>IFERROR(__xludf.DUMMYFUNCTION("GOOGLETRANSLATE(A29,""zh-tw"",""RU"")"),"Гигантский Божественный Солдат")</f>
        <v>Гигантский Божественный Солдат</v>
      </c>
      <c r="Z29" s="303" t="str">
        <f>IFERROR(__xludf.DUMMYFUNCTION("GOOGLETRANSLATE(B29,""zh-tw"",""RU"")"),"Божественные солдаты и небесные генералы")</f>
        <v>Божественные солдаты и небесные генералы</v>
      </c>
      <c r="AA29" s="30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65" t="str">
        <f>IFERROR(__xludf.DUMMYFUNCTION("GOOGLETRANSLATE(D29,""zh-tw"",""RU"")"),"Карты Таро")</f>
        <v>Карты Таро</v>
      </c>
      <c r="AC29" s="302" t="str">
        <f>IFERROR(__xludf.DUMMYFUNCTION("GOOGLETRANSLATE(A29,""zh-tw"",""DE"")"),"Riesengottsoldat")</f>
        <v>Riesengottsoldat</v>
      </c>
      <c r="AD29" s="303" t="str">
        <f>IFERROR(__xludf.DUMMYFUNCTION("GOOGLETRANSLATE(B29,""zh-tw"",""DE"")"),"Göttliche Soldaten und himmlische Generäle")</f>
        <v>Göttliche Soldaten und himmlische Generäle</v>
      </c>
      <c r="AE29" s="30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65" t="str">
        <f>IFERROR(__xludf.DUMMYFUNCTION("GOOGLETRANSLATE(D29,""zh-tw"",""DE"")"),"Tarotkarten")</f>
        <v>Tarotkarten</v>
      </c>
      <c r="AG29" s="154" t="s">
        <v>7974</v>
      </c>
      <c r="AH29" s="41" t="s">
        <v>7975</v>
      </c>
      <c r="AI29" s="308" t="s">
        <v>7976</v>
      </c>
      <c r="AJ29" s="366" t="s">
        <v>7977</v>
      </c>
      <c r="AK29" s="154" t="s">
        <v>7978</v>
      </c>
      <c r="AL29" s="41" t="s">
        <v>7979</v>
      </c>
      <c r="AM29" s="308" t="s">
        <v>7980</v>
      </c>
      <c r="AN29" s="366" t="s">
        <v>7981</v>
      </c>
      <c r="AO29" s="364"/>
      <c r="AP29" s="364"/>
    </row>
    <row r="30">
      <c r="A30" s="173" t="s">
        <v>7982</v>
      </c>
      <c r="B30" s="305" t="s">
        <v>7983</v>
      </c>
      <c r="C30" s="307" t="s">
        <v>7984</v>
      </c>
      <c r="D30" s="364" t="s">
        <v>7967</v>
      </c>
      <c r="E30" s="173" t="s">
        <v>7985</v>
      </c>
      <c r="F30" s="303" t="str">
        <f>IFERROR(__xludf.DUMMYFUNCTION("GOOGLETRANSLATE(B30,""zh-tw"",""ja"")"),"運命の流れ…")</f>
        <v>運命の流れ…</v>
      </c>
      <c r="G30" s="304" t="str">
        <f>IFERROR(__xludf.DUMMYFUNCTION("GOOGLETRANSLATE(C30,""zh-tw"",""ja"")"),"運命の祝福で幸せなことに出会いやすくなります！")</f>
        <v>運命の祝福で幸せなことに出会いやすくなります！</v>
      </c>
      <c r="H30" s="365" t="str">
        <f>IFERROR(__xludf.DUMMYFUNCTION("GOOGLETRANSLATE(D30,""zh-tw"",""ja"")"),"タロットカード")</f>
        <v>タロットカード</v>
      </c>
      <c r="I30" s="173" t="s">
        <v>7986</v>
      </c>
      <c r="J30" s="305" t="s">
        <v>7987</v>
      </c>
      <c r="K30" s="304" t="str">
        <f>IFERROR(__xludf.DUMMYFUNCTION("GOOGLETRANSLATE(C30,""zh-tw"",""en"")"),"With the blessing of fate, it's easier to encounter happy things!")</f>
        <v>With the blessing of fate, it's easier to encounter happy things!</v>
      </c>
      <c r="L30" s="364" t="s">
        <v>7988</v>
      </c>
      <c r="M30" s="302" t="str">
        <f>IFERROR(__xludf.DUMMYFUNCTION("GOOGLETRANSLATE(A30,""zh-tw"",""zh"")"),"命运之轮-正")</f>
        <v>命运之轮-正</v>
      </c>
      <c r="N30" s="303" t="str">
        <f>IFERROR(__xludf.DUMMYFUNCTION("GOOGLETRANSLATE(B30,""zh-tw"",""zh"")"),"命运的流动……")</f>
        <v>命运的流动……</v>
      </c>
      <c r="O30" s="304" t="str">
        <f>IFERROR(__xludf.DUMMYFUNCTION("GOOGLETRANSLATE(C30,""zh-tw"",""zh"")"),"得到命运的加护，更容易遇到开心的事情了！")</f>
        <v>得到命运的加护，更容易遇到开心的事情了！</v>
      </c>
      <c r="P30" s="365" t="str">
        <f>IFERROR(__xludf.DUMMYFUNCTION("GOOGLETRANSLATE(D30,""zh-tw"",""zh"")"),"塔罗牌")</f>
        <v>塔罗牌</v>
      </c>
      <c r="Q30" s="149" t="str">
        <f>IFERROR(__xludf.DUMMYFUNCTION("GOOGLETRANSLATE(A30,""zh-tw"",""es-MX"")"),"Rueda de la fortuna - Derecha")</f>
        <v>Rueda de la fortuna - Derecha</v>
      </c>
      <c r="R30" s="164" t="str">
        <f>IFERROR(__xludf.DUMMYFUNCTION("GOOGLETRANSLATE(B30,""zh-tw"",""es-MX"")"),"El flujo del destino...")</f>
        <v>El flujo del destino...</v>
      </c>
      <c r="S30" s="306" t="str">
        <f>IFERROR(__xludf.DUMMYFUNCTION("GOOGLETRANSLATE(C30,""zh-tw"",""es-MX"")"),"¡Con la bendición del destino, es más fácil encontrar cosas felices!")</f>
        <v>¡Con la bendición del destino, es más fácil encontrar cosas felices!</v>
      </c>
      <c r="T30" s="174" t="str">
        <f>IFERROR(__xludf.DUMMYFUNCTION("GOOGLETRANSLATE(D30,""zh-tw"",""es-MX"")"),"Cartas del tarot")</f>
        <v>Cartas del tarot</v>
      </c>
      <c r="U30" s="149" t="str">
        <f>IFERROR(__xludf.DUMMYFUNCTION("GOOGLETRANSLATE(A30,""zh-tw"",""KO"")"),"행운의 바퀴 - 오른쪽")</f>
        <v>행운의 바퀴 - 오른쪽</v>
      </c>
      <c r="V30" s="164" t="str">
        <f>IFERROR(__xludf.DUMMYFUNCTION("GOOGLETRANSLATE(B30,""zh-tw"",""KO"")"),"운명의 흐름...")</f>
        <v>운명의 흐름...</v>
      </c>
      <c r="W30" s="306" t="str">
        <f>IFERROR(__xludf.DUMMYFUNCTION("GOOGLETRANSLATE(C30,""zh-tw"",""KO"")"),"운명의 축복을 받으면 행복한 일이 더 쉽게 찾아올 거예요!")</f>
        <v>운명의 축복을 받으면 행복한 일이 더 쉽게 찾아올 거예요!</v>
      </c>
      <c r="X30" s="174" t="str">
        <f>IFERROR(__xludf.DUMMYFUNCTION("GOOGLETRANSLATE(D30,""zh-tw"",""KO"")"),"타로 카드")</f>
        <v>타로 카드</v>
      </c>
      <c r="Y30" s="302" t="str">
        <f>IFERROR(__xludf.DUMMYFUNCTION("GOOGLETRANSLATE(A30,""zh-tw"",""RU"")"),"Колесо Фортуны - Правое")</f>
        <v>Колесо Фортуны - Правое</v>
      </c>
      <c r="Z30" s="303" t="str">
        <f>IFERROR(__xludf.DUMMYFUNCTION("GOOGLETRANSLATE(B30,""zh-tw"",""RU"")"),"Поток судьбы...")</f>
        <v>Поток судьбы...</v>
      </c>
      <c r="AA30" s="30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65" t="str">
        <f>IFERROR(__xludf.DUMMYFUNCTION("GOOGLETRANSLATE(D30,""zh-tw"",""RU"")"),"Карты Таро")</f>
        <v>Карты Таро</v>
      </c>
      <c r="AC30" s="302" t="str">
        <f>IFERROR(__xludf.DUMMYFUNCTION("GOOGLETRANSLATE(A30,""zh-tw"",""DE"")"),"Glücksrad - Rechts")</f>
        <v>Glücksrad - Rechts</v>
      </c>
      <c r="AD30" s="303" t="str">
        <f>IFERROR(__xludf.DUMMYFUNCTION("GOOGLETRANSLATE(B30,""zh-tw"",""DE"")"),"Der Lauf des Schicksals...")</f>
        <v>Der Lauf des Schicksals...</v>
      </c>
      <c r="AE30" s="304" t="str">
        <f>IFERROR(__xludf.DUMMYFUNCTION("GOOGLETRANSLATE(C30,""zh-tw"",""DE"")"),"Mit dem Segen des Schicksals begegnet man leichter glücklichen Dingen!")</f>
        <v>Mit dem Segen des Schicksals begegnet man leichter glücklichen Dingen!</v>
      </c>
      <c r="AF30" s="365" t="str">
        <f>IFERROR(__xludf.DUMMYFUNCTION("GOOGLETRANSLATE(D30,""zh-tw"",""DE"")"),"Tarotkarten")</f>
        <v>Tarotkarten</v>
      </c>
      <c r="AG30" s="154" t="s">
        <v>7989</v>
      </c>
      <c r="AH30" s="41" t="s">
        <v>7990</v>
      </c>
      <c r="AI30" s="308" t="s">
        <v>7991</v>
      </c>
      <c r="AJ30" s="366" t="s">
        <v>7992</v>
      </c>
      <c r="AK30" s="154" t="s">
        <v>7993</v>
      </c>
      <c r="AL30" s="41" t="s">
        <v>7994</v>
      </c>
      <c r="AM30" s="308" t="s">
        <v>7995</v>
      </c>
      <c r="AN30" s="366" t="s">
        <v>7996</v>
      </c>
      <c r="AO30" s="364"/>
      <c r="AP30" s="364"/>
    </row>
    <row r="31">
      <c r="A31" s="173" t="s">
        <v>7997</v>
      </c>
      <c r="B31" s="305" t="s">
        <v>7998</v>
      </c>
      <c r="C31" s="307" t="s">
        <v>7999</v>
      </c>
      <c r="D31" s="364" t="s">
        <v>7967</v>
      </c>
      <c r="E31" s="173" t="s">
        <v>8000</v>
      </c>
      <c r="F31" s="303" t="str">
        <f>IFERROR(__xludf.DUMMYFUNCTION("GOOGLETRANSLATE(B31,""zh-tw"",""ja"")"),"運命は流れる…")</f>
        <v>運命は流れる…</v>
      </c>
      <c r="G31" s="304" t="str">
        <f>IFERROR(__xludf.DUMMYFUNCTION("GOOGLETRANSLATE(C31,""zh-tw"",""ja"")"),"運命に恵まれると困難なことにも遭遇しやすくなります！")</f>
        <v>運命に恵まれると困難なことにも遭遇しやすくなります！</v>
      </c>
      <c r="H31" s="365" t="str">
        <f>IFERROR(__xludf.DUMMYFUNCTION("GOOGLETRANSLATE(D31,""zh-tw"",""ja"")"),"タロットカード")</f>
        <v>タロットカード</v>
      </c>
      <c r="I31" s="173" t="s">
        <v>8001</v>
      </c>
      <c r="J31" s="305" t="s">
        <v>8002</v>
      </c>
      <c r="K31" s="304" t="str">
        <f>IFERROR(__xludf.DUMMYFUNCTION("GOOGLETRANSLATE(C31,""zh-tw"",""en"")"),"Being blessed by fate makes it easier to encounter difficult things!")</f>
        <v>Being blessed by fate makes it easier to encounter difficult things!</v>
      </c>
      <c r="L31" s="364" t="s">
        <v>7988</v>
      </c>
      <c r="M31" s="302" t="str">
        <f>IFERROR(__xludf.DUMMYFUNCTION("GOOGLETRANSLATE(A31,""zh-tw"",""zh"")"),"命运之轮-逆")</f>
        <v>命运之轮-逆</v>
      </c>
      <c r="N31" s="303" t="str">
        <f>IFERROR(__xludf.DUMMYFUNCTION("GOOGLETRANSLATE(B31,""zh-tw"",""zh"")"),"命运流动……")</f>
        <v>命运流动……</v>
      </c>
      <c r="O31" s="304" t="str">
        <f>IFERROR(__xludf.DUMMYFUNCTION("GOOGLETRANSLATE(C31,""zh-tw"",""zh"")"),"得到命运的加护，更容易遇到难过的事情了！")</f>
        <v>得到命运的加护，更容易遇到难过的事情了！</v>
      </c>
      <c r="P31" s="365" t="str">
        <f>IFERROR(__xludf.DUMMYFUNCTION("GOOGLETRANSLATE(D31,""zh-tw"",""zh"")"),"塔罗牌")</f>
        <v>塔罗牌</v>
      </c>
      <c r="Q31" s="149" t="str">
        <f>IFERROR(__xludf.DUMMYFUNCTION("GOOGLETRANSLATE(A31,""zh-tw"",""es-MX"")"),"Rueda de la fortuna - Inversa")</f>
        <v>Rueda de la fortuna - Inversa</v>
      </c>
      <c r="R31" s="164" t="str">
        <f>IFERROR(__xludf.DUMMYFUNCTION("GOOGLETRANSLATE(B31,""zh-tw"",""es-MX"")"),"El destino fluye...")</f>
        <v>El destino fluye...</v>
      </c>
      <c r="S31" s="306" t="str">
        <f>IFERROR(__xludf.DUMMYFUNCTION("GOOGLETRANSLATE(C31,""zh-tw"",""es-MX"")"),"¡Ser bendecido por el destino hace que sea más fácil enfrentar cosas difíciles!")</f>
        <v>¡Ser bendecido por el destino hace que sea más fácil enfrentar cosas difíciles!</v>
      </c>
      <c r="T31" s="174" t="str">
        <f>IFERROR(__xludf.DUMMYFUNCTION("GOOGLETRANSLATE(D31,""zh-tw"",""es-MX"")"),"Cartas del tarot")</f>
        <v>Cartas del tarot</v>
      </c>
      <c r="U31" s="149" t="str">
        <f>IFERROR(__xludf.DUMMYFUNCTION("GOOGLETRANSLATE(A31,""zh-tw"",""KO"")"),"행운의 바퀴 - 역전")</f>
        <v>행운의 바퀴 - 역전</v>
      </c>
      <c r="V31" s="164" t="str">
        <f>IFERROR(__xludf.DUMMYFUNCTION("GOOGLETRANSLATE(B31,""zh-tw"",""KO"")"),"운명은 흐른다...")</f>
        <v>운명은 흐른다...</v>
      </c>
      <c r="W31" s="306" t="str">
        <f>IFERROR(__xludf.DUMMYFUNCTION("GOOGLETRANSLATE(C31,""zh-tw"",""KO"")"),"운명의 축복을 받으면 어려운 일을 겪기가 쉬워집니다!")</f>
        <v>운명의 축복을 받으면 어려운 일을 겪기가 쉬워집니다!</v>
      </c>
      <c r="X31" s="174" t="str">
        <f>IFERROR(__xludf.DUMMYFUNCTION("GOOGLETRANSLATE(D31,""zh-tw"",""KO"")"),"타로 카드")</f>
        <v>타로 카드</v>
      </c>
      <c r="Y31" s="302" t="str">
        <f>IFERROR(__xludf.DUMMYFUNCTION("GOOGLETRANSLATE(A31,""zh-tw"",""RU"")"),"Колесо Фортуны — Обратное")</f>
        <v>Колесо Фортуны — Обратное</v>
      </c>
      <c r="Z31" s="303" t="str">
        <f>IFERROR(__xludf.DUMMYFUNCTION("GOOGLETRANSLATE(B31,""zh-tw"",""RU"")"),"Судьба течет...")</f>
        <v>Судьба течет...</v>
      </c>
      <c r="AA31" s="30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65" t="str">
        <f>IFERROR(__xludf.DUMMYFUNCTION("GOOGLETRANSLATE(D31,""zh-tw"",""RU"")"),"Карты Таро")</f>
        <v>Карты Таро</v>
      </c>
      <c r="AC31" s="302" t="str">
        <f>IFERROR(__xludf.DUMMYFUNCTION("GOOGLETRANSLATE(A31,""zh-tw"",""DE"")"),"Glücksrad – Rückwärts")</f>
        <v>Glücksrad – Rückwärts</v>
      </c>
      <c r="AD31" s="303" t="str">
        <f>IFERROR(__xludf.DUMMYFUNCTION("GOOGLETRANSLATE(B31,""zh-tw"",""DE"")"),"Das Schicksal bestimmt seinen Lauf...")</f>
        <v>Das Schicksal bestimmt seinen Lauf...</v>
      </c>
      <c r="AE31" s="304" t="str">
        <f>IFERROR(__xludf.DUMMYFUNCTION("GOOGLETRANSLATE(C31,""zh-tw"",""DE"")"),"Vom Schicksal begünstigt zu sein, erleichtert den Umgang mit schwierigen Dingen!")</f>
        <v>Vom Schicksal begünstigt zu sein, erleichtert den Umgang mit schwierigen Dingen!</v>
      </c>
      <c r="AF31" s="365" t="str">
        <f>IFERROR(__xludf.DUMMYFUNCTION("GOOGLETRANSLATE(D31,""zh-tw"",""DE"")"),"Tarotkarten")</f>
        <v>Tarotkarten</v>
      </c>
      <c r="AG31" s="154" t="s">
        <v>8003</v>
      </c>
      <c r="AH31" s="41" t="s">
        <v>8004</v>
      </c>
      <c r="AI31" s="308" t="s">
        <v>8005</v>
      </c>
      <c r="AJ31" s="366" t="s">
        <v>7992</v>
      </c>
      <c r="AK31" s="154" t="s">
        <v>8006</v>
      </c>
      <c r="AL31" s="41" t="s">
        <v>8007</v>
      </c>
      <c r="AM31" s="308" t="s">
        <v>8008</v>
      </c>
      <c r="AN31" s="366" t="s">
        <v>7996</v>
      </c>
      <c r="AO31" s="364"/>
      <c r="AP31" s="364"/>
    </row>
    <row r="32">
      <c r="A32" s="173" t="s">
        <v>8009</v>
      </c>
      <c r="B32" s="305" t="s">
        <v>8010</v>
      </c>
      <c r="C32" s="307" t="s">
        <v>8011</v>
      </c>
      <c r="D32" s="364" t="s">
        <v>6655</v>
      </c>
      <c r="E32" s="173" t="s">
        <v>8012</v>
      </c>
      <c r="F32" s="305" t="s">
        <v>8013</v>
      </c>
      <c r="G32" s="307" t="s">
        <v>8014</v>
      </c>
      <c r="H32" s="364" t="s">
        <v>6657</v>
      </c>
      <c r="I32" s="173" t="s">
        <v>8015</v>
      </c>
      <c r="J32" s="305" t="s">
        <v>8016</v>
      </c>
      <c r="K32" s="307" t="s">
        <v>8017</v>
      </c>
      <c r="L32" s="364" t="s">
        <v>6659</v>
      </c>
      <c r="M32" s="302" t="str">
        <f>IFERROR(__xludf.DUMMYFUNCTION("GOOGLETRANSLATE(A32,""zh-tw"",""zh"")"),"生命力")</f>
        <v>生命力</v>
      </c>
      <c r="N32" s="303" t="str">
        <f>IFERROR(__xludf.DUMMYFUNCTION("GOOGLETRANSLATE(B32,""zh-tw"",""zh"")"),"但是真的很难吃……")</f>
        <v>但是真的很难吃……</v>
      </c>
      <c r="O32" s="304" t="str">
        <f>IFERROR(__xludf.DUMMYFUNCTION("GOOGLETRANSLATE(C32,""zh-tw"",""zh"")"),"体内充满了生命力，体力增加了")</f>
        <v>体内充满了生命力，体力增加了</v>
      </c>
      <c r="P32" s="365" t="str">
        <f>IFERROR(__xludf.DUMMYFUNCTION("GOOGLETRANSLATE(D32,""zh-tw"",""zh"")"),"天上之石碎片")</f>
        <v>天上之石碎片</v>
      </c>
      <c r="Q32" s="149" t="str">
        <f>IFERROR(__xludf.DUMMYFUNCTION("GOOGLETRANSLATE(A32,""zh-tw"",""es-MX"")"),"vitalidad")</f>
        <v>vitalidad</v>
      </c>
      <c r="R32" s="164" t="str">
        <f>IFERROR(__xludf.DUMMYFUNCTION("GOOGLETRANSLATE(B32,""zh-tw"",""es-MX"")"),"Pero realmente sabía horrible...")</f>
        <v>Pero realmente sabía horrible...</v>
      </c>
      <c r="S32" s="306" t="str">
        <f>IFERROR(__xludf.DUMMYFUNCTION("GOOGLETRANSLATE(C32,""zh-tw"",""es-MX"")"),"Mi cuerpo está lleno de vitalidad y mi fuerza física ha aumentado.")</f>
        <v>Mi cuerpo está lleno de vitalidad y mi fuerza física ha aumentado.</v>
      </c>
      <c r="T32" s="174" t="str">
        <f>IFERROR(__xludf.DUMMYFUNCTION("GOOGLETRANSLATE(D32,""zh-tw"",""es-MX"")"),"Fragmentos de la Piedra Celestial")</f>
        <v>Fragmentos de la Piedra Celestial</v>
      </c>
      <c r="U32" s="149" t="str">
        <f>IFERROR(__xludf.DUMMYFUNCTION("GOOGLETRANSLATE(A32,""zh-tw"",""KO"")"),"활력")</f>
        <v>활력</v>
      </c>
      <c r="V32" s="164" t="str">
        <f>IFERROR(__xludf.DUMMYFUNCTION("GOOGLETRANSLATE(B32,""zh-tw"",""KO"")"),"하지만 정말 맛없었어요...")</f>
        <v>하지만 정말 맛없었어요...</v>
      </c>
      <c r="W32" s="306" t="str">
        <f>IFERROR(__xludf.DUMMYFUNCTION("GOOGLETRANSLATE(C32,""zh-tw"",""KO"")"),"내 몸은 활력으로 가득 차고, 체력도 증가했습니다.")</f>
        <v>내 몸은 활력으로 가득 차고, 체력도 증가했습니다.</v>
      </c>
      <c r="X32" s="174" t="str">
        <f>IFERROR(__xludf.DUMMYFUNCTION("GOOGLETRANSLATE(D32,""zh-tw"",""KO"")"),"천상의 돌 조각들")</f>
        <v>천상의 돌 조각들</v>
      </c>
      <c r="Y32" s="302" t="str">
        <f>IFERROR(__xludf.DUMMYFUNCTION("GOOGLETRANSLATE(A32,""zh-tw"",""RU"")"),"жизненная сила")</f>
        <v>жизненная сила</v>
      </c>
      <c r="Z32" s="303" t="str">
        <f>IFERROR(__xludf.DUMMYFUNCTION("GOOGLETRANSLATE(B32,""zh-tw"",""RU"")"),"Но вкус действительно был ужасный...")</f>
        <v>Но вкус действительно был ужасный...</v>
      </c>
      <c r="AA32" s="30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65" t="str">
        <f>IFERROR(__xludf.DUMMYFUNCTION("GOOGLETRANSLATE(D32,""zh-tw"",""RU"")"),"Фрагменты Небесного Камня")</f>
        <v>Фрагменты Небесного Камня</v>
      </c>
      <c r="AC32" s="302" t="str">
        <f>IFERROR(__xludf.DUMMYFUNCTION("GOOGLETRANSLATE(A32,""zh-tw"",""DE"")"),"Vitalität")</f>
        <v>Vitalität</v>
      </c>
      <c r="AD32" s="303" t="str">
        <f>IFERROR(__xludf.DUMMYFUNCTION("GOOGLETRANSLATE(B32,""zh-tw"",""DE"")"),"Aber es hat wirklich furchtbar geschmeckt...")</f>
        <v>Aber es hat wirklich furchtbar geschmeckt...</v>
      </c>
      <c r="AE32" s="304" t="str">
        <f>IFERROR(__xludf.DUMMYFUNCTION("GOOGLETRANSLATE(C32,""zh-tw"",""DE"")"),"Mein Körper ist voller Vitalität und meine körperliche Kraft hat zugenommen.")</f>
        <v>Mein Körper ist voller Vitalität und meine körperliche Kraft hat zugenommen.</v>
      </c>
      <c r="AF32" s="365" t="str">
        <f>IFERROR(__xludf.DUMMYFUNCTION("GOOGLETRANSLATE(D32,""zh-tw"",""DE"")"),"Fragmente des Himmelssteins")</f>
        <v>Fragmente des Himmelssteins</v>
      </c>
      <c r="AG32" s="154" t="s">
        <v>8018</v>
      </c>
      <c r="AH32" s="41" t="s">
        <v>8019</v>
      </c>
      <c r="AI32" s="308" t="s">
        <v>8020</v>
      </c>
      <c r="AJ32" s="366" t="s">
        <v>6664</v>
      </c>
      <c r="AK32" s="154" t="s">
        <v>8021</v>
      </c>
      <c r="AL32" s="41" t="s">
        <v>8022</v>
      </c>
      <c r="AM32" s="308" t="s">
        <v>8023</v>
      </c>
      <c r="AN32" s="366" t="s">
        <v>8024</v>
      </c>
      <c r="AO32" s="364"/>
      <c r="AP32" s="364"/>
    </row>
    <row r="33">
      <c r="A33" s="173" t="s">
        <v>8025</v>
      </c>
      <c r="B33" s="305" t="s">
        <v>8026</v>
      </c>
      <c r="C33" s="307" t="s">
        <v>8027</v>
      </c>
      <c r="D33" s="364" t="s">
        <v>8028</v>
      </c>
      <c r="E33" s="173" t="s">
        <v>8029</v>
      </c>
      <c r="F33" s="305" t="s">
        <v>8030</v>
      </c>
      <c r="G33" s="304" t="str">
        <f>IFERROR(__xludf.DUMMYFUNCTION("GOOGLETRANSLATE(C33,""zh-tw"",""ja"")"),"体力とスタミナが不足すると、武器の性能を最大限に発揮できなくなります。")</f>
        <v>体力とスタミナが不足すると、武器の性能を最大限に発揮できなくなります。</v>
      </c>
      <c r="H33" s="364" t="s">
        <v>8031</v>
      </c>
      <c r="I33" s="173" t="s">
        <v>8032</v>
      </c>
      <c r="J33" s="305" t="s">
        <v>8033</v>
      </c>
      <c r="K33" s="307" t="s">
        <v>8034</v>
      </c>
      <c r="L33" s="364" t="s">
        <v>8035</v>
      </c>
      <c r="M33" s="302" t="str">
        <f>IFERROR(__xludf.DUMMYFUNCTION("GOOGLETRANSLATE(A33,""zh-tw"",""zh"")"),"力不从心")</f>
        <v>力不从心</v>
      </c>
      <c r="N33" s="303" t="str">
        <f>IFERROR(__xludf.DUMMYFUNCTION("GOOGLETRANSLATE(B33,""zh-tw"",""zh"")"),"拿、拿不动了……")</f>
        <v>拿、拿不动了……</v>
      </c>
      <c r="O33" s="304" t="str">
        <f>IFERROR(__xludf.DUMMYFUNCTION("GOOGLETRANSLATE(C33,""zh-tw"",""zh"")"),"力量和体力不足，无法发挥武器性能！")</f>
        <v>力量和体力不足，无法发挥武器性能！</v>
      </c>
      <c r="P33" s="365" t="str">
        <f>IFERROR(__xludf.DUMMYFUNCTION("GOOGLETRANSLATE(D33,""zh-tw"",""zh"")"),"银辉剑为达成条件")</f>
        <v>银辉剑为达成条件</v>
      </c>
      <c r="Q33" s="149" t="str">
        <f>IFERROR(__xludf.DUMMYFUNCTION("GOOGLETRANSLATE(A33,""zh-tw"",""es-MX"")"),"Sentirse impotente")</f>
        <v>Sentirse impotente</v>
      </c>
      <c r="R33" s="164" t="str">
        <f>IFERROR(__xludf.DUMMYFUNCTION("GOOGLETRANSLATE(B33,""zh-tw"",""es-MX"")"),"Ya no puedo levantarlo más")</f>
        <v>Ya no puedo levantarlo más</v>
      </c>
      <c r="S33" s="306" t="str">
        <f>IFERROR(__xludf.DUMMYFUNCTION("GOOGLETRANSLATE(C33,""zh-tw"",""es-MX"")"),"¡La fuerza y ​​la resistencia insuficientes impiden que el arma desarrolle todo su potencial!")</f>
        <v>¡La fuerza y ​​la resistencia insuficientes impiden que el arma desarrolle todo su potencial!</v>
      </c>
      <c r="T33" s="174"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4" t="str">
        <f>IFERROR(__xludf.DUMMYFUNCTION("GOOGLETRANSLATE(B33,""zh-tw"",""KO"")"),"더 이상 들어올릴 수 없어요...")</f>
        <v>더 이상 들어올릴 수 없어요...</v>
      </c>
      <c r="W33" s="306" t="str">
        <f>IFERROR(__xludf.DUMMYFUNCTION("GOOGLETRANSLATE(C33,""zh-tw"",""KO"")"),"힘과 지구력이 부족하면 무기가 본래의 성능을 최대한 발휘하지 못합니다!")</f>
        <v>힘과 지구력이 부족하면 무기가 본래의 성능을 최대한 발휘하지 못합니다!</v>
      </c>
      <c r="X33" s="174" t="str">
        <f>IFERROR(__xludf.DUMMYFUNCTION("GOOGLETRANSLATE(D33,""zh-tw"",""KO"")"),"조건을 충족하려면 은검이 필요합니다.")</f>
        <v>조건을 충족하려면 은검이 필요합니다.</v>
      </c>
      <c r="Y33" s="302" t="str">
        <f>IFERROR(__xludf.DUMMYFUNCTION("GOOGLETRANSLATE(A33,""zh-tw"",""RU"")"),"Чувство бессилия")</f>
        <v>Чувство бессилия</v>
      </c>
      <c r="Z33" s="303" t="str">
        <f>IFERROR(__xludf.DUMMYFUNCTION("GOOGLETRANSLATE(B33,""zh-tw"",""RU"")"),"Я больше не могу его поднять...")</f>
        <v>Я больше не могу его поднять...</v>
      </c>
      <c r="AA33" s="30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65" t="str">
        <f>IFERROR(__xludf.DUMMYFUNCTION("GOOGLETRANSLATE(D33,""zh-tw"",""RU"")"),"Для выполнения условий необходим Серебряный Меч.")</f>
        <v>Для выполнения условий необходим Серебряный Меч.</v>
      </c>
      <c r="AC33" s="302" t="str">
        <f>IFERROR(__xludf.DUMMYFUNCTION("GOOGLETRANSLATE(A33,""zh-tw"",""DE"")"),"Ich fühle mich machtlos")</f>
        <v>Ich fühle mich machtlos</v>
      </c>
      <c r="AD33" s="303" t="str">
        <f>IFERROR(__xludf.DUMMYFUNCTION("GOOGLETRANSLATE(B33,""zh-tw"",""DE"")"),"Ich kann es nicht mehr heben...")</f>
        <v>Ich kann es nicht mehr heben...</v>
      </c>
      <c r="AE33" s="304" t="str">
        <f>IFERROR(__xludf.DUMMYFUNCTION("GOOGLETRANSLATE(C33,""zh-tw"",""DE"")"),"Unzureichende Kraft und Ausdauer verhindern, dass die Waffe ihr volles Potenzial entfaltet!")</f>
        <v>Unzureichende Kraft und Ausdauer verhindern, dass die Waffe ihr volles Potenzial entfaltet!</v>
      </c>
      <c r="AF33" s="365" t="str">
        <f>IFERROR(__xludf.DUMMYFUNCTION("GOOGLETRANSLATE(D33,""zh-tw"",""DE"")"),"Das Silberschwert wird benötigt, um die Bedingungen zu erfüllen.")</f>
        <v>Das Silberschwert wird benötigt, um die Bedingungen zu erfüllen.</v>
      </c>
      <c r="AG33" s="154" t="s">
        <v>8036</v>
      </c>
      <c r="AH33" s="41" t="s">
        <v>8037</v>
      </c>
      <c r="AI33" s="308" t="s">
        <v>8038</v>
      </c>
      <c r="AJ33" s="366" t="s">
        <v>8039</v>
      </c>
      <c r="AK33" s="154" t="s">
        <v>8040</v>
      </c>
      <c r="AL33" s="41" t="s">
        <v>8041</v>
      </c>
      <c r="AM33" s="308" t="s">
        <v>8042</v>
      </c>
      <c r="AN33" s="366" t="s">
        <v>8043</v>
      </c>
      <c r="AO33" s="364"/>
      <c r="AP33" s="364"/>
    </row>
    <row r="34">
      <c r="A34" s="173" t="s">
        <v>8044</v>
      </c>
      <c r="B34" s="305" t="s">
        <v>8045</v>
      </c>
      <c r="C34" s="307" t="s">
        <v>8046</v>
      </c>
      <c r="D34" s="364" t="s">
        <v>5904</v>
      </c>
      <c r="E34" s="173" t="s">
        <v>8047</v>
      </c>
      <c r="F34" s="303" t="str">
        <f>IFERROR(__xludf.DUMMYFUNCTION("GOOGLETRANSLATE(B34,""zh-tw"",""ja"")"),"祝福を享受できますように")</f>
        <v>祝福を享受できますように</v>
      </c>
      <c r="G34" s="307" t="s">
        <v>8048</v>
      </c>
      <c r="H34" s="364" t="s">
        <v>5906</v>
      </c>
      <c r="I34" s="173" t="s">
        <v>8049</v>
      </c>
      <c r="J34" s="305" t="s">
        <v>8050</v>
      </c>
      <c r="K34" s="307" t="s">
        <v>8051</v>
      </c>
      <c r="L34" s="364" t="s">
        <v>5907</v>
      </c>
      <c r="M34" s="302" t="str">
        <f>IFERROR(__xludf.DUMMYFUNCTION("GOOGLETRANSLATE(A34,""zh-tw"",""zh"")"),"丰收的祝福")</f>
        <v>丰收的祝福</v>
      </c>
      <c r="N34" s="303" t="str">
        <f>IFERROR(__xludf.DUMMYFUNCTION("GOOGLETRANSLATE(B34,""zh-tw"",""zh"")"),"与汝享赐福")</f>
        <v>与汝享赐福</v>
      </c>
      <c r="O34" s="304" t="str">
        <f>IFERROR(__xludf.DUMMYFUNCTION("GOOGLETRANSLATE(C34,""zh-tw"",""zh"")"),"获得了圣杯的祝福，获取金钱翻倍")</f>
        <v>获得了圣杯的祝福，获取金钱翻倍</v>
      </c>
      <c r="P34" s="365" t="str">
        <f>IFERROR(__xludf.DUMMYFUNCTION("GOOGLETRANSLATE(D34,""zh-tw"",""zh"")"),"未满的黄金圣杯")</f>
        <v>未满的黄金圣杯</v>
      </c>
      <c r="Q34" s="149" t="str">
        <f>IFERROR(__xludf.DUMMYFUNCTION("GOOGLETRANSLATE(A34,""zh-tw"",""es-MX"")"),"Bendiciones de una cosecha abundante")</f>
        <v>Bendiciones de una cosecha abundante</v>
      </c>
      <c r="R34" s="164" t="str">
        <f>IFERROR(__xludf.DUMMYFUNCTION("GOOGLETRANSLATE(B34,""zh-tw"",""es-MX"")"),"Que disfrutes de bendiciones")</f>
        <v>Que disfrutes de bendiciones</v>
      </c>
      <c r="S34" s="306" t="str">
        <f>IFERROR(__xludf.DUMMYFUNCTION("GOOGLETRANSLATE(C34,""zh-tw"",""es-MX"")"),"Al recibir la bendición del Santo Grial, su dinero se duplicará.")</f>
        <v>Al recibir la bendición del Santo Grial, su dinero se duplicará.</v>
      </c>
      <c r="T34" s="174" t="str">
        <f>IFERROR(__xludf.DUMMYFUNCTION("GOOGLETRANSLATE(D34,""zh-tw"",""es-MX"")"),"El Santo Grial incompleto")</f>
        <v>El Santo Grial incompleto</v>
      </c>
      <c r="U34" s="149" t="str">
        <f>IFERROR(__xludf.DUMMYFUNCTION("GOOGLETRANSLATE(A34,""zh-tw"",""KO"")"),"풍성한 수확의 축복")</f>
        <v>풍성한 수확의 축복</v>
      </c>
      <c r="V34" s="164" t="str">
        <f>IFERROR(__xludf.DUMMYFUNCTION("GOOGLETRANSLATE(B34,""zh-tw"",""KO"")"),"축복을 누리시길 바랍니다")</f>
        <v>축복을 누리시길 바랍니다</v>
      </c>
      <c r="W34" s="306" t="str">
        <f>IFERROR(__xludf.DUMMYFUNCTION("GOOGLETRANSLATE(C34,""zh-tw"",""KO"")"),"성배의 축복을 받으면 당신의 돈은 두 배가 될 것입니다.")</f>
        <v>성배의 축복을 받으면 당신의 돈은 두 배가 될 것입니다.</v>
      </c>
      <c r="X34" s="174" t="str">
        <f>IFERROR(__xludf.DUMMYFUNCTION("GOOGLETRANSLATE(D34,""zh-tw"",""KO"")"),"불완전한 성배")</f>
        <v>불완전한 성배</v>
      </c>
      <c r="Y34" s="302" t="str">
        <f>IFERROR(__xludf.DUMMYFUNCTION("GOOGLETRANSLATE(A34,""zh-tw"",""RU"")"),"Благословения обильного урожая")</f>
        <v>Благословения обильного урожая</v>
      </c>
      <c r="Z34" s="303" t="str">
        <f>IFERROR(__xludf.DUMMYFUNCTION("GOOGLETRANSLATE(B34,""zh-tw"",""RU"")"),"Да будут благословенны ваши сердца.")</f>
        <v>Да будут благословенны ваши сердца.</v>
      </c>
      <c r="AA34" s="30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65" t="str">
        <f>IFERROR(__xludf.DUMMYFUNCTION("GOOGLETRANSLATE(D34,""zh-tw"",""RU"")"),"Незавершённый Святой Грааль")</f>
        <v>Незавершённый Святой Грааль</v>
      </c>
      <c r="AC34" s="302" t="str">
        <f>IFERROR(__xludf.DUMMYFUNCTION("GOOGLETRANSLATE(A34,""zh-tw"",""DE"")"),"Segen einer reichen Ernte")</f>
        <v>Segen einer reichen Ernte</v>
      </c>
      <c r="AD34" s="303" t="str">
        <f>IFERROR(__xludf.DUMMYFUNCTION("GOOGLETRANSLATE(B34,""zh-tw"",""DE"")"),"Mögest du gesegnet sein.")</f>
        <v>Mögest du gesegnet sein.</v>
      </c>
      <c r="AE34" s="304" t="str">
        <f>IFERROR(__xludf.DUMMYFUNCTION("GOOGLETRANSLATE(C34,""zh-tw"",""DE"")"),"Nachdem Sie den Segen des Heiligen Grals erhalten haben, wird sich Ihr Geld verdoppeln.")</f>
        <v>Nachdem Sie den Segen des Heiligen Grals erhalten haben, wird sich Ihr Geld verdoppeln.</v>
      </c>
      <c r="AF34" s="365" t="str">
        <f>IFERROR(__xludf.DUMMYFUNCTION("GOOGLETRANSLATE(D34,""zh-tw"",""DE"")"),"Der unvollständige Heilige Gral")</f>
        <v>Der unvollständige Heilige Gral</v>
      </c>
      <c r="AG34" s="154" t="s">
        <v>8052</v>
      </c>
      <c r="AH34" s="41" t="s">
        <v>8053</v>
      </c>
      <c r="AI34" s="308" t="s">
        <v>8054</v>
      </c>
      <c r="AJ34" s="366" t="s">
        <v>8055</v>
      </c>
      <c r="AK34" s="154" t="s">
        <v>8056</v>
      </c>
      <c r="AL34" s="41" t="s">
        <v>8057</v>
      </c>
      <c r="AM34" s="308" t="s">
        <v>8058</v>
      </c>
      <c r="AN34" s="367" t="s">
        <v>8059</v>
      </c>
      <c r="AO34" s="364"/>
      <c r="AP34" s="364"/>
    </row>
    <row r="35">
      <c r="A35" s="173" t="s">
        <v>8060</v>
      </c>
      <c r="B35" s="305" t="s">
        <v>792</v>
      </c>
      <c r="C35" s="307" t="s">
        <v>792</v>
      </c>
      <c r="D35" s="364" t="s">
        <v>8061</v>
      </c>
      <c r="E35" s="302" t="str">
        <f>IFERROR(__xludf.DUMMYFUNCTION("GOOGLETRANSLATE(A35,""zh-tw"",""ja"")"),"氷床")</f>
        <v>氷床</v>
      </c>
      <c r="F35" s="303" t="str">
        <f>IFERROR(__xludf.DUMMYFUNCTION("GOOGLETRANSLATE(B35,""zh-tw"",""ja"")"),"-")</f>
        <v>-</v>
      </c>
      <c r="G35" s="304" t="str">
        <f>IFERROR(__xludf.DUMMYFUNCTION("GOOGLETRANSLATE(C35,""zh-tw"",""ja"")"),"-")</f>
        <v>-</v>
      </c>
      <c r="H35" s="365" t="str">
        <f>IFERROR(__xludf.DUMMYFUNCTION("GOOGLETRANSLATE(D35,""zh-tw"",""ja"")"),"例えば、古いバージョンのアイススタッフ")</f>
        <v>例えば、古いバージョンのアイススタッフ</v>
      </c>
      <c r="I35" s="173" t="s">
        <v>8062</v>
      </c>
      <c r="J35" s="303" t="str">
        <f>IFERROR(__xludf.DUMMYFUNCTION("GOOGLETRANSLATE(B35,""zh-tw"",""en"")"),"-")</f>
        <v>-</v>
      </c>
      <c r="K35" s="304" t="str">
        <f>IFERROR(__xludf.DUMMYFUNCTION("GOOGLETRANSLATE(C35,""zh-tw"",""en"")"),"-")</f>
        <v>-</v>
      </c>
      <c r="L35" s="364" t="s">
        <v>8063</v>
      </c>
      <c r="M35" s="302" t="str">
        <f>IFERROR(__xludf.DUMMYFUNCTION("GOOGLETRANSLATE(A35,""zh-tw"",""zh"")"),"冰地板")</f>
        <v>冰地板</v>
      </c>
      <c r="N35" s="303" t="str">
        <f>IFERROR(__xludf.DUMMYFUNCTION("GOOGLETRANSLATE(B35,""zh-tw"",""zh"")"),"-")</f>
        <v>-</v>
      </c>
      <c r="O35" s="304" t="str">
        <f>IFERROR(__xludf.DUMMYFUNCTION("GOOGLETRANSLATE(C35,""zh-tw"",""zh"")"),"-")</f>
        <v>-</v>
      </c>
      <c r="P35" s="365" t="str">
        <f>IFERROR(__xludf.DUMMYFUNCTION("GOOGLETRANSLATE(D35,""zh-tw"",""zh"")"),"例如:旧版本的寒冰杖")</f>
        <v>例如:旧版本的寒冰杖</v>
      </c>
      <c r="Q35" s="149" t="str">
        <f>IFERROR(__xludf.DUMMYFUNCTION("GOOGLETRANSLATE(A35,""zh-tw"",""es-MX"")"),"suelo de hielo")</f>
        <v>suelo de hielo</v>
      </c>
      <c r="R35" s="164" t="str">
        <f>IFERROR(__xludf.DUMMYFUNCTION("GOOGLETRANSLATE(B35,""zh-tw"",""es-MX"")"),"-")</f>
        <v>-</v>
      </c>
      <c r="S35" s="306" t="str">
        <f>IFERROR(__xludf.DUMMYFUNCTION("GOOGLETRANSLATE(C35,""zh-tw"",""es-MX"")"),"-")</f>
        <v>-</v>
      </c>
      <c r="T35" s="174" t="str">
        <f>IFERROR(__xludf.DUMMYFUNCTION("GOOGLETRANSLATE(D35,""zh-tw"",""es-MX"")"),"Por ejemplo, la versión antigua de Ice Staff")</f>
        <v>Por ejemplo, la versión antigua de Ice Staff</v>
      </c>
      <c r="U35" s="149" t="str">
        <f>IFERROR(__xludf.DUMMYFUNCTION("GOOGLETRANSLATE(A35,""zh-tw"",""KO"")"),"얼음 바닥")</f>
        <v>얼음 바닥</v>
      </c>
      <c r="V35" s="164" t="str">
        <f>IFERROR(__xludf.DUMMYFUNCTION("GOOGLETRANSLATE(B35,""zh-tw"",""KO"")"),"-")</f>
        <v>-</v>
      </c>
      <c r="W35" s="306" t="str">
        <f>IFERROR(__xludf.DUMMYFUNCTION("GOOGLETRANSLATE(C35,""zh-tw"",""KO"")"),"-")</f>
        <v>-</v>
      </c>
      <c r="X35" s="174" t="str">
        <f>IFERROR(__xludf.DUMMYFUNCTION("GOOGLETRANSLATE(D35,""zh-tw"",""KO"")"),"예를 들어, Ice Staff의 이전 버전")</f>
        <v>예를 들어, Ice Staff의 이전 버전</v>
      </c>
      <c r="Y35" s="302" t="str">
        <f>IFERROR(__xludf.DUMMYFUNCTION("GOOGLETRANSLATE(A35,""zh-tw"",""RU"")"),"Ледяной пол")</f>
        <v>Ледяной пол</v>
      </c>
      <c r="Z35" s="303" t="str">
        <f>IFERROR(__xludf.DUMMYFUNCTION("GOOGLETRANSLATE(B35,""zh-tw"",""RU"")"),"-")</f>
        <v>-</v>
      </c>
      <c r="AA35" s="304" t="str">
        <f>IFERROR(__xludf.DUMMYFUNCTION("GOOGLETRANSLATE(C35,""zh-tw"",""RU"")"),"-")</f>
        <v>-</v>
      </c>
      <c r="AB35" s="365" t="str">
        <f>IFERROR(__xludf.DUMMYFUNCTION("GOOGLETRANSLATE(D35,""zh-tw"",""RU"")"),"Например, старая версия Ice Staff")</f>
        <v>Например, старая версия Ice Staff</v>
      </c>
      <c r="AC35" s="302" t="str">
        <f>IFERROR(__xludf.DUMMYFUNCTION("GOOGLETRANSLATE(A35,""zh-tw"",""DE"")"),"Eisboden")</f>
        <v>Eisboden</v>
      </c>
      <c r="AD35" s="303" t="str">
        <f>IFERROR(__xludf.DUMMYFUNCTION("GOOGLETRANSLATE(B35,""zh-tw"",""DE"")"),"-")</f>
        <v>-</v>
      </c>
      <c r="AE35" s="304" t="str">
        <f>IFERROR(__xludf.DUMMYFUNCTION("GOOGLETRANSLATE(C35,""zh-tw"",""DE"")"),"-")</f>
        <v>-</v>
      </c>
      <c r="AF35" s="365" t="str">
        <f>IFERROR(__xludf.DUMMYFUNCTION("GOOGLETRANSLATE(D35,""zh-tw"",""DE"")"),"Zum Beispiel die alte Version von Ice Staff")</f>
        <v>Zum Beispiel die alte Version von Ice Staff</v>
      </c>
      <c r="AG35" s="154" t="s">
        <v>8064</v>
      </c>
      <c r="AH35" s="41" t="s">
        <v>792</v>
      </c>
      <c r="AI35" s="308" t="s">
        <v>792</v>
      </c>
      <c r="AJ35" s="366" t="s">
        <v>8065</v>
      </c>
      <c r="AK35" s="154" t="s">
        <v>8066</v>
      </c>
      <c r="AL35" s="41" t="s">
        <v>792</v>
      </c>
      <c r="AM35" s="308" t="s">
        <v>792</v>
      </c>
      <c r="AN35" s="366" t="s">
        <v>8067</v>
      </c>
      <c r="AO35" s="364"/>
      <c r="AP35" s="364"/>
    </row>
    <row r="36">
      <c r="A36" s="173" t="s">
        <v>8068</v>
      </c>
      <c r="B36" s="305" t="s">
        <v>8069</v>
      </c>
      <c r="C36" s="307" t="s">
        <v>8070</v>
      </c>
      <c r="D36" s="364" t="s">
        <v>5385</v>
      </c>
      <c r="E36" s="173" t="s">
        <v>5387</v>
      </c>
      <c r="F36" s="305" t="s">
        <v>8071</v>
      </c>
      <c r="G36" s="304" t="str">
        <f>IFERROR(__xludf.DUMMYFUNCTION("GOOGLETRANSLATE(C36,""zh-tw"",""ja"")"),"全属性が上昇し、一時的に無敵になる。")</f>
        <v>全属性が上昇し、一時的に無敵になる。</v>
      </c>
      <c r="H36" s="364" t="s">
        <v>5387</v>
      </c>
      <c r="I36" s="173" t="s">
        <v>5389</v>
      </c>
      <c r="J36" s="305" t="s">
        <v>8072</v>
      </c>
      <c r="K36" s="307" t="s">
        <v>8073</v>
      </c>
      <c r="L36" s="364" t="s">
        <v>5389</v>
      </c>
      <c r="M36" s="302" t="str">
        <f>IFERROR(__xludf.DUMMYFUNCTION("GOOGLETRANSLATE(A36,""zh-tw"",""zh"")"),"上古荣光")</f>
        <v>上古荣光</v>
      </c>
      <c r="N36" s="303" t="str">
        <f>IFERROR(__xludf.DUMMYFUNCTION("GOOGLETRANSLATE(B36,""zh-tw"",""zh"")"),"你散发着荣光")</f>
        <v>你散发着荣光</v>
      </c>
      <c r="O36" s="304" t="str">
        <f>IFERROR(__xludf.DUMMYFUNCTION("GOOGLETRANSLATE(C36,""zh-tw"",""zh"")"),"全属性上升，暂时无敌")</f>
        <v>全属性上升，暂时无敌</v>
      </c>
      <c r="P36" s="365" t="str">
        <f>IFERROR(__xludf.DUMMYFUNCTION("GOOGLETRANSLATE(D36,""zh-tw"",""zh"")"),"荒古荣光")</f>
        <v>荒古荣光</v>
      </c>
      <c r="Q36" s="149" t="str">
        <f>IFERROR(__xludf.DUMMYFUNCTION("GOOGLETRANSLATE(A36,""zh-tw"",""es-MX"")"),"Gloria antigua")</f>
        <v>Gloria antigua</v>
      </c>
      <c r="R36" s="164" t="str">
        <f>IFERROR(__xludf.DUMMYFUNCTION("GOOGLETRANSLATE(B36,""zh-tw"",""es-MX"")"),"Irradias gloria")</f>
        <v>Irradias gloria</v>
      </c>
      <c r="S36" s="306" t="str">
        <f>IFERROR(__xludf.DUMMYFUNCTION("GOOGLETRANSLATE(C36,""zh-tw"",""es-MX"")"),"Todos los atributos aumentaron, temporalmente invencible.")</f>
        <v>Todos los atributos aumentaron, temporalmente invencible.</v>
      </c>
      <c r="T36" s="174" t="str">
        <f>IFERROR(__xludf.DUMMYFUNCTION("GOOGLETRANSLATE(D36,""zh-tw"",""es-MX"")"),"Gloria antigua")</f>
        <v>Gloria antigua</v>
      </c>
      <c r="U36" s="149" t="str">
        <f>IFERROR(__xludf.DUMMYFUNCTION("GOOGLETRANSLATE(A36,""zh-tw"",""KO"")"),"고대의 영광")</f>
        <v>고대의 영광</v>
      </c>
      <c r="V36" s="164" t="str">
        <f>IFERROR(__xludf.DUMMYFUNCTION("GOOGLETRANSLATE(B36,""zh-tw"",""KO"")"),"당신은 영광을 발산합니다")</f>
        <v>당신은 영광을 발산합니다</v>
      </c>
      <c r="W36" s="306" t="str">
        <f>IFERROR(__xludf.DUMMYFUNCTION("GOOGLETRANSLATE(C36,""zh-tw"",""KO"")"),"모든 속성이 증가하고, 일시적으로 무적이 됩니다.")</f>
        <v>모든 속성이 증가하고, 일시적으로 무적이 됩니다.</v>
      </c>
      <c r="X36" s="174" t="str">
        <f>IFERROR(__xludf.DUMMYFUNCTION("GOOGLETRANSLATE(D36,""zh-tw"",""KO"")"),"고대의 영광")</f>
        <v>고대의 영광</v>
      </c>
      <c r="Y36" s="302" t="str">
        <f>IFERROR(__xludf.DUMMYFUNCTION("GOOGLETRANSLATE(A36,""zh-tw"",""RU"")"),"Древняя слава")</f>
        <v>Древняя слава</v>
      </c>
      <c r="Z36" s="303" t="str">
        <f>IFERROR(__xludf.DUMMYFUNCTION("GOOGLETRANSLATE(B36,""zh-tw"",""RU"")"),"Ты излучаешь славу")</f>
        <v>Ты излучаешь славу</v>
      </c>
      <c r="AA36" s="304" t="str">
        <f>IFERROR(__xludf.DUMMYFUNCTION("GOOGLETRANSLATE(C36,""zh-tw"",""RU"")"),"Все характеристики увеличены, временно неуязвим.")</f>
        <v>Все характеристики увеличены, временно неуязвим.</v>
      </c>
      <c r="AB36" s="365" t="str">
        <f>IFERROR(__xludf.DUMMYFUNCTION("GOOGLETRANSLATE(D36,""zh-tw"",""RU"")"),"Древняя слава")</f>
        <v>Древняя слава</v>
      </c>
      <c r="AC36" s="149" t="str">
        <f>IFERROR(__xludf.DUMMYFUNCTION("GOOGLETRANSLATE(A36,""zh-tw"",""DE"")"),"Antiker Ruhm")</f>
        <v>Antiker Ruhm</v>
      </c>
      <c r="AD36" s="303" t="str">
        <f>IFERROR(__xludf.DUMMYFUNCTION("GOOGLETRANSLATE(B36,""zh-tw"",""DE"")"),"Du strahlst Glanz aus")</f>
        <v>Du strahlst Glanz aus</v>
      </c>
      <c r="AE36" s="304" t="str">
        <f>IFERROR(__xludf.DUMMYFUNCTION("GOOGLETRANSLATE(C36,""zh-tw"",""DE"")"),"Alle Attribute erhöht, vorübergehend unbesiegbar.")</f>
        <v>Alle Attribute erhöht, vorübergehend unbesiegbar.</v>
      </c>
      <c r="AF36" s="365" t="str">
        <f>IFERROR(__xludf.DUMMYFUNCTION("GOOGLETRANSLATE(D36,""zh-tw"",""DE"")"),"Antiker Ruhm")</f>
        <v>Antiker Ruhm</v>
      </c>
      <c r="AG36" s="154" t="s">
        <v>8074</v>
      </c>
      <c r="AH36" s="41" t="s">
        <v>8075</v>
      </c>
      <c r="AI36" s="308" t="s">
        <v>8076</v>
      </c>
      <c r="AJ36" s="366" t="s">
        <v>8074</v>
      </c>
      <c r="AK36" s="154" t="s">
        <v>5395</v>
      </c>
      <c r="AL36" s="41" t="s">
        <v>8077</v>
      </c>
      <c r="AM36" s="308" t="s">
        <v>8078</v>
      </c>
      <c r="AN36" s="366" t="s">
        <v>5395</v>
      </c>
      <c r="AO36" s="364"/>
      <c r="AP36" s="364"/>
    </row>
    <row r="37">
      <c r="A37" s="173" t="s">
        <v>3095</v>
      </c>
      <c r="B37" s="305" t="s">
        <v>8079</v>
      </c>
      <c r="C37" s="307" t="s">
        <v>8080</v>
      </c>
      <c r="D37" s="364" t="s">
        <v>8081</v>
      </c>
      <c r="E37" s="173" t="s">
        <v>3098</v>
      </c>
      <c r="F37" s="305" t="s">
        <v>8082</v>
      </c>
      <c r="G37" s="304" t="str">
        <f>IFERROR(__xludf.DUMMYFUNCTION("GOOGLETRANSLATE(C37,""zh-tw"",""ja"")"),"スタミナを回復できない")</f>
        <v>スタミナを回復できない</v>
      </c>
      <c r="H37" s="364" t="s">
        <v>4941</v>
      </c>
      <c r="I37" s="173" t="s">
        <v>4943</v>
      </c>
      <c r="J37" s="305" t="s">
        <v>8083</v>
      </c>
      <c r="K37" s="307" t="s">
        <v>8084</v>
      </c>
      <c r="L37" s="364" t="s">
        <v>4943</v>
      </c>
      <c r="M37" s="302" t="str">
        <f>IFERROR(__xludf.DUMMYFUNCTION("GOOGLETRANSLATE(A37,""zh-tw"",""zh"")"),"稻草人")</f>
        <v>稻草人</v>
      </c>
      <c r="N37" s="303" t="str">
        <f>IFERROR(__xludf.DUMMYFUNCTION("GOOGLETRANSLATE(B37,""zh-tw"",""zh"")"),"不死的稻草人之心")</f>
        <v>不死的稻草人之心</v>
      </c>
      <c r="O37" s="304" t="str">
        <f>IFERROR(__xludf.DUMMYFUNCTION("GOOGLETRANSLATE(C37,""zh-tw"",""zh"")"),"无法回复体力")</f>
        <v>无法回复体力</v>
      </c>
      <c r="P37" s="365" t="str">
        <f>IFERROR(__xludf.DUMMYFUNCTION("GOOGLETRANSLATE(D37,""zh-tw"",""zh"")"),"稻草人之心")</f>
        <v>稻草人之心</v>
      </c>
      <c r="Q37" s="149" t="str">
        <f>IFERROR(__xludf.DUMMYFUNCTION("GOOGLETRANSLATE(A37,""zh-tw"",""es-MX"")"),"espantapájaros")</f>
        <v>espantapájaros</v>
      </c>
      <c r="R37" s="164" t="str">
        <f>IFERROR(__xludf.DUMMYFUNCTION("GOOGLETRANSLATE(B37,""zh-tw"",""es-MX"")"),"El corazón del espantapájaros inmortal")</f>
        <v>El corazón del espantapájaros inmortal</v>
      </c>
      <c r="S37" s="306" t="str">
        <f>IFERROR(__xludf.DUMMYFUNCTION("GOOGLETRANSLATE(C37,""zh-tw"",""es-MX"")"),"No se puede restaurar la resistencia")</f>
        <v>No se puede restaurar la resistencia</v>
      </c>
      <c r="T37" s="174" t="str">
        <f>IFERROR(__xludf.DUMMYFUNCTION("GOOGLETRANSLATE(D37,""zh-tw"",""es-MX"")"),"Corazón de espantapájaros")</f>
        <v>Corazón de espantapájaros</v>
      </c>
      <c r="U37" s="149" t="str">
        <f>IFERROR(__xludf.DUMMYFUNCTION("GOOGLETRANSLATE(A37,""zh-tw"",""KO"")"),"허수아비")</f>
        <v>허수아비</v>
      </c>
      <c r="V37" s="164" t="str">
        <f>IFERROR(__xludf.DUMMYFUNCTION("GOOGLETRANSLATE(B37,""zh-tw"",""KO"")"),"죽지 않는 허수아비의 심장")</f>
        <v>죽지 않는 허수아비의 심장</v>
      </c>
      <c r="W37" s="306" t="str">
        <f>IFERROR(__xludf.DUMMYFUNCTION("GOOGLETRANSLATE(C37,""zh-tw"",""KO"")"),"체력 회복이 불가능합니다")</f>
        <v>체력 회복이 불가능합니다</v>
      </c>
      <c r="X37" s="174" t="str">
        <f>IFERROR(__xludf.DUMMYFUNCTION("GOOGLETRANSLATE(D37,""zh-tw"",""KO"")"),"허수아비의 심장")</f>
        <v>허수아비의 심장</v>
      </c>
      <c r="Y37" s="302" t="str">
        <f>IFERROR(__xludf.DUMMYFUNCTION("GOOGLETRANSLATE(A37,""zh-tw"",""RU"")"),"пугало")</f>
        <v>пугало</v>
      </c>
      <c r="Z37" s="303" t="str">
        <f>IFERROR(__xludf.DUMMYFUNCTION("GOOGLETRANSLATE(B37,""zh-tw"",""RU"")"),"Сердце бессмертного пугала")</f>
        <v>Сердце бессмертного пугала</v>
      </c>
      <c r="AA37" s="304" t="str">
        <f>IFERROR(__xludf.DUMMYFUNCTION("GOOGLETRANSLATE(C37,""zh-tw"",""RU"")"),"Невозможно восстановить выносливость")</f>
        <v>Невозможно восстановить выносливость</v>
      </c>
      <c r="AB37" s="365" t="str">
        <f>IFERROR(__xludf.DUMMYFUNCTION("GOOGLETRANSLATE(D37,""zh-tw"",""RU"")"),"Сердце Пугала")</f>
        <v>Сердце Пугала</v>
      </c>
      <c r="AC37" s="302" t="str">
        <f>IFERROR(__xludf.DUMMYFUNCTION("GOOGLETRANSLATE(A37,""zh-tw"",""DE"")"),"Vogelscheuche")</f>
        <v>Vogelscheuche</v>
      </c>
      <c r="AD37" s="303" t="str">
        <f>IFERROR(__xludf.DUMMYFUNCTION("GOOGLETRANSLATE(B37,""zh-tw"",""DE"")"),"Das unsterbliche Herz der Vogelscheuche")</f>
        <v>Das unsterbliche Herz der Vogelscheuche</v>
      </c>
      <c r="AE37" s="304" t="str">
        <f>IFERROR(__xludf.DUMMYFUNCTION("GOOGLETRANSLATE(C37,""zh-tw"",""DE"")"),"Ausdauer kann nicht wiederhergestellt werden")</f>
        <v>Ausdauer kann nicht wiederhergestellt werden</v>
      </c>
      <c r="AF37" s="365" t="str">
        <f>IFERROR(__xludf.DUMMYFUNCTION("GOOGLETRANSLATE(D37,""zh-tw"",""DE"")"),"Vogelscheuchenherz")</f>
        <v>Vogelscheuchenherz</v>
      </c>
      <c r="AG37" s="154" t="s">
        <v>4949</v>
      </c>
      <c r="AH37" s="163" t="s">
        <v>8085</v>
      </c>
      <c r="AI37" s="308" t="s">
        <v>8086</v>
      </c>
      <c r="AJ37" s="366" t="s">
        <v>4949</v>
      </c>
      <c r="AK37" s="154" t="s">
        <v>4951</v>
      </c>
      <c r="AL37" s="41" t="s">
        <v>8087</v>
      </c>
      <c r="AM37" s="308" t="s">
        <v>8088</v>
      </c>
      <c r="AN37" s="366" t="s">
        <v>4951</v>
      </c>
      <c r="AO37" s="364"/>
      <c r="AP37" s="364"/>
    </row>
    <row r="38">
      <c r="A38" s="173" t="s">
        <v>8089</v>
      </c>
      <c r="B38" s="305" t="s">
        <v>792</v>
      </c>
      <c r="C38" s="307" t="s">
        <v>8090</v>
      </c>
      <c r="D38" s="364" t="s">
        <v>8091</v>
      </c>
      <c r="E38" s="302" t="str">
        <f>IFERROR(__xludf.DUMMYFUNCTION("GOOGLETRANSLATE(A38,""zh-tw"",""ja"")"),"水泳")</f>
        <v>水泳</v>
      </c>
      <c r="F38" s="303" t="str">
        <f>IFERROR(__xludf.DUMMYFUNCTION("GOOGLETRANSLATE(B38,""zh-tw"",""ja"")"),"-")</f>
        <v>-</v>
      </c>
      <c r="G38" s="304" t="str">
        <f>IFERROR(__xludf.DUMMYFUNCTION("GOOGLETRANSLATE(C38,""zh-tw"",""ja"")"),"水に浮くと移動速度が低下し、攻撃もできなくなります。")</f>
        <v>水に浮くと移動速度が低下し、攻撃もできなくなります。</v>
      </c>
      <c r="H38" s="365" t="str">
        <f>IFERROR(__xludf.DUMMYFUNCTION("GOOGLETRANSLATE(D38,""zh-tw"",""ja"")"),"泳ぐ")</f>
        <v>泳ぐ</v>
      </c>
      <c r="I38" s="173" t="s">
        <v>8092</v>
      </c>
      <c r="J38" s="303" t="str">
        <f>IFERROR(__xludf.DUMMYFUNCTION("GOOGLETRANSLATE(B38,""zh-tw"",""en"")"),"-")</f>
        <v>-</v>
      </c>
      <c r="K38" s="307" t="s">
        <v>8093</v>
      </c>
      <c r="L38" s="364" t="s">
        <v>8094</v>
      </c>
      <c r="M38" s="302" t="str">
        <f>IFERROR(__xludf.DUMMYFUNCTION("GOOGLETRANSLATE(A38,""zh-tw"",""zh"")"),"游泳中")</f>
        <v>游泳中</v>
      </c>
      <c r="N38" s="303" t="str">
        <f>IFERROR(__xludf.DUMMYFUNCTION("GOOGLETRANSLATE(B38,""zh-tw"",""zh"")"),"-")</f>
        <v>-</v>
      </c>
      <c r="O38" s="304" t="str">
        <f>IFERROR(__xludf.DUMMYFUNCTION("GOOGLETRANSLATE(C38,""zh-tw"",""zh"")"),"浮在水面上，移速下降，无法攻击")</f>
        <v>浮在水面上，移速下降，无法攻击</v>
      </c>
      <c r="P38" s="365" t="str">
        <f>IFERROR(__xludf.DUMMYFUNCTION("GOOGLETRANSLATE(D38,""zh-tw"",""zh"")"),"游泳")</f>
        <v>游泳</v>
      </c>
      <c r="Q38" s="149" t="str">
        <f>IFERROR(__xludf.DUMMYFUNCTION("GOOGLETRANSLATE(A38,""zh-tw"",""es-MX"")"),"Nadar")</f>
        <v>Nadar</v>
      </c>
      <c r="R38" s="164" t="str">
        <f>IFERROR(__xludf.DUMMYFUNCTION("GOOGLETRANSLATE(B38,""zh-tw"",""es-MX"")"),"-")</f>
        <v>-</v>
      </c>
      <c r="S38" s="306" t="str">
        <f>IFERROR(__xludf.DUMMYFUNCTION("GOOGLETRANSLATE(C38,""zh-tw"",""es-MX"")"),"Flotando en el agua, la velocidad de movimiento disminuye y los ataques se vuelven imposibles.")</f>
        <v>Flotando en el agua, la velocidad de movimiento disminuye y los ataques se vuelven imposibles.</v>
      </c>
      <c r="T38" s="174" t="str">
        <f>IFERROR(__xludf.DUMMYFUNCTION("GOOGLETRANSLATE(D38,""zh-tw"",""es-MX"")"),"nadar")</f>
        <v>nadar</v>
      </c>
      <c r="U38" s="149" t="str">
        <f>IFERROR(__xludf.DUMMYFUNCTION("GOOGLETRANSLATE(A38,""zh-tw"",""KO"")"),"수영")</f>
        <v>수영</v>
      </c>
      <c r="V38" s="164" t="str">
        <f>IFERROR(__xludf.DUMMYFUNCTION("GOOGLETRANSLATE(B38,""zh-tw"",""KO"")"),"-")</f>
        <v>-</v>
      </c>
      <c r="W38" s="306" t="str">
        <f>IFERROR(__xludf.DUMMYFUNCTION("GOOGLETRANSLATE(C38,""zh-tw"",""KO"")"),"물 위에 떠 있는 동안에는 이동 속도가 감소하고 공격이 불가능해집니다.")</f>
        <v>물 위에 떠 있는 동안에는 이동 속도가 감소하고 공격이 불가능해집니다.</v>
      </c>
      <c r="X38" s="174" t="str">
        <f>IFERROR(__xludf.DUMMYFUNCTION("GOOGLETRANSLATE(D38,""zh-tw"",""KO"")"),"헤엄")</f>
        <v>헤엄</v>
      </c>
      <c r="Y38" s="302" t="str">
        <f>IFERROR(__xludf.DUMMYFUNCTION("GOOGLETRANSLATE(A38,""zh-tw"",""RU"")"),"Плавание")</f>
        <v>Плавание</v>
      </c>
      <c r="Z38" s="303" t="str">
        <f>IFERROR(__xludf.DUMMYFUNCTION("GOOGLETRANSLATE(B38,""zh-tw"",""RU"")"),"-")</f>
        <v>-</v>
      </c>
      <c r="AA38" s="30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65" t="str">
        <f>IFERROR(__xludf.DUMMYFUNCTION("GOOGLETRANSLATE(D38,""zh-tw"",""RU"")"),"плавать")</f>
        <v>плавать</v>
      </c>
      <c r="AC38" s="302" t="str">
        <f>IFERROR(__xludf.DUMMYFUNCTION("GOOGLETRANSLATE(A38,""zh-tw"",""DE"")"),"Baden")</f>
        <v>Baden</v>
      </c>
      <c r="AD38" s="303" t="str">
        <f>IFERROR(__xludf.DUMMYFUNCTION("GOOGLETRANSLATE(B38,""zh-tw"",""DE"")"),"-")</f>
        <v>-</v>
      </c>
      <c r="AE38" s="304" t="str">
        <f>IFERROR(__xludf.DUMMYFUNCTION("GOOGLETRANSLATE(C38,""zh-tw"",""DE"")"),"Auf dem Wasser treibend, verringert sich die Bewegungsgeschwindigkeit und Angriffe werden unmöglich.")</f>
        <v>Auf dem Wasser treibend, verringert sich die Bewegungsgeschwindigkeit und Angriffe werden unmöglich.</v>
      </c>
      <c r="AF38" s="365" t="str">
        <f>IFERROR(__xludf.DUMMYFUNCTION("GOOGLETRANSLATE(D38,""zh-tw"",""DE"")"),"schwimmen")</f>
        <v>schwimmen</v>
      </c>
      <c r="AG38" s="154" t="s">
        <v>8095</v>
      </c>
      <c r="AH38" s="41" t="s">
        <v>792</v>
      </c>
      <c r="AI38" s="308" t="s">
        <v>8096</v>
      </c>
      <c r="AJ38" s="366" t="s">
        <v>8097</v>
      </c>
      <c r="AK38" s="154" t="s">
        <v>8098</v>
      </c>
      <c r="AL38" s="41" t="s">
        <v>792</v>
      </c>
      <c r="AM38" s="308" t="s">
        <v>8099</v>
      </c>
      <c r="AN38" s="366" t="s">
        <v>8100</v>
      </c>
      <c r="AO38" s="364"/>
      <c r="AP38" s="364"/>
    </row>
    <row r="39">
      <c r="A39" s="173" t="s">
        <v>8101</v>
      </c>
      <c r="B39" s="305" t="s">
        <v>8102</v>
      </c>
      <c r="C39" s="307" t="s">
        <v>8103</v>
      </c>
      <c r="D39" s="364" t="s">
        <v>5175</v>
      </c>
      <c r="E39" s="302" t="str">
        <f>IFERROR(__xludf.DUMMYFUNCTION("GOOGLETRANSLATE(A39,""zh-tw"",""ja"")"),"騎士道")</f>
        <v>騎士道</v>
      </c>
      <c r="F39" s="303" t="str">
        <f>IFERROR(__xludf.DUMMYFUNCTION("GOOGLETRANSLATE(B39,""zh-tw"",""ja"")"),"我々は守護者だ。")</f>
        <v>我々は守護者だ。</v>
      </c>
      <c r="G39" s="304" t="str">
        <f>IFERROR(__xludf.DUMMYFUNCTION("GOOGLETRANSLATE(C39,""zh-tw"",""ja"")"),"攻撃力が30増加")</f>
        <v>攻撃力が30増加</v>
      </c>
      <c r="H39" s="365" t="str">
        <f>IFERROR(__xludf.DUMMYFUNCTION("GOOGLETRANSLATE(D39,""zh-tw"",""ja"")"),"騎士の剣")</f>
        <v>騎士の剣</v>
      </c>
      <c r="I39" s="173" t="s">
        <v>8104</v>
      </c>
      <c r="J39" s="305" t="s">
        <v>8105</v>
      </c>
      <c r="K39" s="307" t="s">
        <v>8106</v>
      </c>
      <c r="L39" s="364" t="s">
        <v>4636</v>
      </c>
      <c r="M39" s="302" t="str">
        <f>IFERROR(__xludf.DUMMYFUNCTION("GOOGLETRANSLATE(A39,""zh-tw"",""zh"")"),"骑士精神")</f>
        <v>骑士精神</v>
      </c>
      <c r="N39" s="303" t="str">
        <f>IFERROR(__xludf.DUMMYFUNCTION("GOOGLETRANSLATE(B39,""zh-tw"",""zh"")"),"我等乃是守护者")</f>
        <v>我等乃是守护者</v>
      </c>
      <c r="O39" s="304" t="str">
        <f>IFERROR(__xludf.DUMMYFUNCTION("GOOGLETRANSLATE(C39,""zh-tw"",""zh"")"),"攻击力提升30")</f>
        <v>攻击力提升30</v>
      </c>
      <c r="P39" s="365" t="str">
        <f>IFERROR(__xludf.DUMMYFUNCTION("GOOGLETRANSLATE(D39,""zh-tw"",""zh"")"),"骑士之剑")</f>
        <v>骑士之剑</v>
      </c>
      <c r="Q39" s="149" t="str">
        <f>IFERROR(__xludf.DUMMYFUNCTION("GOOGLETRANSLATE(A39,""zh-tw"",""es-MX"")"),"Caballería")</f>
        <v>Caballería</v>
      </c>
      <c r="R39" s="164" t="str">
        <f>IFERROR(__xludf.DUMMYFUNCTION("GOOGLETRANSLATE(B39,""zh-tw"",""es-MX"")"),"Nosotros somos los guardianes.")</f>
        <v>Nosotros somos los guardianes.</v>
      </c>
      <c r="S39" s="306" t="str">
        <f>IFERROR(__xludf.DUMMYFUNCTION("GOOGLETRANSLATE(C39,""zh-tw"",""es-MX"")"),"El poder de ataque aumentó en 30")</f>
        <v>El poder de ataque aumentó en 30</v>
      </c>
      <c r="T39" s="174" t="str">
        <f>IFERROR(__xludf.DUMMYFUNCTION("GOOGLETRANSLATE(D39,""zh-tw"",""es-MX"")"),"Espada de caballero")</f>
        <v>Espada de caballero</v>
      </c>
      <c r="U39" s="149" t="str">
        <f>IFERROR(__xludf.DUMMYFUNCTION("GOOGLETRANSLATE(A39,""zh-tw"",""KO"")"),"기사도")</f>
        <v>기사도</v>
      </c>
      <c r="V39" s="164" t="str">
        <f>IFERROR(__xludf.DUMMYFUNCTION("GOOGLETRANSLATE(B39,""zh-tw"",""KO"")"),"우리는 수호자입니다.")</f>
        <v>우리는 수호자입니다.</v>
      </c>
      <c r="W39" s="306" t="str">
        <f>IFERROR(__xludf.DUMMYFUNCTION("GOOGLETRANSLATE(C39,""zh-tw"",""KO"")"),"공격력 30 증가")</f>
        <v>공격력 30 증가</v>
      </c>
      <c r="X39" s="174" t="str">
        <f>IFERROR(__xludf.DUMMYFUNCTION("GOOGLETRANSLATE(D39,""zh-tw"",""KO"")"),"기사의 검")</f>
        <v>기사의 검</v>
      </c>
      <c r="Y39" s="302" t="str">
        <f>IFERROR(__xludf.DUMMYFUNCTION("GOOGLETRANSLATE(A39,""zh-tw"",""RU"")"),"Рыцарство")</f>
        <v>Рыцарство</v>
      </c>
      <c r="Z39" s="303" t="str">
        <f>IFERROR(__xludf.DUMMYFUNCTION("GOOGLETRANSLATE(B39,""zh-tw"",""RU"")"),"Мы — хранители.")</f>
        <v>Мы — хранители.</v>
      </c>
      <c r="AA39" s="304" t="str">
        <f>IFERROR(__xludf.DUMMYFUNCTION("GOOGLETRANSLATE(C39,""zh-tw"",""RU"")"),"Сила атаки увеличена на 30")</f>
        <v>Сила атаки увеличена на 30</v>
      </c>
      <c r="AB39" s="365" t="str">
        <f>IFERROR(__xludf.DUMMYFUNCTION("GOOGLETRANSLATE(D39,""zh-tw"",""RU"")"),"Рыцарский меч")</f>
        <v>Рыцарский меч</v>
      </c>
      <c r="AC39" s="302" t="str">
        <f>IFERROR(__xludf.DUMMYFUNCTION("GOOGLETRANSLATE(A39,""zh-tw"",""DE"")"),"Ritterlichkeit")</f>
        <v>Ritterlichkeit</v>
      </c>
      <c r="AD39" s="303" t="str">
        <f>IFERROR(__xludf.DUMMYFUNCTION("GOOGLETRANSLATE(B39,""zh-tw"",""DE"")"),"Wir sind die Wächter.")</f>
        <v>Wir sind die Wächter.</v>
      </c>
      <c r="AE39" s="304" t="str">
        <f>IFERROR(__xludf.DUMMYFUNCTION("GOOGLETRANSLATE(C39,""zh-tw"",""DE"")"),"Angriffskraft um 30 erhöht")</f>
        <v>Angriffskraft um 30 erhöht</v>
      </c>
      <c r="AF39" s="365" t="str">
        <f>IFERROR(__xludf.DUMMYFUNCTION("GOOGLETRANSLATE(D39,""zh-tw"",""DE"")"),"Ritterschwert")</f>
        <v>Ritterschwert</v>
      </c>
      <c r="AG39" s="154" t="s">
        <v>8107</v>
      </c>
      <c r="AH39" s="41" t="s">
        <v>8108</v>
      </c>
      <c r="AI39" s="308" t="s">
        <v>8109</v>
      </c>
      <c r="AJ39" s="366" t="s">
        <v>4643</v>
      </c>
      <c r="AK39" s="154" t="s">
        <v>8110</v>
      </c>
      <c r="AL39" s="41" t="s">
        <v>8111</v>
      </c>
      <c r="AM39" s="308" t="s">
        <v>8112</v>
      </c>
      <c r="AN39" s="366" t="s">
        <v>4645</v>
      </c>
      <c r="AO39" s="364"/>
      <c r="AP39" s="364"/>
    </row>
    <row r="40">
      <c r="A40" s="173" t="s">
        <v>8113</v>
      </c>
      <c r="B40" s="305" t="s">
        <v>8114</v>
      </c>
      <c r="C40" s="307" t="s">
        <v>8115</v>
      </c>
      <c r="D40" s="364" t="s">
        <v>5633</v>
      </c>
      <c r="E40" s="173" t="s">
        <v>8116</v>
      </c>
      <c r="F40" s="305" t="s">
        <v>8117</v>
      </c>
      <c r="G40" s="304" t="str">
        <f>IFERROR(__xludf.DUMMYFUNCTION("GOOGLETRANSLATE(C40,""zh-tw"",""ja"")"),"スタミナは自動的に回復します。")</f>
        <v>スタミナは自動的に回復します。</v>
      </c>
      <c r="H40" s="364" t="s">
        <v>8118</v>
      </c>
      <c r="I40" s="173" t="s">
        <v>8119</v>
      </c>
      <c r="J40" s="305" t="s">
        <v>8120</v>
      </c>
      <c r="K40" s="307" t="s">
        <v>8121</v>
      </c>
      <c r="L40" s="364" t="s">
        <v>8122</v>
      </c>
      <c r="M40" s="302" t="str">
        <f>IFERROR(__xludf.DUMMYFUNCTION("GOOGLETRANSLATE(A40,""zh-tw"",""zh"")"),"妹妹的胖次")</f>
        <v>妹妹的胖次</v>
      </c>
      <c r="N40" s="303" t="str">
        <f>IFERROR(__xludf.DUMMYFUNCTION("GOOGLETRANSLATE(B40,""zh-tw"",""zh"")"),"就感觉妹妹在身边一样……")</f>
        <v>就感觉妹妹在身边一样……</v>
      </c>
      <c r="O40" s="304" t="str">
        <f>IFERROR(__xludf.DUMMYFUNCTION("GOOGLETRANSLATE(C40,""zh-tw"",""zh"")"),"体力自动恢复中")</f>
        <v>体力自动恢复中</v>
      </c>
      <c r="P40" s="365" t="str">
        <f>IFERROR(__xludf.DUMMYFUNCTION("GOOGLETRANSLATE(D40,""zh-tw"",""zh"")"),"妹妹脱下的内裤")</f>
        <v>妹妹脱下的内裤</v>
      </c>
      <c r="Q40" s="149" t="str">
        <f>IFERROR(__xludf.DUMMYFUNCTION("GOOGLETRANSLATE(A40,""zh-tw"",""es-MX"")"),"Las bragas de mi hermana")</f>
        <v>Las bragas de mi hermana</v>
      </c>
      <c r="R40" s="164" t="str">
        <f>IFERROR(__xludf.DUMMYFUNCTION("GOOGLETRANSLATE(B40,""zh-tw"",""es-MX"")"),"Siento como si mi hermana estuviera a mi lado...")</f>
        <v>Siento como si mi hermana estuviera a mi lado...</v>
      </c>
      <c r="S40" s="306" t="str">
        <f>IFERROR(__xludf.DUMMYFUNCTION("GOOGLETRANSLATE(C40,""zh-tw"",""es-MX"")"),"La resistencia se recupera automáticamente.")</f>
        <v>La resistencia se recupera automáticamente.</v>
      </c>
      <c r="T40" s="174" t="str">
        <f>IFERROR(__xludf.DUMMYFUNCTION("GOOGLETRANSLATE(D40,""zh-tw"",""es-MX"")"),"La ropa interior de mi hermana")</f>
        <v>La ropa interior de mi hermana</v>
      </c>
      <c r="U40" s="149"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06" t="str">
        <f>IFERROR(__xludf.DUMMYFUNCTION("GOOGLETRANSLATE(C40,""zh-tw"",""KO"")"),"체력은 자동으로 회복됩니다.")</f>
        <v>체력은 자동으로 회복됩니다.</v>
      </c>
      <c r="X40" s="174" t="str">
        <f>IFERROR(__xludf.DUMMYFUNCTION("GOOGLETRANSLATE(D40,""zh-tw"",""KO"")"),"내 여동생의 속옷")</f>
        <v>내 여동생의 속옷</v>
      </c>
      <c r="Y40" s="302" t="str">
        <f>IFERROR(__xludf.DUMMYFUNCTION("GOOGLETRANSLATE(A40,""zh-tw"",""RU"")"),"Трусики моей сестры")</f>
        <v>Трусики моей сестры</v>
      </c>
      <c r="Z40" s="303" t="str">
        <f>IFERROR(__xludf.DUMMYFUNCTION("GOOGLETRANSLATE(B40,""zh-tw"",""RU"")"),"Такое ощущение, будто моя сестра рядом со мной...")</f>
        <v>Такое ощущение, будто моя сестра рядом со мной...</v>
      </c>
      <c r="AA40" s="304" t="str">
        <f>IFERROR(__xludf.DUMMYFUNCTION("GOOGLETRANSLATE(C40,""zh-tw"",""RU"")"),"Выносливость восстанавливается автоматически.")</f>
        <v>Выносливость восстанавливается автоматически.</v>
      </c>
      <c r="AB40" s="365" t="str">
        <f>IFERROR(__xludf.DUMMYFUNCTION("GOOGLETRANSLATE(D40,""zh-tw"",""RU"")"),"Нижнее белье моей сестры")</f>
        <v>Нижнее белье моей сестры</v>
      </c>
      <c r="AC40" s="302" t="str">
        <f>IFERROR(__xludf.DUMMYFUNCTION("GOOGLETRANSLATE(A40,""zh-tw"",""DE"")"),"Die Höschen meiner Schwester")</f>
        <v>Die Höschen meiner Schwester</v>
      </c>
      <c r="AD40" s="303" t="str">
        <f>IFERROR(__xludf.DUMMYFUNCTION("GOOGLETRANSLATE(B40,""zh-tw"",""DE"")"),"Es fühlt sich an, als wäre meine Schwester direkt neben mir...")</f>
        <v>Es fühlt sich an, als wäre meine Schwester direkt neben mir...</v>
      </c>
      <c r="AE40" s="304" t="str">
        <f>IFERROR(__xludf.DUMMYFUNCTION("GOOGLETRANSLATE(C40,""zh-tw"",""DE"")"),"Die Ausdauer regeneriert sich automatisch.")</f>
        <v>Die Ausdauer regeneriert sich automatisch.</v>
      </c>
      <c r="AF40" s="365" t="str">
        <f>IFERROR(__xludf.DUMMYFUNCTION("GOOGLETRANSLATE(D40,""zh-tw"",""DE"")"),"Die Unterwäsche meiner Schwester")</f>
        <v>Die Unterwäsche meiner Schwester</v>
      </c>
      <c r="AG40" s="154" t="s">
        <v>8123</v>
      </c>
      <c r="AH40" s="41" t="s">
        <v>8124</v>
      </c>
      <c r="AI40" s="308" t="s">
        <v>8125</v>
      </c>
      <c r="AJ40" s="366" t="s">
        <v>8126</v>
      </c>
      <c r="AK40" s="154" t="s">
        <v>8127</v>
      </c>
      <c r="AL40" s="41" t="s">
        <v>8128</v>
      </c>
      <c r="AM40" s="308" t="s">
        <v>8129</v>
      </c>
      <c r="AN40" s="366" t="s">
        <v>8130</v>
      </c>
      <c r="AO40" s="364"/>
      <c r="AP40" s="364"/>
    </row>
    <row r="41">
      <c r="A41" s="173" t="s">
        <v>8131</v>
      </c>
      <c r="B41" s="305" t="s">
        <v>8132</v>
      </c>
      <c r="C41" s="307" t="s">
        <v>8133</v>
      </c>
      <c r="D41" s="364" t="s">
        <v>8134</v>
      </c>
      <c r="E41" s="173" t="s">
        <v>8135</v>
      </c>
      <c r="F41" s="305" t="s">
        <v>8136</v>
      </c>
      <c r="G41" s="307" t="s">
        <v>8137</v>
      </c>
      <c r="H41" s="364" t="s">
        <v>8138</v>
      </c>
      <c r="I41" s="173" t="s">
        <v>8139</v>
      </c>
      <c r="J41" s="305" t="s">
        <v>8140</v>
      </c>
      <c r="K41" s="307" t="s">
        <v>8141</v>
      </c>
      <c r="L41" s="364" t="s">
        <v>8142</v>
      </c>
      <c r="M41" s="302" t="str">
        <f>IFERROR(__xludf.DUMMYFUNCTION("GOOGLETRANSLATE(A41,""zh-tw"",""zh"")"),"咕噜咕噜")</f>
        <v>咕噜咕噜</v>
      </c>
      <c r="N41" s="303" t="str">
        <f>IFERROR(__xludf.DUMMYFUNCTION("GOOGLETRANSLATE(B41,""zh-tw"",""zh"")"),"吃坏了肚子......")</f>
        <v>吃坏了肚子......</v>
      </c>
      <c r="O41" s="304" t="str">
        <f>IFERROR(__xludf.DUMMYFUNCTION("GOOGLETRANSLATE(C41,""zh-tw"",""zh"")"),"腹痛不止！")</f>
        <v>腹痛不止！</v>
      </c>
      <c r="P41" s="365" t="str">
        <f>IFERROR(__xludf.DUMMYFUNCTION("GOOGLETRANSLATE(D41,""zh-tw"",""zh"")"),"毒料理")</f>
        <v>毒料理</v>
      </c>
      <c r="Q41" s="149" t="str">
        <f>IFERROR(__xludf.DUMMYFUNCTION("GOOGLETRANSLATE(A41,""zh-tw"",""es-MX"")"),"Glug glug")</f>
        <v>Glug glug</v>
      </c>
      <c r="R41" s="164" t="str">
        <f>IFERROR(__xludf.DUMMYFUNCTION("GOOGLETRANSLATE(B41,""zh-tw"",""es-MX"")"),"Tengo un malestar estomacal...")</f>
        <v>Tengo un malestar estomacal...</v>
      </c>
      <c r="S41" s="306" t="str">
        <f>IFERROR(__xludf.DUMMYFUNCTION("GOOGLETRANSLATE(C41,""zh-tw"",""es-MX"")"),"¡Mi dolor de estómago no para!")</f>
        <v>¡Mi dolor de estómago no para!</v>
      </c>
      <c r="T41" s="174" t="str">
        <f>IFERROR(__xludf.DUMMYFUNCTION("GOOGLETRANSLATE(D41,""zh-tw"",""es-MX"")"),"cocina venenosa")</f>
        <v>cocina venenosa</v>
      </c>
      <c r="U41" s="149" t="str">
        <f>IFERROR(__xludf.DUMMYFUNCTION("GOOGLETRANSLATE(A41,""zh-tw"",""KO"")"),"글룩글룩")</f>
        <v>글룩글룩</v>
      </c>
      <c r="V41" s="164" t="str">
        <f>IFERROR(__xludf.DUMMYFUNCTION("GOOGLETRANSLATE(B41,""zh-tw"",""KO"")"),"배가 뒤집혔어요...")</f>
        <v>배가 뒤집혔어요...</v>
      </c>
      <c r="W41" s="306" t="str">
        <f>IFERROR(__xludf.DUMMYFUNCTION("GOOGLETRANSLATE(C41,""zh-tw"",""KO"")"),"배가 계속 아파요!")</f>
        <v>배가 계속 아파요!</v>
      </c>
      <c r="X41" s="174" t="str">
        <f>IFERROR(__xludf.DUMMYFUNCTION("GOOGLETRANSLATE(D41,""zh-tw"",""KO"")"),"독이 있는 요리")</f>
        <v>독이 있는 요리</v>
      </c>
      <c r="Y41" s="302" t="str">
        <f>IFERROR(__xludf.DUMMYFUNCTION("GOOGLETRANSLATE(A41,""zh-tw"",""RU"")"),"Глюг-глюг")</f>
        <v>Глюг-глюг</v>
      </c>
      <c r="Z41" s="303" t="str">
        <f>IFERROR(__xludf.DUMMYFUNCTION("GOOGLETRANSLATE(B41,""zh-tw"",""RU"")"),"У меня было расстройство желудка...")</f>
        <v>У меня было расстройство желудка...</v>
      </c>
      <c r="AA41" s="304" t="str">
        <f>IFERROR(__xludf.DUMMYFUNCTION("GOOGLETRANSLATE(C41,""zh-tw"",""RU"")"),"Боль в животе не проходит!")</f>
        <v>Боль в животе не проходит!</v>
      </c>
      <c r="AB41" s="365" t="str">
        <f>IFERROR(__xludf.DUMMYFUNCTION("GOOGLETRANSLATE(D41,""zh-tw"",""RU"")"),"ядовитая кухня")</f>
        <v>ядовитая кухня</v>
      </c>
      <c r="AC41" s="302" t="str">
        <f>IFERROR(__xludf.DUMMYFUNCTION("GOOGLETRANSLATE(A41,""zh-tw"",""DE"")"),"Glucks, glucks")</f>
        <v>Glucks, glucks</v>
      </c>
      <c r="AD41" s="303" t="str">
        <f>IFERROR(__xludf.DUMMYFUNCTION("GOOGLETRANSLATE(B41,""zh-tw"",""DE"")"),"Ich habe Magenbeschwerden...")</f>
        <v>Ich habe Magenbeschwerden...</v>
      </c>
      <c r="AE41" s="304" t="str">
        <f>IFERROR(__xludf.DUMMYFUNCTION("GOOGLETRANSLATE(C41,""zh-tw"",""DE"")"),"Meine Magenschmerzen hören nicht auf!")</f>
        <v>Meine Magenschmerzen hören nicht auf!</v>
      </c>
      <c r="AF41" s="365" t="str">
        <f>IFERROR(__xludf.DUMMYFUNCTION("GOOGLETRANSLATE(D41,""zh-tw"",""DE"")"),"giftige Küche")</f>
        <v>giftige Küche</v>
      </c>
      <c r="AG41" s="154" t="s">
        <v>8143</v>
      </c>
      <c r="AH41" s="41" t="s">
        <v>8144</v>
      </c>
      <c r="AI41" s="308" t="s">
        <v>8145</v>
      </c>
      <c r="AJ41" s="366" t="s">
        <v>8146</v>
      </c>
      <c r="AK41" s="154" t="s">
        <v>8139</v>
      </c>
      <c r="AL41" s="41" t="s">
        <v>8147</v>
      </c>
      <c r="AM41" s="308" t="s">
        <v>8148</v>
      </c>
      <c r="AN41" s="366" t="s">
        <v>8149</v>
      </c>
      <c r="AO41" s="364"/>
      <c r="AP41" s="364"/>
    </row>
    <row r="42">
      <c r="A42" s="173" t="s">
        <v>8150</v>
      </c>
      <c r="B42" s="305" t="s">
        <v>8151</v>
      </c>
      <c r="C42" s="307" t="s">
        <v>8152</v>
      </c>
      <c r="D42" s="364" t="s">
        <v>8153</v>
      </c>
      <c r="E42" s="173" t="s">
        <v>8154</v>
      </c>
      <c r="F42" s="305" t="s">
        <v>8155</v>
      </c>
      <c r="G42" s="307" t="s">
        <v>8156</v>
      </c>
      <c r="H42" s="364" t="s">
        <v>8157</v>
      </c>
      <c r="I42" s="173" t="s">
        <v>8158</v>
      </c>
      <c r="J42" s="305" t="s">
        <v>8159</v>
      </c>
      <c r="K42" s="307" t="s">
        <v>8160</v>
      </c>
      <c r="L42" s="364" t="s">
        <v>8161</v>
      </c>
      <c r="M42" s="302" t="str">
        <f>IFERROR(__xludf.DUMMYFUNCTION("GOOGLETRANSLATE(A42,""zh-tw"",""zh"")"),"咕噜咕噜咕噜")</f>
        <v>咕噜咕噜咕噜</v>
      </c>
      <c r="N42" s="303" t="str">
        <f>IFERROR(__xludf.DUMMYFUNCTION("GOOGLETRANSLATE(B42,""zh-tw"",""zh"")"),"菊花残、满地伤...")</f>
        <v>菊花残、满地伤...</v>
      </c>
      <c r="O42" s="304" t="str">
        <f>IFERROR(__xludf.DUMMYFUNCTION("GOOGLETRANSLATE(C42,""zh-tw"",""zh"")"),"因屁股疼痛无法奔跑和冲刺！")</f>
        <v>因屁股疼痛无法奔跑和冲刺！</v>
      </c>
      <c r="P42" s="365" t="str">
        <f>IFERROR(__xludf.DUMMYFUNCTION("GOOGLETRANSLATE(D42,""zh-tw"",""zh"")"),"毒辣料理")</f>
        <v>毒辣料理</v>
      </c>
      <c r="Q42" s="149" t="str">
        <f>IFERROR(__xludf.DUMMYFUNCTION("GOOGLETRANSLATE(A42,""zh-tw"",""es-MX"")"),"Glug glug glug")</f>
        <v>Glug glug glug</v>
      </c>
      <c r="R42" s="164" t="str">
        <f>IFERROR(__xludf.DUMMYFUNCTION("GOOGLETRANSLATE(B42,""zh-tw"",""es-MX"")"),"Crisantemos marchitos, heridas esparcidas por el suelo...")</f>
        <v>Crisantemos marchitos, heridas esparcidas por el suelo...</v>
      </c>
      <c r="S42" s="306" t="str">
        <f>IFERROR(__xludf.DUMMYFUNCTION("GOOGLETRANSLATE(C42,""zh-tw"",""es-MX"")"),"¡No puedo correr ni esprintar por el dolor en los glúteos!")</f>
        <v>¡No puedo correr ni esprintar por el dolor en los glúteos!</v>
      </c>
      <c r="T42" s="174" t="str">
        <f>IFERROR(__xludf.DUMMYFUNCTION("GOOGLETRANSLATE(D42,""zh-tw"",""es-MX"")"),"Comida picante")</f>
        <v>Comida picante</v>
      </c>
      <c r="U42" s="149"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06" t="str">
        <f>IFERROR(__xludf.DUMMYFUNCTION("GOOGLETRANSLATE(C42,""zh-tw"",""KO"")"),"엉덩이 통증 때문에 달리거나 달릴 수 없어요!")</f>
        <v>엉덩이 통증 때문에 달리거나 달릴 수 없어요!</v>
      </c>
      <c r="X42" s="174" t="str">
        <f>IFERROR(__xludf.DUMMYFUNCTION("GOOGLETRANSLATE(D42,""zh-tw"",""KO"")"),"매운 음식")</f>
        <v>매운 음식</v>
      </c>
      <c r="Y42" s="302" t="str">
        <f>IFERROR(__xludf.DUMMYFUNCTION("GOOGLETRANSLATE(A42,""zh-tw"",""RU"")"),"Глюг-глюг-глюг")</f>
        <v>Глюг-глюг-глюг</v>
      </c>
      <c r="Z42" s="303" t="str">
        <f>IFERROR(__xludf.DUMMYFUNCTION("GOOGLETRANSLATE(B42,""zh-tw"",""RU"")"),"Хризантемы увяли, раны разбросаны по земле...")</f>
        <v>Хризантемы увяли, раны разбросаны по земле...</v>
      </c>
      <c r="AA42" s="304" t="str">
        <f>IFERROR(__xludf.DUMMYFUNCTION("GOOGLETRANSLATE(C42,""zh-tw"",""RU"")"),"Я не могу бегать или спринтовать из-за боли в ягодицах!")</f>
        <v>Я не могу бегать или спринтовать из-за боли в ягодицах!</v>
      </c>
      <c r="AB42" s="365" t="str">
        <f>IFERROR(__xludf.DUMMYFUNCTION("GOOGLETRANSLATE(D42,""zh-tw"",""RU"")"),"Острая еда")</f>
        <v>Острая еда</v>
      </c>
      <c r="AC42" s="302" t="str">
        <f>IFERROR(__xludf.DUMMYFUNCTION("GOOGLETRANSLATE(A42,""zh-tw"",""DE"")"),"Glucks, glucks, glucks")</f>
        <v>Glucks, glucks, glucks</v>
      </c>
      <c r="AD42" s="303" t="str">
        <f>IFERROR(__xludf.DUMMYFUNCTION("GOOGLETRANSLATE(B42,""zh-tw"",""DE"")"),"Chrysanthemen verwelkten, Wunden lagen verstreut auf dem Boden...")</f>
        <v>Chrysanthemen verwelkten, Wunden lagen verstreut auf dem Boden...</v>
      </c>
      <c r="AE42" s="304" t="str">
        <f>IFERROR(__xludf.DUMMYFUNCTION("GOOGLETRANSLATE(C42,""zh-tw"",""DE"")"),"Ich kann wegen der Schmerzen im Gesäßbereich weder rennen noch sprinten!")</f>
        <v>Ich kann wegen der Schmerzen im Gesäßbereich weder rennen noch sprinten!</v>
      </c>
      <c r="AF42" s="365" t="str">
        <f>IFERROR(__xludf.DUMMYFUNCTION("GOOGLETRANSLATE(D42,""zh-tw"",""DE"")"),"scharfes Essen")</f>
        <v>scharfes Essen</v>
      </c>
      <c r="AG42" s="154" t="s">
        <v>8162</v>
      </c>
      <c r="AH42" s="41" t="s">
        <v>8163</v>
      </c>
      <c r="AI42" s="308" t="s">
        <v>8164</v>
      </c>
      <c r="AJ42" s="366" t="s">
        <v>8165</v>
      </c>
      <c r="AK42" s="154" t="s">
        <v>8158</v>
      </c>
      <c r="AL42" s="41" t="s">
        <v>8166</v>
      </c>
      <c r="AM42" s="308" t="s">
        <v>8167</v>
      </c>
      <c r="AN42" s="366" t="s">
        <v>8168</v>
      </c>
      <c r="AO42" s="364"/>
      <c r="AP42" s="364"/>
    </row>
    <row r="43">
      <c r="A43" s="173" t="s">
        <v>8169</v>
      </c>
      <c r="B43" s="305" t="s">
        <v>8170</v>
      </c>
      <c r="C43" s="307" t="s">
        <v>8171</v>
      </c>
      <c r="D43" s="364" t="s">
        <v>8172</v>
      </c>
      <c r="E43" s="173" t="s">
        <v>8173</v>
      </c>
      <c r="F43" s="305" t="s">
        <v>8174</v>
      </c>
      <c r="G43" s="307" t="s">
        <v>8175</v>
      </c>
      <c r="H43" s="364" t="s">
        <v>8176</v>
      </c>
      <c r="I43" s="173" t="s">
        <v>8177</v>
      </c>
      <c r="J43" s="305" t="s">
        <v>8178</v>
      </c>
      <c r="K43" s="307" t="s">
        <v>8179</v>
      </c>
      <c r="L43" s="365"/>
      <c r="M43" s="302" t="str">
        <f>IFERROR(__xludf.DUMMYFUNCTION("GOOGLETRANSLATE(A43,""zh-tw"",""zh"")"),"早点回家吧")</f>
        <v>早点回家吧</v>
      </c>
      <c r="N43" s="303" t="str">
        <f>IFERROR(__xludf.DUMMYFUNCTION("GOOGLETRANSLATE(B43,""zh-tw"",""zh"")"),"热死了.....")</f>
        <v>热死了.....</v>
      </c>
      <c r="O43" s="304" t="str">
        <f>IFERROR(__xludf.DUMMYFUNCTION("GOOGLETRANSLATE(C43,""zh-tw"",""zh"")"),"因为炎热浑身无力...")</f>
        <v>因为炎热浑身无力...</v>
      </c>
      <c r="P43" s="365" t="str">
        <f>IFERROR(__xludf.DUMMYFUNCTION("GOOGLETRANSLATE(D43,""zh-tw"",""zh"")"),"炎热天气")</f>
        <v>炎热天气</v>
      </c>
      <c r="Q43" s="149" t="str">
        <f>IFERROR(__xludf.DUMMYFUNCTION("GOOGLETRANSLATE(A43,""zh-tw"",""es-MX"")"),"Vete a casa temprano.")</f>
        <v>Vete a casa temprano.</v>
      </c>
      <c r="R43" s="164" t="str">
        <f>IFERROR(__xludf.DUMMYFUNCTION("GOOGLETRANSLATE(B43,""zh-tw"",""es-MX"")"),"Hace mucho calor.....")</f>
        <v>Hace mucho calor.....</v>
      </c>
      <c r="S43" s="306" t="str">
        <f>IFERROR(__xludf.DUMMYFUNCTION("GOOGLETRANSLATE(C43,""zh-tw"",""es-MX"")"),"Me siento débil por todas partes por el calor...")</f>
        <v>Me siento débil por todas partes por el calor...</v>
      </c>
      <c r="T43" s="174" t="str">
        <f>IFERROR(__xludf.DUMMYFUNCTION("GOOGLETRANSLATE(D43,""zh-tw"",""es-MX"")"),"clima caluroso")</f>
        <v>clima caluroso</v>
      </c>
      <c r="U43" s="149" t="str">
        <f>IFERROR(__xludf.DUMMYFUNCTION("GOOGLETRANSLATE(A43,""zh-tw"",""KO"")"),"일찍 집에 가세요.")</f>
        <v>일찍 집에 가세요.</v>
      </c>
      <c r="V43" s="164" t="str">
        <f>IFERROR(__xludf.DUMMYFUNCTION("GOOGLETRANSLATE(B43,""zh-tw"",""KO"")"),"너무 더워요.....")</f>
        <v>너무 더워요.....</v>
      </c>
      <c r="W43" s="306" t="str">
        <f>IFERROR(__xludf.DUMMYFUNCTION("GOOGLETRANSLATE(C43,""zh-tw"",""KO"")"),"더위 때문에 온몸이 약해지는 것 같아요...")</f>
        <v>더위 때문에 온몸이 약해지는 것 같아요...</v>
      </c>
      <c r="X43" s="174" t="str">
        <f>IFERROR(__xludf.DUMMYFUNCTION("GOOGLETRANSLATE(D43,""zh-tw"",""KO"")"),"더운 날씨")</f>
        <v>더운 날씨</v>
      </c>
      <c r="Y43" s="302" t="str">
        <f>IFERROR(__xludf.DUMMYFUNCTION("GOOGLETRANSLATE(A43,""zh-tw"",""RU"")"),"Возвращайтесь домой пораньше.")</f>
        <v>Возвращайтесь домой пораньше.</v>
      </c>
      <c r="Z43" s="303" t="str">
        <f>IFERROR(__xludf.DUMMYFUNCTION("GOOGLETRANSLATE(B43,""zh-tw"",""RU"")"),"Так жарко...")</f>
        <v>Так жарко...</v>
      </c>
      <c r="AA43" s="304" t="str">
        <f>IFERROR(__xludf.DUMMYFUNCTION("GOOGLETRANSLATE(C43,""zh-tw"",""RU"")"),"Из-за жары я чувствую слабость во всем теле...")</f>
        <v>Из-за жары я чувствую слабость во всем теле...</v>
      </c>
      <c r="AB43" s="365" t="str">
        <f>IFERROR(__xludf.DUMMYFUNCTION("GOOGLETRANSLATE(D43,""zh-tw"",""RU"")"),"жаркая погода")</f>
        <v>жаркая погода</v>
      </c>
      <c r="AC43" s="302" t="str">
        <f>IFERROR(__xludf.DUMMYFUNCTION("GOOGLETRANSLATE(A43,""zh-tw"",""DE"")"),"Geh früh nach Hause.")</f>
        <v>Geh früh nach Hause.</v>
      </c>
      <c r="AD43" s="303" t="str">
        <f>IFERROR(__xludf.DUMMYFUNCTION("GOOGLETRANSLATE(B43,""zh-tw"",""DE"")"),"Es ist so heiß.....")</f>
        <v>Es ist so heiß.....</v>
      </c>
      <c r="AE43" s="304" t="str">
        <f>IFERROR(__xludf.DUMMYFUNCTION("GOOGLETRANSLATE(C43,""zh-tw"",""DE"")"),"Mir ist wegen der Hitze ganz schwindelig...")</f>
        <v>Mir ist wegen der Hitze ganz schwindelig...</v>
      </c>
      <c r="AF43" s="365" t="str">
        <f>IFERROR(__xludf.DUMMYFUNCTION("GOOGLETRANSLATE(D43,""zh-tw"",""DE"")"),"heißes Wetter")</f>
        <v>heißes Wetter</v>
      </c>
      <c r="AG43" s="154" t="s">
        <v>2145</v>
      </c>
      <c r="AH43" s="41" t="s">
        <v>8180</v>
      </c>
      <c r="AI43" s="308" t="s">
        <v>8181</v>
      </c>
      <c r="AJ43" s="368"/>
      <c r="AK43" s="154" t="s">
        <v>2148</v>
      </c>
      <c r="AL43" s="41" t="s">
        <v>8182</v>
      </c>
      <c r="AM43" s="308" t="s">
        <v>8183</v>
      </c>
      <c r="AN43" s="368"/>
      <c r="AO43" s="364"/>
      <c r="AP43" s="364"/>
    </row>
    <row r="44">
      <c r="A44" s="173" t="s">
        <v>8184</v>
      </c>
      <c r="B44" s="305" t="s">
        <v>8185</v>
      </c>
      <c r="C44" s="307" t="s">
        <v>8186</v>
      </c>
      <c r="D44" s="364" t="s">
        <v>8187</v>
      </c>
      <c r="E44" s="173" t="s">
        <v>8188</v>
      </c>
      <c r="F44" s="305" t="s">
        <v>8189</v>
      </c>
      <c r="G44" s="307" t="s">
        <v>8190</v>
      </c>
      <c r="H44" s="364" t="s">
        <v>8191</v>
      </c>
      <c r="I44" s="173" t="s">
        <v>8192</v>
      </c>
      <c r="J44" s="305" t="s">
        <v>8193</v>
      </c>
      <c r="K44" s="307" t="s">
        <v>8194</v>
      </c>
      <c r="L44" s="364"/>
      <c r="M44" s="302" t="str">
        <f>IFERROR(__xludf.DUMMYFUNCTION("GOOGLETRANSLATE(A44,""zh-tw"",""zh"")"),"杂鱼哥哥")</f>
        <v>杂鱼哥哥</v>
      </c>
      <c r="N44" s="303" t="str">
        <f>IFERROR(__xludf.DUMMYFUNCTION("GOOGLETRANSLATE(B44,""zh-tw"",""zh"")"),"这么简单的游戏也不会玩，真是杂鱼呢~")</f>
        <v>这么简单的游戏也不会玩，真是杂鱼呢~</v>
      </c>
      <c r="O44" s="304" t="str">
        <f>IFERROR(__xludf.DUMMYFUNCTION("GOOGLETRANSLATE(C44,""zh-tw"",""zh"")"),"因作弊而获得了杂鱼认证！")</f>
        <v>因作弊而获得了杂鱼认证！</v>
      </c>
      <c r="P44" s="365" t="str">
        <f>IFERROR(__xludf.DUMMYFUNCTION("GOOGLETRANSLATE(D44,""zh-tw"",""zh"")"),"使用作弊码")</f>
        <v>使用作弊码</v>
      </c>
      <c r="Q44" s="149" t="str">
        <f>IFERROR(__xludf.DUMMYFUNCTION("GOOGLETRANSLATE(A44,""zh-tw"",""es-MX"")"),"Hermano Peces Misceláneos")</f>
        <v>Hermano Peces Misceláneos</v>
      </c>
      <c r="R44" s="164" t="str">
        <f>IFERROR(__xludf.DUMMYFUNCTION("GOOGLETRANSLATE(B44,""zh-tw"",""es-MX"")"),"¿Ni siquiera sabes jugar a un juego tan simple? ¡Eres un novato!")</f>
        <v>¿Ni siquiera sabes jugar a un juego tan simple? ¡Eres un novato!</v>
      </c>
      <c r="S44" s="306" t="str">
        <f>IFERROR(__xludf.DUMMYFUNCTION("GOOGLETRANSLATE(C44,""zh-tw"",""es-MX"")"),"¡Obtuvo la certificación de ""pez pequeño"" haciendo trampa!")</f>
        <v>¡Obtuvo la certificación de "pez pequeño" haciendo trampa!</v>
      </c>
      <c r="T44" s="174" t="str">
        <f>IFERROR(__xludf.DUMMYFUNCTION("GOOGLETRANSLATE(D44,""zh-tw"",""es-MX"")"),"Utilice códigos de trucos")</f>
        <v>Utilice códigos de trucos</v>
      </c>
      <c r="U44" s="149"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06" t="str">
        <f>IFERROR(__xludf.DUMMYFUNCTION("GOOGLETRANSLATE(C44,""zh-tw"",""KO"")"),"그는 부정행위를 해서 ""작은 물고기"" 자격증을 받았습니다!")</f>
        <v>그는 부정행위를 해서 "작은 물고기" 자격증을 받았습니다!</v>
      </c>
      <c r="X44" s="174" t="str">
        <f>IFERROR(__xludf.DUMMYFUNCTION("GOOGLETRANSLATE(D44,""zh-tw"",""KO"")"),"치트 코드를 사용하세요")</f>
        <v>치트 코드를 사용하세요</v>
      </c>
      <c r="Y44" s="302" t="str">
        <f>IFERROR(__xludf.DUMMYFUNCTION("GOOGLETRANSLATE(A44,""zh-tw"",""RU"")"),"Брат Разные Рыбы")</f>
        <v>Брат Разные Рыбы</v>
      </c>
      <c r="Z44" s="303" t="str">
        <f>IFERROR(__xludf.DUMMYFUNCTION("GOOGLETRANSLATE(B44,""zh-tw"",""RU"")"),"Ты даже в такую ​​простую игру не можешь играть? Ты нуб!")</f>
        <v>Ты даже в такую ​​простую игру не можешь играть? Ты нуб!</v>
      </c>
      <c r="AA44" s="304" t="str">
        <f>IFERROR(__xludf.DUMMYFUNCTION("GOOGLETRANSLATE(C44,""zh-tw"",""RU"")"),"Он получил сертификат «мелкой рыбки» обманным путем!")</f>
        <v>Он получил сертификат «мелкой рыбки» обманным путем!</v>
      </c>
      <c r="AB44" s="365" t="str">
        <f>IFERROR(__xludf.DUMMYFUNCTION("GOOGLETRANSLATE(D44,""zh-tw"",""RU"")"),"Используйте чит-коды")</f>
        <v>Используйте чит-коды</v>
      </c>
      <c r="AC44" s="302" t="str">
        <f>IFERROR(__xludf.DUMMYFUNCTION("GOOGLETRANSLATE(A44,""zh-tw"",""DE"")"),"Bruder Verschiedene Fische")</f>
        <v>Bruder Verschiedene Fische</v>
      </c>
      <c r="AD44" s="303" t="str">
        <f>IFERROR(__xludf.DUMMYFUNCTION("GOOGLETRANSLATE(B44,""zh-tw"",""DE"")"),"Du kannst nicht mal so ein einfaches Spiel spielen? Du bist echt ein Anfänger!")</f>
        <v>Du kannst nicht mal so ein einfaches Spiel spielen? Du bist echt ein Anfänger!</v>
      </c>
      <c r="AE44" s="304" t="str">
        <f>IFERROR(__xludf.DUMMYFUNCTION("GOOGLETRANSLATE(C44,""zh-tw"",""DE"")"),"Er hat das „kleine Fisch“-Zertifikat durch Betrug erlangt!")</f>
        <v>Er hat das „kleine Fisch“-Zertifikat durch Betrug erlangt!</v>
      </c>
      <c r="AF44" s="365" t="str">
        <f>IFERROR(__xludf.DUMMYFUNCTION("GOOGLETRANSLATE(D44,""zh-tw"",""DE"")"),"Cheat-Codes verwenden")</f>
        <v>Cheat-Codes verwenden</v>
      </c>
      <c r="AG44" s="154" t="s">
        <v>8195</v>
      </c>
      <c r="AH44" s="41" t="s">
        <v>8196</v>
      </c>
      <c r="AI44" s="308" t="s">
        <v>8197</v>
      </c>
      <c r="AJ44" s="368"/>
      <c r="AK44" s="154" t="s">
        <v>8192</v>
      </c>
      <c r="AL44" s="41" t="s">
        <v>8198</v>
      </c>
      <c r="AM44" s="308" t="s">
        <v>8199</v>
      </c>
      <c r="AN44" s="368"/>
      <c r="AO44" s="364"/>
      <c r="AP44" s="364"/>
    </row>
    <row r="45">
      <c r="A45" s="173" t="s">
        <v>8200</v>
      </c>
      <c r="B45" s="305" t="s">
        <v>8201</v>
      </c>
      <c r="C45" s="307" t="s">
        <v>792</v>
      </c>
      <c r="D45" s="364" t="s">
        <v>6289</v>
      </c>
      <c r="E45" s="173" t="s">
        <v>8202</v>
      </c>
      <c r="F45" s="305" t="s">
        <v>8203</v>
      </c>
      <c r="G45" s="307" t="s">
        <v>792</v>
      </c>
      <c r="H45" s="364" t="s">
        <v>8204</v>
      </c>
      <c r="I45" s="173" t="s">
        <v>6293</v>
      </c>
      <c r="J45" s="305" t="s">
        <v>8205</v>
      </c>
      <c r="K45" s="304"/>
      <c r="L45" s="365"/>
      <c r="M45" s="302" t="str">
        <f>IFERROR(__xludf.DUMMYFUNCTION("GOOGLETRANSLATE(A45,""zh-tw"",""zh"")"),"世界的勇者")</f>
        <v>世界的勇者</v>
      </c>
      <c r="N45" s="303" t="str">
        <f>IFERROR(__xludf.DUMMYFUNCTION("GOOGLETRANSLATE(B45,""zh-tw"",""zh"")"),"如此可得世界荣耀，远离黑暗蒙昧")</f>
        <v>如此可得世界荣耀，远离黑暗蒙昧</v>
      </c>
      <c r="O45" s="304" t="str">
        <f>IFERROR(__xludf.DUMMYFUNCTION("GOOGLETRANSLATE(C45,""zh-tw"",""zh"")"),"-")</f>
        <v>-</v>
      </c>
      <c r="P45" s="365" t="str">
        <f>IFERROR(__xludf.DUMMYFUNCTION("GOOGLETRANSLATE(D45,""zh-tw"",""zh"")"),"红髓玉吊坠")</f>
        <v>红髓玉吊坠</v>
      </c>
      <c r="Q45" s="149"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06" t="str">
        <f>IFERROR(__xludf.DUMMYFUNCTION("GOOGLETRANSLATE(C45,""zh-tw"",""es-MX"")"),"-")</f>
        <v>-</v>
      </c>
      <c r="T45" s="174" t="str">
        <f>IFERROR(__xludf.DUMMYFUNCTION("GOOGLETRANSLATE(D45,""zh-tw"",""es-MX"")"),"Colgante de cornalina roja")</f>
        <v>Colgante de cornalina roja</v>
      </c>
      <c r="U45" s="149"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6" t="str">
        <f>IFERROR(__xludf.DUMMYFUNCTION("GOOGLETRANSLATE(C45,""zh-tw"",""KO"")"),"-")</f>
        <v>-</v>
      </c>
      <c r="X45" s="174" t="str">
        <f>IFERROR(__xludf.DUMMYFUNCTION("GOOGLETRANSLATE(D45,""zh-tw"",""KO"")"),"붉은 카넬리안 펜던트")</f>
        <v>붉은 카넬리안 펜던트</v>
      </c>
      <c r="Y45" s="302" t="str">
        <f>IFERROR(__xludf.DUMMYFUNCTION("GOOGLETRANSLATE(A45,""zh-tw"",""RU"")"),"Герои мира")</f>
        <v>Герои мира</v>
      </c>
      <c r="Z45" s="303"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4" t="str">
        <f>IFERROR(__xludf.DUMMYFUNCTION("GOOGLETRANSLATE(C45,""zh-tw"",""RU"")"),"-")</f>
        <v>-</v>
      </c>
      <c r="AB45" s="365" t="str">
        <f>IFERROR(__xludf.DUMMYFUNCTION("GOOGLETRANSLATE(D45,""zh-tw"",""RU"")"),"Кулон из красного сердолика")</f>
        <v>Кулон из красного сердолика</v>
      </c>
      <c r="AC45" s="302" t="str">
        <f>IFERROR(__xludf.DUMMYFUNCTION("GOOGLETRANSLATE(A45,""zh-tw"",""DE"")"),"Helden der Welt")</f>
        <v>Helden der Welt</v>
      </c>
      <c r="AD45" s="303" t="str">
        <f>IFERROR(__xludf.DUMMYFUNCTION("GOOGLETRANSLATE(B45,""zh-tw"",""DE"")"),"Auf diese Weise kann man weltlichen Ruhm erlangen und Dunkelheit und Unwissenheit entfliehen.")</f>
        <v>Auf diese Weise kann man weltlichen Ruhm erlangen und Dunkelheit und Unwissenheit entfliehen.</v>
      </c>
      <c r="AE45" s="304" t="str">
        <f>IFERROR(__xludf.DUMMYFUNCTION("GOOGLETRANSLATE(C45,""zh-tw"",""DE"")"),"-")</f>
        <v>-</v>
      </c>
      <c r="AF45" s="365" t="str">
        <f>IFERROR(__xludf.DUMMYFUNCTION("GOOGLETRANSLATE(D45,""zh-tw"",""DE"")"),"Anhänger aus rotem Karneol")</f>
        <v>Anhänger aus rotem Karneol</v>
      </c>
      <c r="AG45" s="154" t="s">
        <v>8206</v>
      </c>
      <c r="AH45" s="41" t="s">
        <v>8207</v>
      </c>
      <c r="AI45" s="369"/>
      <c r="AJ45" s="368"/>
      <c r="AK45" s="154" t="s">
        <v>6293</v>
      </c>
      <c r="AL45" s="41" t="s">
        <v>8205</v>
      </c>
      <c r="AM45" s="369"/>
      <c r="AN45" s="368"/>
      <c r="AO45" s="364"/>
      <c r="AP45" s="364"/>
    </row>
    <row r="46">
      <c r="A46" s="173" t="s">
        <v>8208</v>
      </c>
      <c r="B46" s="305" t="s">
        <v>8209</v>
      </c>
      <c r="C46" s="307" t="s">
        <v>8210</v>
      </c>
      <c r="D46" s="364" t="s">
        <v>6221</v>
      </c>
      <c r="E46" s="173" t="s">
        <v>8211</v>
      </c>
      <c r="F46" s="305" t="s">
        <v>8212</v>
      </c>
      <c r="G46" s="307" t="s">
        <v>8213</v>
      </c>
      <c r="H46" s="365"/>
      <c r="I46" s="173" t="s">
        <v>8214</v>
      </c>
      <c r="J46" s="305" t="s">
        <v>8215</v>
      </c>
      <c r="K46" s="307" t="s">
        <v>8216</v>
      </c>
      <c r="L46" s="365"/>
      <c r="M46" s="302" t="str">
        <f>IFERROR(__xludf.DUMMYFUNCTION("GOOGLETRANSLATE(A46,""zh-tw"",""zh"")"),"贪财!贪财!")</f>
        <v>贪财!贪财!</v>
      </c>
      <c r="N46" s="303" t="str">
        <f>IFERROR(__xludf.DUMMYFUNCTION("GOOGLETRANSLATE(B46,""zh-tw"",""zh"")"),"无尽的贪欲最终也盯上你– –")</f>
        <v>无尽的贪欲最终也盯上你– –</v>
      </c>
      <c r="O46" s="304" t="str">
        <f>IFERROR(__xludf.DUMMYFUNCTION("GOOGLETRANSLATE(C46,""zh-tw"",""zh"")"),"受伤时强制掉落金币")</f>
        <v>受伤时强制掉落金币</v>
      </c>
      <c r="P46" s="365" t="str">
        <f>IFERROR(__xludf.DUMMYFUNCTION("GOOGLETRANSLATE(D46,""zh-tw"",""zh"")"),"贪欲存钱罐")</f>
        <v>贪欲存钱罐</v>
      </c>
      <c r="Q46" s="149" t="str">
        <f>IFERROR(__xludf.DUMMYFUNCTION("GOOGLETRANSLATE(A46,""zh-tw"",""es-MX"")"),"¡Codicioso! ¡Codicioso!")</f>
        <v>¡Codicioso! ¡Codicioso!</v>
      </c>
      <c r="R46" s="164" t="str">
        <f>IFERROR(__xludf.DUMMYFUNCTION("GOOGLETRANSLATE(B46,""zh-tw"",""es-MX"")"),"La codicia sin fin tarde o temprano pondrá sus miras en ti también.")</f>
        <v>La codicia sin fin tarde o temprano pondrá sus miras en ti también.</v>
      </c>
      <c r="S46" s="306" t="str">
        <f>IFERROR(__xludf.DUMMYFUNCTION("GOOGLETRANSLATE(C46,""zh-tw"",""es-MX"")"),"Obligado a dejar caer monedas de oro cuando estaba herido")</f>
        <v>Obligado a dejar caer monedas de oro cuando estaba herido</v>
      </c>
      <c r="T46" s="174" t="str">
        <f>IFERROR(__xludf.DUMMYFUNCTION("GOOGLETRANSLATE(D46,""zh-tw"",""es-MX"")"),"Alcancía codiciosa")</f>
        <v>Alcancía codiciosa</v>
      </c>
      <c r="U46" s="149" t="str">
        <f>IFERROR(__xludf.DUMMYFUNCTION("GOOGLETRANSLATE(A46,""zh-tw"",""KO"")"),"욕심쟁이! 욕심쟁이!")</f>
        <v>욕심쟁이! 욕심쟁이!</v>
      </c>
      <c r="V46" s="164" t="str">
        <f>IFERROR(__xludf.DUMMYFUNCTION("GOOGLETRANSLATE(B46,""zh-tw"",""KO"")"),"끝없는 탐욕은 결국 당신에게도 표적으로 다가올 것입니다.")</f>
        <v>끝없는 탐욕은 결국 당신에게도 표적으로 다가올 것입니다.</v>
      </c>
      <c r="W46" s="306" t="str">
        <f>IFERROR(__xludf.DUMMYFUNCTION("GOOGLETRANSLATE(C46,""zh-tw"",""KO"")"),"부상당해 금화를 떨어뜨려야 했다")</f>
        <v>부상당해 금화를 떨어뜨려야 했다</v>
      </c>
      <c r="X46" s="174" t="str">
        <f>IFERROR(__xludf.DUMMYFUNCTION("GOOGLETRANSLATE(D46,""zh-tw"",""KO"")"),"탐욕스러운 돼지 저금통")</f>
        <v>탐욕스러운 돼지 저금통</v>
      </c>
      <c r="Y46" s="302" t="str">
        <f>IFERROR(__xludf.DUMMYFUNCTION("GOOGLETRANSLATE(A46,""zh-tw"",""RU"")"),"Жадный! Жадный!")</f>
        <v>Жадный! Жадный!</v>
      </c>
      <c r="Z46" s="303" t="str">
        <f>IFERROR(__xludf.DUMMYFUNCTION("GOOGLETRANSLATE(B46,""zh-tw"",""RU"")"),"Бесконечная жадность в конце концов остановит и вас.")</f>
        <v>Бесконечная жадность в конце концов остановит и вас.</v>
      </c>
      <c r="AA46" s="30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65" t="str">
        <f>IFERROR(__xludf.DUMMYFUNCTION("GOOGLETRANSLATE(D46,""zh-tw"",""RU"")"),"Жадная копилка")</f>
        <v>Жадная копилка</v>
      </c>
      <c r="AC46" s="302" t="str">
        <f>IFERROR(__xludf.DUMMYFUNCTION("GOOGLETRANSLATE(A46,""zh-tw"",""DE"")"),"Gierig! Gierig!")</f>
        <v>Gierig! Gierig!</v>
      </c>
      <c r="AD46" s="303" t="str">
        <f>IFERROR(__xludf.DUMMYFUNCTION("GOOGLETRANSLATE(B46,""zh-tw"",""DE"")"),"Unstillbare Gier wird irgendwann auch dich ins Visier nehmen.")</f>
        <v>Unstillbare Gier wird irgendwann auch dich ins Visier nehmen.</v>
      </c>
      <c r="AE46" s="304" t="str">
        <f>IFERROR(__xludf.DUMMYFUNCTION("GOOGLETRANSLATE(C46,""zh-tw"",""DE"")"),"Gezwungen, Goldmünzen fallen zu lassen, wenn er verletzt ist")</f>
        <v>Gezwungen, Goldmünzen fallen zu lassen, wenn er verletzt ist</v>
      </c>
      <c r="AF46" s="365" t="str">
        <f>IFERROR(__xludf.DUMMYFUNCTION("GOOGLETRANSLATE(D46,""zh-tw"",""DE"")"),"Gieriges Sparschwein")</f>
        <v>Gieriges Sparschwein</v>
      </c>
      <c r="AG46" s="370" t="s">
        <v>8217</v>
      </c>
      <c r="AH46" s="56" t="s">
        <v>8218</v>
      </c>
      <c r="AI46" s="371" t="s">
        <v>8219</v>
      </c>
      <c r="AJ46" s="372"/>
      <c r="AK46" s="149" t="s">
        <v>8220</v>
      </c>
      <c r="AL46" s="164" t="s">
        <v>8221</v>
      </c>
      <c r="AM46" s="306" t="s">
        <v>8222</v>
      </c>
      <c r="AN46" s="372"/>
      <c r="AO46" s="365"/>
      <c r="AP46" s="365"/>
    </row>
    <row r="47">
      <c r="A47" s="173" t="s">
        <v>8223</v>
      </c>
      <c r="B47" s="305" t="s">
        <v>8224</v>
      </c>
      <c r="C47" s="307" t="s">
        <v>8225</v>
      </c>
      <c r="D47" s="364" t="s">
        <v>6124</v>
      </c>
      <c r="E47" s="173" t="s">
        <v>8226</v>
      </c>
      <c r="F47" s="305" t="s">
        <v>8227</v>
      </c>
      <c r="G47" s="307" t="s">
        <v>8228</v>
      </c>
      <c r="H47" s="365"/>
      <c r="I47" s="173" t="s">
        <v>8229</v>
      </c>
      <c r="J47" s="305" t="s">
        <v>8230</v>
      </c>
      <c r="K47" s="307" t="s">
        <v>8231</v>
      </c>
      <c r="L47" s="365"/>
      <c r="M47" s="302" t="str">
        <f>IFERROR(__xludf.DUMMYFUNCTION("GOOGLETRANSLATE(A47,""zh-tw"",""zh"")"),"你看不见我")</f>
        <v>你看不见我</v>
      </c>
      <c r="N47" s="303" t="str">
        <f>IFERROR(__xludf.DUMMYFUNCTION("GOOGLETRANSLATE(B47,""zh-tw"",""zh"")"),"LOOK INTI MY EVIL EYEZ SEE SOMETHIN'INSIDE！")</f>
        <v>LOOK INTI MY EVIL EYEZ SEE SOMETHIN'INSIDE！</v>
      </c>
      <c r="O47" s="304" t="str">
        <f>IFERROR(__xludf.DUMMYFUNCTION("GOOGLETRANSLATE(C47,""zh-tw"",""zh"")"),"每六秒短暂进入透明状态！")</f>
        <v>每六秒短暂进入透明状态！</v>
      </c>
      <c r="P47" s="365" t="str">
        <f>IFERROR(__xludf.DUMMYFUNCTION("GOOGLETRANSLATE(D47,""zh-tw"",""zh"")"),"夜雾幻影")</f>
        <v>夜雾幻影</v>
      </c>
      <c r="Q47" s="149" t="str">
        <f>IFERROR(__xludf.DUMMYFUNCTION("GOOGLETRANSLATE(A47,""zh-tw"",""es-MX"")"),"No puedes verme")</f>
        <v>No puedes verme</v>
      </c>
      <c r="R47" s="164" t="str">
        <f>IFERROR(__xludf.DUMMYFUNCTION("GOOGLETRANSLATE(B47,""zh-tw"",""es-MX"")"),"¡MIRA DENTRO DE MIS OJOS MALVADOS Y VES ALGO DENTRO!")</f>
        <v>¡MIRA DENTRO DE MIS OJOS MALVADOS Y VES ALGO DENTRO!</v>
      </c>
      <c r="S47" s="306" t="str">
        <f>IFERROR(__xludf.DUMMYFUNCTION("GOOGLETRANSLATE(C47,""zh-tw"",""es-MX"")"),"¡Entra brevemente en un estado transparente cada seis segundos!")</f>
        <v>¡Entra brevemente en un estado transparente cada seis segundos!</v>
      </c>
      <c r="T47" s="174" t="str">
        <f>IFERROR(__xludf.DUMMYFUNCTION("GOOGLETRANSLATE(D47,""zh-tw"",""es-MX"")"),"Fantasma de niebla nocturna")</f>
        <v>Fantasma de niebla nocturna</v>
      </c>
      <c r="U47" s="149" t="str">
        <f>IFERROR(__xludf.DUMMYFUNCTION("GOOGLETRANSLATE(A47,""zh-tw"",""KO"")"),"너는 나를 볼 수 없어")</f>
        <v>너는 나를 볼 수 없어</v>
      </c>
      <c r="V47" s="164" t="str">
        <f>IFERROR(__xludf.DUMMYFUNCTION("GOOGLETRANSLATE(B47,""zh-tw"",""KO"")"),"내 사악한 눈으로 들여다봐! 안에 뭔가 있어!")</f>
        <v>내 사악한 눈으로 들여다봐! 안에 뭔가 있어!</v>
      </c>
      <c r="W47" s="306" t="str">
        <f>IFERROR(__xludf.DUMMYFUNCTION("GOOGLETRANSLATE(C47,""zh-tw"",""KO"")"),"6초마다 잠깐 투명 상태가 됩니다!")</f>
        <v>6초마다 잠깐 투명 상태가 됩니다!</v>
      </c>
      <c r="X47" s="174" t="str">
        <f>IFERROR(__xludf.DUMMYFUNCTION("GOOGLETRANSLATE(D47,""zh-tw"",""KO"")"),"나이트 포그 팬텀")</f>
        <v>나이트 포그 팬텀</v>
      </c>
      <c r="Y47" s="302" t="str">
        <f>IFERROR(__xludf.DUMMYFUNCTION("GOOGLETRANSLATE(A47,""zh-tw"",""RU"")"),"Ты меня не видишь")</f>
        <v>Ты меня не видишь</v>
      </c>
      <c r="Z47" s="303" t="str">
        <f>IFERROR(__xludf.DUMMYFUNCTION("GOOGLETRANSLATE(B47,""zh-tw"",""RU"")"),"ПОСМОТРИТЕ В МОЙ ЗЛОЙ ГЛАЗ И УВИДЬТЕ ЧТО-ТО ВНУТРИ!")</f>
        <v>ПОСМОТРИТЕ В МОЙ ЗЛОЙ ГЛАЗ И УВИДЬТЕ ЧТО-ТО ВНУТРИ!</v>
      </c>
      <c r="AA47" s="30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65" t="str">
        <f>IFERROR(__xludf.DUMMYFUNCTION("GOOGLETRANSLATE(D47,""zh-tw"",""RU"")"),"Ночной туманный фантом")</f>
        <v>Ночной туманный фантом</v>
      </c>
      <c r="AC47" s="302" t="str">
        <f>IFERROR(__xludf.DUMMYFUNCTION("GOOGLETRANSLATE(A47,""zh-tw"",""DE"")"),"Du kannst mich nicht sehen")</f>
        <v>Du kannst mich nicht sehen</v>
      </c>
      <c r="AD47" s="303" t="str">
        <f>IFERROR(__xludf.DUMMYFUNCTION("GOOGLETRANSLATE(B47,""zh-tw"",""DE"")"),"SCHAU IN MEINE BÖSEN AUGEN, SIEH ETWAS DARIN!")</f>
        <v>SCHAU IN MEINE BÖSEN AUGEN, SIEH ETWAS DARIN!</v>
      </c>
      <c r="AE47" s="304" t="str">
        <f>IFERROR(__xludf.DUMMYFUNCTION("GOOGLETRANSLATE(C47,""zh-tw"",""DE"")"),"Es wechselt alle sechs Sekunden kurz in einen transparenten Zustand!")</f>
        <v>Es wechselt alle sechs Sekunden kurz in einen transparenten Zustand!</v>
      </c>
      <c r="AF47" s="365" t="str">
        <f>IFERROR(__xludf.DUMMYFUNCTION("GOOGLETRANSLATE(D47,""zh-tw"",""DE"")"),"Nachtnebel-Phantom")</f>
        <v>Nachtnebel-Phantom</v>
      </c>
      <c r="AG47" s="373" t="s">
        <v>8232</v>
      </c>
      <c r="AH47" s="163" t="s">
        <v>8233</v>
      </c>
      <c r="AI47" s="371" t="s">
        <v>8234</v>
      </c>
      <c r="AJ47" s="116"/>
      <c r="AK47" s="149" t="s">
        <v>8235</v>
      </c>
      <c r="AL47" s="164" t="s">
        <v>8236</v>
      </c>
      <c r="AM47" s="306" t="s">
        <v>8237</v>
      </c>
      <c r="AN47" s="372"/>
      <c r="AO47" s="365"/>
      <c r="AP47" s="365"/>
    </row>
    <row r="48">
      <c r="A48" s="302"/>
      <c r="B48" s="303"/>
      <c r="C48" s="304"/>
      <c r="D48" s="365"/>
      <c r="E48" s="302"/>
      <c r="F48" s="303"/>
      <c r="G48" s="304"/>
      <c r="H48" s="365"/>
      <c r="I48" s="302"/>
      <c r="J48" s="303"/>
      <c r="K48" s="304"/>
      <c r="L48" s="365"/>
      <c r="M48" s="302"/>
      <c r="N48" s="303"/>
      <c r="O48" s="304"/>
      <c r="P48" s="365"/>
      <c r="Q48" s="186"/>
      <c r="R48" s="18"/>
      <c r="S48" s="374"/>
      <c r="T48" s="372"/>
      <c r="U48" s="186"/>
      <c r="V48" s="18"/>
      <c r="W48" s="374"/>
      <c r="X48" s="372"/>
      <c r="Y48" s="375"/>
      <c r="Z48" s="376"/>
      <c r="AA48" s="377"/>
      <c r="AB48" s="378"/>
      <c r="AC48" s="375"/>
      <c r="AD48" s="376"/>
      <c r="AE48" s="377"/>
      <c r="AF48" s="378"/>
      <c r="AG48" s="186"/>
      <c r="AH48" s="18"/>
      <c r="AI48" s="374"/>
      <c r="AJ48" s="372"/>
      <c r="AK48" s="365"/>
      <c r="AL48" s="365"/>
      <c r="AM48" s="365"/>
      <c r="AN48" s="365"/>
      <c r="AO48" s="365"/>
      <c r="AP48" s="365"/>
    </row>
    <row r="49">
      <c r="A49" s="302"/>
      <c r="B49" s="303"/>
      <c r="C49" s="304"/>
      <c r="D49" s="365"/>
      <c r="E49" s="302"/>
      <c r="F49" s="303"/>
      <c r="G49" s="304"/>
      <c r="H49" s="365"/>
      <c r="I49" s="302"/>
      <c r="J49" s="303"/>
      <c r="K49" s="304"/>
      <c r="L49" s="365"/>
      <c r="M49" s="302"/>
      <c r="N49" s="303"/>
      <c r="O49" s="304"/>
      <c r="P49" s="365"/>
      <c r="Q49" s="186"/>
      <c r="R49" s="18"/>
      <c r="S49" s="374"/>
      <c r="T49" s="372"/>
      <c r="U49" s="186"/>
      <c r="V49" s="18"/>
      <c r="W49" s="374"/>
      <c r="X49" s="372"/>
      <c r="Y49" s="375"/>
      <c r="Z49" s="376"/>
      <c r="AA49" s="377"/>
      <c r="AB49" s="378"/>
      <c r="AC49" s="375"/>
      <c r="AD49" s="376"/>
      <c r="AE49" s="377"/>
      <c r="AF49" s="378"/>
      <c r="AG49" s="186"/>
      <c r="AH49" s="18"/>
      <c r="AI49" s="374"/>
      <c r="AJ49" s="372"/>
      <c r="AK49" s="365"/>
      <c r="AL49" s="365"/>
      <c r="AM49" s="365"/>
      <c r="AN49" s="365"/>
      <c r="AO49" s="365"/>
      <c r="AP49" s="365"/>
    </row>
    <row r="50">
      <c r="A50" s="302"/>
      <c r="B50" s="303"/>
      <c r="C50" s="304"/>
      <c r="D50" s="365"/>
      <c r="E50" s="302"/>
      <c r="F50" s="303"/>
      <c r="G50" s="304"/>
      <c r="H50" s="365"/>
      <c r="I50" s="302"/>
      <c r="J50" s="303"/>
      <c r="K50" s="304"/>
      <c r="L50" s="365"/>
      <c r="M50" s="302"/>
      <c r="N50" s="303"/>
      <c r="O50" s="304"/>
      <c r="P50" s="365"/>
      <c r="Q50" s="186"/>
      <c r="R50" s="18"/>
      <c r="S50" s="374"/>
      <c r="T50" s="372"/>
      <c r="U50" s="186"/>
      <c r="V50" s="18"/>
      <c r="W50" s="374"/>
      <c r="X50" s="372"/>
      <c r="Y50" s="375"/>
      <c r="Z50" s="376"/>
      <c r="AA50" s="377"/>
      <c r="AB50" s="378"/>
      <c r="AC50" s="375"/>
      <c r="AD50" s="376"/>
      <c r="AE50" s="377"/>
      <c r="AF50" s="378"/>
      <c r="AG50" s="186"/>
      <c r="AH50" s="18"/>
      <c r="AI50" s="374"/>
      <c r="AJ50" s="372"/>
      <c r="AK50" s="365"/>
      <c r="AL50" s="365"/>
      <c r="AM50" s="365"/>
      <c r="AN50" s="365"/>
      <c r="AO50" s="365"/>
      <c r="AP50" s="365"/>
    </row>
    <row r="51">
      <c r="A51" s="302"/>
      <c r="B51" s="303"/>
      <c r="C51" s="304"/>
      <c r="D51" s="365"/>
      <c r="E51" s="302"/>
      <c r="F51" s="303"/>
      <c r="G51" s="304"/>
      <c r="H51" s="365"/>
      <c r="I51" s="302"/>
      <c r="J51" s="303"/>
      <c r="K51" s="304"/>
      <c r="L51" s="365"/>
      <c r="M51" s="302"/>
      <c r="N51" s="303"/>
      <c r="O51" s="304"/>
      <c r="P51" s="365"/>
      <c r="Q51" s="186"/>
      <c r="R51" s="18"/>
      <c r="S51" s="374"/>
      <c r="T51" s="372"/>
      <c r="U51" s="186"/>
      <c r="V51" s="18"/>
      <c r="W51" s="374"/>
      <c r="X51" s="372"/>
      <c r="Y51" s="375"/>
      <c r="Z51" s="376"/>
      <c r="AA51" s="377"/>
      <c r="AB51" s="378"/>
      <c r="AC51" s="375"/>
      <c r="AD51" s="376"/>
      <c r="AE51" s="377"/>
      <c r="AF51" s="378"/>
      <c r="AG51" s="186"/>
      <c r="AH51" s="18"/>
      <c r="AI51" s="374"/>
      <c r="AJ51" s="372"/>
      <c r="AK51" s="365"/>
      <c r="AL51" s="365"/>
      <c r="AM51" s="365"/>
      <c r="AN51" s="365"/>
      <c r="AO51" s="365"/>
      <c r="AP51" s="365"/>
    </row>
    <row r="52">
      <c r="A52" s="302"/>
      <c r="B52" s="303"/>
      <c r="C52" s="304"/>
      <c r="D52" s="365"/>
      <c r="E52" s="302"/>
      <c r="F52" s="303"/>
      <c r="G52" s="304"/>
      <c r="H52" s="365"/>
      <c r="I52" s="302"/>
      <c r="J52" s="303"/>
      <c r="K52" s="304"/>
      <c r="L52" s="365"/>
      <c r="M52" s="302"/>
      <c r="N52" s="303"/>
      <c r="O52" s="304"/>
      <c r="P52" s="365"/>
      <c r="Q52" s="186"/>
      <c r="R52" s="18"/>
      <c r="S52" s="374"/>
      <c r="T52" s="372"/>
      <c r="U52" s="186"/>
      <c r="V52" s="18"/>
      <c r="W52" s="374"/>
      <c r="X52" s="372"/>
      <c r="Y52" s="375"/>
      <c r="Z52" s="376"/>
      <c r="AA52" s="377"/>
      <c r="AB52" s="378"/>
      <c r="AC52" s="375"/>
      <c r="AD52" s="376"/>
      <c r="AE52" s="377"/>
      <c r="AF52" s="378"/>
      <c r="AG52" s="186"/>
      <c r="AH52" s="18"/>
      <c r="AI52" s="374"/>
      <c r="AJ52" s="372"/>
      <c r="AK52" s="365"/>
      <c r="AL52" s="365"/>
      <c r="AM52" s="365"/>
      <c r="AN52" s="365"/>
      <c r="AO52" s="365"/>
      <c r="AP52" s="365"/>
    </row>
    <row r="53">
      <c r="A53" s="302"/>
      <c r="B53" s="303"/>
      <c r="C53" s="304"/>
      <c r="D53" s="365"/>
      <c r="E53" s="302"/>
      <c r="F53" s="303"/>
      <c r="G53" s="304"/>
      <c r="H53" s="365"/>
      <c r="I53" s="302"/>
      <c r="J53" s="303"/>
      <c r="K53" s="304"/>
      <c r="L53" s="365"/>
      <c r="M53" s="302"/>
      <c r="N53" s="303"/>
      <c r="O53" s="304"/>
      <c r="P53" s="365"/>
      <c r="Q53" s="186"/>
      <c r="R53" s="18"/>
      <c r="S53" s="374"/>
      <c r="T53" s="372"/>
      <c r="U53" s="186"/>
      <c r="V53" s="18"/>
      <c r="W53" s="374"/>
      <c r="X53" s="372"/>
      <c r="Y53" s="186"/>
      <c r="Z53" s="18"/>
      <c r="AA53" s="374"/>
      <c r="AB53" s="372"/>
      <c r="AC53" s="186"/>
      <c r="AD53" s="18"/>
      <c r="AE53" s="374"/>
      <c r="AF53" s="372"/>
      <c r="AG53" s="186"/>
      <c r="AH53" s="18"/>
      <c r="AI53" s="374"/>
      <c r="AJ53" s="372"/>
      <c r="AK53" s="365"/>
      <c r="AL53" s="365"/>
      <c r="AM53" s="365"/>
      <c r="AN53" s="365"/>
      <c r="AO53" s="365"/>
      <c r="AP53" s="365"/>
    </row>
    <row r="54">
      <c r="A54" s="302"/>
      <c r="B54" s="303"/>
      <c r="C54" s="304"/>
      <c r="D54" s="365"/>
      <c r="E54" s="302"/>
      <c r="F54" s="303"/>
      <c r="G54" s="304"/>
      <c r="H54" s="365"/>
      <c r="I54" s="302"/>
      <c r="J54" s="303"/>
      <c r="K54" s="304"/>
      <c r="L54" s="365"/>
      <c r="M54" s="302"/>
      <c r="N54" s="303"/>
      <c r="O54" s="304"/>
      <c r="P54" s="365"/>
      <c r="Q54" s="186"/>
      <c r="R54" s="18"/>
      <c r="S54" s="374"/>
      <c r="T54" s="372"/>
      <c r="U54" s="186"/>
      <c r="V54" s="18"/>
      <c r="W54" s="374"/>
      <c r="X54" s="372"/>
      <c r="Y54" s="186"/>
      <c r="Z54" s="18"/>
      <c r="AA54" s="374"/>
      <c r="AB54" s="372"/>
      <c r="AC54" s="186"/>
      <c r="AD54" s="18"/>
      <c r="AE54" s="374"/>
      <c r="AF54" s="372"/>
      <c r="AG54" s="186"/>
      <c r="AH54" s="18"/>
      <c r="AI54" s="374"/>
      <c r="AJ54" s="372"/>
      <c r="AK54" s="365"/>
      <c r="AL54" s="365"/>
      <c r="AM54" s="365"/>
      <c r="AN54" s="365"/>
      <c r="AO54" s="365"/>
      <c r="AP54" s="365"/>
    </row>
    <row r="55">
      <c r="A55" s="302"/>
      <c r="B55" s="303"/>
      <c r="C55" s="304"/>
      <c r="D55" s="365"/>
      <c r="E55" s="302"/>
      <c r="F55" s="303"/>
      <c r="G55" s="304"/>
      <c r="H55" s="365"/>
      <c r="I55" s="302"/>
      <c r="J55" s="303"/>
      <c r="K55" s="304"/>
      <c r="L55" s="365"/>
      <c r="M55" s="302"/>
      <c r="N55" s="303"/>
      <c r="O55" s="304"/>
      <c r="P55" s="365"/>
      <c r="Q55" s="186"/>
      <c r="R55" s="18"/>
      <c r="S55" s="374"/>
      <c r="T55" s="372"/>
      <c r="U55" s="186"/>
      <c r="V55" s="18"/>
      <c r="W55" s="374"/>
      <c r="X55" s="372"/>
      <c r="Y55" s="186"/>
      <c r="Z55" s="18"/>
      <c r="AA55" s="374"/>
      <c r="AB55" s="372"/>
      <c r="AC55" s="186"/>
      <c r="AD55" s="18"/>
      <c r="AE55" s="374"/>
      <c r="AF55" s="372"/>
      <c r="AG55" s="186"/>
      <c r="AH55" s="18"/>
      <c r="AI55" s="374"/>
      <c r="AJ55" s="372"/>
      <c r="AK55" s="365"/>
      <c r="AL55" s="365"/>
      <c r="AM55" s="365"/>
      <c r="AN55" s="365"/>
      <c r="AO55" s="365"/>
      <c r="AP55" s="365"/>
    </row>
    <row r="56">
      <c r="A56" s="302"/>
      <c r="B56" s="303"/>
      <c r="C56" s="304"/>
      <c r="D56" s="365"/>
      <c r="E56" s="302"/>
      <c r="F56" s="303"/>
      <c r="G56" s="304"/>
      <c r="H56" s="365"/>
      <c r="I56" s="302"/>
      <c r="J56" s="303"/>
      <c r="K56" s="304"/>
      <c r="L56" s="365"/>
      <c r="M56" s="302"/>
      <c r="N56" s="303"/>
      <c r="O56" s="304"/>
      <c r="P56" s="365"/>
      <c r="Q56" s="186"/>
      <c r="R56" s="18"/>
      <c r="S56" s="374"/>
      <c r="T56" s="372"/>
      <c r="U56" s="186"/>
      <c r="V56" s="18"/>
      <c r="W56" s="374"/>
      <c r="X56" s="372"/>
      <c r="Y56" s="186"/>
      <c r="Z56" s="18"/>
      <c r="AA56" s="374"/>
      <c r="AB56" s="372"/>
      <c r="AC56" s="186"/>
      <c r="AD56" s="18"/>
      <c r="AE56" s="374"/>
      <c r="AF56" s="372"/>
      <c r="AG56" s="186"/>
      <c r="AH56" s="18"/>
      <c r="AI56" s="374"/>
      <c r="AJ56" s="372"/>
      <c r="AK56" s="365"/>
      <c r="AL56" s="365"/>
      <c r="AM56" s="365"/>
      <c r="AN56" s="365"/>
      <c r="AO56" s="365"/>
      <c r="AP56" s="365"/>
    </row>
    <row r="57">
      <c r="A57" s="302"/>
      <c r="B57" s="303"/>
      <c r="C57" s="304"/>
      <c r="D57" s="365"/>
      <c r="E57" s="302"/>
      <c r="F57" s="303"/>
      <c r="G57" s="304"/>
      <c r="H57" s="365"/>
      <c r="I57" s="302"/>
      <c r="J57" s="303"/>
      <c r="K57" s="304"/>
      <c r="L57" s="365"/>
      <c r="M57" s="302"/>
      <c r="N57" s="303"/>
      <c r="O57" s="304"/>
      <c r="P57" s="365"/>
      <c r="Q57" s="186"/>
      <c r="R57" s="18"/>
      <c r="S57" s="374"/>
      <c r="T57" s="372"/>
      <c r="U57" s="186"/>
      <c r="V57" s="18"/>
      <c r="W57" s="374"/>
      <c r="X57" s="372"/>
      <c r="Y57" s="186"/>
      <c r="Z57" s="18"/>
      <c r="AA57" s="374"/>
      <c r="AB57" s="372"/>
      <c r="AC57" s="186"/>
      <c r="AD57" s="18"/>
      <c r="AE57" s="374"/>
      <c r="AF57" s="372"/>
      <c r="AG57" s="186"/>
      <c r="AH57" s="18"/>
      <c r="AI57" s="374"/>
      <c r="AJ57" s="372"/>
      <c r="AK57" s="365"/>
      <c r="AL57" s="365"/>
      <c r="AM57" s="365"/>
      <c r="AN57" s="365"/>
      <c r="AO57" s="365"/>
      <c r="AP57" s="365"/>
    </row>
    <row r="58">
      <c r="A58" s="302"/>
      <c r="B58" s="303"/>
      <c r="C58" s="304"/>
      <c r="D58" s="365"/>
      <c r="E58" s="302"/>
      <c r="F58" s="303"/>
      <c r="G58" s="304"/>
      <c r="H58" s="365"/>
      <c r="I58" s="302"/>
      <c r="J58" s="303"/>
      <c r="K58" s="304"/>
      <c r="L58" s="365"/>
      <c r="M58" s="302"/>
      <c r="N58" s="303"/>
      <c r="O58" s="304"/>
      <c r="P58" s="365"/>
      <c r="Q58" s="186"/>
      <c r="R58" s="18"/>
      <c r="S58" s="374"/>
      <c r="T58" s="372"/>
      <c r="U58" s="186"/>
      <c r="V58" s="18"/>
      <c r="W58" s="374"/>
      <c r="X58" s="372"/>
      <c r="Y58" s="186"/>
      <c r="Z58" s="18"/>
      <c r="AA58" s="374"/>
      <c r="AB58" s="372"/>
      <c r="AC58" s="186"/>
      <c r="AD58" s="18"/>
      <c r="AE58" s="374"/>
      <c r="AF58" s="372"/>
      <c r="AG58" s="186"/>
      <c r="AH58" s="18"/>
      <c r="AI58" s="374"/>
      <c r="AJ58" s="372"/>
      <c r="AK58" s="365"/>
      <c r="AL58" s="365"/>
      <c r="AM58" s="365"/>
      <c r="AN58" s="365"/>
      <c r="AO58" s="365"/>
      <c r="AP58" s="365"/>
    </row>
    <row r="59">
      <c r="A59" s="302"/>
      <c r="B59" s="303"/>
      <c r="C59" s="304"/>
      <c r="D59" s="365"/>
      <c r="E59" s="302"/>
      <c r="F59" s="303"/>
      <c r="G59" s="304"/>
      <c r="H59" s="365"/>
      <c r="I59" s="302"/>
      <c r="J59" s="303"/>
      <c r="K59" s="304"/>
      <c r="L59" s="365"/>
      <c r="M59" s="302"/>
      <c r="N59" s="303"/>
      <c r="O59" s="304"/>
      <c r="P59" s="365"/>
      <c r="Q59" s="186"/>
      <c r="R59" s="18"/>
      <c r="S59" s="374"/>
      <c r="T59" s="372"/>
      <c r="U59" s="186"/>
      <c r="V59" s="18"/>
      <c r="W59" s="374"/>
      <c r="X59" s="372"/>
      <c r="Y59" s="186"/>
      <c r="Z59" s="18"/>
      <c r="AA59" s="374"/>
      <c r="AB59" s="372"/>
      <c r="AC59" s="186"/>
      <c r="AD59" s="18"/>
      <c r="AE59" s="374"/>
      <c r="AF59" s="372"/>
      <c r="AG59" s="186"/>
      <c r="AH59" s="18"/>
      <c r="AI59" s="374"/>
      <c r="AJ59" s="372"/>
      <c r="AK59" s="365"/>
      <c r="AL59" s="365"/>
      <c r="AM59" s="365"/>
      <c r="AN59" s="365"/>
      <c r="AO59" s="365"/>
      <c r="AP59" s="365"/>
    </row>
    <row r="60">
      <c r="A60" s="302"/>
      <c r="B60" s="303"/>
      <c r="C60" s="304"/>
      <c r="D60" s="365"/>
      <c r="E60" s="302"/>
      <c r="F60" s="303"/>
      <c r="G60" s="304"/>
      <c r="H60" s="365"/>
      <c r="I60" s="302"/>
      <c r="J60" s="303"/>
      <c r="K60" s="304"/>
      <c r="L60" s="365"/>
      <c r="M60" s="302"/>
      <c r="N60" s="303"/>
      <c r="O60" s="304"/>
      <c r="P60" s="365"/>
      <c r="Q60" s="186"/>
      <c r="R60" s="18"/>
      <c r="S60" s="374"/>
      <c r="T60" s="372"/>
      <c r="U60" s="186"/>
      <c r="V60" s="18"/>
      <c r="W60" s="374"/>
      <c r="X60" s="372"/>
      <c r="Y60" s="186"/>
      <c r="Z60" s="18"/>
      <c r="AA60" s="374"/>
      <c r="AB60" s="372"/>
      <c r="AC60" s="186"/>
      <c r="AD60" s="18"/>
      <c r="AE60" s="374"/>
      <c r="AF60" s="372"/>
      <c r="AG60" s="186"/>
      <c r="AH60" s="18"/>
      <c r="AI60" s="374"/>
      <c r="AJ60" s="372"/>
      <c r="AK60" s="365"/>
      <c r="AL60" s="365"/>
      <c r="AM60" s="365"/>
      <c r="AN60" s="365"/>
      <c r="AO60" s="365"/>
      <c r="AP60" s="365"/>
    </row>
    <row r="61">
      <c r="A61" s="302"/>
      <c r="B61" s="303"/>
      <c r="C61" s="304"/>
      <c r="D61" s="365"/>
      <c r="E61" s="302"/>
      <c r="F61" s="303"/>
      <c r="G61" s="304"/>
      <c r="H61" s="365"/>
      <c r="I61" s="302"/>
      <c r="J61" s="303"/>
      <c r="K61" s="304"/>
      <c r="L61" s="365"/>
      <c r="M61" s="302"/>
      <c r="N61" s="303"/>
      <c r="O61" s="304"/>
      <c r="P61" s="365"/>
      <c r="Q61" s="186"/>
      <c r="R61" s="18"/>
      <c r="S61" s="374"/>
      <c r="T61" s="372"/>
      <c r="U61" s="186"/>
      <c r="V61" s="18"/>
      <c r="W61" s="374"/>
      <c r="X61" s="372"/>
      <c r="Y61" s="186"/>
      <c r="Z61" s="18"/>
      <c r="AA61" s="374"/>
      <c r="AB61" s="372"/>
      <c r="AC61" s="186"/>
      <c r="AD61" s="18"/>
      <c r="AE61" s="374"/>
      <c r="AF61" s="372"/>
      <c r="AG61" s="186"/>
      <c r="AH61" s="18"/>
      <c r="AI61" s="374"/>
      <c r="AJ61" s="372"/>
      <c r="AK61" s="365"/>
      <c r="AL61" s="365"/>
      <c r="AM61" s="365"/>
      <c r="AN61" s="365"/>
      <c r="AO61" s="365"/>
      <c r="AP61" s="365"/>
    </row>
    <row r="62">
      <c r="A62" s="302"/>
      <c r="B62" s="303"/>
      <c r="C62" s="304"/>
      <c r="D62" s="365"/>
      <c r="E62" s="302"/>
      <c r="F62" s="303"/>
      <c r="G62" s="304"/>
      <c r="H62" s="365"/>
      <c r="I62" s="302"/>
      <c r="J62" s="303"/>
      <c r="K62" s="304"/>
      <c r="L62" s="365"/>
      <c r="M62" s="302"/>
      <c r="N62" s="303"/>
      <c r="O62" s="304"/>
      <c r="P62" s="365"/>
      <c r="Q62" s="186"/>
      <c r="R62" s="18"/>
      <c r="S62" s="374"/>
      <c r="T62" s="372"/>
      <c r="U62" s="186"/>
      <c r="V62" s="18"/>
      <c r="W62" s="374"/>
      <c r="X62" s="372"/>
      <c r="Y62" s="186"/>
      <c r="Z62" s="18"/>
      <c r="AA62" s="374"/>
      <c r="AB62" s="372"/>
      <c r="AC62" s="186"/>
      <c r="AD62" s="18"/>
      <c r="AE62" s="374"/>
      <c r="AF62" s="372"/>
      <c r="AG62" s="186"/>
      <c r="AH62" s="18"/>
      <c r="AI62" s="374"/>
      <c r="AJ62" s="372"/>
      <c r="AK62" s="365"/>
      <c r="AL62" s="365"/>
      <c r="AM62" s="365"/>
      <c r="AN62" s="365"/>
      <c r="AO62" s="365"/>
      <c r="AP62" s="365"/>
    </row>
    <row r="63">
      <c r="A63" s="302"/>
      <c r="B63" s="303"/>
      <c r="C63" s="304"/>
      <c r="D63" s="365"/>
      <c r="E63" s="302"/>
      <c r="F63" s="303"/>
      <c r="G63" s="304"/>
      <c r="H63" s="365"/>
      <c r="I63" s="302"/>
      <c r="J63" s="303"/>
      <c r="K63" s="304"/>
      <c r="L63" s="365"/>
      <c r="M63" s="302"/>
      <c r="N63" s="303"/>
      <c r="O63" s="304"/>
      <c r="P63" s="365"/>
      <c r="Q63" s="186"/>
      <c r="R63" s="18"/>
      <c r="S63" s="374"/>
      <c r="T63" s="372"/>
      <c r="U63" s="186"/>
      <c r="V63" s="18"/>
      <c r="W63" s="374"/>
      <c r="X63" s="372"/>
      <c r="Y63" s="186"/>
      <c r="Z63" s="18"/>
      <c r="AA63" s="374"/>
      <c r="AB63" s="372"/>
      <c r="AC63" s="186"/>
      <c r="AD63" s="18"/>
      <c r="AE63" s="374"/>
      <c r="AF63" s="372"/>
      <c r="AG63" s="186"/>
      <c r="AH63" s="18"/>
      <c r="AI63" s="374"/>
      <c r="AJ63" s="372"/>
      <c r="AK63" s="365"/>
      <c r="AL63" s="365"/>
      <c r="AM63" s="365"/>
      <c r="AN63" s="365"/>
      <c r="AO63" s="365"/>
      <c r="AP63" s="365"/>
    </row>
    <row r="64">
      <c r="A64" s="302"/>
      <c r="B64" s="303"/>
      <c r="C64" s="304"/>
      <c r="D64" s="365"/>
      <c r="E64" s="302"/>
      <c r="F64" s="303"/>
      <c r="G64" s="304"/>
      <c r="H64" s="365"/>
      <c r="I64" s="302"/>
      <c r="J64" s="303"/>
      <c r="K64" s="304"/>
      <c r="L64" s="365"/>
      <c r="M64" s="302"/>
      <c r="N64" s="303"/>
      <c r="O64" s="304"/>
      <c r="P64" s="365"/>
      <c r="Q64" s="186"/>
      <c r="R64" s="18"/>
      <c r="S64" s="374"/>
      <c r="T64" s="372"/>
      <c r="U64" s="186"/>
      <c r="V64" s="18"/>
      <c r="W64" s="374"/>
      <c r="X64" s="372"/>
      <c r="Y64" s="186"/>
      <c r="Z64" s="18"/>
      <c r="AA64" s="374"/>
      <c r="AB64" s="372"/>
      <c r="AC64" s="186"/>
      <c r="AD64" s="18"/>
      <c r="AE64" s="374"/>
      <c r="AF64" s="372"/>
      <c r="AG64" s="186"/>
      <c r="AH64" s="18"/>
      <c r="AI64" s="374"/>
      <c r="AJ64" s="372"/>
      <c r="AK64" s="365"/>
      <c r="AL64" s="365"/>
      <c r="AM64" s="365"/>
      <c r="AN64" s="365"/>
      <c r="AO64" s="365"/>
      <c r="AP64" s="365"/>
    </row>
    <row r="65">
      <c r="A65" s="302"/>
      <c r="B65" s="303"/>
      <c r="C65" s="304"/>
      <c r="D65" s="365"/>
      <c r="E65" s="302"/>
      <c r="F65" s="303"/>
      <c r="G65" s="304"/>
      <c r="H65" s="365"/>
      <c r="I65" s="302"/>
      <c r="J65" s="303"/>
      <c r="K65" s="304"/>
      <c r="L65" s="365"/>
      <c r="M65" s="302"/>
      <c r="N65" s="303"/>
      <c r="O65" s="304"/>
      <c r="P65" s="365"/>
      <c r="Q65" s="186"/>
      <c r="R65" s="18"/>
      <c r="S65" s="374"/>
      <c r="T65" s="372"/>
      <c r="U65" s="186"/>
      <c r="V65" s="18"/>
      <c r="W65" s="374"/>
      <c r="X65" s="372"/>
      <c r="Y65" s="186"/>
      <c r="Z65" s="18"/>
      <c r="AA65" s="374"/>
      <c r="AB65" s="372"/>
      <c r="AC65" s="186"/>
      <c r="AD65" s="18"/>
      <c r="AE65" s="374"/>
      <c r="AF65" s="372"/>
      <c r="AG65" s="186"/>
      <c r="AH65" s="18"/>
      <c r="AI65" s="374"/>
      <c r="AJ65" s="372"/>
      <c r="AK65" s="365"/>
      <c r="AL65" s="365"/>
      <c r="AM65" s="365"/>
      <c r="AN65" s="365"/>
      <c r="AO65" s="365"/>
      <c r="AP65" s="365"/>
    </row>
    <row r="66">
      <c r="A66" s="302"/>
      <c r="B66" s="303"/>
      <c r="C66" s="304"/>
      <c r="D66" s="365"/>
      <c r="E66" s="302"/>
      <c r="F66" s="303"/>
      <c r="G66" s="304"/>
      <c r="H66" s="365"/>
      <c r="I66" s="302"/>
      <c r="J66" s="303"/>
      <c r="K66" s="304"/>
      <c r="L66" s="365"/>
      <c r="M66" s="302"/>
      <c r="N66" s="303"/>
      <c r="O66" s="304"/>
      <c r="P66" s="365"/>
      <c r="Q66" s="186"/>
      <c r="R66" s="18"/>
      <c r="S66" s="374"/>
      <c r="T66" s="372"/>
      <c r="U66" s="186"/>
      <c r="V66" s="18"/>
      <c r="W66" s="374"/>
      <c r="X66" s="372"/>
      <c r="Y66" s="186"/>
      <c r="Z66" s="18"/>
      <c r="AA66" s="374"/>
      <c r="AB66" s="372"/>
      <c r="AC66" s="186"/>
      <c r="AD66" s="18"/>
      <c r="AE66" s="374"/>
      <c r="AF66" s="372"/>
      <c r="AG66" s="186"/>
      <c r="AH66" s="18"/>
      <c r="AI66" s="374"/>
      <c r="AJ66" s="372"/>
      <c r="AK66" s="365"/>
      <c r="AL66" s="365"/>
      <c r="AM66" s="365"/>
      <c r="AN66" s="365"/>
      <c r="AO66" s="365"/>
      <c r="AP66" s="365"/>
    </row>
    <row r="67">
      <c r="A67" s="302"/>
      <c r="B67" s="303"/>
      <c r="C67" s="304"/>
      <c r="D67" s="365"/>
      <c r="E67" s="302"/>
      <c r="F67" s="303"/>
      <c r="G67" s="304"/>
      <c r="H67" s="365"/>
      <c r="I67" s="302"/>
      <c r="J67" s="303"/>
      <c r="K67" s="304"/>
      <c r="L67" s="365"/>
      <c r="M67" s="302"/>
      <c r="N67" s="303"/>
      <c r="O67" s="304"/>
      <c r="P67" s="365"/>
      <c r="Q67" s="186"/>
      <c r="R67" s="18"/>
      <c r="S67" s="374"/>
      <c r="T67" s="372"/>
      <c r="U67" s="186"/>
      <c r="V67" s="18"/>
      <c r="W67" s="374"/>
      <c r="X67" s="372"/>
      <c r="Y67" s="186"/>
      <c r="Z67" s="18"/>
      <c r="AA67" s="374"/>
      <c r="AB67" s="372"/>
      <c r="AC67" s="186"/>
      <c r="AD67" s="18"/>
      <c r="AE67" s="374"/>
      <c r="AF67" s="372"/>
      <c r="AG67" s="186"/>
      <c r="AH67" s="18"/>
      <c r="AI67" s="374"/>
      <c r="AJ67" s="372"/>
      <c r="AK67" s="365"/>
      <c r="AL67" s="365"/>
      <c r="AM67" s="365"/>
      <c r="AN67" s="365"/>
      <c r="AO67" s="365"/>
      <c r="AP67" s="365"/>
    </row>
    <row r="68">
      <c r="A68" s="302"/>
      <c r="B68" s="303"/>
      <c r="C68" s="304"/>
      <c r="D68" s="365"/>
      <c r="E68" s="302"/>
      <c r="F68" s="303"/>
      <c r="G68" s="304"/>
      <c r="H68" s="365"/>
      <c r="I68" s="302"/>
      <c r="J68" s="303"/>
      <c r="K68" s="304"/>
      <c r="L68" s="365"/>
      <c r="M68" s="302"/>
      <c r="N68" s="303"/>
      <c r="O68" s="304"/>
      <c r="P68" s="365"/>
      <c r="Q68" s="186"/>
      <c r="R68" s="18"/>
      <c r="S68" s="374"/>
      <c r="T68" s="372"/>
      <c r="U68" s="186"/>
      <c r="V68" s="18"/>
      <c r="W68" s="374"/>
      <c r="X68" s="372"/>
      <c r="Y68" s="186"/>
      <c r="Z68" s="18"/>
      <c r="AA68" s="374"/>
      <c r="AB68" s="372"/>
      <c r="AC68" s="186"/>
      <c r="AD68" s="18"/>
      <c r="AE68" s="374"/>
      <c r="AF68" s="372"/>
      <c r="AG68" s="186"/>
      <c r="AH68" s="18"/>
      <c r="AI68" s="374"/>
      <c r="AJ68" s="372"/>
      <c r="AK68" s="365"/>
      <c r="AL68" s="365"/>
      <c r="AM68" s="365"/>
      <c r="AN68" s="365"/>
      <c r="AO68" s="365"/>
      <c r="AP68" s="365"/>
    </row>
    <row r="69">
      <c r="A69" s="302"/>
      <c r="B69" s="303"/>
      <c r="C69" s="304"/>
      <c r="D69" s="365"/>
      <c r="E69" s="302"/>
      <c r="F69" s="303"/>
      <c r="G69" s="304"/>
      <c r="H69" s="365"/>
      <c r="I69" s="302"/>
      <c r="J69" s="303"/>
      <c r="K69" s="304"/>
      <c r="L69" s="365"/>
      <c r="M69" s="302"/>
      <c r="N69" s="303"/>
      <c r="O69" s="304"/>
      <c r="P69" s="365"/>
      <c r="Q69" s="186"/>
      <c r="R69" s="18"/>
      <c r="S69" s="374"/>
      <c r="T69" s="372"/>
      <c r="U69" s="186"/>
      <c r="V69" s="18"/>
      <c r="W69" s="374"/>
      <c r="X69" s="372"/>
      <c r="Y69" s="186"/>
      <c r="Z69" s="18"/>
      <c r="AA69" s="374"/>
      <c r="AB69" s="372"/>
      <c r="AC69" s="186"/>
      <c r="AD69" s="18"/>
      <c r="AE69" s="374"/>
      <c r="AF69" s="372"/>
      <c r="AG69" s="186"/>
      <c r="AH69" s="18"/>
      <c r="AI69" s="374"/>
      <c r="AJ69" s="372"/>
      <c r="AK69" s="365"/>
      <c r="AL69" s="365"/>
      <c r="AM69" s="365"/>
      <c r="AN69" s="365"/>
      <c r="AO69" s="365"/>
      <c r="AP69" s="365"/>
    </row>
    <row r="70">
      <c r="A70" s="302"/>
      <c r="B70" s="303"/>
      <c r="C70" s="304"/>
      <c r="D70" s="365"/>
      <c r="E70" s="302"/>
      <c r="F70" s="303"/>
      <c r="G70" s="304"/>
      <c r="H70" s="365"/>
      <c r="I70" s="302"/>
      <c r="J70" s="303"/>
      <c r="K70" s="304"/>
      <c r="L70" s="365"/>
      <c r="M70" s="302"/>
      <c r="N70" s="303"/>
      <c r="O70" s="304"/>
      <c r="P70" s="365"/>
      <c r="Q70" s="186"/>
      <c r="R70" s="18"/>
      <c r="S70" s="374"/>
      <c r="T70" s="372"/>
      <c r="U70" s="186"/>
      <c r="V70" s="18"/>
      <c r="W70" s="374"/>
      <c r="X70" s="372"/>
      <c r="Y70" s="186"/>
      <c r="Z70" s="18"/>
      <c r="AA70" s="374"/>
      <c r="AB70" s="372"/>
      <c r="AC70" s="186"/>
      <c r="AD70" s="18"/>
      <c r="AE70" s="374"/>
      <c r="AF70" s="372"/>
      <c r="AG70" s="186"/>
      <c r="AH70" s="18"/>
      <c r="AI70" s="374"/>
      <c r="AJ70" s="372"/>
      <c r="AK70" s="365"/>
      <c r="AL70" s="365"/>
      <c r="AM70" s="365"/>
      <c r="AN70" s="365"/>
      <c r="AO70" s="365"/>
      <c r="AP70" s="365"/>
    </row>
    <row r="71">
      <c r="A71" s="302"/>
      <c r="B71" s="303"/>
      <c r="C71" s="304"/>
      <c r="D71" s="365"/>
      <c r="E71" s="302"/>
      <c r="F71" s="303"/>
      <c r="G71" s="304"/>
      <c r="H71" s="365"/>
      <c r="I71" s="302"/>
      <c r="J71" s="303"/>
      <c r="K71" s="304"/>
      <c r="L71" s="365"/>
      <c r="M71" s="302"/>
      <c r="N71" s="303"/>
      <c r="O71" s="304"/>
      <c r="P71" s="365"/>
      <c r="Q71" s="186"/>
      <c r="R71" s="18"/>
      <c r="S71" s="374"/>
      <c r="T71" s="372"/>
      <c r="U71" s="186"/>
      <c r="V71" s="18"/>
      <c r="W71" s="374"/>
      <c r="X71" s="372"/>
      <c r="Y71" s="186"/>
      <c r="Z71" s="18"/>
      <c r="AA71" s="374"/>
      <c r="AB71" s="372"/>
      <c r="AC71" s="186"/>
      <c r="AD71" s="18"/>
      <c r="AE71" s="374"/>
      <c r="AF71" s="372"/>
      <c r="AG71" s="186"/>
      <c r="AH71" s="18"/>
      <c r="AI71" s="374"/>
      <c r="AJ71" s="372"/>
      <c r="AK71" s="365"/>
      <c r="AL71" s="365"/>
      <c r="AM71" s="365"/>
      <c r="AN71" s="365"/>
      <c r="AO71" s="365"/>
      <c r="AP71" s="365"/>
    </row>
    <row r="72">
      <c r="A72" s="302"/>
      <c r="B72" s="303"/>
      <c r="C72" s="304"/>
      <c r="D72" s="365"/>
      <c r="E72" s="302"/>
      <c r="F72" s="303"/>
      <c r="G72" s="304"/>
      <c r="H72" s="365"/>
      <c r="I72" s="302"/>
      <c r="J72" s="303"/>
      <c r="K72" s="304"/>
      <c r="L72" s="365"/>
      <c r="M72" s="302"/>
      <c r="N72" s="303"/>
      <c r="O72" s="304"/>
      <c r="P72" s="365"/>
      <c r="Q72" s="186"/>
      <c r="R72" s="18"/>
      <c r="S72" s="374"/>
      <c r="T72" s="372"/>
      <c r="U72" s="186"/>
      <c r="V72" s="18"/>
      <c r="W72" s="374"/>
      <c r="X72" s="372"/>
      <c r="Y72" s="186"/>
      <c r="Z72" s="18"/>
      <c r="AA72" s="374"/>
      <c r="AB72" s="372"/>
      <c r="AC72" s="186"/>
      <c r="AD72" s="18"/>
      <c r="AE72" s="374"/>
      <c r="AF72" s="372"/>
      <c r="AG72" s="186"/>
      <c r="AH72" s="18"/>
      <c r="AI72" s="374"/>
      <c r="AJ72" s="372"/>
      <c r="AK72" s="365"/>
      <c r="AL72" s="365"/>
      <c r="AM72" s="365"/>
      <c r="AN72" s="365"/>
      <c r="AO72" s="365"/>
      <c r="AP72" s="365"/>
    </row>
    <row r="73">
      <c r="A73" s="302"/>
      <c r="B73" s="303"/>
      <c r="C73" s="304"/>
      <c r="D73" s="365"/>
      <c r="E73" s="302"/>
      <c r="F73" s="303"/>
      <c r="G73" s="304"/>
      <c r="H73" s="365"/>
      <c r="I73" s="302"/>
      <c r="J73" s="303"/>
      <c r="K73" s="304"/>
      <c r="L73" s="365"/>
      <c r="M73" s="302"/>
      <c r="N73" s="303"/>
      <c r="O73" s="304"/>
      <c r="P73" s="365"/>
      <c r="Q73" s="186"/>
      <c r="R73" s="18"/>
      <c r="S73" s="374"/>
      <c r="T73" s="372"/>
      <c r="U73" s="186"/>
      <c r="V73" s="18"/>
      <c r="W73" s="374"/>
      <c r="X73" s="372"/>
      <c r="Y73" s="186"/>
      <c r="Z73" s="18"/>
      <c r="AA73" s="374"/>
      <c r="AB73" s="372"/>
      <c r="AC73" s="186"/>
      <c r="AD73" s="18"/>
      <c r="AE73" s="374"/>
      <c r="AF73" s="372"/>
      <c r="AG73" s="186"/>
      <c r="AH73" s="18"/>
      <c r="AI73" s="374"/>
      <c r="AJ73" s="372"/>
      <c r="AK73" s="365"/>
      <c r="AL73" s="365"/>
      <c r="AM73" s="365"/>
      <c r="AN73" s="365"/>
      <c r="AO73" s="365"/>
      <c r="AP73" s="365"/>
    </row>
    <row r="74">
      <c r="A74" s="302"/>
      <c r="B74" s="303"/>
      <c r="C74" s="304"/>
      <c r="D74" s="365"/>
      <c r="E74" s="302"/>
      <c r="F74" s="303"/>
      <c r="G74" s="304"/>
      <c r="H74" s="365"/>
      <c r="I74" s="302"/>
      <c r="J74" s="303"/>
      <c r="K74" s="304"/>
      <c r="L74" s="365"/>
      <c r="M74" s="302"/>
      <c r="N74" s="303"/>
      <c r="O74" s="304"/>
      <c r="P74" s="365"/>
      <c r="Q74" s="186"/>
      <c r="R74" s="18"/>
      <c r="S74" s="374"/>
      <c r="T74" s="372"/>
      <c r="U74" s="186"/>
      <c r="V74" s="18"/>
      <c r="W74" s="374"/>
      <c r="X74" s="372"/>
      <c r="Y74" s="186"/>
      <c r="Z74" s="18"/>
      <c r="AA74" s="374"/>
      <c r="AB74" s="372"/>
      <c r="AC74" s="186"/>
      <c r="AD74" s="18"/>
      <c r="AE74" s="374"/>
      <c r="AF74" s="372"/>
      <c r="AG74" s="186"/>
      <c r="AH74" s="18"/>
      <c r="AI74" s="374"/>
      <c r="AJ74" s="372"/>
      <c r="AK74" s="365"/>
      <c r="AL74" s="365"/>
      <c r="AM74" s="365"/>
      <c r="AN74" s="365"/>
      <c r="AO74" s="365"/>
      <c r="AP74" s="365"/>
    </row>
    <row r="75">
      <c r="A75" s="302"/>
      <c r="B75" s="303"/>
      <c r="C75" s="304"/>
      <c r="D75" s="365"/>
      <c r="E75" s="302"/>
      <c r="F75" s="303"/>
      <c r="G75" s="304"/>
      <c r="H75" s="365"/>
      <c r="I75" s="302"/>
      <c r="J75" s="303"/>
      <c r="K75" s="304"/>
      <c r="L75" s="365"/>
      <c r="M75" s="302"/>
      <c r="N75" s="303"/>
      <c r="O75" s="304"/>
      <c r="P75" s="365"/>
      <c r="Q75" s="186"/>
      <c r="R75" s="18"/>
      <c r="S75" s="374"/>
      <c r="T75" s="372"/>
      <c r="U75" s="186"/>
      <c r="V75" s="18"/>
      <c r="W75" s="374"/>
      <c r="X75" s="372"/>
      <c r="Y75" s="186"/>
      <c r="Z75" s="18"/>
      <c r="AA75" s="374"/>
      <c r="AB75" s="372"/>
      <c r="AC75" s="186"/>
      <c r="AD75" s="18"/>
      <c r="AE75" s="374"/>
      <c r="AF75" s="372"/>
      <c r="AG75" s="186"/>
      <c r="AH75" s="18"/>
      <c r="AI75" s="374"/>
      <c r="AJ75" s="372"/>
      <c r="AK75" s="365"/>
      <c r="AL75" s="365"/>
      <c r="AM75" s="365"/>
      <c r="AN75" s="365"/>
      <c r="AO75" s="365"/>
      <c r="AP75" s="365"/>
    </row>
    <row r="76">
      <c r="A76" s="302"/>
      <c r="B76" s="303"/>
      <c r="C76" s="304"/>
      <c r="D76" s="365"/>
      <c r="E76" s="302"/>
      <c r="F76" s="303"/>
      <c r="G76" s="304"/>
      <c r="H76" s="365"/>
      <c r="I76" s="302"/>
      <c r="J76" s="303"/>
      <c r="K76" s="304"/>
      <c r="L76" s="365"/>
      <c r="M76" s="302"/>
      <c r="N76" s="303"/>
      <c r="O76" s="304"/>
      <c r="P76" s="365"/>
      <c r="Q76" s="186"/>
      <c r="R76" s="18"/>
      <c r="S76" s="374"/>
      <c r="T76" s="372"/>
      <c r="U76" s="186"/>
      <c r="V76" s="18"/>
      <c r="W76" s="374"/>
      <c r="X76" s="372"/>
      <c r="Y76" s="186"/>
      <c r="Z76" s="18"/>
      <c r="AA76" s="374"/>
      <c r="AB76" s="372"/>
      <c r="AC76" s="186"/>
      <c r="AD76" s="18"/>
      <c r="AE76" s="374"/>
      <c r="AF76" s="372"/>
      <c r="AG76" s="186"/>
      <c r="AH76" s="18"/>
      <c r="AI76" s="374"/>
      <c r="AJ76" s="372"/>
      <c r="AK76" s="365"/>
      <c r="AL76" s="365"/>
      <c r="AM76" s="365"/>
      <c r="AN76" s="365"/>
      <c r="AO76" s="365"/>
      <c r="AP76" s="365"/>
    </row>
    <row r="77">
      <c r="A77" s="302"/>
      <c r="B77" s="303"/>
      <c r="C77" s="304"/>
      <c r="D77" s="365"/>
      <c r="E77" s="302"/>
      <c r="F77" s="303"/>
      <c r="G77" s="304"/>
      <c r="H77" s="365"/>
      <c r="I77" s="302"/>
      <c r="J77" s="303"/>
      <c r="K77" s="304"/>
      <c r="L77" s="365"/>
      <c r="M77" s="302"/>
      <c r="N77" s="303"/>
      <c r="O77" s="304"/>
      <c r="P77" s="365"/>
      <c r="Q77" s="186"/>
      <c r="R77" s="18"/>
      <c r="S77" s="374"/>
      <c r="T77" s="372"/>
      <c r="U77" s="186"/>
      <c r="V77" s="18"/>
      <c r="W77" s="374"/>
      <c r="X77" s="372"/>
      <c r="Y77" s="186"/>
      <c r="Z77" s="18"/>
      <c r="AA77" s="374"/>
      <c r="AB77" s="372"/>
      <c r="AC77" s="186"/>
      <c r="AD77" s="18"/>
      <c r="AE77" s="374"/>
      <c r="AF77" s="372"/>
      <c r="AG77" s="186"/>
      <c r="AH77" s="18"/>
      <c r="AI77" s="374"/>
      <c r="AJ77" s="372"/>
      <c r="AK77" s="365"/>
      <c r="AL77" s="365"/>
      <c r="AM77" s="365"/>
      <c r="AN77" s="365"/>
      <c r="AO77" s="365"/>
      <c r="AP77" s="365"/>
    </row>
    <row r="78">
      <c r="A78" s="302"/>
      <c r="B78" s="303"/>
      <c r="C78" s="304"/>
      <c r="D78" s="365"/>
      <c r="E78" s="302"/>
      <c r="F78" s="303"/>
      <c r="G78" s="304"/>
      <c r="H78" s="365"/>
      <c r="I78" s="302"/>
      <c r="J78" s="303"/>
      <c r="K78" s="304"/>
      <c r="L78" s="365"/>
      <c r="M78" s="302"/>
      <c r="N78" s="303"/>
      <c r="O78" s="304"/>
      <c r="P78" s="365"/>
      <c r="Q78" s="186"/>
      <c r="R78" s="18"/>
      <c r="S78" s="374"/>
      <c r="T78" s="372"/>
      <c r="U78" s="186"/>
      <c r="V78" s="18"/>
      <c r="W78" s="374"/>
      <c r="X78" s="372"/>
      <c r="Y78" s="186"/>
      <c r="Z78" s="18"/>
      <c r="AA78" s="374"/>
      <c r="AB78" s="372"/>
      <c r="AC78" s="186"/>
      <c r="AD78" s="18"/>
      <c r="AE78" s="374"/>
      <c r="AF78" s="372"/>
      <c r="AG78" s="186"/>
      <c r="AH78" s="18"/>
      <c r="AI78" s="374"/>
      <c r="AJ78" s="372"/>
      <c r="AK78" s="365"/>
      <c r="AL78" s="365"/>
      <c r="AM78" s="365"/>
      <c r="AN78" s="365"/>
      <c r="AO78" s="365"/>
      <c r="AP78" s="365"/>
    </row>
    <row r="79">
      <c r="A79" s="302"/>
      <c r="B79" s="303"/>
      <c r="C79" s="304"/>
      <c r="D79" s="365"/>
      <c r="E79" s="302"/>
      <c r="F79" s="303"/>
      <c r="G79" s="304"/>
      <c r="H79" s="365"/>
      <c r="I79" s="302"/>
      <c r="J79" s="303"/>
      <c r="K79" s="304"/>
      <c r="L79" s="365"/>
      <c r="M79" s="302"/>
      <c r="N79" s="303"/>
      <c r="O79" s="304"/>
      <c r="P79" s="365"/>
      <c r="Q79" s="186"/>
      <c r="R79" s="18"/>
      <c r="S79" s="374"/>
      <c r="T79" s="372"/>
      <c r="U79" s="186"/>
      <c r="V79" s="18"/>
      <c r="W79" s="374"/>
      <c r="X79" s="372"/>
      <c r="Y79" s="186"/>
      <c r="Z79" s="18"/>
      <c r="AA79" s="374"/>
      <c r="AB79" s="372"/>
      <c r="AC79" s="186"/>
      <c r="AD79" s="18"/>
      <c r="AE79" s="374"/>
      <c r="AF79" s="372"/>
      <c r="AG79" s="186"/>
      <c r="AH79" s="18"/>
      <c r="AI79" s="374"/>
      <c r="AJ79" s="372"/>
      <c r="AK79" s="365"/>
      <c r="AL79" s="365"/>
      <c r="AM79" s="365"/>
      <c r="AN79" s="365"/>
      <c r="AO79" s="365"/>
      <c r="AP79" s="365"/>
    </row>
    <row r="80">
      <c r="A80" s="302"/>
      <c r="B80" s="303"/>
      <c r="C80" s="304"/>
      <c r="D80" s="365"/>
      <c r="E80" s="302"/>
      <c r="F80" s="303"/>
      <c r="G80" s="304"/>
      <c r="H80" s="365"/>
      <c r="I80" s="302"/>
      <c r="J80" s="303"/>
      <c r="K80" s="304"/>
      <c r="L80" s="365"/>
      <c r="M80" s="302"/>
      <c r="N80" s="303"/>
      <c r="O80" s="304"/>
      <c r="P80" s="365"/>
      <c r="Q80" s="186"/>
      <c r="R80" s="18"/>
      <c r="S80" s="374"/>
      <c r="T80" s="372"/>
      <c r="U80" s="186"/>
      <c r="V80" s="18"/>
      <c r="W80" s="374"/>
      <c r="X80" s="372"/>
      <c r="Y80" s="186"/>
      <c r="Z80" s="18"/>
      <c r="AA80" s="374"/>
      <c r="AB80" s="372"/>
      <c r="AC80" s="186"/>
      <c r="AD80" s="18"/>
      <c r="AE80" s="374"/>
      <c r="AF80" s="372"/>
      <c r="AG80" s="186"/>
      <c r="AH80" s="18"/>
      <c r="AI80" s="374"/>
      <c r="AJ80" s="372"/>
      <c r="AK80" s="365"/>
      <c r="AL80" s="365"/>
      <c r="AM80" s="365"/>
      <c r="AN80" s="365"/>
      <c r="AO80" s="365"/>
      <c r="AP80" s="365"/>
    </row>
    <row r="81">
      <c r="A81" s="302"/>
      <c r="B81" s="303"/>
      <c r="C81" s="304"/>
      <c r="D81" s="365"/>
      <c r="E81" s="302"/>
      <c r="F81" s="303"/>
      <c r="G81" s="304"/>
      <c r="H81" s="365"/>
      <c r="I81" s="302"/>
      <c r="J81" s="303"/>
      <c r="K81" s="304"/>
      <c r="L81" s="365"/>
      <c r="M81" s="302"/>
      <c r="N81" s="303"/>
      <c r="O81" s="304"/>
      <c r="P81" s="365"/>
      <c r="Q81" s="186"/>
      <c r="R81" s="18"/>
      <c r="S81" s="374"/>
      <c r="T81" s="372"/>
      <c r="U81" s="186"/>
      <c r="V81" s="18"/>
      <c r="W81" s="374"/>
      <c r="X81" s="372"/>
      <c r="Y81" s="186"/>
      <c r="Z81" s="18"/>
      <c r="AA81" s="374"/>
      <c r="AB81" s="372"/>
      <c r="AC81" s="186"/>
      <c r="AD81" s="18"/>
      <c r="AE81" s="374"/>
      <c r="AF81" s="372"/>
      <c r="AG81" s="186"/>
      <c r="AH81" s="18"/>
      <c r="AI81" s="374"/>
      <c r="AJ81" s="372"/>
      <c r="AK81" s="365"/>
      <c r="AL81" s="365"/>
      <c r="AM81" s="365"/>
      <c r="AN81" s="365"/>
      <c r="AO81" s="365"/>
      <c r="AP81" s="365"/>
    </row>
    <row r="82">
      <c r="A82" s="302"/>
      <c r="B82" s="303"/>
      <c r="C82" s="304"/>
      <c r="D82" s="365"/>
      <c r="E82" s="302"/>
      <c r="F82" s="303"/>
      <c r="G82" s="304"/>
      <c r="H82" s="365"/>
      <c r="I82" s="302"/>
      <c r="J82" s="303"/>
      <c r="K82" s="304"/>
      <c r="L82" s="365"/>
      <c r="M82" s="302"/>
      <c r="N82" s="303"/>
      <c r="O82" s="304"/>
      <c r="P82" s="365"/>
      <c r="Q82" s="186"/>
      <c r="R82" s="18"/>
      <c r="S82" s="374"/>
      <c r="T82" s="372"/>
      <c r="U82" s="186"/>
      <c r="V82" s="18"/>
      <c r="W82" s="374"/>
      <c r="X82" s="372"/>
      <c r="Y82" s="186"/>
      <c r="Z82" s="18"/>
      <c r="AA82" s="374"/>
      <c r="AB82" s="372"/>
      <c r="AC82" s="186"/>
      <c r="AD82" s="18"/>
      <c r="AE82" s="374"/>
      <c r="AF82" s="372"/>
      <c r="AG82" s="186"/>
      <c r="AH82" s="18"/>
      <c r="AI82" s="374"/>
      <c r="AJ82" s="372"/>
      <c r="AK82" s="365"/>
      <c r="AL82" s="365"/>
      <c r="AM82" s="365"/>
      <c r="AN82" s="365"/>
      <c r="AO82" s="365"/>
      <c r="AP82" s="365"/>
    </row>
    <row r="83">
      <c r="A83" s="302"/>
      <c r="B83" s="303"/>
      <c r="C83" s="304"/>
      <c r="D83" s="365"/>
      <c r="E83" s="302"/>
      <c r="F83" s="303"/>
      <c r="G83" s="304"/>
      <c r="H83" s="365"/>
      <c r="I83" s="302"/>
      <c r="J83" s="303"/>
      <c r="K83" s="304"/>
      <c r="L83" s="365"/>
      <c r="M83" s="302"/>
      <c r="N83" s="303"/>
      <c r="O83" s="304"/>
      <c r="P83" s="365"/>
      <c r="Q83" s="186"/>
      <c r="R83" s="18"/>
      <c r="S83" s="374"/>
      <c r="T83" s="372"/>
      <c r="U83" s="186"/>
      <c r="V83" s="18"/>
      <c r="W83" s="374"/>
      <c r="X83" s="372"/>
      <c r="Y83" s="186"/>
      <c r="Z83" s="18"/>
      <c r="AA83" s="374"/>
      <c r="AB83" s="372"/>
      <c r="AC83" s="186"/>
      <c r="AD83" s="18"/>
      <c r="AE83" s="374"/>
      <c r="AF83" s="372"/>
      <c r="AG83" s="186"/>
      <c r="AH83" s="18"/>
      <c r="AI83" s="374"/>
      <c r="AJ83" s="372"/>
      <c r="AK83" s="365"/>
      <c r="AL83" s="365"/>
      <c r="AM83" s="365"/>
      <c r="AN83" s="365"/>
      <c r="AO83" s="365"/>
      <c r="AP83" s="365"/>
    </row>
    <row r="84">
      <c r="A84" s="302"/>
      <c r="B84" s="303"/>
      <c r="C84" s="304"/>
      <c r="D84" s="365"/>
      <c r="E84" s="302"/>
      <c r="F84" s="303"/>
      <c r="G84" s="304"/>
      <c r="H84" s="365"/>
      <c r="I84" s="302"/>
      <c r="J84" s="303"/>
      <c r="K84" s="304"/>
      <c r="L84" s="365"/>
      <c r="M84" s="302"/>
      <c r="N84" s="303"/>
      <c r="O84" s="304"/>
      <c r="P84" s="365"/>
      <c r="Q84" s="186"/>
      <c r="R84" s="18"/>
      <c r="S84" s="374"/>
      <c r="T84" s="372"/>
      <c r="U84" s="186"/>
      <c r="V84" s="18"/>
      <c r="W84" s="374"/>
      <c r="X84" s="372"/>
      <c r="Y84" s="186"/>
      <c r="Z84" s="18"/>
      <c r="AA84" s="374"/>
      <c r="AB84" s="372"/>
      <c r="AC84" s="186"/>
      <c r="AD84" s="18"/>
      <c r="AE84" s="374"/>
      <c r="AF84" s="372"/>
      <c r="AG84" s="186"/>
      <c r="AH84" s="18"/>
      <c r="AI84" s="374"/>
      <c r="AJ84" s="372"/>
      <c r="AK84" s="365"/>
      <c r="AL84" s="365"/>
      <c r="AM84" s="365"/>
      <c r="AN84" s="365"/>
      <c r="AO84" s="365"/>
      <c r="AP84" s="365"/>
    </row>
    <row r="85">
      <c r="A85" s="302"/>
      <c r="B85" s="303"/>
      <c r="C85" s="304"/>
      <c r="D85" s="365"/>
      <c r="E85" s="302"/>
      <c r="F85" s="303"/>
      <c r="G85" s="304"/>
      <c r="H85" s="365"/>
      <c r="I85" s="302"/>
      <c r="J85" s="303"/>
      <c r="K85" s="304"/>
      <c r="L85" s="365"/>
      <c r="M85" s="302"/>
      <c r="N85" s="303"/>
      <c r="O85" s="304"/>
      <c r="P85" s="365"/>
      <c r="Q85" s="186"/>
      <c r="R85" s="18"/>
      <c r="S85" s="374"/>
      <c r="T85" s="372"/>
      <c r="U85" s="186"/>
      <c r="V85" s="18"/>
      <c r="W85" s="374"/>
      <c r="X85" s="372"/>
      <c r="Y85" s="186"/>
      <c r="Z85" s="18"/>
      <c r="AA85" s="374"/>
      <c r="AB85" s="372"/>
      <c r="AC85" s="186"/>
      <c r="AD85" s="18"/>
      <c r="AE85" s="374"/>
      <c r="AF85" s="372"/>
      <c r="AG85" s="186"/>
      <c r="AH85" s="18"/>
      <c r="AI85" s="374"/>
      <c r="AJ85" s="372"/>
      <c r="AK85" s="365"/>
      <c r="AL85" s="365"/>
      <c r="AM85" s="365"/>
      <c r="AN85" s="365"/>
      <c r="AO85" s="365"/>
      <c r="AP85" s="365"/>
    </row>
    <row r="86">
      <c r="A86" s="302"/>
      <c r="B86" s="303"/>
      <c r="C86" s="304"/>
      <c r="D86" s="365"/>
      <c r="E86" s="302"/>
      <c r="F86" s="303"/>
      <c r="G86" s="304"/>
      <c r="H86" s="365"/>
      <c r="I86" s="302"/>
      <c r="J86" s="303"/>
      <c r="K86" s="304"/>
      <c r="L86" s="365"/>
      <c r="M86" s="302"/>
      <c r="N86" s="303"/>
      <c r="O86" s="304"/>
      <c r="P86" s="365"/>
      <c r="Q86" s="186"/>
      <c r="R86" s="18"/>
      <c r="S86" s="374"/>
      <c r="T86" s="372"/>
      <c r="U86" s="186"/>
      <c r="V86" s="18"/>
      <c r="W86" s="374"/>
      <c r="X86" s="372"/>
      <c r="Y86" s="186"/>
      <c r="Z86" s="18"/>
      <c r="AA86" s="374"/>
      <c r="AB86" s="372"/>
      <c r="AC86" s="186"/>
      <c r="AD86" s="18"/>
      <c r="AE86" s="374"/>
      <c r="AF86" s="372"/>
      <c r="AG86" s="186"/>
      <c r="AH86" s="18"/>
      <c r="AI86" s="374"/>
      <c r="AJ86" s="372"/>
      <c r="AK86" s="365"/>
      <c r="AL86" s="365"/>
      <c r="AM86" s="365"/>
      <c r="AN86" s="365"/>
      <c r="AO86" s="365"/>
      <c r="AP86" s="365"/>
    </row>
    <row r="87">
      <c r="A87" s="302"/>
      <c r="B87" s="303"/>
      <c r="C87" s="304"/>
      <c r="D87" s="365"/>
      <c r="E87" s="302"/>
      <c r="F87" s="303"/>
      <c r="G87" s="304"/>
      <c r="H87" s="365"/>
      <c r="I87" s="302"/>
      <c r="J87" s="303"/>
      <c r="K87" s="304"/>
      <c r="L87" s="365"/>
      <c r="M87" s="302"/>
      <c r="N87" s="303"/>
      <c r="O87" s="304"/>
      <c r="P87" s="365"/>
      <c r="Q87" s="186"/>
      <c r="R87" s="18"/>
      <c r="S87" s="374"/>
      <c r="T87" s="372"/>
      <c r="U87" s="186"/>
      <c r="V87" s="18"/>
      <c r="W87" s="374"/>
      <c r="X87" s="372"/>
      <c r="Y87" s="186"/>
      <c r="Z87" s="18"/>
      <c r="AA87" s="374"/>
      <c r="AB87" s="372"/>
      <c r="AC87" s="186"/>
      <c r="AD87" s="18"/>
      <c r="AE87" s="374"/>
      <c r="AF87" s="372"/>
      <c r="AG87" s="186"/>
      <c r="AH87" s="18"/>
      <c r="AI87" s="374"/>
      <c r="AJ87" s="372"/>
      <c r="AK87" s="365"/>
      <c r="AL87" s="365"/>
      <c r="AM87" s="365"/>
      <c r="AN87" s="365"/>
      <c r="AO87" s="365"/>
      <c r="AP87" s="365"/>
    </row>
    <row r="88">
      <c r="A88" s="302"/>
      <c r="B88" s="303"/>
      <c r="C88" s="304"/>
      <c r="D88" s="365"/>
      <c r="E88" s="302"/>
      <c r="F88" s="303"/>
      <c r="G88" s="304"/>
      <c r="H88" s="365"/>
      <c r="I88" s="302"/>
      <c r="J88" s="303"/>
      <c r="K88" s="304"/>
      <c r="L88" s="365"/>
      <c r="M88" s="302"/>
      <c r="N88" s="303"/>
      <c r="O88" s="304"/>
      <c r="P88" s="365"/>
      <c r="Q88" s="186"/>
      <c r="R88" s="18"/>
      <c r="S88" s="374"/>
      <c r="T88" s="372"/>
      <c r="U88" s="186"/>
      <c r="V88" s="18"/>
      <c r="W88" s="374"/>
      <c r="X88" s="372"/>
      <c r="Y88" s="186"/>
      <c r="Z88" s="18"/>
      <c r="AA88" s="374"/>
      <c r="AB88" s="372"/>
      <c r="AC88" s="186"/>
      <c r="AD88" s="18"/>
      <c r="AE88" s="374"/>
      <c r="AF88" s="372"/>
      <c r="AG88" s="186"/>
      <c r="AH88" s="18"/>
      <c r="AI88" s="374"/>
      <c r="AJ88" s="372"/>
      <c r="AK88" s="365"/>
      <c r="AL88" s="365"/>
      <c r="AM88" s="365"/>
      <c r="AN88" s="365"/>
      <c r="AO88" s="365"/>
      <c r="AP88" s="365"/>
    </row>
    <row r="89">
      <c r="A89" s="302"/>
      <c r="B89" s="303"/>
      <c r="C89" s="304"/>
      <c r="D89" s="365"/>
      <c r="E89" s="302"/>
      <c r="F89" s="303"/>
      <c r="G89" s="304"/>
      <c r="H89" s="365"/>
      <c r="I89" s="302"/>
      <c r="J89" s="303"/>
      <c r="K89" s="304"/>
      <c r="L89" s="365"/>
      <c r="M89" s="302"/>
      <c r="N89" s="303"/>
      <c r="O89" s="304"/>
      <c r="P89" s="365"/>
      <c r="Q89" s="186"/>
      <c r="R89" s="18"/>
      <c r="S89" s="374"/>
      <c r="T89" s="372"/>
      <c r="U89" s="186"/>
      <c r="V89" s="18"/>
      <c r="W89" s="374"/>
      <c r="X89" s="372"/>
      <c r="Y89" s="186"/>
      <c r="Z89" s="18"/>
      <c r="AA89" s="374"/>
      <c r="AB89" s="372"/>
      <c r="AC89" s="186"/>
      <c r="AD89" s="18"/>
      <c r="AE89" s="374"/>
      <c r="AF89" s="372"/>
      <c r="AG89" s="186"/>
      <c r="AH89" s="18"/>
      <c r="AI89" s="374"/>
      <c r="AJ89" s="372"/>
      <c r="AK89" s="365"/>
      <c r="AL89" s="365"/>
      <c r="AM89" s="365"/>
      <c r="AN89" s="365"/>
      <c r="AO89" s="365"/>
      <c r="AP89" s="365"/>
    </row>
    <row r="90">
      <c r="A90" s="302"/>
      <c r="B90" s="303"/>
      <c r="C90" s="304"/>
      <c r="D90" s="365"/>
      <c r="E90" s="302"/>
      <c r="F90" s="303"/>
      <c r="G90" s="304"/>
      <c r="H90" s="365"/>
      <c r="I90" s="302"/>
      <c r="J90" s="303"/>
      <c r="K90" s="304"/>
      <c r="L90" s="365"/>
      <c r="M90" s="302"/>
      <c r="N90" s="303"/>
      <c r="O90" s="304"/>
      <c r="P90" s="365"/>
      <c r="Q90" s="186"/>
      <c r="R90" s="18"/>
      <c r="S90" s="374"/>
      <c r="T90" s="372"/>
      <c r="U90" s="186"/>
      <c r="V90" s="18"/>
      <c r="W90" s="374"/>
      <c r="X90" s="372"/>
      <c r="Y90" s="186"/>
      <c r="Z90" s="18"/>
      <c r="AA90" s="374"/>
      <c r="AB90" s="372"/>
      <c r="AC90" s="186"/>
      <c r="AD90" s="18"/>
      <c r="AE90" s="374"/>
      <c r="AF90" s="372"/>
      <c r="AG90" s="186"/>
      <c r="AH90" s="18"/>
      <c r="AI90" s="374"/>
      <c r="AJ90" s="372"/>
      <c r="AK90" s="365"/>
      <c r="AL90" s="365"/>
      <c r="AM90" s="365"/>
      <c r="AN90" s="365"/>
      <c r="AO90" s="365"/>
      <c r="AP90" s="365"/>
    </row>
    <row r="91">
      <c r="A91" s="302"/>
      <c r="B91" s="303"/>
      <c r="C91" s="304"/>
      <c r="D91" s="365"/>
      <c r="E91" s="302"/>
      <c r="F91" s="303"/>
      <c r="G91" s="304"/>
      <c r="H91" s="365"/>
      <c r="I91" s="302"/>
      <c r="J91" s="303"/>
      <c r="K91" s="304"/>
      <c r="L91" s="365"/>
      <c r="M91" s="302"/>
      <c r="N91" s="303"/>
      <c r="O91" s="304"/>
      <c r="P91" s="365"/>
      <c r="Q91" s="186"/>
      <c r="R91" s="18"/>
      <c r="S91" s="374"/>
      <c r="T91" s="372"/>
      <c r="U91" s="186"/>
      <c r="V91" s="18"/>
      <c r="W91" s="374"/>
      <c r="X91" s="372"/>
      <c r="Y91" s="186"/>
      <c r="Z91" s="18"/>
      <c r="AA91" s="374"/>
      <c r="AB91" s="372"/>
      <c r="AC91" s="186"/>
      <c r="AD91" s="18"/>
      <c r="AE91" s="374"/>
      <c r="AF91" s="372"/>
      <c r="AG91" s="186"/>
      <c r="AH91" s="18"/>
      <c r="AI91" s="374"/>
      <c r="AJ91" s="372"/>
      <c r="AK91" s="365"/>
      <c r="AL91" s="365"/>
      <c r="AM91" s="365"/>
      <c r="AN91" s="365"/>
      <c r="AO91" s="365"/>
      <c r="AP91" s="365"/>
    </row>
    <row r="92">
      <c r="A92" s="302"/>
      <c r="B92" s="303"/>
      <c r="C92" s="304"/>
      <c r="D92" s="365"/>
      <c r="E92" s="302"/>
      <c r="F92" s="303"/>
      <c r="G92" s="304"/>
      <c r="H92" s="365"/>
      <c r="I92" s="302"/>
      <c r="J92" s="303"/>
      <c r="K92" s="304"/>
      <c r="L92" s="365"/>
      <c r="M92" s="302"/>
      <c r="N92" s="303"/>
      <c r="O92" s="304"/>
      <c r="P92" s="365"/>
      <c r="Q92" s="186"/>
      <c r="R92" s="18"/>
      <c r="S92" s="374"/>
      <c r="T92" s="372"/>
      <c r="U92" s="186"/>
      <c r="V92" s="18"/>
      <c r="W92" s="374"/>
      <c r="X92" s="372"/>
      <c r="Y92" s="186"/>
      <c r="Z92" s="18"/>
      <c r="AA92" s="374"/>
      <c r="AB92" s="372"/>
      <c r="AC92" s="186"/>
      <c r="AD92" s="18"/>
      <c r="AE92" s="374"/>
      <c r="AF92" s="372"/>
      <c r="AG92" s="186"/>
      <c r="AH92" s="18"/>
      <c r="AI92" s="374"/>
      <c r="AJ92" s="372"/>
      <c r="AK92" s="365"/>
      <c r="AL92" s="365"/>
      <c r="AM92" s="365"/>
      <c r="AN92" s="365"/>
      <c r="AO92" s="365"/>
      <c r="AP92" s="365"/>
    </row>
    <row r="93">
      <c r="A93" s="302"/>
      <c r="B93" s="303"/>
      <c r="C93" s="304"/>
      <c r="D93" s="365"/>
      <c r="E93" s="302"/>
      <c r="F93" s="303"/>
      <c r="G93" s="304"/>
      <c r="H93" s="365"/>
      <c r="I93" s="302"/>
      <c r="J93" s="303"/>
      <c r="K93" s="304"/>
      <c r="L93" s="365"/>
      <c r="M93" s="302"/>
      <c r="N93" s="303"/>
      <c r="O93" s="304"/>
      <c r="P93" s="365"/>
      <c r="Q93" s="186"/>
      <c r="R93" s="18"/>
      <c r="S93" s="374"/>
      <c r="T93" s="372"/>
      <c r="U93" s="186"/>
      <c r="V93" s="18"/>
      <c r="W93" s="374"/>
      <c r="X93" s="372"/>
      <c r="Y93" s="186"/>
      <c r="Z93" s="18"/>
      <c r="AA93" s="374"/>
      <c r="AB93" s="372"/>
      <c r="AC93" s="186"/>
      <c r="AD93" s="18"/>
      <c r="AE93" s="374"/>
      <c r="AF93" s="372"/>
      <c r="AG93" s="186"/>
      <c r="AH93" s="18"/>
      <c r="AI93" s="374"/>
      <c r="AJ93" s="372"/>
      <c r="AK93" s="365"/>
      <c r="AL93" s="365"/>
      <c r="AM93" s="365"/>
      <c r="AN93" s="365"/>
      <c r="AO93" s="365"/>
      <c r="AP93" s="365"/>
    </row>
    <row r="94">
      <c r="A94" s="302"/>
      <c r="B94" s="303"/>
      <c r="C94" s="304"/>
      <c r="D94" s="365"/>
      <c r="E94" s="302"/>
      <c r="F94" s="303"/>
      <c r="G94" s="304"/>
      <c r="H94" s="365"/>
      <c r="I94" s="302"/>
      <c r="J94" s="303"/>
      <c r="K94" s="304"/>
      <c r="L94" s="365"/>
      <c r="M94" s="302"/>
      <c r="N94" s="303"/>
      <c r="O94" s="304"/>
      <c r="P94" s="365"/>
      <c r="Q94" s="186"/>
      <c r="R94" s="18"/>
      <c r="S94" s="374"/>
      <c r="T94" s="372"/>
      <c r="U94" s="186"/>
      <c r="V94" s="18"/>
      <c r="W94" s="374"/>
      <c r="X94" s="372"/>
      <c r="Y94" s="186"/>
      <c r="Z94" s="18"/>
      <c r="AA94" s="374"/>
      <c r="AB94" s="372"/>
      <c r="AC94" s="186"/>
      <c r="AD94" s="18"/>
      <c r="AE94" s="374"/>
      <c r="AF94" s="372"/>
      <c r="AG94" s="186"/>
      <c r="AH94" s="18"/>
      <c r="AI94" s="374"/>
      <c r="AJ94" s="372"/>
      <c r="AK94" s="365"/>
      <c r="AL94" s="365"/>
      <c r="AM94" s="365"/>
      <c r="AN94" s="365"/>
      <c r="AO94" s="365"/>
      <c r="AP94" s="365"/>
    </row>
    <row r="95">
      <c r="A95" s="302"/>
      <c r="B95" s="303"/>
      <c r="C95" s="304"/>
      <c r="D95" s="365"/>
      <c r="E95" s="302"/>
      <c r="F95" s="303"/>
      <c r="G95" s="304"/>
      <c r="H95" s="365"/>
      <c r="I95" s="302"/>
      <c r="J95" s="303"/>
      <c r="K95" s="304"/>
      <c r="L95" s="365"/>
      <c r="M95" s="302"/>
      <c r="N95" s="303"/>
      <c r="O95" s="304"/>
      <c r="P95" s="365"/>
      <c r="Q95" s="186"/>
      <c r="R95" s="18"/>
      <c r="S95" s="374"/>
      <c r="T95" s="372"/>
      <c r="U95" s="186"/>
      <c r="V95" s="18"/>
      <c r="W95" s="374"/>
      <c r="X95" s="372"/>
      <c r="Y95" s="186"/>
      <c r="Z95" s="18"/>
      <c r="AA95" s="374"/>
      <c r="AB95" s="372"/>
      <c r="AC95" s="186"/>
      <c r="AD95" s="18"/>
      <c r="AE95" s="374"/>
      <c r="AF95" s="372"/>
      <c r="AG95" s="186"/>
      <c r="AH95" s="18"/>
      <c r="AI95" s="374"/>
      <c r="AJ95" s="372"/>
      <c r="AK95" s="365"/>
      <c r="AL95" s="365"/>
      <c r="AM95" s="365"/>
      <c r="AN95" s="365"/>
      <c r="AO95" s="365"/>
      <c r="AP95" s="365"/>
    </row>
    <row r="96">
      <c r="A96" s="302"/>
      <c r="B96" s="303"/>
      <c r="C96" s="304"/>
      <c r="D96" s="365"/>
      <c r="E96" s="302"/>
      <c r="F96" s="303"/>
      <c r="G96" s="304"/>
      <c r="H96" s="365"/>
      <c r="I96" s="302"/>
      <c r="J96" s="303"/>
      <c r="K96" s="304"/>
      <c r="L96" s="365"/>
      <c r="M96" s="302"/>
      <c r="N96" s="303"/>
      <c r="O96" s="304"/>
      <c r="P96" s="365"/>
      <c r="Q96" s="186"/>
      <c r="R96" s="18"/>
      <c r="S96" s="374"/>
      <c r="T96" s="372"/>
      <c r="U96" s="186"/>
      <c r="V96" s="18"/>
      <c r="W96" s="374"/>
      <c r="X96" s="372"/>
      <c r="Y96" s="186"/>
      <c r="Z96" s="18"/>
      <c r="AA96" s="374"/>
      <c r="AB96" s="372"/>
      <c r="AC96" s="186"/>
      <c r="AD96" s="18"/>
      <c r="AE96" s="374"/>
      <c r="AF96" s="372"/>
      <c r="AG96" s="186"/>
      <c r="AH96" s="18"/>
      <c r="AI96" s="374"/>
      <c r="AJ96" s="372"/>
      <c r="AK96" s="365"/>
      <c r="AL96" s="365"/>
      <c r="AM96" s="365"/>
      <c r="AN96" s="365"/>
      <c r="AO96" s="365"/>
      <c r="AP96" s="365"/>
    </row>
    <row r="97">
      <c r="A97" s="302"/>
      <c r="B97" s="303"/>
      <c r="C97" s="304"/>
      <c r="D97" s="365"/>
      <c r="E97" s="302"/>
      <c r="F97" s="303"/>
      <c r="G97" s="304"/>
      <c r="H97" s="365"/>
      <c r="I97" s="302"/>
      <c r="J97" s="303"/>
      <c r="K97" s="304"/>
      <c r="L97" s="365"/>
      <c r="M97" s="302"/>
      <c r="N97" s="303"/>
      <c r="O97" s="304"/>
      <c r="P97" s="365"/>
      <c r="Q97" s="186"/>
      <c r="R97" s="18"/>
      <c r="S97" s="374"/>
      <c r="T97" s="372"/>
      <c r="U97" s="186"/>
      <c r="V97" s="18"/>
      <c r="W97" s="374"/>
      <c r="X97" s="372"/>
      <c r="Y97" s="186"/>
      <c r="Z97" s="18"/>
      <c r="AA97" s="374"/>
      <c r="AB97" s="372"/>
      <c r="AC97" s="186"/>
      <c r="AD97" s="18"/>
      <c r="AE97" s="374"/>
      <c r="AF97" s="372"/>
      <c r="AG97" s="186"/>
      <c r="AH97" s="18"/>
      <c r="AI97" s="374"/>
      <c r="AJ97" s="372"/>
      <c r="AK97" s="365"/>
      <c r="AL97" s="365"/>
      <c r="AM97" s="365"/>
      <c r="AN97" s="365"/>
      <c r="AO97" s="365"/>
      <c r="AP97" s="365"/>
    </row>
    <row r="98">
      <c r="A98" s="302"/>
      <c r="B98" s="303"/>
      <c r="C98" s="304"/>
      <c r="D98" s="365"/>
      <c r="E98" s="302"/>
      <c r="F98" s="303"/>
      <c r="G98" s="304"/>
      <c r="H98" s="365"/>
      <c r="I98" s="302"/>
      <c r="J98" s="303"/>
      <c r="K98" s="304"/>
      <c r="L98" s="365"/>
      <c r="M98" s="302"/>
      <c r="N98" s="303"/>
      <c r="O98" s="304"/>
      <c r="P98" s="365"/>
      <c r="Q98" s="186"/>
      <c r="R98" s="18"/>
      <c r="S98" s="374"/>
      <c r="T98" s="372"/>
      <c r="U98" s="186"/>
      <c r="V98" s="18"/>
      <c r="W98" s="374"/>
      <c r="X98" s="372"/>
      <c r="Y98" s="186"/>
      <c r="Z98" s="18"/>
      <c r="AA98" s="374"/>
      <c r="AB98" s="372"/>
      <c r="AC98" s="186"/>
      <c r="AD98" s="18"/>
      <c r="AE98" s="374"/>
      <c r="AF98" s="372"/>
      <c r="AG98" s="186"/>
      <c r="AH98" s="18"/>
      <c r="AI98" s="374"/>
      <c r="AJ98" s="372"/>
      <c r="AK98" s="365"/>
      <c r="AL98" s="365"/>
      <c r="AM98" s="365"/>
      <c r="AN98" s="365"/>
      <c r="AO98" s="365"/>
      <c r="AP98" s="365"/>
    </row>
    <row r="99">
      <c r="A99" s="302"/>
      <c r="B99" s="303"/>
      <c r="C99" s="304"/>
      <c r="D99" s="365"/>
      <c r="E99" s="302"/>
      <c r="F99" s="303"/>
      <c r="G99" s="304"/>
      <c r="H99" s="365"/>
      <c r="I99" s="302"/>
      <c r="J99" s="303"/>
      <c r="K99" s="304"/>
      <c r="L99" s="365"/>
      <c r="M99" s="302"/>
      <c r="N99" s="303"/>
      <c r="O99" s="304"/>
      <c r="P99" s="365"/>
      <c r="Q99" s="186"/>
      <c r="R99" s="18"/>
      <c r="S99" s="374"/>
      <c r="T99" s="372"/>
      <c r="U99" s="186"/>
      <c r="V99" s="18"/>
      <c r="W99" s="374"/>
      <c r="X99" s="372"/>
      <c r="Y99" s="186"/>
      <c r="Z99" s="18"/>
      <c r="AA99" s="374"/>
      <c r="AB99" s="372"/>
      <c r="AC99" s="186"/>
      <c r="AD99" s="18"/>
      <c r="AE99" s="374"/>
      <c r="AF99" s="372"/>
      <c r="AG99" s="186"/>
      <c r="AH99" s="18"/>
      <c r="AI99" s="374"/>
      <c r="AJ99" s="372"/>
      <c r="AK99" s="365"/>
      <c r="AL99" s="365"/>
      <c r="AM99" s="365"/>
      <c r="AN99" s="365"/>
      <c r="AO99" s="365"/>
      <c r="AP99" s="365"/>
    </row>
    <row r="100">
      <c r="A100" s="302"/>
      <c r="B100" s="303"/>
      <c r="C100" s="304"/>
      <c r="D100" s="365"/>
      <c r="E100" s="302"/>
      <c r="F100" s="303"/>
      <c r="G100" s="304"/>
      <c r="H100" s="365"/>
      <c r="I100" s="302"/>
      <c r="J100" s="303"/>
      <c r="K100" s="304"/>
      <c r="L100" s="365"/>
      <c r="M100" s="302"/>
      <c r="N100" s="303"/>
      <c r="O100" s="304"/>
      <c r="P100" s="365"/>
      <c r="Q100" s="186"/>
      <c r="R100" s="18"/>
      <c r="S100" s="374"/>
      <c r="T100" s="372"/>
      <c r="U100" s="186"/>
      <c r="V100" s="18"/>
      <c r="W100" s="374"/>
      <c r="X100" s="372"/>
      <c r="Y100" s="186"/>
      <c r="Z100" s="18"/>
      <c r="AA100" s="374"/>
      <c r="AB100" s="372"/>
      <c r="AC100" s="186"/>
      <c r="AD100" s="18"/>
      <c r="AE100" s="374"/>
      <c r="AF100" s="372"/>
      <c r="AG100" s="186"/>
      <c r="AH100" s="18"/>
      <c r="AI100" s="374"/>
      <c r="AJ100" s="372"/>
      <c r="AK100" s="365"/>
      <c r="AL100" s="365"/>
      <c r="AM100" s="365"/>
      <c r="AN100" s="365"/>
      <c r="AO100" s="365"/>
      <c r="AP100" s="365"/>
    </row>
    <row r="101">
      <c r="A101" s="302"/>
      <c r="B101" s="303"/>
      <c r="C101" s="304"/>
      <c r="D101" s="365"/>
      <c r="E101" s="302"/>
      <c r="F101" s="303"/>
      <c r="G101" s="304"/>
      <c r="H101" s="365"/>
      <c r="I101" s="302"/>
      <c r="J101" s="303"/>
      <c r="K101" s="304"/>
      <c r="L101" s="365"/>
      <c r="M101" s="302"/>
      <c r="N101" s="303"/>
      <c r="O101" s="304"/>
      <c r="P101" s="365"/>
      <c r="Q101" s="186"/>
      <c r="R101" s="18"/>
      <c r="S101" s="374"/>
      <c r="T101" s="372"/>
      <c r="U101" s="186"/>
      <c r="V101" s="18"/>
      <c r="W101" s="374"/>
      <c r="X101" s="372"/>
      <c r="Y101" s="186"/>
      <c r="Z101" s="18"/>
      <c r="AA101" s="374"/>
      <c r="AB101" s="372"/>
      <c r="AC101" s="186"/>
      <c r="AD101" s="18"/>
      <c r="AE101" s="374"/>
      <c r="AF101" s="372"/>
      <c r="AG101" s="186"/>
      <c r="AH101" s="18"/>
      <c r="AI101" s="374"/>
      <c r="AJ101" s="372"/>
      <c r="AK101" s="365"/>
      <c r="AL101" s="365"/>
      <c r="AM101" s="365"/>
      <c r="AN101" s="365"/>
      <c r="AO101" s="365"/>
      <c r="AP101" s="365"/>
    </row>
    <row r="102">
      <c r="A102" s="302"/>
      <c r="B102" s="303"/>
      <c r="C102" s="304"/>
      <c r="D102" s="365"/>
      <c r="E102" s="302"/>
      <c r="F102" s="303"/>
      <c r="G102" s="304"/>
      <c r="H102" s="365"/>
      <c r="I102" s="302"/>
      <c r="J102" s="303"/>
      <c r="K102" s="304"/>
      <c r="L102" s="365"/>
      <c r="M102" s="302"/>
      <c r="N102" s="303"/>
      <c r="O102" s="304"/>
      <c r="P102" s="365"/>
      <c r="Q102" s="186"/>
      <c r="R102" s="18"/>
      <c r="S102" s="374"/>
      <c r="T102" s="372"/>
      <c r="U102" s="186"/>
      <c r="V102" s="18"/>
      <c r="W102" s="374"/>
      <c r="X102" s="372"/>
      <c r="Y102" s="186"/>
      <c r="Z102" s="18"/>
      <c r="AA102" s="374"/>
      <c r="AB102" s="372"/>
      <c r="AC102" s="186"/>
      <c r="AD102" s="18"/>
      <c r="AE102" s="374"/>
      <c r="AF102" s="372"/>
      <c r="AG102" s="186"/>
      <c r="AH102" s="18"/>
      <c r="AI102" s="374"/>
      <c r="AJ102" s="372"/>
      <c r="AK102" s="365"/>
      <c r="AL102" s="365"/>
      <c r="AM102" s="365"/>
      <c r="AN102" s="365"/>
      <c r="AO102" s="365"/>
      <c r="AP102" s="365"/>
    </row>
    <row r="103">
      <c r="A103" s="302"/>
      <c r="B103" s="303"/>
      <c r="C103" s="304"/>
      <c r="D103" s="365"/>
      <c r="E103" s="302"/>
      <c r="F103" s="303"/>
      <c r="G103" s="304"/>
      <c r="H103" s="365"/>
      <c r="I103" s="302"/>
      <c r="J103" s="303"/>
      <c r="K103" s="304"/>
      <c r="L103" s="365"/>
      <c r="M103" s="302"/>
      <c r="N103" s="303"/>
      <c r="O103" s="304"/>
      <c r="P103" s="365"/>
      <c r="Q103" s="186"/>
      <c r="R103" s="18"/>
      <c r="S103" s="374"/>
      <c r="T103" s="372"/>
      <c r="U103" s="186"/>
      <c r="V103" s="18"/>
      <c r="W103" s="374"/>
      <c r="X103" s="372"/>
      <c r="Y103" s="186"/>
      <c r="Z103" s="18"/>
      <c r="AA103" s="374"/>
      <c r="AB103" s="372"/>
      <c r="AC103" s="186"/>
      <c r="AD103" s="18"/>
      <c r="AE103" s="374"/>
      <c r="AF103" s="372"/>
      <c r="AG103" s="186"/>
      <c r="AH103" s="18"/>
      <c r="AI103" s="374"/>
      <c r="AJ103" s="372"/>
      <c r="AK103" s="365"/>
      <c r="AL103" s="365"/>
      <c r="AM103" s="365"/>
      <c r="AN103" s="365"/>
      <c r="AO103" s="365"/>
      <c r="AP103" s="365"/>
    </row>
    <row r="104">
      <c r="A104" s="302"/>
      <c r="B104" s="303"/>
      <c r="C104" s="304"/>
      <c r="D104" s="365"/>
      <c r="E104" s="302"/>
      <c r="F104" s="303"/>
      <c r="G104" s="304"/>
      <c r="H104" s="365"/>
      <c r="I104" s="302"/>
      <c r="J104" s="303"/>
      <c r="K104" s="304"/>
      <c r="L104" s="365"/>
      <c r="M104" s="302"/>
      <c r="N104" s="303"/>
      <c r="O104" s="304"/>
      <c r="P104" s="365"/>
      <c r="Q104" s="186"/>
      <c r="R104" s="18"/>
      <c r="S104" s="374"/>
      <c r="T104" s="372"/>
      <c r="U104" s="186"/>
      <c r="V104" s="18"/>
      <c r="W104" s="374"/>
      <c r="X104" s="372"/>
      <c r="Y104" s="186"/>
      <c r="Z104" s="18"/>
      <c r="AA104" s="374"/>
      <c r="AB104" s="372"/>
      <c r="AC104" s="186"/>
      <c r="AD104" s="18"/>
      <c r="AE104" s="374"/>
      <c r="AF104" s="372"/>
      <c r="AG104" s="186"/>
      <c r="AH104" s="18"/>
      <c r="AI104" s="374"/>
      <c r="AJ104" s="372"/>
      <c r="AK104" s="365"/>
      <c r="AL104" s="365"/>
      <c r="AM104" s="365"/>
      <c r="AN104" s="365"/>
      <c r="AO104" s="365"/>
      <c r="AP104" s="365"/>
    </row>
    <row r="105">
      <c r="A105" s="302"/>
      <c r="B105" s="303"/>
      <c r="C105" s="304"/>
      <c r="D105" s="365"/>
      <c r="E105" s="302"/>
      <c r="F105" s="303"/>
      <c r="G105" s="304"/>
      <c r="H105" s="365"/>
      <c r="I105" s="302"/>
      <c r="J105" s="303"/>
      <c r="K105" s="304"/>
      <c r="L105" s="365"/>
      <c r="M105" s="302"/>
      <c r="N105" s="303"/>
      <c r="O105" s="304"/>
      <c r="P105" s="365"/>
      <c r="Q105" s="186"/>
      <c r="R105" s="18"/>
      <c r="S105" s="374"/>
      <c r="T105" s="372"/>
      <c r="U105" s="186"/>
      <c r="V105" s="18"/>
      <c r="W105" s="374"/>
      <c r="X105" s="372"/>
      <c r="Y105" s="186"/>
      <c r="Z105" s="18"/>
      <c r="AA105" s="374"/>
      <c r="AB105" s="372"/>
      <c r="AC105" s="186"/>
      <c r="AD105" s="18"/>
      <c r="AE105" s="374"/>
      <c r="AF105" s="372"/>
      <c r="AG105" s="186"/>
      <c r="AH105" s="18"/>
      <c r="AI105" s="374"/>
      <c r="AJ105" s="372"/>
      <c r="AK105" s="365"/>
      <c r="AL105" s="365"/>
      <c r="AM105" s="365"/>
      <c r="AN105" s="365"/>
      <c r="AO105" s="365"/>
      <c r="AP105" s="365"/>
    </row>
    <row r="106">
      <c r="A106" s="302"/>
      <c r="B106" s="303"/>
      <c r="C106" s="304"/>
      <c r="D106" s="365"/>
      <c r="E106" s="302"/>
      <c r="F106" s="303"/>
      <c r="G106" s="304"/>
      <c r="H106" s="365"/>
      <c r="I106" s="302"/>
      <c r="J106" s="303"/>
      <c r="K106" s="304"/>
      <c r="L106" s="365"/>
      <c r="M106" s="302"/>
      <c r="N106" s="303"/>
      <c r="O106" s="304"/>
      <c r="P106" s="365"/>
      <c r="Q106" s="186"/>
      <c r="R106" s="18"/>
      <c r="S106" s="374"/>
      <c r="T106" s="372"/>
      <c r="U106" s="186"/>
      <c r="V106" s="18"/>
      <c r="W106" s="374"/>
      <c r="X106" s="372"/>
      <c r="Y106" s="186"/>
      <c r="Z106" s="18"/>
      <c r="AA106" s="374"/>
      <c r="AB106" s="372"/>
      <c r="AC106" s="186"/>
      <c r="AD106" s="18"/>
      <c r="AE106" s="374"/>
      <c r="AF106" s="372"/>
      <c r="AG106" s="186"/>
      <c r="AH106" s="18"/>
      <c r="AI106" s="374"/>
      <c r="AJ106" s="372"/>
      <c r="AK106" s="365"/>
      <c r="AL106" s="365"/>
      <c r="AM106" s="365"/>
      <c r="AN106" s="365"/>
      <c r="AO106" s="365"/>
      <c r="AP106" s="365"/>
    </row>
    <row r="107">
      <c r="A107" s="302"/>
      <c r="B107" s="303"/>
      <c r="C107" s="304"/>
      <c r="D107" s="365"/>
      <c r="E107" s="302"/>
      <c r="F107" s="303"/>
      <c r="G107" s="304"/>
      <c r="H107" s="365"/>
      <c r="I107" s="302"/>
      <c r="J107" s="303"/>
      <c r="K107" s="304"/>
      <c r="L107" s="365"/>
      <c r="M107" s="302"/>
      <c r="N107" s="303"/>
      <c r="O107" s="304"/>
      <c r="P107" s="365"/>
      <c r="Q107" s="186"/>
      <c r="R107" s="18"/>
      <c r="S107" s="374"/>
      <c r="T107" s="372"/>
      <c r="U107" s="186"/>
      <c r="V107" s="18"/>
      <c r="W107" s="374"/>
      <c r="X107" s="372"/>
      <c r="Y107" s="186"/>
      <c r="Z107" s="18"/>
      <c r="AA107" s="374"/>
      <c r="AB107" s="372"/>
      <c r="AC107" s="186"/>
      <c r="AD107" s="18"/>
      <c r="AE107" s="374"/>
      <c r="AF107" s="372"/>
      <c r="AG107" s="186"/>
      <c r="AH107" s="18"/>
      <c r="AI107" s="374"/>
      <c r="AJ107" s="372"/>
      <c r="AK107" s="365"/>
      <c r="AL107" s="365"/>
      <c r="AM107" s="365"/>
      <c r="AN107" s="365"/>
      <c r="AO107" s="365"/>
      <c r="AP107" s="365"/>
    </row>
    <row r="108">
      <c r="A108" s="302"/>
      <c r="B108" s="303"/>
      <c r="C108" s="304"/>
      <c r="D108" s="365"/>
      <c r="E108" s="302"/>
      <c r="F108" s="303"/>
      <c r="G108" s="304"/>
      <c r="H108" s="365"/>
      <c r="I108" s="302"/>
      <c r="J108" s="303"/>
      <c r="K108" s="304"/>
      <c r="L108" s="365"/>
      <c r="M108" s="302"/>
      <c r="N108" s="303"/>
      <c r="O108" s="304"/>
      <c r="P108" s="365"/>
      <c r="Q108" s="186"/>
      <c r="R108" s="18"/>
      <c r="S108" s="374"/>
      <c r="T108" s="372"/>
      <c r="U108" s="186"/>
      <c r="V108" s="18"/>
      <c r="W108" s="374"/>
      <c r="X108" s="372"/>
      <c r="Y108" s="186"/>
      <c r="Z108" s="18"/>
      <c r="AA108" s="374"/>
      <c r="AB108" s="372"/>
      <c r="AC108" s="186"/>
      <c r="AD108" s="18"/>
      <c r="AE108" s="374"/>
      <c r="AF108" s="372"/>
      <c r="AG108" s="186"/>
      <c r="AH108" s="18"/>
      <c r="AI108" s="374"/>
      <c r="AJ108" s="372"/>
      <c r="AK108" s="365"/>
      <c r="AL108" s="365"/>
      <c r="AM108" s="365"/>
      <c r="AN108" s="365"/>
      <c r="AO108" s="365"/>
      <c r="AP108" s="365"/>
    </row>
    <row r="109">
      <c r="A109" s="302"/>
      <c r="B109" s="303"/>
      <c r="C109" s="304"/>
      <c r="D109" s="365"/>
      <c r="E109" s="302"/>
      <c r="F109" s="303"/>
      <c r="G109" s="304"/>
      <c r="H109" s="365"/>
      <c r="I109" s="302"/>
      <c r="J109" s="303"/>
      <c r="K109" s="304"/>
      <c r="L109" s="365"/>
      <c r="M109" s="302"/>
      <c r="N109" s="303"/>
      <c r="O109" s="304"/>
      <c r="P109" s="365"/>
      <c r="Q109" s="186"/>
      <c r="R109" s="18"/>
      <c r="S109" s="374"/>
      <c r="T109" s="372"/>
      <c r="U109" s="186"/>
      <c r="V109" s="18"/>
      <c r="W109" s="374"/>
      <c r="X109" s="372"/>
      <c r="Y109" s="186"/>
      <c r="Z109" s="18"/>
      <c r="AA109" s="374"/>
      <c r="AB109" s="372"/>
      <c r="AC109" s="186"/>
      <c r="AD109" s="18"/>
      <c r="AE109" s="374"/>
      <c r="AF109" s="372"/>
      <c r="AG109" s="186"/>
      <c r="AH109" s="18"/>
      <c r="AI109" s="374"/>
      <c r="AJ109" s="372"/>
      <c r="AK109" s="365"/>
      <c r="AL109" s="365"/>
      <c r="AM109" s="365"/>
      <c r="AN109" s="365"/>
      <c r="AO109" s="365"/>
      <c r="AP109" s="365"/>
    </row>
    <row r="110">
      <c r="A110" s="302"/>
      <c r="B110" s="303"/>
      <c r="C110" s="304"/>
      <c r="D110" s="365"/>
      <c r="E110" s="302"/>
      <c r="F110" s="303"/>
      <c r="G110" s="304"/>
      <c r="H110" s="365"/>
      <c r="I110" s="302"/>
      <c r="J110" s="303"/>
      <c r="K110" s="304"/>
      <c r="L110" s="365"/>
      <c r="M110" s="302"/>
      <c r="N110" s="303"/>
      <c r="O110" s="304"/>
      <c r="P110" s="365"/>
      <c r="Q110" s="186"/>
      <c r="R110" s="18"/>
      <c r="S110" s="374"/>
      <c r="T110" s="372"/>
      <c r="U110" s="186"/>
      <c r="V110" s="18"/>
      <c r="W110" s="374"/>
      <c r="X110" s="372"/>
      <c r="Y110" s="186"/>
      <c r="Z110" s="18"/>
      <c r="AA110" s="374"/>
      <c r="AB110" s="372"/>
      <c r="AC110" s="186"/>
      <c r="AD110" s="18"/>
      <c r="AE110" s="374"/>
      <c r="AF110" s="372"/>
      <c r="AG110" s="186"/>
      <c r="AH110" s="18"/>
      <c r="AI110" s="374"/>
      <c r="AJ110" s="372"/>
      <c r="AK110" s="365"/>
      <c r="AL110" s="365"/>
      <c r="AM110" s="365"/>
      <c r="AN110" s="365"/>
      <c r="AO110" s="365"/>
      <c r="AP110" s="365"/>
    </row>
    <row r="111">
      <c r="A111" s="302"/>
      <c r="B111" s="303"/>
      <c r="C111" s="304"/>
      <c r="D111" s="365"/>
      <c r="E111" s="302"/>
      <c r="F111" s="303"/>
      <c r="G111" s="304"/>
      <c r="H111" s="365"/>
      <c r="I111" s="302"/>
      <c r="J111" s="303"/>
      <c r="K111" s="304"/>
      <c r="L111" s="365"/>
      <c r="M111" s="302"/>
      <c r="N111" s="303"/>
      <c r="O111" s="304"/>
      <c r="P111" s="365"/>
      <c r="Q111" s="186"/>
      <c r="R111" s="18"/>
      <c r="S111" s="374"/>
      <c r="T111" s="372"/>
      <c r="U111" s="186"/>
      <c r="V111" s="18"/>
      <c r="W111" s="374"/>
      <c r="X111" s="372"/>
      <c r="Y111" s="186"/>
      <c r="Z111" s="18"/>
      <c r="AA111" s="374"/>
      <c r="AB111" s="372"/>
      <c r="AC111" s="186"/>
      <c r="AD111" s="18"/>
      <c r="AE111" s="374"/>
      <c r="AF111" s="372"/>
      <c r="AG111" s="186"/>
      <c r="AH111" s="18"/>
      <c r="AI111" s="374"/>
      <c r="AJ111" s="372"/>
      <c r="AK111" s="365"/>
      <c r="AL111" s="365"/>
      <c r="AM111" s="365"/>
      <c r="AN111" s="365"/>
      <c r="AO111" s="365"/>
      <c r="AP111" s="365"/>
    </row>
    <row r="112">
      <c r="A112" s="302"/>
      <c r="B112" s="303"/>
      <c r="C112" s="304"/>
      <c r="D112" s="365"/>
      <c r="E112" s="302"/>
      <c r="F112" s="303"/>
      <c r="G112" s="304"/>
      <c r="H112" s="365"/>
      <c r="I112" s="302"/>
      <c r="J112" s="303"/>
      <c r="K112" s="304"/>
      <c r="L112" s="365"/>
      <c r="M112" s="302"/>
      <c r="N112" s="303"/>
      <c r="O112" s="304"/>
      <c r="P112" s="365"/>
      <c r="Q112" s="186"/>
      <c r="R112" s="18"/>
      <c r="S112" s="374"/>
      <c r="T112" s="372"/>
      <c r="U112" s="186"/>
      <c r="V112" s="18"/>
      <c r="W112" s="374"/>
      <c r="X112" s="372"/>
      <c r="Y112" s="186"/>
      <c r="Z112" s="18"/>
      <c r="AA112" s="374"/>
      <c r="AB112" s="372"/>
      <c r="AC112" s="186"/>
      <c r="AD112" s="18"/>
      <c r="AE112" s="374"/>
      <c r="AF112" s="372"/>
      <c r="AG112" s="186"/>
      <c r="AH112" s="18"/>
      <c r="AI112" s="374"/>
      <c r="AJ112" s="372"/>
      <c r="AK112" s="365"/>
      <c r="AL112" s="365"/>
      <c r="AM112" s="365"/>
      <c r="AN112" s="365"/>
      <c r="AO112" s="365"/>
      <c r="AP112" s="365"/>
    </row>
    <row r="113">
      <c r="A113" s="302"/>
      <c r="B113" s="303"/>
      <c r="C113" s="304"/>
      <c r="D113" s="365"/>
      <c r="E113" s="302"/>
      <c r="F113" s="303"/>
      <c r="G113" s="304"/>
      <c r="H113" s="365"/>
      <c r="I113" s="302"/>
      <c r="J113" s="303"/>
      <c r="K113" s="304"/>
      <c r="L113" s="365"/>
      <c r="M113" s="302"/>
      <c r="N113" s="303"/>
      <c r="O113" s="304"/>
      <c r="P113" s="365"/>
      <c r="Q113" s="186"/>
      <c r="R113" s="18"/>
      <c r="S113" s="374"/>
      <c r="T113" s="372"/>
      <c r="U113" s="186"/>
      <c r="V113" s="18"/>
      <c r="W113" s="374"/>
      <c r="X113" s="372"/>
      <c r="Y113" s="186"/>
      <c r="Z113" s="18"/>
      <c r="AA113" s="374"/>
      <c r="AB113" s="372"/>
      <c r="AC113" s="186"/>
      <c r="AD113" s="18"/>
      <c r="AE113" s="374"/>
      <c r="AF113" s="372"/>
      <c r="AG113" s="186"/>
      <c r="AH113" s="18"/>
      <c r="AI113" s="374"/>
      <c r="AJ113" s="372"/>
      <c r="AK113" s="365"/>
      <c r="AL113" s="365"/>
      <c r="AM113" s="365"/>
      <c r="AN113" s="365"/>
      <c r="AO113" s="365"/>
      <c r="AP113" s="365"/>
    </row>
    <row r="114">
      <c r="A114" s="302"/>
      <c r="B114" s="303"/>
      <c r="C114" s="304"/>
      <c r="D114" s="365"/>
      <c r="E114" s="302"/>
      <c r="F114" s="303"/>
      <c r="G114" s="304"/>
      <c r="H114" s="365"/>
      <c r="I114" s="302"/>
      <c r="J114" s="303"/>
      <c r="K114" s="304"/>
      <c r="L114" s="365"/>
      <c r="M114" s="302"/>
      <c r="N114" s="303"/>
      <c r="O114" s="304"/>
      <c r="P114" s="365"/>
      <c r="Q114" s="186"/>
      <c r="R114" s="18"/>
      <c r="S114" s="374"/>
      <c r="T114" s="372"/>
      <c r="U114" s="186"/>
      <c r="V114" s="18"/>
      <c r="W114" s="374"/>
      <c r="X114" s="372"/>
      <c r="Y114" s="186"/>
      <c r="Z114" s="18"/>
      <c r="AA114" s="374"/>
      <c r="AB114" s="372"/>
      <c r="AC114" s="186"/>
      <c r="AD114" s="18"/>
      <c r="AE114" s="374"/>
      <c r="AF114" s="372"/>
      <c r="AG114" s="186"/>
      <c r="AH114" s="18"/>
      <c r="AI114" s="374"/>
      <c r="AJ114" s="372"/>
      <c r="AK114" s="365"/>
      <c r="AL114" s="365"/>
      <c r="AM114" s="365"/>
      <c r="AN114" s="365"/>
      <c r="AO114" s="365"/>
      <c r="AP114" s="365"/>
    </row>
    <row r="115">
      <c r="A115" s="302"/>
      <c r="B115" s="303"/>
      <c r="C115" s="304"/>
      <c r="D115" s="365"/>
      <c r="E115" s="302"/>
      <c r="F115" s="303"/>
      <c r="G115" s="304"/>
      <c r="H115" s="365"/>
      <c r="I115" s="302"/>
      <c r="J115" s="303"/>
      <c r="K115" s="304"/>
      <c r="L115" s="365"/>
      <c r="M115" s="302"/>
      <c r="N115" s="303"/>
      <c r="O115" s="304"/>
      <c r="P115" s="365"/>
      <c r="Q115" s="186"/>
      <c r="R115" s="18"/>
      <c r="S115" s="374"/>
      <c r="T115" s="372"/>
      <c r="U115" s="186"/>
      <c r="V115" s="18"/>
      <c r="W115" s="374"/>
      <c r="X115" s="372"/>
      <c r="Y115" s="186"/>
      <c r="Z115" s="18"/>
      <c r="AA115" s="374"/>
      <c r="AB115" s="372"/>
      <c r="AC115" s="186"/>
      <c r="AD115" s="18"/>
      <c r="AE115" s="374"/>
      <c r="AF115" s="372"/>
      <c r="AG115" s="186"/>
      <c r="AH115" s="18"/>
      <c r="AI115" s="374"/>
      <c r="AJ115" s="372"/>
      <c r="AK115" s="365"/>
      <c r="AL115" s="365"/>
      <c r="AM115" s="365"/>
      <c r="AN115" s="365"/>
      <c r="AO115" s="365"/>
      <c r="AP115" s="365"/>
    </row>
    <row r="116">
      <c r="A116" s="302"/>
      <c r="B116" s="303"/>
      <c r="C116" s="304"/>
      <c r="D116" s="365"/>
      <c r="E116" s="302"/>
      <c r="F116" s="303"/>
      <c r="G116" s="304"/>
      <c r="H116" s="365"/>
      <c r="I116" s="302"/>
      <c r="J116" s="303"/>
      <c r="K116" s="304"/>
      <c r="L116" s="365"/>
      <c r="M116" s="302"/>
      <c r="N116" s="303"/>
      <c r="O116" s="304"/>
      <c r="P116" s="365"/>
      <c r="Q116" s="186"/>
      <c r="R116" s="18"/>
      <c r="S116" s="374"/>
      <c r="T116" s="372"/>
      <c r="U116" s="186"/>
      <c r="V116" s="18"/>
      <c r="W116" s="374"/>
      <c r="X116" s="372"/>
      <c r="Y116" s="186"/>
      <c r="Z116" s="18"/>
      <c r="AA116" s="374"/>
      <c r="AB116" s="372"/>
      <c r="AC116" s="186"/>
      <c r="AD116" s="18"/>
      <c r="AE116" s="374"/>
      <c r="AF116" s="372"/>
      <c r="AG116" s="186"/>
      <c r="AH116" s="18"/>
      <c r="AI116" s="374"/>
      <c r="AJ116" s="372"/>
      <c r="AK116" s="365"/>
      <c r="AL116" s="365"/>
      <c r="AM116" s="365"/>
      <c r="AN116" s="365"/>
      <c r="AO116" s="365"/>
      <c r="AP116" s="365"/>
    </row>
    <row r="117">
      <c r="A117" s="302"/>
      <c r="B117" s="303"/>
      <c r="C117" s="304"/>
      <c r="D117" s="365"/>
      <c r="E117" s="302"/>
      <c r="F117" s="303"/>
      <c r="G117" s="304"/>
      <c r="H117" s="365"/>
      <c r="I117" s="302"/>
      <c r="J117" s="303"/>
      <c r="K117" s="304"/>
      <c r="L117" s="365"/>
      <c r="M117" s="302"/>
      <c r="N117" s="303"/>
      <c r="O117" s="304"/>
      <c r="P117" s="365"/>
      <c r="Q117" s="186"/>
      <c r="R117" s="18"/>
      <c r="S117" s="374"/>
      <c r="T117" s="372"/>
      <c r="U117" s="186"/>
      <c r="V117" s="18"/>
      <c r="W117" s="374"/>
      <c r="X117" s="372"/>
      <c r="Y117" s="186"/>
      <c r="Z117" s="18"/>
      <c r="AA117" s="374"/>
      <c r="AB117" s="372"/>
      <c r="AC117" s="186"/>
      <c r="AD117" s="18"/>
      <c r="AE117" s="374"/>
      <c r="AF117" s="372"/>
      <c r="AG117" s="186"/>
      <c r="AH117" s="18"/>
      <c r="AI117" s="374"/>
      <c r="AJ117" s="372"/>
      <c r="AK117" s="365"/>
      <c r="AL117" s="365"/>
      <c r="AM117" s="365"/>
      <c r="AN117" s="365"/>
      <c r="AO117" s="365"/>
      <c r="AP117" s="365"/>
    </row>
    <row r="118">
      <c r="A118" s="302"/>
      <c r="B118" s="303"/>
      <c r="C118" s="304"/>
      <c r="D118" s="365"/>
      <c r="E118" s="302"/>
      <c r="F118" s="303"/>
      <c r="G118" s="304"/>
      <c r="H118" s="365"/>
      <c r="I118" s="302"/>
      <c r="J118" s="303"/>
      <c r="K118" s="304"/>
      <c r="L118" s="365"/>
      <c r="M118" s="302"/>
      <c r="N118" s="303"/>
      <c r="O118" s="304"/>
      <c r="P118" s="365"/>
      <c r="Q118" s="186"/>
      <c r="R118" s="18"/>
      <c r="S118" s="374"/>
      <c r="T118" s="372"/>
      <c r="U118" s="186"/>
      <c r="V118" s="18"/>
      <c r="W118" s="374"/>
      <c r="X118" s="372"/>
      <c r="Y118" s="186"/>
      <c r="Z118" s="18"/>
      <c r="AA118" s="374"/>
      <c r="AB118" s="372"/>
      <c r="AC118" s="186"/>
      <c r="AD118" s="18"/>
      <c r="AE118" s="374"/>
      <c r="AF118" s="372"/>
      <c r="AG118" s="186"/>
      <c r="AH118" s="18"/>
      <c r="AI118" s="374"/>
      <c r="AJ118" s="372"/>
      <c r="AK118" s="365"/>
      <c r="AL118" s="365"/>
      <c r="AM118" s="365"/>
      <c r="AN118" s="365"/>
      <c r="AO118" s="365"/>
      <c r="AP118" s="365"/>
    </row>
    <row r="119">
      <c r="A119" s="302"/>
      <c r="B119" s="303"/>
      <c r="C119" s="304"/>
      <c r="D119" s="365"/>
      <c r="E119" s="302"/>
      <c r="F119" s="303"/>
      <c r="G119" s="304"/>
      <c r="H119" s="365"/>
      <c r="I119" s="302"/>
      <c r="J119" s="303"/>
      <c r="K119" s="304"/>
      <c r="L119" s="365"/>
      <c r="M119" s="302"/>
      <c r="N119" s="303"/>
      <c r="O119" s="304"/>
      <c r="P119" s="365"/>
      <c r="Q119" s="186"/>
      <c r="R119" s="18"/>
      <c r="S119" s="374"/>
      <c r="T119" s="372"/>
      <c r="U119" s="186"/>
      <c r="V119" s="18"/>
      <c r="W119" s="374"/>
      <c r="X119" s="372"/>
      <c r="Y119" s="186"/>
      <c r="Z119" s="18"/>
      <c r="AA119" s="374"/>
      <c r="AB119" s="372"/>
      <c r="AC119" s="186"/>
      <c r="AD119" s="18"/>
      <c r="AE119" s="374"/>
      <c r="AF119" s="372"/>
      <c r="AG119" s="186"/>
      <c r="AH119" s="18"/>
      <c r="AI119" s="374"/>
      <c r="AJ119" s="372"/>
      <c r="AK119" s="365"/>
      <c r="AL119" s="365"/>
      <c r="AM119" s="365"/>
      <c r="AN119" s="365"/>
      <c r="AO119" s="365"/>
      <c r="AP119" s="365"/>
    </row>
    <row r="120">
      <c r="A120" s="302"/>
      <c r="B120" s="303"/>
      <c r="C120" s="304"/>
      <c r="D120" s="365"/>
      <c r="E120" s="302"/>
      <c r="F120" s="303"/>
      <c r="G120" s="304"/>
      <c r="H120" s="365"/>
      <c r="I120" s="302"/>
      <c r="J120" s="303"/>
      <c r="K120" s="304"/>
      <c r="L120" s="365"/>
      <c r="M120" s="302"/>
      <c r="N120" s="303"/>
      <c r="O120" s="304"/>
      <c r="P120" s="365"/>
      <c r="Q120" s="186"/>
      <c r="R120" s="18"/>
      <c r="S120" s="374"/>
      <c r="T120" s="372"/>
      <c r="U120" s="186"/>
      <c r="V120" s="18"/>
      <c r="W120" s="374"/>
      <c r="X120" s="372"/>
      <c r="Y120" s="186"/>
      <c r="Z120" s="18"/>
      <c r="AA120" s="374"/>
      <c r="AB120" s="372"/>
      <c r="AC120" s="186"/>
      <c r="AD120" s="18"/>
      <c r="AE120" s="374"/>
      <c r="AF120" s="372"/>
      <c r="AG120" s="186"/>
      <c r="AH120" s="18"/>
      <c r="AI120" s="374"/>
      <c r="AJ120" s="372"/>
      <c r="AK120" s="365"/>
      <c r="AL120" s="365"/>
      <c r="AM120" s="365"/>
      <c r="AN120" s="365"/>
      <c r="AO120" s="365"/>
      <c r="AP120" s="365"/>
    </row>
    <row r="121">
      <c r="A121" s="302"/>
      <c r="B121" s="303"/>
      <c r="C121" s="304"/>
      <c r="D121" s="365"/>
      <c r="E121" s="302"/>
      <c r="F121" s="303"/>
      <c r="G121" s="304"/>
      <c r="H121" s="365"/>
      <c r="I121" s="302"/>
      <c r="J121" s="303"/>
      <c r="K121" s="304"/>
      <c r="L121" s="365"/>
      <c r="M121" s="302"/>
      <c r="N121" s="303"/>
      <c r="O121" s="304"/>
      <c r="P121" s="365"/>
      <c r="Q121" s="186"/>
      <c r="R121" s="18"/>
      <c r="S121" s="374"/>
      <c r="T121" s="372"/>
      <c r="U121" s="186"/>
      <c r="V121" s="18"/>
      <c r="W121" s="374"/>
      <c r="X121" s="372"/>
      <c r="Y121" s="186"/>
      <c r="Z121" s="18"/>
      <c r="AA121" s="374"/>
      <c r="AB121" s="372"/>
      <c r="AC121" s="186"/>
      <c r="AD121" s="18"/>
      <c r="AE121" s="374"/>
      <c r="AF121" s="372"/>
      <c r="AG121" s="186"/>
      <c r="AH121" s="18"/>
      <c r="AI121" s="374"/>
      <c r="AJ121" s="372"/>
      <c r="AK121" s="365"/>
      <c r="AL121" s="365"/>
      <c r="AM121" s="365"/>
      <c r="AN121" s="365"/>
      <c r="AO121" s="365"/>
      <c r="AP121" s="365"/>
    </row>
    <row r="122">
      <c r="A122" s="302"/>
      <c r="B122" s="303"/>
      <c r="C122" s="304"/>
      <c r="D122" s="365"/>
      <c r="E122" s="302"/>
      <c r="F122" s="303"/>
      <c r="G122" s="304"/>
      <c r="H122" s="365"/>
      <c r="I122" s="302"/>
      <c r="J122" s="303"/>
      <c r="K122" s="304"/>
      <c r="L122" s="365"/>
      <c r="M122" s="302"/>
      <c r="N122" s="303"/>
      <c r="O122" s="304"/>
      <c r="P122" s="365"/>
      <c r="Q122" s="186"/>
      <c r="R122" s="18"/>
      <c r="S122" s="374"/>
      <c r="T122" s="372"/>
      <c r="U122" s="186"/>
      <c r="V122" s="18"/>
      <c r="W122" s="374"/>
      <c r="X122" s="372"/>
      <c r="Y122" s="186"/>
      <c r="Z122" s="18"/>
      <c r="AA122" s="374"/>
      <c r="AB122" s="372"/>
      <c r="AC122" s="186"/>
      <c r="AD122" s="18"/>
      <c r="AE122" s="374"/>
      <c r="AF122" s="372"/>
      <c r="AG122" s="186"/>
      <c r="AH122" s="18"/>
      <c r="AI122" s="374"/>
      <c r="AJ122" s="372"/>
      <c r="AK122" s="365"/>
      <c r="AL122" s="365"/>
      <c r="AM122" s="365"/>
      <c r="AN122" s="365"/>
      <c r="AO122" s="365"/>
      <c r="AP122" s="365"/>
    </row>
    <row r="123">
      <c r="A123" s="302"/>
      <c r="B123" s="303"/>
      <c r="C123" s="304"/>
      <c r="D123" s="365"/>
      <c r="E123" s="302"/>
      <c r="F123" s="303"/>
      <c r="G123" s="304"/>
      <c r="H123" s="365"/>
      <c r="I123" s="302"/>
      <c r="J123" s="303"/>
      <c r="K123" s="304"/>
      <c r="L123" s="365"/>
      <c r="M123" s="302"/>
      <c r="N123" s="303"/>
      <c r="O123" s="304"/>
      <c r="P123" s="365"/>
      <c r="Q123" s="186"/>
      <c r="R123" s="18"/>
      <c r="S123" s="374"/>
      <c r="T123" s="372"/>
      <c r="U123" s="186"/>
      <c r="V123" s="18"/>
      <c r="W123" s="374"/>
      <c r="X123" s="372"/>
      <c r="Y123" s="186"/>
      <c r="Z123" s="18"/>
      <c r="AA123" s="374"/>
      <c r="AB123" s="372"/>
      <c r="AC123" s="186"/>
      <c r="AD123" s="18"/>
      <c r="AE123" s="374"/>
      <c r="AF123" s="372"/>
      <c r="AG123" s="186"/>
      <c r="AH123" s="18"/>
      <c r="AI123" s="374"/>
      <c r="AJ123" s="372"/>
      <c r="AK123" s="365"/>
      <c r="AL123" s="365"/>
      <c r="AM123" s="365"/>
      <c r="AN123" s="365"/>
      <c r="AO123" s="365"/>
      <c r="AP123" s="365"/>
    </row>
    <row r="124">
      <c r="A124" s="302"/>
      <c r="B124" s="303"/>
      <c r="C124" s="304"/>
      <c r="D124" s="365"/>
      <c r="E124" s="302"/>
      <c r="F124" s="303"/>
      <c r="G124" s="304"/>
      <c r="H124" s="365"/>
      <c r="I124" s="302"/>
      <c r="J124" s="303"/>
      <c r="K124" s="304"/>
      <c r="L124" s="365"/>
      <c r="M124" s="302"/>
      <c r="N124" s="303"/>
      <c r="O124" s="304"/>
      <c r="P124" s="365"/>
      <c r="Q124" s="186"/>
      <c r="R124" s="18"/>
      <c r="S124" s="374"/>
      <c r="T124" s="372"/>
      <c r="U124" s="186"/>
      <c r="V124" s="18"/>
      <c r="W124" s="374"/>
      <c r="X124" s="372"/>
      <c r="Y124" s="186"/>
      <c r="Z124" s="18"/>
      <c r="AA124" s="374"/>
      <c r="AB124" s="372"/>
      <c r="AC124" s="186"/>
      <c r="AD124" s="18"/>
      <c r="AE124" s="374"/>
      <c r="AF124" s="372"/>
      <c r="AG124" s="186"/>
      <c r="AH124" s="18"/>
      <c r="AI124" s="374"/>
      <c r="AJ124" s="372"/>
      <c r="AK124" s="365"/>
      <c r="AL124" s="365"/>
      <c r="AM124" s="365"/>
      <c r="AN124" s="365"/>
      <c r="AO124" s="365"/>
      <c r="AP124" s="365"/>
    </row>
    <row r="125">
      <c r="A125" s="302"/>
      <c r="B125" s="303"/>
      <c r="C125" s="304"/>
      <c r="D125" s="365"/>
      <c r="E125" s="302"/>
      <c r="F125" s="303"/>
      <c r="G125" s="304"/>
      <c r="H125" s="365"/>
      <c r="I125" s="302"/>
      <c r="J125" s="303"/>
      <c r="K125" s="304"/>
      <c r="L125" s="365"/>
      <c r="M125" s="302"/>
      <c r="N125" s="303"/>
      <c r="O125" s="304"/>
      <c r="P125" s="365"/>
      <c r="Q125" s="186"/>
      <c r="R125" s="18"/>
      <c r="S125" s="374"/>
      <c r="T125" s="372"/>
      <c r="U125" s="186"/>
      <c r="V125" s="18"/>
      <c r="W125" s="374"/>
      <c r="X125" s="372"/>
      <c r="Y125" s="186"/>
      <c r="Z125" s="18"/>
      <c r="AA125" s="374"/>
      <c r="AB125" s="372"/>
      <c r="AC125" s="186"/>
      <c r="AD125" s="18"/>
      <c r="AE125" s="374"/>
      <c r="AF125" s="372"/>
      <c r="AG125" s="186"/>
      <c r="AH125" s="18"/>
      <c r="AI125" s="374"/>
      <c r="AJ125" s="372"/>
      <c r="AK125" s="365"/>
      <c r="AL125" s="365"/>
      <c r="AM125" s="365"/>
      <c r="AN125" s="365"/>
      <c r="AO125" s="365"/>
      <c r="AP125" s="365"/>
    </row>
    <row r="126">
      <c r="A126" s="302"/>
      <c r="B126" s="303"/>
      <c r="C126" s="304"/>
      <c r="D126" s="365"/>
      <c r="E126" s="302"/>
      <c r="F126" s="303"/>
      <c r="G126" s="304"/>
      <c r="H126" s="365"/>
      <c r="I126" s="302"/>
      <c r="J126" s="303"/>
      <c r="K126" s="304"/>
      <c r="L126" s="365"/>
      <c r="M126" s="302"/>
      <c r="N126" s="303"/>
      <c r="O126" s="304"/>
      <c r="P126" s="365"/>
      <c r="Q126" s="186"/>
      <c r="R126" s="18"/>
      <c r="S126" s="374"/>
      <c r="T126" s="372"/>
      <c r="U126" s="186"/>
      <c r="V126" s="18"/>
      <c r="W126" s="374"/>
      <c r="X126" s="372"/>
      <c r="Y126" s="186"/>
      <c r="Z126" s="18"/>
      <c r="AA126" s="374"/>
      <c r="AB126" s="372"/>
      <c r="AC126" s="186"/>
      <c r="AD126" s="18"/>
      <c r="AE126" s="374"/>
      <c r="AF126" s="372"/>
      <c r="AG126" s="186"/>
      <c r="AH126" s="18"/>
      <c r="AI126" s="374"/>
      <c r="AJ126" s="372"/>
      <c r="AK126" s="365"/>
      <c r="AL126" s="365"/>
      <c r="AM126" s="365"/>
      <c r="AN126" s="365"/>
      <c r="AO126" s="365"/>
      <c r="AP126" s="365"/>
    </row>
    <row r="127">
      <c r="A127" s="302"/>
      <c r="B127" s="303"/>
      <c r="C127" s="304"/>
      <c r="D127" s="365"/>
      <c r="E127" s="302"/>
      <c r="F127" s="303"/>
      <c r="G127" s="304"/>
      <c r="H127" s="365"/>
      <c r="I127" s="302"/>
      <c r="J127" s="303"/>
      <c r="K127" s="304"/>
      <c r="L127" s="365"/>
      <c r="M127" s="302"/>
      <c r="N127" s="303"/>
      <c r="O127" s="304"/>
      <c r="P127" s="365"/>
      <c r="Q127" s="186"/>
      <c r="R127" s="18"/>
      <c r="S127" s="374"/>
      <c r="T127" s="372"/>
      <c r="U127" s="186"/>
      <c r="V127" s="18"/>
      <c r="W127" s="374"/>
      <c r="X127" s="372"/>
      <c r="Y127" s="186"/>
      <c r="Z127" s="18"/>
      <c r="AA127" s="374"/>
      <c r="AB127" s="372"/>
      <c r="AC127" s="186"/>
      <c r="AD127" s="18"/>
      <c r="AE127" s="374"/>
      <c r="AF127" s="372"/>
      <c r="AG127" s="186"/>
      <c r="AH127" s="18"/>
      <c r="AI127" s="374"/>
      <c r="AJ127" s="372"/>
      <c r="AK127" s="365"/>
      <c r="AL127" s="365"/>
      <c r="AM127" s="365"/>
      <c r="AN127" s="365"/>
      <c r="AO127" s="365"/>
      <c r="AP127" s="365"/>
    </row>
    <row r="128">
      <c r="A128" s="302"/>
      <c r="B128" s="303"/>
      <c r="C128" s="304"/>
      <c r="D128" s="365"/>
      <c r="E128" s="302"/>
      <c r="F128" s="303"/>
      <c r="G128" s="304"/>
      <c r="H128" s="365"/>
      <c r="I128" s="302"/>
      <c r="J128" s="303"/>
      <c r="K128" s="304"/>
      <c r="L128" s="365"/>
      <c r="M128" s="302"/>
      <c r="N128" s="303"/>
      <c r="O128" s="304"/>
      <c r="P128" s="365"/>
      <c r="Q128" s="186"/>
      <c r="R128" s="18"/>
      <c r="S128" s="374"/>
      <c r="T128" s="372"/>
      <c r="U128" s="186"/>
      <c r="V128" s="18"/>
      <c r="W128" s="374"/>
      <c r="X128" s="372"/>
      <c r="Y128" s="186"/>
      <c r="Z128" s="18"/>
      <c r="AA128" s="374"/>
      <c r="AB128" s="372"/>
      <c r="AC128" s="186"/>
      <c r="AD128" s="18"/>
      <c r="AE128" s="374"/>
      <c r="AF128" s="372"/>
      <c r="AG128" s="186"/>
      <c r="AH128" s="18"/>
      <c r="AI128" s="374"/>
      <c r="AJ128" s="372"/>
      <c r="AK128" s="365"/>
      <c r="AL128" s="365"/>
      <c r="AM128" s="365"/>
      <c r="AN128" s="365"/>
      <c r="AO128" s="365"/>
      <c r="AP128" s="365"/>
    </row>
    <row r="129">
      <c r="A129" s="302"/>
      <c r="B129" s="303"/>
      <c r="C129" s="304"/>
      <c r="D129" s="365"/>
      <c r="E129" s="302"/>
      <c r="F129" s="303"/>
      <c r="G129" s="304"/>
      <c r="H129" s="365"/>
      <c r="I129" s="302"/>
      <c r="J129" s="303"/>
      <c r="K129" s="304"/>
      <c r="L129" s="365"/>
      <c r="M129" s="302"/>
      <c r="N129" s="303"/>
      <c r="O129" s="304"/>
      <c r="P129" s="365"/>
      <c r="Q129" s="186"/>
      <c r="R129" s="18"/>
      <c r="S129" s="374"/>
      <c r="T129" s="372"/>
      <c r="U129" s="186"/>
      <c r="V129" s="18"/>
      <c r="W129" s="374"/>
      <c r="X129" s="372"/>
      <c r="Y129" s="186"/>
      <c r="Z129" s="18"/>
      <c r="AA129" s="374"/>
      <c r="AB129" s="372"/>
      <c r="AC129" s="186"/>
      <c r="AD129" s="18"/>
      <c r="AE129" s="374"/>
      <c r="AF129" s="372"/>
      <c r="AG129" s="186"/>
      <c r="AH129" s="18"/>
      <c r="AI129" s="374"/>
      <c r="AJ129" s="372"/>
      <c r="AK129" s="365"/>
      <c r="AL129" s="365"/>
      <c r="AM129" s="365"/>
      <c r="AN129" s="365"/>
      <c r="AO129" s="365"/>
      <c r="AP129" s="365"/>
    </row>
    <row r="130">
      <c r="A130" s="302"/>
      <c r="B130" s="303"/>
      <c r="C130" s="304"/>
      <c r="D130" s="365"/>
      <c r="E130" s="302"/>
      <c r="F130" s="303"/>
      <c r="G130" s="304"/>
      <c r="H130" s="365"/>
      <c r="I130" s="302"/>
      <c r="J130" s="303"/>
      <c r="K130" s="304"/>
      <c r="L130" s="365"/>
      <c r="M130" s="302"/>
      <c r="N130" s="303"/>
      <c r="O130" s="304"/>
      <c r="P130" s="365"/>
      <c r="Q130" s="186"/>
      <c r="R130" s="18"/>
      <c r="S130" s="374"/>
      <c r="T130" s="372"/>
      <c r="U130" s="186"/>
      <c r="V130" s="18"/>
      <c r="W130" s="374"/>
      <c r="X130" s="372"/>
      <c r="Y130" s="186"/>
      <c r="Z130" s="18"/>
      <c r="AA130" s="374"/>
      <c r="AB130" s="372"/>
      <c r="AC130" s="186"/>
      <c r="AD130" s="18"/>
      <c r="AE130" s="374"/>
      <c r="AF130" s="372"/>
      <c r="AG130" s="186"/>
      <c r="AH130" s="18"/>
      <c r="AI130" s="374"/>
      <c r="AJ130" s="372"/>
      <c r="AK130" s="365"/>
      <c r="AL130" s="365"/>
      <c r="AM130" s="365"/>
      <c r="AN130" s="365"/>
      <c r="AO130" s="365"/>
      <c r="AP130" s="365"/>
    </row>
    <row r="131">
      <c r="A131" s="302"/>
      <c r="B131" s="303"/>
      <c r="C131" s="304"/>
      <c r="D131" s="365"/>
      <c r="E131" s="302"/>
      <c r="F131" s="303"/>
      <c r="G131" s="304"/>
      <c r="H131" s="365"/>
      <c r="I131" s="302"/>
      <c r="J131" s="303"/>
      <c r="K131" s="304"/>
      <c r="L131" s="365"/>
      <c r="M131" s="302"/>
      <c r="N131" s="303"/>
      <c r="O131" s="304"/>
      <c r="P131" s="365"/>
      <c r="Q131" s="186"/>
      <c r="R131" s="18"/>
      <c r="S131" s="374"/>
      <c r="T131" s="372"/>
      <c r="U131" s="186"/>
      <c r="V131" s="18"/>
      <c r="W131" s="374"/>
      <c r="X131" s="372"/>
      <c r="Y131" s="186"/>
      <c r="Z131" s="18"/>
      <c r="AA131" s="374"/>
      <c r="AB131" s="372"/>
      <c r="AC131" s="186"/>
      <c r="AD131" s="18"/>
      <c r="AE131" s="374"/>
      <c r="AF131" s="372"/>
      <c r="AG131" s="186"/>
      <c r="AH131" s="18"/>
      <c r="AI131" s="374"/>
      <c r="AJ131" s="372"/>
      <c r="AK131" s="365"/>
      <c r="AL131" s="365"/>
      <c r="AM131" s="365"/>
      <c r="AN131" s="365"/>
      <c r="AO131" s="365"/>
      <c r="AP131" s="365"/>
    </row>
    <row r="132">
      <c r="A132" s="302"/>
      <c r="B132" s="303"/>
      <c r="C132" s="304"/>
      <c r="D132" s="365"/>
      <c r="E132" s="302"/>
      <c r="F132" s="303"/>
      <c r="G132" s="304"/>
      <c r="H132" s="365"/>
      <c r="I132" s="302"/>
      <c r="J132" s="303"/>
      <c r="K132" s="304"/>
      <c r="L132" s="365"/>
      <c r="M132" s="302"/>
      <c r="N132" s="303"/>
      <c r="O132" s="304"/>
      <c r="P132" s="365"/>
      <c r="Q132" s="186"/>
      <c r="R132" s="18"/>
      <c r="S132" s="374"/>
      <c r="T132" s="372"/>
      <c r="U132" s="186"/>
      <c r="V132" s="18"/>
      <c r="W132" s="374"/>
      <c r="X132" s="372"/>
      <c r="Y132" s="186"/>
      <c r="Z132" s="18"/>
      <c r="AA132" s="374"/>
      <c r="AB132" s="372"/>
      <c r="AC132" s="186"/>
      <c r="AD132" s="18"/>
      <c r="AE132" s="374"/>
      <c r="AF132" s="372"/>
      <c r="AG132" s="186"/>
      <c r="AH132" s="18"/>
      <c r="AI132" s="374"/>
      <c r="AJ132" s="372"/>
      <c r="AK132" s="365"/>
      <c r="AL132" s="365"/>
      <c r="AM132" s="365"/>
      <c r="AN132" s="365"/>
      <c r="AO132" s="365"/>
      <c r="AP132" s="365"/>
    </row>
    <row r="133">
      <c r="A133" s="302"/>
      <c r="B133" s="303"/>
      <c r="C133" s="304"/>
      <c r="D133" s="365"/>
      <c r="E133" s="302"/>
      <c r="F133" s="303"/>
      <c r="G133" s="304"/>
      <c r="H133" s="365"/>
      <c r="I133" s="302"/>
      <c r="J133" s="303"/>
      <c r="K133" s="304"/>
      <c r="L133" s="365"/>
      <c r="M133" s="302"/>
      <c r="N133" s="303"/>
      <c r="O133" s="304"/>
      <c r="P133" s="365"/>
      <c r="Q133" s="186"/>
      <c r="R133" s="18"/>
      <c r="S133" s="374"/>
      <c r="T133" s="372"/>
      <c r="U133" s="186"/>
      <c r="V133" s="18"/>
      <c r="W133" s="374"/>
      <c r="X133" s="372"/>
      <c r="Y133" s="186"/>
      <c r="Z133" s="18"/>
      <c r="AA133" s="374"/>
      <c r="AB133" s="372"/>
      <c r="AC133" s="186"/>
      <c r="AD133" s="18"/>
      <c r="AE133" s="374"/>
      <c r="AF133" s="372"/>
      <c r="AG133" s="186"/>
      <c r="AH133" s="18"/>
      <c r="AI133" s="374"/>
      <c r="AJ133" s="372"/>
      <c r="AK133" s="365"/>
      <c r="AL133" s="365"/>
      <c r="AM133" s="365"/>
      <c r="AN133" s="365"/>
      <c r="AO133" s="365"/>
      <c r="AP133" s="365"/>
    </row>
    <row r="134">
      <c r="A134" s="302"/>
      <c r="B134" s="303"/>
      <c r="C134" s="304"/>
      <c r="D134" s="365"/>
      <c r="E134" s="302"/>
      <c r="F134" s="303"/>
      <c r="G134" s="304"/>
      <c r="H134" s="365"/>
      <c r="I134" s="302"/>
      <c r="J134" s="303"/>
      <c r="K134" s="304"/>
      <c r="L134" s="365"/>
      <c r="M134" s="302"/>
      <c r="N134" s="303"/>
      <c r="O134" s="304"/>
      <c r="P134" s="365"/>
      <c r="Q134" s="186"/>
      <c r="R134" s="18"/>
      <c r="S134" s="374"/>
      <c r="T134" s="372"/>
      <c r="U134" s="186"/>
      <c r="V134" s="18"/>
      <c r="W134" s="374"/>
      <c r="X134" s="372"/>
      <c r="Y134" s="186"/>
      <c r="Z134" s="18"/>
      <c r="AA134" s="374"/>
      <c r="AB134" s="372"/>
      <c r="AC134" s="186"/>
      <c r="AD134" s="18"/>
      <c r="AE134" s="374"/>
      <c r="AF134" s="372"/>
      <c r="AG134" s="186"/>
      <c r="AH134" s="18"/>
      <c r="AI134" s="374"/>
      <c r="AJ134" s="372"/>
      <c r="AK134" s="365"/>
      <c r="AL134" s="365"/>
      <c r="AM134" s="365"/>
      <c r="AN134" s="365"/>
      <c r="AO134" s="365"/>
      <c r="AP134" s="365"/>
    </row>
    <row r="135">
      <c r="A135" s="302"/>
      <c r="B135" s="303"/>
      <c r="C135" s="304"/>
      <c r="D135" s="365"/>
      <c r="E135" s="302"/>
      <c r="F135" s="303"/>
      <c r="G135" s="304"/>
      <c r="H135" s="365"/>
      <c r="I135" s="302"/>
      <c r="J135" s="303"/>
      <c r="K135" s="304"/>
      <c r="L135" s="365"/>
      <c r="M135" s="302"/>
      <c r="N135" s="303"/>
      <c r="O135" s="304"/>
      <c r="P135" s="365"/>
      <c r="Q135" s="186"/>
      <c r="R135" s="18"/>
      <c r="S135" s="374"/>
      <c r="T135" s="372"/>
      <c r="U135" s="186"/>
      <c r="V135" s="18"/>
      <c r="W135" s="374"/>
      <c r="X135" s="372"/>
      <c r="Y135" s="186"/>
      <c r="Z135" s="18"/>
      <c r="AA135" s="374"/>
      <c r="AB135" s="372"/>
      <c r="AC135" s="186"/>
      <c r="AD135" s="18"/>
      <c r="AE135" s="374"/>
      <c r="AF135" s="372"/>
      <c r="AG135" s="186"/>
      <c r="AH135" s="18"/>
      <c r="AI135" s="374"/>
      <c r="AJ135" s="372"/>
      <c r="AK135" s="365"/>
      <c r="AL135" s="365"/>
      <c r="AM135" s="365"/>
      <c r="AN135" s="365"/>
      <c r="AO135" s="365"/>
      <c r="AP135" s="365"/>
    </row>
    <row r="136">
      <c r="A136" s="302"/>
      <c r="B136" s="303"/>
      <c r="C136" s="304"/>
      <c r="D136" s="365"/>
      <c r="E136" s="302"/>
      <c r="F136" s="303"/>
      <c r="G136" s="304"/>
      <c r="H136" s="365"/>
      <c r="I136" s="302"/>
      <c r="J136" s="303"/>
      <c r="K136" s="304"/>
      <c r="L136" s="365"/>
      <c r="M136" s="302"/>
      <c r="N136" s="303"/>
      <c r="O136" s="304"/>
      <c r="P136" s="365"/>
      <c r="Q136" s="186"/>
      <c r="R136" s="18"/>
      <c r="S136" s="374"/>
      <c r="T136" s="372"/>
      <c r="U136" s="186"/>
      <c r="V136" s="18"/>
      <c r="W136" s="374"/>
      <c r="X136" s="372"/>
      <c r="Y136" s="186"/>
      <c r="Z136" s="18"/>
      <c r="AA136" s="374"/>
      <c r="AB136" s="372"/>
      <c r="AC136" s="186"/>
      <c r="AD136" s="18"/>
      <c r="AE136" s="374"/>
      <c r="AF136" s="372"/>
      <c r="AG136" s="186"/>
      <c r="AH136" s="18"/>
      <c r="AI136" s="374"/>
      <c r="AJ136" s="372"/>
      <c r="AK136" s="365"/>
      <c r="AL136" s="365"/>
      <c r="AM136" s="365"/>
      <c r="AN136" s="365"/>
      <c r="AO136" s="365"/>
      <c r="AP136" s="365"/>
    </row>
    <row r="137">
      <c r="A137" s="302"/>
      <c r="B137" s="303"/>
      <c r="C137" s="304"/>
      <c r="D137" s="365"/>
      <c r="E137" s="302"/>
      <c r="F137" s="303"/>
      <c r="G137" s="304"/>
      <c r="H137" s="365"/>
      <c r="I137" s="302"/>
      <c r="J137" s="303"/>
      <c r="K137" s="304"/>
      <c r="L137" s="365"/>
      <c r="M137" s="302"/>
      <c r="N137" s="303"/>
      <c r="O137" s="304"/>
      <c r="P137" s="365"/>
      <c r="Q137" s="186"/>
      <c r="R137" s="18"/>
      <c r="S137" s="374"/>
      <c r="T137" s="372"/>
      <c r="U137" s="186"/>
      <c r="V137" s="18"/>
      <c r="W137" s="374"/>
      <c r="X137" s="372"/>
      <c r="Y137" s="186"/>
      <c r="Z137" s="18"/>
      <c r="AA137" s="374"/>
      <c r="AB137" s="372"/>
      <c r="AC137" s="186"/>
      <c r="AD137" s="18"/>
      <c r="AE137" s="374"/>
      <c r="AF137" s="372"/>
      <c r="AG137" s="186"/>
      <c r="AH137" s="18"/>
      <c r="AI137" s="374"/>
      <c r="AJ137" s="372"/>
      <c r="AK137" s="365"/>
      <c r="AL137" s="365"/>
      <c r="AM137" s="365"/>
      <c r="AN137" s="365"/>
      <c r="AO137" s="365"/>
      <c r="AP137" s="365"/>
    </row>
    <row r="138">
      <c r="A138" s="302"/>
      <c r="B138" s="303"/>
      <c r="C138" s="304"/>
      <c r="D138" s="365"/>
      <c r="E138" s="302"/>
      <c r="F138" s="303"/>
      <c r="G138" s="304"/>
      <c r="H138" s="365"/>
      <c r="I138" s="302"/>
      <c r="J138" s="303"/>
      <c r="K138" s="304"/>
      <c r="L138" s="365"/>
      <c r="M138" s="302"/>
      <c r="N138" s="303"/>
      <c r="O138" s="304"/>
      <c r="P138" s="365"/>
      <c r="Q138" s="186"/>
      <c r="R138" s="18"/>
      <c r="S138" s="374"/>
      <c r="T138" s="372"/>
      <c r="U138" s="186"/>
      <c r="V138" s="18"/>
      <c r="W138" s="374"/>
      <c r="X138" s="372"/>
      <c r="Y138" s="186"/>
      <c r="Z138" s="18"/>
      <c r="AA138" s="374"/>
      <c r="AB138" s="372"/>
      <c r="AC138" s="186"/>
      <c r="AD138" s="18"/>
      <c r="AE138" s="374"/>
      <c r="AF138" s="372"/>
      <c r="AG138" s="186"/>
      <c r="AH138" s="18"/>
      <c r="AI138" s="374"/>
      <c r="AJ138" s="372"/>
      <c r="AK138" s="365"/>
      <c r="AL138" s="365"/>
      <c r="AM138" s="365"/>
      <c r="AN138" s="365"/>
      <c r="AO138" s="365"/>
      <c r="AP138" s="365"/>
    </row>
    <row r="139">
      <c r="A139" s="302"/>
      <c r="B139" s="303"/>
      <c r="C139" s="304"/>
      <c r="D139" s="365"/>
      <c r="E139" s="302"/>
      <c r="F139" s="303"/>
      <c r="G139" s="304"/>
      <c r="H139" s="365"/>
      <c r="I139" s="302"/>
      <c r="J139" s="303"/>
      <c r="K139" s="304"/>
      <c r="L139" s="365"/>
      <c r="M139" s="302"/>
      <c r="N139" s="303"/>
      <c r="O139" s="304"/>
      <c r="P139" s="365"/>
      <c r="Q139" s="186"/>
      <c r="R139" s="18"/>
      <c r="S139" s="374"/>
      <c r="T139" s="372"/>
      <c r="U139" s="186"/>
      <c r="V139" s="18"/>
      <c r="W139" s="374"/>
      <c r="X139" s="372"/>
      <c r="Y139" s="186"/>
      <c r="Z139" s="18"/>
      <c r="AA139" s="374"/>
      <c r="AB139" s="372"/>
      <c r="AC139" s="186"/>
      <c r="AD139" s="18"/>
      <c r="AE139" s="374"/>
      <c r="AF139" s="372"/>
      <c r="AG139" s="186"/>
      <c r="AH139" s="18"/>
      <c r="AI139" s="374"/>
      <c r="AJ139" s="372"/>
      <c r="AK139" s="365"/>
      <c r="AL139" s="365"/>
      <c r="AM139" s="365"/>
      <c r="AN139" s="365"/>
      <c r="AO139" s="365"/>
      <c r="AP139" s="365"/>
    </row>
    <row r="140">
      <c r="A140" s="302"/>
      <c r="B140" s="303"/>
      <c r="C140" s="304"/>
      <c r="D140" s="365"/>
      <c r="E140" s="302"/>
      <c r="F140" s="303"/>
      <c r="G140" s="304"/>
      <c r="H140" s="365"/>
      <c r="I140" s="302"/>
      <c r="J140" s="303"/>
      <c r="K140" s="304"/>
      <c r="L140" s="365"/>
      <c r="M140" s="302"/>
      <c r="N140" s="303"/>
      <c r="O140" s="304"/>
      <c r="P140" s="365"/>
      <c r="Q140" s="186"/>
      <c r="R140" s="18"/>
      <c r="S140" s="374"/>
      <c r="T140" s="372"/>
      <c r="U140" s="186"/>
      <c r="V140" s="18"/>
      <c r="W140" s="374"/>
      <c r="X140" s="372"/>
      <c r="Y140" s="186"/>
      <c r="Z140" s="18"/>
      <c r="AA140" s="374"/>
      <c r="AB140" s="372"/>
      <c r="AC140" s="186"/>
      <c r="AD140" s="18"/>
      <c r="AE140" s="374"/>
      <c r="AF140" s="372"/>
      <c r="AG140" s="186"/>
      <c r="AH140" s="18"/>
      <c r="AI140" s="374"/>
      <c r="AJ140" s="372"/>
      <c r="AK140" s="365"/>
      <c r="AL140" s="365"/>
      <c r="AM140" s="365"/>
      <c r="AN140" s="365"/>
      <c r="AO140" s="365"/>
      <c r="AP140" s="365"/>
    </row>
    <row r="141">
      <c r="A141" s="302"/>
      <c r="B141" s="303"/>
      <c r="C141" s="304"/>
      <c r="D141" s="365"/>
      <c r="E141" s="302"/>
      <c r="F141" s="303"/>
      <c r="G141" s="304"/>
      <c r="H141" s="365"/>
      <c r="I141" s="302"/>
      <c r="J141" s="303"/>
      <c r="K141" s="304"/>
      <c r="L141" s="365"/>
      <c r="M141" s="302"/>
      <c r="N141" s="303"/>
      <c r="O141" s="304"/>
      <c r="P141" s="365"/>
      <c r="Q141" s="186"/>
      <c r="R141" s="18"/>
      <c r="S141" s="374"/>
      <c r="T141" s="372"/>
      <c r="U141" s="186"/>
      <c r="V141" s="18"/>
      <c r="W141" s="374"/>
      <c r="X141" s="372"/>
      <c r="Y141" s="186"/>
      <c r="Z141" s="18"/>
      <c r="AA141" s="374"/>
      <c r="AB141" s="372"/>
      <c r="AC141" s="186"/>
      <c r="AD141" s="18"/>
      <c r="AE141" s="374"/>
      <c r="AF141" s="372"/>
      <c r="AG141" s="186"/>
      <c r="AH141" s="18"/>
      <c r="AI141" s="374"/>
      <c r="AJ141" s="372"/>
      <c r="AK141" s="365"/>
      <c r="AL141" s="365"/>
      <c r="AM141" s="365"/>
      <c r="AN141" s="365"/>
      <c r="AO141" s="365"/>
      <c r="AP141" s="365"/>
    </row>
    <row r="142">
      <c r="A142" s="302"/>
      <c r="B142" s="303"/>
      <c r="C142" s="304"/>
      <c r="D142" s="365"/>
      <c r="E142" s="302"/>
      <c r="F142" s="303"/>
      <c r="G142" s="304"/>
      <c r="H142" s="365"/>
      <c r="I142" s="302"/>
      <c r="J142" s="303"/>
      <c r="K142" s="304"/>
      <c r="L142" s="365"/>
      <c r="M142" s="302"/>
      <c r="N142" s="303"/>
      <c r="O142" s="304"/>
      <c r="P142" s="365"/>
      <c r="Q142" s="186"/>
      <c r="R142" s="18"/>
      <c r="S142" s="374"/>
      <c r="T142" s="372"/>
      <c r="U142" s="186"/>
      <c r="V142" s="18"/>
      <c r="W142" s="374"/>
      <c r="X142" s="372"/>
      <c r="Y142" s="186"/>
      <c r="Z142" s="18"/>
      <c r="AA142" s="374"/>
      <c r="AB142" s="372"/>
      <c r="AC142" s="186"/>
      <c r="AD142" s="18"/>
      <c r="AE142" s="374"/>
      <c r="AF142" s="372"/>
      <c r="AG142" s="186"/>
      <c r="AH142" s="18"/>
      <c r="AI142" s="374"/>
      <c r="AJ142" s="372"/>
      <c r="AK142" s="365"/>
      <c r="AL142" s="365"/>
      <c r="AM142" s="365"/>
      <c r="AN142" s="365"/>
      <c r="AO142" s="365"/>
      <c r="AP142" s="365"/>
    </row>
    <row r="143">
      <c r="A143" s="302"/>
      <c r="B143" s="303"/>
      <c r="C143" s="304"/>
      <c r="D143" s="365"/>
      <c r="E143" s="302"/>
      <c r="F143" s="303"/>
      <c r="G143" s="304"/>
      <c r="H143" s="365"/>
      <c r="I143" s="302"/>
      <c r="J143" s="303"/>
      <c r="K143" s="304"/>
      <c r="L143" s="365"/>
      <c r="M143" s="302"/>
      <c r="N143" s="303"/>
      <c r="O143" s="304"/>
      <c r="P143" s="365"/>
      <c r="Q143" s="186"/>
      <c r="R143" s="18"/>
      <c r="S143" s="374"/>
      <c r="T143" s="372"/>
      <c r="U143" s="186"/>
      <c r="V143" s="18"/>
      <c r="W143" s="374"/>
      <c r="X143" s="372"/>
      <c r="Y143" s="186"/>
      <c r="Z143" s="18"/>
      <c r="AA143" s="374"/>
      <c r="AB143" s="372"/>
      <c r="AC143" s="186"/>
      <c r="AD143" s="18"/>
      <c r="AE143" s="374"/>
      <c r="AF143" s="372"/>
      <c r="AG143" s="186"/>
      <c r="AH143" s="18"/>
      <c r="AI143" s="374"/>
      <c r="AJ143" s="372"/>
      <c r="AK143" s="365"/>
      <c r="AL143" s="365"/>
      <c r="AM143" s="365"/>
      <c r="AN143" s="365"/>
      <c r="AO143" s="365"/>
      <c r="AP143" s="365"/>
    </row>
    <row r="144">
      <c r="A144" s="302"/>
      <c r="B144" s="303"/>
      <c r="C144" s="304"/>
      <c r="D144" s="365"/>
      <c r="E144" s="302"/>
      <c r="F144" s="303"/>
      <c r="G144" s="304"/>
      <c r="H144" s="365"/>
      <c r="I144" s="302"/>
      <c r="J144" s="303"/>
      <c r="K144" s="304"/>
      <c r="L144" s="365"/>
      <c r="M144" s="302"/>
      <c r="N144" s="303"/>
      <c r="O144" s="304"/>
      <c r="P144" s="365"/>
      <c r="Q144" s="186"/>
      <c r="R144" s="18"/>
      <c r="S144" s="374"/>
      <c r="T144" s="372"/>
      <c r="U144" s="186"/>
      <c r="V144" s="18"/>
      <c r="W144" s="374"/>
      <c r="X144" s="372"/>
      <c r="Y144" s="186"/>
      <c r="Z144" s="18"/>
      <c r="AA144" s="374"/>
      <c r="AB144" s="372"/>
      <c r="AC144" s="186"/>
      <c r="AD144" s="18"/>
      <c r="AE144" s="374"/>
      <c r="AF144" s="372"/>
      <c r="AG144" s="186"/>
      <c r="AH144" s="18"/>
      <c r="AI144" s="374"/>
      <c r="AJ144" s="372"/>
      <c r="AK144" s="365"/>
      <c r="AL144" s="365"/>
      <c r="AM144" s="365"/>
      <c r="AN144" s="365"/>
      <c r="AO144" s="365"/>
      <c r="AP144" s="365"/>
    </row>
    <row r="145">
      <c r="A145" s="302"/>
      <c r="B145" s="303"/>
      <c r="C145" s="304"/>
      <c r="D145" s="365"/>
      <c r="E145" s="302"/>
      <c r="F145" s="303"/>
      <c r="G145" s="304"/>
      <c r="H145" s="365"/>
      <c r="I145" s="302"/>
      <c r="J145" s="303"/>
      <c r="K145" s="304"/>
      <c r="L145" s="365"/>
      <c r="M145" s="302"/>
      <c r="N145" s="303"/>
      <c r="O145" s="304"/>
      <c r="P145" s="365"/>
      <c r="Q145" s="186"/>
      <c r="R145" s="18"/>
      <c r="S145" s="374"/>
      <c r="T145" s="372"/>
      <c r="U145" s="186"/>
      <c r="V145" s="18"/>
      <c r="W145" s="374"/>
      <c r="X145" s="372"/>
      <c r="Y145" s="186"/>
      <c r="Z145" s="18"/>
      <c r="AA145" s="374"/>
      <c r="AB145" s="372"/>
      <c r="AC145" s="186"/>
      <c r="AD145" s="18"/>
      <c r="AE145" s="374"/>
      <c r="AF145" s="372"/>
      <c r="AG145" s="186"/>
      <c r="AH145" s="18"/>
      <c r="AI145" s="374"/>
      <c r="AJ145" s="372"/>
      <c r="AK145" s="365"/>
      <c r="AL145" s="365"/>
      <c r="AM145" s="365"/>
      <c r="AN145" s="365"/>
      <c r="AO145" s="365"/>
      <c r="AP145" s="365"/>
    </row>
    <row r="146">
      <c r="A146" s="302"/>
      <c r="B146" s="303"/>
      <c r="C146" s="304"/>
      <c r="D146" s="365"/>
      <c r="E146" s="302"/>
      <c r="F146" s="303"/>
      <c r="G146" s="304"/>
      <c r="H146" s="365"/>
      <c r="I146" s="302"/>
      <c r="J146" s="303"/>
      <c r="K146" s="304"/>
      <c r="L146" s="365"/>
      <c r="M146" s="302"/>
      <c r="N146" s="303"/>
      <c r="O146" s="304"/>
      <c r="P146" s="365"/>
      <c r="Q146" s="186"/>
      <c r="R146" s="18"/>
      <c r="S146" s="374"/>
      <c r="T146" s="372"/>
      <c r="U146" s="186"/>
      <c r="V146" s="18"/>
      <c r="W146" s="374"/>
      <c r="X146" s="372"/>
      <c r="Y146" s="186"/>
      <c r="Z146" s="18"/>
      <c r="AA146" s="374"/>
      <c r="AB146" s="372"/>
      <c r="AC146" s="186"/>
      <c r="AD146" s="18"/>
      <c r="AE146" s="374"/>
      <c r="AF146" s="372"/>
      <c r="AG146" s="186"/>
      <c r="AH146" s="18"/>
      <c r="AI146" s="374"/>
      <c r="AJ146" s="372"/>
      <c r="AK146" s="365"/>
      <c r="AL146" s="365"/>
      <c r="AM146" s="365"/>
      <c r="AN146" s="365"/>
      <c r="AO146" s="365"/>
      <c r="AP146" s="365"/>
    </row>
    <row r="147">
      <c r="A147" s="302"/>
      <c r="B147" s="303"/>
      <c r="C147" s="304"/>
      <c r="D147" s="365"/>
      <c r="E147" s="302"/>
      <c r="F147" s="303"/>
      <c r="G147" s="304"/>
      <c r="H147" s="365"/>
      <c r="I147" s="302"/>
      <c r="J147" s="303"/>
      <c r="K147" s="304"/>
      <c r="L147" s="365"/>
      <c r="M147" s="302"/>
      <c r="N147" s="303"/>
      <c r="O147" s="304"/>
      <c r="P147" s="365"/>
      <c r="Q147" s="186"/>
      <c r="R147" s="18"/>
      <c r="S147" s="374"/>
      <c r="T147" s="372"/>
      <c r="U147" s="186"/>
      <c r="V147" s="18"/>
      <c r="W147" s="374"/>
      <c r="X147" s="372"/>
      <c r="Y147" s="186"/>
      <c r="Z147" s="18"/>
      <c r="AA147" s="374"/>
      <c r="AB147" s="372"/>
      <c r="AC147" s="186"/>
      <c r="AD147" s="18"/>
      <c r="AE147" s="374"/>
      <c r="AF147" s="372"/>
      <c r="AG147" s="186"/>
      <c r="AH147" s="18"/>
      <c r="AI147" s="374"/>
      <c r="AJ147" s="372"/>
      <c r="AK147" s="365"/>
      <c r="AL147" s="365"/>
      <c r="AM147" s="365"/>
      <c r="AN147" s="365"/>
      <c r="AO147" s="365"/>
      <c r="AP147" s="365"/>
    </row>
    <row r="148">
      <c r="A148" s="302"/>
      <c r="B148" s="303"/>
      <c r="C148" s="304"/>
      <c r="D148" s="365"/>
      <c r="E148" s="302"/>
      <c r="F148" s="303"/>
      <c r="G148" s="304"/>
      <c r="H148" s="365"/>
      <c r="I148" s="302"/>
      <c r="J148" s="303"/>
      <c r="K148" s="304"/>
      <c r="L148" s="365"/>
      <c r="M148" s="302"/>
      <c r="N148" s="303"/>
      <c r="O148" s="304"/>
      <c r="P148" s="365"/>
      <c r="Q148" s="186"/>
      <c r="R148" s="18"/>
      <c r="S148" s="374"/>
      <c r="T148" s="372"/>
      <c r="U148" s="186"/>
      <c r="V148" s="18"/>
      <c r="W148" s="374"/>
      <c r="X148" s="372"/>
      <c r="Y148" s="186"/>
      <c r="Z148" s="18"/>
      <c r="AA148" s="374"/>
      <c r="AB148" s="372"/>
      <c r="AC148" s="186"/>
      <c r="AD148" s="18"/>
      <c r="AE148" s="374"/>
      <c r="AF148" s="372"/>
      <c r="AG148" s="186"/>
      <c r="AH148" s="18"/>
      <c r="AI148" s="374"/>
      <c r="AJ148" s="372"/>
      <c r="AK148" s="365"/>
      <c r="AL148" s="365"/>
      <c r="AM148" s="365"/>
      <c r="AN148" s="365"/>
      <c r="AO148" s="365"/>
      <c r="AP148" s="365"/>
    </row>
    <row r="149">
      <c r="A149" s="302"/>
      <c r="B149" s="303"/>
      <c r="C149" s="304"/>
      <c r="D149" s="365"/>
      <c r="E149" s="302"/>
      <c r="F149" s="303"/>
      <c r="G149" s="304"/>
      <c r="H149" s="365"/>
      <c r="I149" s="302"/>
      <c r="J149" s="303"/>
      <c r="K149" s="304"/>
      <c r="L149" s="365"/>
      <c r="M149" s="302"/>
      <c r="N149" s="303"/>
      <c r="O149" s="304"/>
      <c r="P149" s="365"/>
      <c r="Q149" s="186"/>
      <c r="R149" s="18"/>
      <c r="S149" s="374"/>
      <c r="T149" s="372"/>
      <c r="U149" s="186"/>
      <c r="V149" s="18"/>
      <c r="W149" s="374"/>
      <c r="X149" s="372"/>
      <c r="Y149" s="186"/>
      <c r="Z149" s="18"/>
      <c r="AA149" s="374"/>
      <c r="AB149" s="372"/>
      <c r="AC149" s="186"/>
      <c r="AD149" s="18"/>
      <c r="AE149" s="374"/>
      <c r="AF149" s="372"/>
      <c r="AG149" s="186"/>
      <c r="AH149" s="18"/>
      <c r="AI149" s="374"/>
      <c r="AJ149" s="372"/>
      <c r="AK149" s="365"/>
      <c r="AL149" s="365"/>
      <c r="AM149" s="365"/>
      <c r="AN149" s="365"/>
      <c r="AO149" s="365"/>
      <c r="AP149" s="365"/>
    </row>
    <row r="150">
      <c r="A150" s="302"/>
      <c r="B150" s="303"/>
      <c r="C150" s="304"/>
      <c r="D150" s="365"/>
      <c r="E150" s="302"/>
      <c r="F150" s="303"/>
      <c r="G150" s="304"/>
      <c r="H150" s="365"/>
      <c r="I150" s="302"/>
      <c r="J150" s="303"/>
      <c r="K150" s="304"/>
      <c r="L150" s="365"/>
      <c r="M150" s="302"/>
      <c r="N150" s="303"/>
      <c r="O150" s="304"/>
      <c r="P150" s="365"/>
      <c r="Q150" s="186"/>
      <c r="R150" s="18"/>
      <c r="S150" s="374"/>
      <c r="T150" s="372"/>
      <c r="U150" s="186"/>
      <c r="V150" s="18"/>
      <c r="W150" s="374"/>
      <c r="X150" s="372"/>
      <c r="Y150" s="186"/>
      <c r="Z150" s="18"/>
      <c r="AA150" s="374"/>
      <c r="AB150" s="372"/>
      <c r="AC150" s="186"/>
      <c r="AD150" s="18"/>
      <c r="AE150" s="374"/>
      <c r="AF150" s="372"/>
      <c r="AG150" s="186"/>
      <c r="AH150" s="18"/>
      <c r="AI150" s="374"/>
      <c r="AJ150" s="372"/>
      <c r="AK150" s="365"/>
      <c r="AL150" s="365"/>
      <c r="AM150" s="365"/>
      <c r="AN150" s="365"/>
      <c r="AO150" s="365"/>
      <c r="AP150" s="365"/>
    </row>
    <row r="151">
      <c r="A151" s="302"/>
      <c r="B151" s="303"/>
      <c r="C151" s="304"/>
      <c r="D151" s="365"/>
      <c r="E151" s="302"/>
      <c r="F151" s="303"/>
      <c r="G151" s="304"/>
      <c r="H151" s="365"/>
      <c r="I151" s="302"/>
      <c r="J151" s="303"/>
      <c r="K151" s="304"/>
      <c r="L151" s="365"/>
      <c r="M151" s="302"/>
      <c r="N151" s="303"/>
      <c r="O151" s="304"/>
      <c r="P151" s="365"/>
      <c r="Q151" s="186"/>
      <c r="R151" s="18"/>
      <c r="S151" s="374"/>
      <c r="T151" s="372"/>
      <c r="U151" s="186"/>
      <c r="V151" s="18"/>
      <c r="W151" s="374"/>
      <c r="X151" s="372"/>
      <c r="Y151" s="186"/>
      <c r="Z151" s="18"/>
      <c r="AA151" s="374"/>
      <c r="AB151" s="372"/>
      <c r="AC151" s="186"/>
      <c r="AD151" s="18"/>
      <c r="AE151" s="374"/>
      <c r="AF151" s="372"/>
      <c r="AG151" s="186"/>
      <c r="AH151" s="18"/>
      <c r="AI151" s="374"/>
      <c r="AJ151" s="372"/>
      <c r="AK151" s="365"/>
      <c r="AL151" s="365"/>
      <c r="AM151" s="365"/>
      <c r="AN151" s="365"/>
      <c r="AO151" s="365"/>
      <c r="AP151" s="365"/>
    </row>
    <row r="152">
      <c r="A152" s="302"/>
      <c r="B152" s="303"/>
      <c r="C152" s="304"/>
      <c r="D152" s="365"/>
      <c r="E152" s="302"/>
      <c r="F152" s="303"/>
      <c r="G152" s="304"/>
      <c r="H152" s="365"/>
      <c r="I152" s="302"/>
      <c r="J152" s="303"/>
      <c r="K152" s="304"/>
      <c r="L152" s="365"/>
      <c r="M152" s="302"/>
      <c r="N152" s="303"/>
      <c r="O152" s="304"/>
      <c r="P152" s="365"/>
      <c r="Q152" s="186"/>
      <c r="R152" s="18"/>
      <c r="S152" s="374"/>
      <c r="T152" s="372"/>
      <c r="U152" s="186"/>
      <c r="V152" s="18"/>
      <c r="W152" s="374"/>
      <c r="X152" s="372"/>
      <c r="Y152" s="186"/>
      <c r="Z152" s="18"/>
      <c r="AA152" s="374"/>
      <c r="AB152" s="372"/>
      <c r="AC152" s="186"/>
      <c r="AD152" s="18"/>
      <c r="AE152" s="374"/>
      <c r="AF152" s="372"/>
      <c r="AG152" s="186"/>
      <c r="AH152" s="18"/>
      <c r="AI152" s="374"/>
      <c r="AJ152" s="372"/>
      <c r="AK152" s="365"/>
      <c r="AL152" s="365"/>
      <c r="AM152" s="365"/>
      <c r="AN152" s="365"/>
      <c r="AO152" s="365"/>
      <c r="AP152" s="365"/>
    </row>
    <row r="153">
      <c r="A153" s="302"/>
      <c r="B153" s="303"/>
      <c r="C153" s="304"/>
      <c r="D153" s="365"/>
      <c r="E153" s="302"/>
      <c r="F153" s="303"/>
      <c r="G153" s="304"/>
      <c r="H153" s="365"/>
      <c r="I153" s="302"/>
      <c r="J153" s="303"/>
      <c r="K153" s="304"/>
      <c r="L153" s="365"/>
      <c r="M153" s="302"/>
      <c r="N153" s="303"/>
      <c r="O153" s="304"/>
      <c r="P153" s="365"/>
      <c r="Q153" s="186"/>
      <c r="R153" s="18"/>
      <c r="S153" s="374"/>
      <c r="T153" s="372"/>
      <c r="U153" s="186"/>
      <c r="V153" s="18"/>
      <c r="W153" s="374"/>
      <c r="X153" s="372"/>
      <c r="Y153" s="186"/>
      <c r="Z153" s="18"/>
      <c r="AA153" s="374"/>
      <c r="AB153" s="372"/>
      <c r="AC153" s="186"/>
      <c r="AD153" s="18"/>
      <c r="AE153" s="374"/>
      <c r="AF153" s="372"/>
      <c r="AG153" s="186"/>
      <c r="AH153" s="18"/>
      <c r="AI153" s="374"/>
      <c r="AJ153" s="372"/>
      <c r="AK153" s="365"/>
      <c r="AL153" s="365"/>
      <c r="AM153" s="365"/>
      <c r="AN153" s="365"/>
      <c r="AO153" s="365"/>
      <c r="AP153" s="365"/>
    </row>
    <row r="154">
      <c r="A154" s="302"/>
      <c r="B154" s="303"/>
      <c r="C154" s="304"/>
      <c r="D154" s="365"/>
      <c r="E154" s="302"/>
      <c r="F154" s="303"/>
      <c r="G154" s="304"/>
      <c r="H154" s="365"/>
      <c r="I154" s="302"/>
      <c r="J154" s="303"/>
      <c r="K154" s="304"/>
      <c r="L154" s="365"/>
      <c r="M154" s="302"/>
      <c r="N154" s="303"/>
      <c r="O154" s="304"/>
      <c r="P154" s="365"/>
      <c r="Q154" s="186"/>
      <c r="R154" s="18"/>
      <c r="S154" s="374"/>
      <c r="T154" s="372"/>
      <c r="U154" s="186"/>
      <c r="V154" s="18"/>
      <c r="W154" s="374"/>
      <c r="X154" s="372"/>
      <c r="Y154" s="186"/>
      <c r="Z154" s="18"/>
      <c r="AA154" s="374"/>
      <c r="AB154" s="372"/>
      <c r="AC154" s="186"/>
      <c r="AD154" s="18"/>
      <c r="AE154" s="374"/>
      <c r="AF154" s="372"/>
      <c r="AG154" s="186"/>
      <c r="AH154" s="18"/>
      <c r="AI154" s="374"/>
      <c r="AJ154" s="372"/>
      <c r="AK154" s="365"/>
      <c r="AL154" s="365"/>
      <c r="AM154" s="365"/>
      <c r="AN154" s="365"/>
      <c r="AO154" s="365"/>
      <c r="AP154" s="365"/>
    </row>
    <row r="155">
      <c r="A155" s="302"/>
      <c r="B155" s="303"/>
      <c r="C155" s="304"/>
      <c r="D155" s="365"/>
      <c r="E155" s="302"/>
      <c r="F155" s="303"/>
      <c r="G155" s="304"/>
      <c r="H155" s="365"/>
      <c r="I155" s="302"/>
      <c r="J155" s="303"/>
      <c r="K155" s="304"/>
      <c r="L155" s="365"/>
      <c r="M155" s="302"/>
      <c r="N155" s="303"/>
      <c r="O155" s="304"/>
      <c r="P155" s="365"/>
      <c r="Q155" s="186"/>
      <c r="R155" s="18"/>
      <c r="S155" s="374"/>
      <c r="T155" s="372"/>
      <c r="U155" s="186"/>
      <c r="V155" s="18"/>
      <c r="W155" s="374"/>
      <c r="X155" s="372"/>
      <c r="Y155" s="186"/>
      <c r="Z155" s="18"/>
      <c r="AA155" s="374"/>
      <c r="AB155" s="372"/>
      <c r="AC155" s="186"/>
      <c r="AD155" s="18"/>
      <c r="AE155" s="374"/>
      <c r="AF155" s="372"/>
      <c r="AG155" s="186"/>
      <c r="AH155" s="18"/>
      <c r="AI155" s="374"/>
      <c r="AJ155" s="372"/>
      <c r="AK155" s="365"/>
      <c r="AL155" s="365"/>
      <c r="AM155" s="365"/>
      <c r="AN155" s="365"/>
      <c r="AO155" s="365"/>
      <c r="AP155" s="365"/>
    </row>
    <row r="156">
      <c r="A156" s="302"/>
      <c r="B156" s="303"/>
      <c r="C156" s="304"/>
      <c r="D156" s="365"/>
      <c r="E156" s="302"/>
      <c r="F156" s="303"/>
      <c r="G156" s="304"/>
      <c r="H156" s="365"/>
      <c r="I156" s="302"/>
      <c r="J156" s="303"/>
      <c r="K156" s="304"/>
      <c r="L156" s="365"/>
      <c r="M156" s="302"/>
      <c r="N156" s="303"/>
      <c r="O156" s="304"/>
      <c r="P156" s="365"/>
      <c r="Q156" s="186"/>
      <c r="R156" s="18"/>
      <c r="S156" s="374"/>
      <c r="T156" s="372"/>
      <c r="U156" s="186"/>
      <c r="V156" s="18"/>
      <c r="W156" s="374"/>
      <c r="X156" s="372"/>
      <c r="Y156" s="186"/>
      <c r="Z156" s="18"/>
      <c r="AA156" s="374"/>
      <c r="AB156" s="372"/>
      <c r="AC156" s="186"/>
      <c r="AD156" s="18"/>
      <c r="AE156" s="374"/>
      <c r="AF156" s="372"/>
      <c r="AG156" s="186"/>
      <c r="AH156" s="18"/>
      <c r="AI156" s="374"/>
      <c r="AJ156" s="372"/>
      <c r="AK156" s="365"/>
      <c r="AL156" s="365"/>
      <c r="AM156" s="365"/>
      <c r="AN156" s="365"/>
      <c r="AO156" s="365"/>
      <c r="AP156" s="365"/>
    </row>
    <row r="157">
      <c r="A157" s="302"/>
      <c r="B157" s="303"/>
      <c r="C157" s="304"/>
      <c r="D157" s="365"/>
      <c r="E157" s="302"/>
      <c r="F157" s="303"/>
      <c r="G157" s="304"/>
      <c r="H157" s="365"/>
      <c r="I157" s="302"/>
      <c r="J157" s="303"/>
      <c r="K157" s="304"/>
      <c r="L157" s="365"/>
      <c r="M157" s="302"/>
      <c r="N157" s="303"/>
      <c r="O157" s="304"/>
      <c r="P157" s="365"/>
      <c r="Q157" s="186"/>
      <c r="R157" s="18"/>
      <c r="S157" s="374"/>
      <c r="T157" s="372"/>
      <c r="U157" s="186"/>
      <c r="V157" s="18"/>
      <c r="W157" s="374"/>
      <c r="X157" s="372"/>
      <c r="Y157" s="186"/>
      <c r="Z157" s="18"/>
      <c r="AA157" s="374"/>
      <c r="AB157" s="372"/>
      <c r="AC157" s="186"/>
      <c r="AD157" s="18"/>
      <c r="AE157" s="374"/>
      <c r="AF157" s="372"/>
      <c r="AG157" s="186"/>
      <c r="AH157" s="18"/>
      <c r="AI157" s="374"/>
      <c r="AJ157" s="372"/>
      <c r="AK157" s="365"/>
      <c r="AL157" s="365"/>
      <c r="AM157" s="365"/>
      <c r="AN157" s="365"/>
      <c r="AO157" s="365"/>
      <c r="AP157" s="365"/>
    </row>
    <row r="158">
      <c r="A158" s="302"/>
      <c r="B158" s="303"/>
      <c r="C158" s="304"/>
      <c r="D158" s="365"/>
      <c r="E158" s="302"/>
      <c r="F158" s="303"/>
      <c r="G158" s="304"/>
      <c r="H158" s="365"/>
      <c r="I158" s="302"/>
      <c r="J158" s="303"/>
      <c r="K158" s="304"/>
      <c r="L158" s="365"/>
      <c r="M158" s="302"/>
      <c r="N158" s="303"/>
      <c r="O158" s="304"/>
      <c r="P158" s="365"/>
      <c r="Q158" s="186"/>
      <c r="R158" s="18"/>
      <c r="S158" s="374"/>
      <c r="T158" s="372"/>
      <c r="U158" s="186"/>
      <c r="V158" s="18"/>
      <c r="W158" s="374"/>
      <c r="X158" s="372"/>
      <c r="Y158" s="186"/>
      <c r="Z158" s="18"/>
      <c r="AA158" s="374"/>
      <c r="AB158" s="372"/>
      <c r="AC158" s="186"/>
      <c r="AD158" s="18"/>
      <c r="AE158" s="374"/>
      <c r="AF158" s="372"/>
      <c r="AG158" s="186"/>
      <c r="AH158" s="18"/>
      <c r="AI158" s="374"/>
      <c r="AJ158" s="372"/>
      <c r="AK158" s="365"/>
      <c r="AL158" s="365"/>
      <c r="AM158" s="365"/>
      <c r="AN158" s="365"/>
      <c r="AO158" s="365"/>
      <c r="AP158" s="365"/>
    </row>
    <row r="159">
      <c r="A159" s="302"/>
      <c r="B159" s="303"/>
      <c r="C159" s="304"/>
      <c r="D159" s="365"/>
      <c r="E159" s="302"/>
      <c r="F159" s="303"/>
      <c r="G159" s="304"/>
      <c r="H159" s="365"/>
      <c r="I159" s="302"/>
      <c r="J159" s="303"/>
      <c r="K159" s="304"/>
      <c r="L159" s="365"/>
      <c r="M159" s="302"/>
      <c r="N159" s="303"/>
      <c r="O159" s="304"/>
      <c r="P159" s="365"/>
      <c r="Q159" s="186"/>
      <c r="R159" s="18"/>
      <c r="S159" s="374"/>
      <c r="T159" s="372"/>
      <c r="U159" s="186"/>
      <c r="V159" s="18"/>
      <c r="W159" s="374"/>
      <c r="X159" s="372"/>
      <c r="Y159" s="186"/>
      <c r="Z159" s="18"/>
      <c r="AA159" s="374"/>
      <c r="AB159" s="372"/>
      <c r="AC159" s="186"/>
      <c r="AD159" s="18"/>
      <c r="AE159" s="374"/>
      <c r="AF159" s="372"/>
      <c r="AG159" s="186"/>
      <c r="AH159" s="18"/>
      <c r="AI159" s="374"/>
      <c r="AJ159" s="372"/>
      <c r="AK159" s="365"/>
      <c r="AL159" s="365"/>
      <c r="AM159" s="365"/>
      <c r="AN159" s="365"/>
      <c r="AO159" s="365"/>
      <c r="AP159" s="365"/>
    </row>
    <row r="160">
      <c r="A160" s="302"/>
      <c r="B160" s="303"/>
      <c r="C160" s="304"/>
      <c r="D160" s="365"/>
      <c r="E160" s="302"/>
      <c r="F160" s="303"/>
      <c r="G160" s="304"/>
      <c r="H160" s="365"/>
      <c r="I160" s="302"/>
      <c r="J160" s="303"/>
      <c r="K160" s="304"/>
      <c r="L160" s="365"/>
      <c r="M160" s="302"/>
      <c r="N160" s="303"/>
      <c r="O160" s="304"/>
      <c r="P160" s="365"/>
      <c r="Q160" s="186"/>
      <c r="R160" s="18"/>
      <c r="S160" s="374"/>
      <c r="T160" s="372"/>
      <c r="U160" s="186"/>
      <c r="V160" s="18"/>
      <c r="W160" s="374"/>
      <c r="X160" s="372"/>
      <c r="Y160" s="186"/>
      <c r="Z160" s="18"/>
      <c r="AA160" s="374"/>
      <c r="AB160" s="372"/>
      <c r="AC160" s="186"/>
      <c r="AD160" s="18"/>
      <c r="AE160" s="374"/>
      <c r="AF160" s="372"/>
      <c r="AG160" s="186"/>
      <c r="AH160" s="18"/>
      <c r="AI160" s="374"/>
      <c r="AJ160" s="372"/>
      <c r="AK160" s="365"/>
      <c r="AL160" s="365"/>
      <c r="AM160" s="365"/>
      <c r="AN160" s="365"/>
      <c r="AO160" s="365"/>
      <c r="AP160" s="365"/>
    </row>
    <row r="161">
      <c r="A161" s="302"/>
      <c r="B161" s="303"/>
      <c r="C161" s="304"/>
      <c r="D161" s="365"/>
      <c r="E161" s="302"/>
      <c r="F161" s="303"/>
      <c r="G161" s="304"/>
      <c r="H161" s="365"/>
      <c r="I161" s="302"/>
      <c r="J161" s="303"/>
      <c r="K161" s="304"/>
      <c r="L161" s="365"/>
      <c r="M161" s="302"/>
      <c r="N161" s="303"/>
      <c r="O161" s="304"/>
      <c r="P161" s="365"/>
      <c r="Q161" s="186"/>
      <c r="R161" s="18"/>
      <c r="S161" s="374"/>
      <c r="T161" s="372"/>
      <c r="U161" s="186"/>
      <c r="V161" s="18"/>
      <c r="W161" s="374"/>
      <c r="X161" s="372"/>
      <c r="Y161" s="186"/>
      <c r="Z161" s="18"/>
      <c r="AA161" s="374"/>
      <c r="AB161" s="372"/>
      <c r="AC161" s="186"/>
      <c r="AD161" s="18"/>
      <c r="AE161" s="374"/>
      <c r="AF161" s="372"/>
      <c r="AG161" s="186"/>
      <c r="AH161" s="18"/>
      <c r="AI161" s="374"/>
      <c r="AJ161" s="372"/>
      <c r="AK161" s="365"/>
      <c r="AL161" s="365"/>
      <c r="AM161" s="365"/>
      <c r="AN161" s="365"/>
      <c r="AO161" s="365"/>
      <c r="AP161" s="365"/>
    </row>
    <row r="162">
      <c r="A162" s="302"/>
      <c r="B162" s="303"/>
      <c r="C162" s="304"/>
      <c r="D162" s="365"/>
      <c r="E162" s="302"/>
      <c r="F162" s="303"/>
      <c r="G162" s="304"/>
      <c r="H162" s="365"/>
      <c r="I162" s="302"/>
      <c r="J162" s="303"/>
      <c r="K162" s="304"/>
      <c r="L162" s="365"/>
      <c r="M162" s="302"/>
      <c r="N162" s="303"/>
      <c r="O162" s="304"/>
      <c r="P162" s="365"/>
      <c r="Q162" s="186"/>
      <c r="R162" s="18"/>
      <c r="S162" s="374"/>
      <c r="T162" s="372"/>
      <c r="U162" s="186"/>
      <c r="V162" s="18"/>
      <c r="W162" s="374"/>
      <c r="X162" s="372"/>
      <c r="Y162" s="186"/>
      <c r="Z162" s="18"/>
      <c r="AA162" s="374"/>
      <c r="AB162" s="372"/>
      <c r="AC162" s="186"/>
      <c r="AD162" s="18"/>
      <c r="AE162" s="374"/>
      <c r="AF162" s="372"/>
      <c r="AG162" s="186"/>
      <c r="AH162" s="18"/>
      <c r="AI162" s="374"/>
      <c r="AJ162" s="372"/>
      <c r="AK162" s="365"/>
      <c r="AL162" s="365"/>
      <c r="AM162" s="365"/>
      <c r="AN162" s="365"/>
      <c r="AO162" s="365"/>
      <c r="AP162" s="365"/>
    </row>
    <row r="163">
      <c r="A163" s="302"/>
      <c r="B163" s="303"/>
      <c r="C163" s="304"/>
      <c r="D163" s="365"/>
      <c r="E163" s="302"/>
      <c r="F163" s="303"/>
      <c r="G163" s="304"/>
      <c r="H163" s="365"/>
      <c r="I163" s="302"/>
      <c r="J163" s="303"/>
      <c r="K163" s="304"/>
      <c r="L163" s="365"/>
      <c r="M163" s="302"/>
      <c r="N163" s="303"/>
      <c r="O163" s="304"/>
      <c r="P163" s="365"/>
      <c r="Q163" s="186"/>
      <c r="R163" s="18"/>
      <c r="S163" s="374"/>
      <c r="T163" s="372"/>
      <c r="U163" s="186"/>
      <c r="V163" s="18"/>
      <c r="W163" s="374"/>
      <c r="X163" s="372"/>
      <c r="Y163" s="186"/>
      <c r="Z163" s="18"/>
      <c r="AA163" s="374"/>
      <c r="AB163" s="372"/>
      <c r="AC163" s="186"/>
      <c r="AD163" s="18"/>
      <c r="AE163" s="374"/>
      <c r="AF163" s="372"/>
      <c r="AG163" s="186"/>
      <c r="AH163" s="18"/>
      <c r="AI163" s="374"/>
      <c r="AJ163" s="372"/>
      <c r="AK163" s="365"/>
      <c r="AL163" s="365"/>
      <c r="AM163" s="365"/>
      <c r="AN163" s="365"/>
      <c r="AO163" s="365"/>
      <c r="AP163" s="365"/>
    </row>
    <row r="164">
      <c r="A164" s="302"/>
      <c r="B164" s="303"/>
      <c r="C164" s="304"/>
      <c r="D164" s="365"/>
      <c r="E164" s="302"/>
      <c r="F164" s="303"/>
      <c r="G164" s="304"/>
      <c r="H164" s="365"/>
      <c r="I164" s="302"/>
      <c r="J164" s="303"/>
      <c r="K164" s="304"/>
      <c r="L164" s="365"/>
      <c r="M164" s="302"/>
      <c r="N164" s="303"/>
      <c r="O164" s="304"/>
      <c r="P164" s="365"/>
      <c r="Q164" s="186"/>
      <c r="R164" s="18"/>
      <c r="S164" s="374"/>
      <c r="T164" s="372"/>
      <c r="U164" s="186"/>
      <c r="V164" s="18"/>
      <c r="W164" s="374"/>
      <c r="X164" s="372"/>
      <c r="Y164" s="186"/>
      <c r="Z164" s="18"/>
      <c r="AA164" s="374"/>
      <c r="AB164" s="372"/>
      <c r="AC164" s="186"/>
      <c r="AD164" s="18"/>
      <c r="AE164" s="374"/>
      <c r="AF164" s="372"/>
      <c r="AG164" s="186"/>
      <c r="AH164" s="18"/>
      <c r="AI164" s="374"/>
      <c r="AJ164" s="372"/>
      <c r="AK164" s="365"/>
      <c r="AL164" s="365"/>
      <c r="AM164" s="365"/>
      <c r="AN164" s="365"/>
      <c r="AO164" s="365"/>
      <c r="AP164" s="365"/>
    </row>
    <row r="165">
      <c r="A165" s="302"/>
      <c r="B165" s="303"/>
      <c r="C165" s="304"/>
      <c r="D165" s="365"/>
      <c r="E165" s="302"/>
      <c r="F165" s="303"/>
      <c r="G165" s="304"/>
      <c r="H165" s="365"/>
      <c r="I165" s="302"/>
      <c r="J165" s="303"/>
      <c r="K165" s="304"/>
      <c r="L165" s="365"/>
      <c r="M165" s="302"/>
      <c r="N165" s="303"/>
      <c r="O165" s="304"/>
      <c r="P165" s="365"/>
      <c r="Q165" s="186"/>
      <c r="R165" s="18"/>
      <c r="S165" s="374"/>
      <c r="T165" s="372"/>
      <c r="U165" s="186"/>
      <c r="V165" s="18"/>
      <c r="W165" s="374"/>
      <c r="X165" s="372"/>
      <c r="Y165" s="186"/>
      <c r="Z165" s="18"/>
      <c r="AA165" s="374"/>
      <c r="AB165" s="372"/>
      <c r="AC165" s="186"/>
      <c r="AD165" s="18"/>
      <c r="AE165" s="374"/>
      <c r="AF165" s="372"/>
      <c r="AG165" s="186"/>
      <c r="AH165" s="18"/>
      <c r="AI165" s="374"/>
      <c r="AJ165" s="372"/>
      <c r="AK165" s="365"/>
      <c r="AL165" s="365"/>
      <c r="AM165" s="365"/>
      <c r="AN165" s="365"/>
      <c r="AO165" s="365"/>
      <c r="AP165" s="365"/>
    </row>
    <row r="166">
      <c r="A166" s="302"/>
      <c r="B166" s="303"/>
      <c r="C166" s="304"/>
      <c r="D166" s="365"/>
      <c r="E166" s="302"/>
      <c r="F166" s="303"/>
      <c r="G166" s="304"/>
      <c r="H166" s="365"/>
      <c r="I166" s="302"/>
      <c r="J166" s="303"/>
      <c r="K166" s="304"/>
      <c r="L166" s="365"/>
      <c r="M166" s="302"/>
      <c r="N166" s="303"/>
      <c r="O166" s="304"/>
      <c r="P166" s="365"/>
      <c r="Q166" s="186"/>
      <c r="R166" s="18"/>
      <c r="S166" s="374"/>
      <c r="T166" s="372"/>
      <c r="U166" s="186"/>
      <c r="V166" s="18"/>
      <c r="W166" s="374"/>
      <c r="X166" s="372"/>
      <c r="Y166" s="186"/>
      <c r="Z166" s="18"/>
      <c r="AA166" s="374"/>
      <c r="AB166" s="372"/>
      <c r="AC166" s="186"/>
      <c r="AD166" s="18"/>
      <c r="AE166" s="374"/>
      <c r="AF166" s="372"/>
      <c r="AG166" s="186"/>
      <c r="AH166" s="18"/>
      <c r="AI166" s="374"/>
      <c r="AJ166" s="372"/>
      <c r="AK166" s="365"/>
      <c r="AL166" s="365"/>
      <c r="AM166" s="365"/>
      <c r="AN166" s="365"/>
      <c r="AO166" s="365"/>
      <c r="AP166" s="365"/>
    </row>
    <row r="167">
      <c r="A167" s="302"/>
      <c r="B167" s="303"/>
      <c r="C167" s="304"/>
      <c r="D167" s="365"/>
      <c r="E167" s="302"/>
      <c r="F167" s="303"/>
      <c r="G167" s="304"/>
      <c r="H167" s="365"/>
      <c r="I167" s="302"/>
      <c r="J167" s="303"/>
      <c r="K167" s="304"/>
      <c r="L167" s="365"/>
      <c r="M167" s="302"/>
      <c r="N167" s="303"/>
      <c r="O167" s="304"/>
      <c r="P167" s="365"/>
      <c r="Q167" s="186"/>
      <c r="R167" s="18"/>
      <c r="S167" s="374"/>
      <c r="T167" s="372"/>
      <c r="U167" s="186"/>
      <c r="V167" s="18"/>
      <c r="W167" s="374"/>
      <c r="X167" s="372"/>
      <c r="Y167" s="186"/>
      <c r="Z167" s="18"/>
      <c r="AA167" s="374"/>
      <c r="AB167" s="372"/>
      <c r="AC167" s="186"/>
      <c r="AD167" s="18"/>
      <c r="AE167" s="374"/>
      <c r="AF167" s="372"/>
      <c r="AG167" s="186"/>
      <c r="AH167" s="18"/>
      <c r="AI167" s="374"/>
      <c r="AJ167" s="372"/>
      <c r="AK167" s="365"/>
      <c r="AL167" s="365"/>
      <c r="AM167" s="365"/>
      <c r="AN167" s="365"/>
      <c r="AO167" s="365"/>
      <c r="AP167" s="365"/>
    </row>
    <row r="168">
      <c r="A168" s="302"/>
      <c r="B168" s="303"/>
      <c r="C168" s="304"/>
      <c r="D168" s="365"/>
      <c r="E168" s="302"/>
      <c r="F168" s="303"/>
      <c r="G168" s="304"/>
      <c r="H168" s="365"/>
      <c r="I168" s="302"/>
      <c r="J168" s="303"/>
      <c r="K168" s="304"/>
      <c r="L168" s="365"/>
      <c r="M168" s="302"/>
      <c r="N168" s="303"/>
      <c r="O168" s="304"/>
      <c r="P168" s="365"/>
      <c r="Q168" s="186"/>
      <c r="R168" s="18"/>
      <c r="S168" s="374"/>
      <c r="T168" s="372"/>
      <c r="U168" s="186"/>
      <c r="V168" s="18"/>
      <c r="W168" s="374"/>
      <c r="X168" s="372"/>
      <c r="Y168" s="186"/>
      <c r="Z168" s="18"/>
      <c r="AA168" s="374"/>
      <c r="AB168" s="372"/>
      <c r="AC168" s="186"/>
      <c r="AD168" s="18"/>
      <c r="AE168" s="374"/>
      <c r="AF168" s="372"/>
      <c r="AG168" s="186"/>
      <c r="AH168" s="18"/>
      <c r="AI168" s="374"/>
      <c r="AJ168" s="372"/>
      <c r="AK168" s="365"/>
      <c r="AL168" s="365"/>
      <c r="AM168" s="365"/>
      <c r="AN168" s="365"/>
      <c r="AO168" s="365"/>
      <c r="AP168" s="365"/>
    </row>
    <row r="169">
      <c r="A169" s="302"/>
      <c r="B169" s="303"/>
      <c r="C169" s="304"/>
      <c r="D169" s="365"/>
      <c r="E169" s="302"/>
      <c r="F169" s="303"/>
      <c r="G169" s="304"/>
      <c r="H169" s="365"/>
      <c r="I169" s="302"/>
      <c r="J169" s="303"/>
      <c r="K169" s="304"/>
      <c r="L169" s="365"/>
      <c r="M169" s="302"/>
      <c r="N169" s="303"/>
      <c r="O169" s="304"/>
      <c r="P169" s="365"/>
      <c r="Q169" s="186"/>
      <c r="R169" s="18"/>
      <c r="S169" s="374"/>
      <c r="T169" s="372"/>
      <c r="U169" s="186"/>
      <c r="V169" s="18"/>
      <c r="W169" s="374"/>
      <c r="X169" s="372"/>
      <c r="Y169" s="186"/>
      <c r="Z169" s="18"/>
      <c r="AA169" s="374"/>
      <c r="AB169" s="372"/>
      <c r="AC169" s="186"/>
      <c r="AD169" s="18"/>
      <c r="AE169" s="374"/>
      <c r="AF169" s="372"/>
      <c r="AG169" s="186"/>
      <c r="AH169" s="18"/>
      <c r="AI169" s="374"/>
      <c r="AJ169" s="372"/>
      <c r="AK169" s="365"/>
      <c r="AL169" s="365"/>
      <c r="AM169" s="365"/>
      <c r="AN169" s="365"/>
      <c r="AO169" s="365"/>
      <c r="AP169" s="365"/>
    </row>
    <row r="170">
      <c r="A170" s="302"/>
      <c r="B170" s="303"/>
      <c r="C170" s="304"/>
      <c r="D170" s="365"/>
      <c r="E170" s="302"/>
      <c r="F170" s="303"/>
      <c r="G170" s="304"/>
      <c r="H170" s="365"/>
      <c r="I170" s="302"/>
      <c r="J170" s="303"/>
      <c r="K170" s="304"/>
      <c r="L170" s="365"/>
      <c r="M170" s="302"/>
      <c r="N170" s="303"/>
      <c r="O170" s="304"/>
      <c r="P170" s="365"/>
      <c r="Q170" s="186"/>
      <c r="R170" s="18"/>
      <c r="S170" s="374"/>
      <c r="T170" s="372"/>
      <c r="U170" s="186"/>
      <c r="V170" s="18"/>
      <c r="W170" s="374"/>
      <c r="X170" s="372"/>
      <c r="Y170" s="186"/>
      <c r="Z170" s="18"/>
      <c r="AA170" s="374"/>
      <c r="AB170" s="372"/>
      <c r="AC170" s="186"/>
      <c r="AD170" s="18"/>
      <c r="AE170" s="374"/>
      <c r="AF170" s="372"/>
      <c r="AG170" s="186"/>
      <c r="AH170" s="18"/>
      <c r="AI170" s="374"/>
      <c r="AJ170" s="372"/>
      <c r="AK170" s="365"/>
      <c r="AL170" s="365"/>
      <c r="AM170" s="365"/>
      <c r="AN170" s="365"/>
      <c r="AO170" s="365"/>
      <c r="AP170" s="365"/>
    </row>
    <row r="171">
      <c r="A171" s="302"/>
      <c r="B171" s="303"/>
      <c r="C171" s="304"/>
      <c r="D171" s="365"/>
      <c r="E171" s="302"/>
      <c r="F171" s="303"/>
      <c r="G171" s="304"/>
      <c r="H171" s="365"/>
      <c r="I171" s="302"/>
      <c r="J171" s="303"/>
      <c r="K171" s="304"/>
      <c r="L171" s="365"/>
      <c r="M171" s="302"/>
      <c r="N171" s="303"/>
      <c r="O171" s="304"/>
      <c r="P171" s="365"/>
      <c r="Q171" s="186"/>
      <c r="R171" s="18"/>
      <c r="S171" s="374"/>
      <c r="T171" s="372"/>
      <c r="U171" s="186"/>
      <c r="V171" s="18"/>
      <c r="W171" s="374"/>
      <c r="X171" s="372"/>
      <c r="Y171" s="186"/>
      <c r="Z171" s="18"/>
      <c r="AA171" s="374"/>
      <c r="AB171" s="372"/>
      <c r="AC171" s="186"/>
      <c r="AD171" s="18"/>
      <c r="AE171" s="374"/>
      <c r="AF171" s="372"/>
      <c r="AG171" s="186"/>
      <c r="AH171" s="18"/>
      <c r="AI171" s="374"/>
      <c r="AJ171" s="372"/>
      <c r="AK171" s="365"/>
      <c r="AL171" s="365"/>
      <c r="AM171" s="365"/>
      <c r="AN171" s="365"/>
      <c r="AO171" s="365"/>
      <c r="AP171" s="365"/>
    </row>
    <row r="172">
      <c r="A172" s="302"/>
      <c r="B172" s="303"/>
      <c r="C172" s="304"/>
      <c r="D172" s="365"/>
      <c r="E172" s="302"/>
      <c r="F172" s="303"/>
      <c r="G172" s="304"/>
      <c r="H172" s="365"/>
      <c r="I172" s="302"/>
      <c r="J172" s="303"/>
      <c r="K172" s="304"/>
      <c r="L172" s="365"/>
      <c r="M172" s="302"/>
      <c r="N172" s="303"/>
      <c r="O172" s="304"/>
      <c r="P172" s="365"/>
      <c r="Q172" s="186"/>
      <c r="R172" s="18"/>
      <c r="S172" s="374"/>
      <c r="T172" s="372"/>
      <c r="U172" s="186"/>
      <c r="V172" s="18"/>
      <c r="W172" s="374"/>
      <c r="X172" s="372"/>
      <c r="Y172" s="186"/>
      <c r="Z172" s="18"/>
      <c r="AA172" s="374"/>
      <c r="AB172" s="372"/>
      <c r="AC172" s="186"/>
      <c r="AD172" s="18"/>
      <c r="AE172" s="374"/>
      <c r="AF172" s="372"/>
      <c r="AG172" s="186"/>
      <c r="AH172" s="18"/>
      <c r="AI172" s="374"/>
      <c r="AJ172" s="372"/>
      <c r="AK172" s="365"/>
      <c r="AL172" s="365"/>
      <c r="AM172" s="365"/>
      <c r="AN172" s="365"/>
      <c r="AO172" s="365"/>
      <c r="AP172" s="365"/>
    </row>
    <row r="173">
      <c r="A173" s="302"/>
      <c r="B173" s="303"/>
      <c r="C173" s="304"/>
      <c r="D173" s="365"/>
      <c r="E173" s="302"/>
      <c r="F173" s="303"/>
      <c r="G173" s="304"/>
      <c r="H173" s="365"/>
      <c r="I173" s="302"/>
      <c r="J173" s="303"/>
      <c r="K173" s="304"/>
      <c r="L173" s="365"/>
      <c r="M173" s="302"/>
      <c r="N173" s="303"/>
      <c r="O173" s="304"/>
      <c r="P173" s="365"/>
      <c r="Q173" s="186"/>
      <c r="R173" s="18"/>
      <c r="S173" s="374"/>
      <c r="T173" s="372"/>
      <c r="U173" s="186"/>
      <c r="V173" s="18"/>
      <c r="W173" s="374"/>
      <c r="X173" s="372"/>
      <c r="Y173" s="186"/>
      <c r="Z173" s="18"/>
      <c r="AA173" s="374"/>
      <c r="AB173" s="372"/>
      <c r="AC173" s="186"/>
      <c r="AD173" s="18"/>
      <c r="AE173" s="374"/>
      <c r="AF173" s="372"/>
      <c r="AG173" s="186"/>
      <c r="AH173" s="18"/>
      <c r="AI173" s="374"/>
      <c r="AJ173" s="372"/>
      <c r="AK173" s="365"/>
      <c r="AL173" s="365"/>
      <c r="AM173" s="365"/>
      <c r="AN173" s="365"/>
      <c r="AO173" s="365"/>
      <c r="AP173" s="365"/>
    </row>
    <row r="174">
      <c r="A174" s="302"/>
      <c r="B174" s="303"/>
      <c r="C174" s="304"/>
      <c r="D174" s="365"/>
      <c r="E174" s="302"/>
      <c r="F174" s="303"/>
      <c r="G174" s="304"/>
      <c r="H174" s="365"/>
      <c r="I174" s="302"/>
      <c r="J174" s="303"/>
      <c r="K174" s="304"/>
      <c r="L174" s="365"/>
      <c r="M174" s="302"/>
      <c r="N174" s="303"/>
      <c r="O174" s="304"/>
      <c r="P174" s="365"/>
      <c r="Q174" s="186"/>
      <c r="R174" s="18"/>
      <c r="S174" s="374"/>
      <c r="T174" s="372"/>
      <c r="U174" s="186"/>
      <c r="V174" s="18"/>
      <c r="W174" s="374"/>
      <c r="X174" s="372"/>
      <c r="Y174" s="186"/>
      <c r="Z174" s="18"/>
      <c r="AA174" s="374"/>
      <c r="AB174" s="372"/>
      <c r="AC174" s="186"/>
      <c r="AD174" s="18"/>
      <c r="AE174" s="374"/>
      <c r="AF174" s="372"/>
      <c r="AG174" s="186"/>
      <c r="AH174" s="18"/>
      <c r="AI174" s="374"/>
      <c r="AJ174" s="372"/>
      <c r="AK174" s="365"/>
      <c r="AL174" s="365"/>
      <c r="AM174" s="365"/>
      <c r="AN174" s="365"/>
      <c r="AO174" s="365"/>
      <c r="AP174" s="365"/>
    </row>
    <row r="175">
      <c r="A175" s="302"/>
      <c r="B175" s="303"/>
      <c r="C175" s="304"/>
      <c r="D175" s="365"/>
      <c r="E175" s="302"/>
      <c r="F175" s="303"/>
      <c r="G175" s="304"/>
      <c r="H175" s="365"/>
      <c r="I175" s="302"/>
      <c r="J175" s="303"/>
      <c r="K175" s="304"/>
      <c r="L175" s="365"/>
      <c r="M175" s="302"/>
      <c r="N175" s="303"/>
      <c r="O175" s="304"/>
      <c r="P175" s="365"/>
      <c r="Q175" s="186"/>
      <c r="R175" s="18"/>
      <c r="S175" s="374"/>
      <c r="T175" s="372"/>
      <c r="U175" s="186"/>
      <c r="V175" s="18"/>
      <c r="W175" s="374"/>
      <c r="X175" s="372"/>
      <c r="Y175" s="186"/>
      <c r="Z175" s="18"/>
      <c r="AA175" s="374"/>
      <c r="AB175" s="372"/>
      <c r="AC175" s="186"/>
      <c r="AD175" s="18"/>
      <c r="AE175" s="374"/>
      <c r="AF175" s="372"/>
      <c r="AG175" s="186"/>
      <c r="AH175" s="18"/>
      <c r="AI175" s="374"/>
      <c r="AJ175" s="372"/>
      <c r="AK175" s="365"/>
      <c r="AL175" s="365"/>
      <c r="AM175" s="365"/>
      <c r="AN175" s="365"/>
      <c r="AO175" s="365"/>
      <c r="AP175" s="365"/>
    </row>
    <row r="176">
      <c r="A176" s="302"/>
      <c r="B176" s="303"/>
      <c r="C176" s="304"/>
      <c r="D176" s="365"/>
      <c r="E176" s="302"/>
      <c r="F176" s="303"/>
      <c r="G176" s="304"/>
      <c r="H176" s="365"/>
      <c r="I176" s="302"/>
      <c r="J176" s="303"/>
      <c r="K176" s="304"/>
      <c r="L176" s="365"/>
      <c r="M176" s="302"/>
      <c r="N176" s="303"/>
      <c r="O176" s="304"/>
      <c r="P176" s="365"/>
      <c r="Q176" s="186"/>
      <c r="R176" s="18"/>
      <c r="S176" s="374"/>
      <c r="T176" s="372"/>
      <c r="U176" s="186"/>
      <c r="V176" s="18"/>
      <c r="W176" s="374"/>
      <c r="X176" s="372"/>
      <c r="Y176" s="186"/>
      <c r="Z176" s="18"/>
      <c r="AA176" s="374"/>
      <c r="AB176" s="372"/>
      <c r="AC176" s="186"/>
      <c r="AD176" s="18"/>
      <c r="AE176" s="374"/>
      <c r="AF176" s="372"/>
      <c r="AG176" s="186"/>
      <c r="AH176" s="18"/>
      <c r="AI176" s="374"/>
      <c r="AJ176" s="372"/>
      <c r="AK176" s="365"/>
      <c r="AL176" s="365"/>
      <c r="AM176" s="365"/>
      <c r="AN176" s="365"/>
      <c r="AO176" s="365"/>
      <c r="AP176" s="365"/>
    </row>
    <row r="177">
      <c r="A177" s="302"/>
      <c r="B177" s="303"/>
      <c r="C177" s="304"/>
      <c r="D177" s="365"/>
      <c r="E177" s="302"/>
      <c r="F177" s="303"/>
      <c r="G177" s="304"/>
      <c r="H177" s="365"/>
      <c r="I177" s="302"/>
      <c r="J177" s="303"/>
      <c r="K177" s="304"/>
      <c r="L177" s="365"/>
      <c r="M177" s="302"/>
      <c r="N177" s="303"/>
      <c r="O177" s="304"/>
      <c r="P177" s="365"/>
      <c r="Q177" s="186"/>
      <c r="R177" s="18"/>
      <c r="S177" s="374"/>
      <c r="T177" s="372"/>
      <c r="U177" s="186"/>
      <c r="V177" s="18"/>
      <c r="W177" s="374"/>
      <c r="X177" s="372"/>
      <c r="Y177" s="186"/>
      <c r="Z177" s="18"/>
      <c r="AA177" s="374"/>
      <c r="AB177" s="372"/>
      <c r="AC177" s="186"/>
      <c r="AD177" s="18"/>
      <c r="AE177" s="374"/>
      <c r="AF177" s="372"/>
      <c r="AG177" s="186"/>
      <c r="AH177" s="18"/>
      <c r="AI177" s="374"/>
      <c r="AJ177" s="372"/>
      <c r="AK177" s="365"/>
      <c r="AL177" s="365"/>
      <c r="AM177" s="365"/>
      <c r="AN177" s="365"/>
      <c r="AO177" s="365"/>
      <c r="AP177" s="365"/>
    </row>
    <row r="178">
      <c r="A178" s="302"/>
      <c r="B178" s="303"/>
      <c r="C178" s="304"/>
      <c r="D178" s="365"/>
      <c r="E178" s="302"/>
      <c r="F178" s="303"/>
      <c r="G178" s="304"/>
      <c r="H178" s="365"/>
      <c r="I178" s="302"/>
      <c r="J178" s="303"/>
      <c r="K178" s="304"/>
      <c r="L178" s="365"/>
      <c r="M178" s="302"/>
      <c r="N178" s="303"/>
      <c r="O178" s="304"/>
      <c r="P178" s="365"/>
      <c r="Q178" s="186"/>
      <c r="R178" s="18"/>
      <c r="S178" s="374"/>
      <c r="T178" s="372"/>
      <c r="U178" s="186"/>
      <c r="V178" s="18"/>
      <c r="W178" s="374"/>
      <c r="X178" s="372"/>
      <c r="Y178" s="186"/>
      <c r="Z178" s="18"/>
      <c r="AA178" s="374"/>
      <c r="AB178" s="372"/>
      <c r="AC178" s="186"/>
      <c r="AD178" s="18"/>
      <c r="AE178" s="374"/>
      <c r="AF178" s="372"/>
      <c r="AG178" s="186"/>
      <c r="AH178" s="18"/>
      <c r="AI178" s="374"/>
      <c r="AJ178" s="372"/>
      <c r="AK178" s="365"/>
      <c r="AL178" s="365"/>
      <c r="AM178" s="365"/>
      <c r="AN178" s="365"/>
      <c r="AO178" s="365"/>
      <c r="AP178" s="365"/>
    </row>
    <row r="179">
      <c r="A179" s="302"/>
      <c r="B179" s="303"/>
      <c r="C179" s="304"/>
      <c r="D179" s="365"/>
      <c r="E179" s="302"/>
      <c r="F179" s="303"/>
      <c r="G179" s="304"/>
      <c r="H179" s="365"/>
      <c r="I179" s="302"/>
      <c r="J179" s="303"/>
      <c r="K179" s="304"/>
      <c r="L179" s="365"/>
      <c r="M179" s="302"/>
      <c r="N179" s="303"/>
      <c r="O179" s="304"/>
      <c r="P179" s="365"/>
      <c r="Q179" s="186"/>
      <c r="R179" s="18"/>
      <c r="S179" s="374"/>
      <c r="T179" s="372"/>
      <c r="U179" s="186"/>
      <c r="V179" s="18"/>
      <c r="W179" s="374"/>
      <c r="X179" s="372"/>
      <c r="Y179" s="186"/>
      <c r="Z179" s="18"/>
      <c r="AA179" s="374"/>
      <c r="AB179" s="372"/>
      <c r="AC179" s="186"/>
      <c r="AD179" s="18"/>
      <c r="AE179" s="374"/>
      <c r="AF179" s="372"/>
      <c r="AG179" s="186"/>
      <c r="AH179" s="18"/>
      <c r="AI179" s="374"/>
      <c r="AJ179" s="372"/>
      <c r="AK179" s="365"/>
      <c r="AL179" s="365"/>
      <c r="AM179" s="365"/>
      <c r="AN179" s="365"/>
      <c r="AO179" s="365"/>
      <c r="AP179" s="365"/>
    </row>
    <row r="180">
      <c r="A180" s="302"/>
      <c r="B180" s="303"/>
      <c r="C180" s="304"/>
      <c r="D180" s="365"/>
      <c r="E180" s="302"/>
      <c r="F180" s="303"/>
      <c r="G180" s="304"/>
      <c r="H180" s="365"/>
      <c r="I180" s="302"/>
      <c r="J180" s="303"/>
      <c r="K180" s="304"/>
      <c r="L180" s="365"/>
      <c r="M180" s="302"/>
      <c r="N180" s="303"/>
      <c r="O180" s="304"/>
      <c r="P180" s="365"/>
      <c r="Q180" s="186"/>
      <c r="R180" s="18"/>
      <c r="S180" s="374"/>
      <c r="T180" s="372"/>
      <c r="U180" s="186"/>
      <c r="V180" s="18"/>
      <c r="W180" s="374"/>
      <c r="X180" s="372"/>
      <c r="Y180" s="186"/>
      <c r="Z180" s="18"/>
      <c r="AA180" s="374"/>
      <c r="AB180" s="372"/>
      <c r="AC180" s="186"/>
      <c r="AD180" s="18"/>
      <c r="AE180" s="374"/>
      <c r="AF180" s="372"/>
      <c r="AG180" s="186"/>
      <c r="AH180" s="18"/>
      <c r="AI180" s="374"/>
      <c r="AJ180" s="372"/>
      <c r="AK180" s="365"/>
      <c r="AL180" s="365"/>
      <c r="AM180" s="365"/>
      <c r="AN180" s="365"/>
      <c r="AO180" s="365"/>
      <c r="AP180" s="365"/>
    </row>
    <row r="181">
      <c r="A181" s="302"/>
      <c r="B181" s="303"/>
      <c r="C181" s="304"/>
      <c r="D181" s="365"/>
      <c r="E181" s="302"/>
      <c r="F181" s="303"/>
      <c r="G181" s="304"/>
      <c r="H181" s="365"/>
      <c r="I181" s="302"/>
      <c r="J181" s="303"/>
      <c r="K181" s="304"/>
      <c r="L181" s="365"/>
      <c r="M181" s="302"/>
      <c r="N181" s="303"/>
      <c r="O181" s="304"/>
      <c r="P181" s="365"/>
      <c r="Q181" s="186"/>
      <c r="R181" s="18"/>
      <c r="S181" s="374"/>
      <c r="T181" s="372"/>
      <c r="U181" s="186"/>
      <c r="V181" s="18"/>
      <c r="W181" s="374"/>
      <c r="X181" s="372"/>
      <c r="Y181" s="186"/>
      <c r="Z181" s="18"/>
      <c r="AA181" s="374"/>
      <c r="AB181" s="372"/>
      <c r="AC181" s="186"/>
      <c r="AD181" s="18"/>
      <c r="AE181" s="374"/>
      <c r="AF181" s="372"/>
      <c r="AG181" s="186"/>
      <c r="AH181" s="18"/>
      <c r="AI181" s="374"/>
      <c r="AJ181" s="372"/>
      <c r="AK181" s="365"/>
      <c r="AL181" s="365"/>
      <c r="AM181" s="365"/>
      <c r="AN181" s="365"/>
      <c r="AO181" s="365"/>
      <c r="AP181" s="365"/>
    </row>
    <row r="182">
      <c r="A182" s="302"/>
      <c r="B182" s="303"/>
      <c r="C182" s="304"/>
      <c r="D182" s="365"/>
      <c r="E182" s="302"/>
      <c r="F182" s="303"/>
      <c r="G182" s="304"/>
      <c r="H182" s="365"/>
      <c r="I182" s="302"/>
      <c r="J182" s="303"/>
      <c r="K182" s="304"/>
      <c r="L182" s="365"/>
      <c r="M182" s="302"/>
      <c r="N182" s="303"/>
      <c r="O182" s="304"/>
      <c r="P182" s="365"/>
      <c r="Q182" s="186"/>
      <c r="R182" s="18"/>
      <c r="S182" s="374"/>
      <c r="T182" s="372"/>
      <c r="U182" s="186"/>
      <c r="V182" s="18"/>
      <c r="W182" s="374"/>
      <c r="X182" s="372"/>
      <c r="Y182" s="186"/>
      <c r="Z182" s="18"/>
      <c r="AA182" s="374"/>
      <c r="AB182" s="372"/>
      <c r="AC182" s="186"/>
      <c r="AD182" s="18"/>
      <c r="AE182" s="374"/>
      <c r="AF182" s="372"/>
      <c r="AG182" s="186"/>
      <c r="AH182" s="18"/>
      <c r="AI182" s="374"/>
      <c r="AJ182" s="372"/>
      <c r="AK182" s="365"/>
      <c r="AL182" s="365"/>
      <c r="AM182" s="365"/>
      <c r="AN182" s="365"/>
      <c r="AO182" s="365"/>
      <c r="AP182" s="365"/>
    </row>
    <row r="183">
      <c r="A183" s="302"/>
      <c r="B183" s="303"/>
      <c r="C183" s="304"/>
      <c r="D183" s="365"/>
      <c r="E183" s="302"/>
      <c r="F183" s="303"/>
      <c r="G183" s="304"/>
      <c r="H183" s="365"/>
      <c r="I183" s="302"/>
      <c r="J183" s="303"/>
      <c r="K183" s="304"/>
      <c r="L183" s="365"/>
      <c r="M183" s="302"/>
      <c r="N183" s="303"/>
      <c r="O183" s="304"/>
      <c r="P183" s="365"/>
      <c r="Q183" s="186"/>
      <c r="R183" s="18"/>
      <c r="S183" s="374"/>
      <c r="T183" s="372"/>
      <c r="U183" s="186"/>
      <c r="V183" s="18"/>
      <c r="W183" s="374"/>
      <c r="X183" s="372"/>
      <c r="Y183" s="186"/>
      <c r="Z183" s="18"/>
      <c r="AA183" s="374"/>
      <c r="AB183" s="372"/>
      <c r="AC183" s="186"/>
      <c r="AD183" s="18"/>
      <c r="AE183" s="374"/>
      <c r="AF183" s="372"/>
      <c r="AG183" s="186"/>
      <c r="AH183" s="18"/>
      <c r="AI183" s="374"/>
      <c r="AJ183" s="372"/>
      <c r="AK183" s="365"/>
      <c r="AL183" s="365"/>
      <c r="AM183" s="365"/>
      <c r="AN183" s="365"/>
      <c r="AO183" s="365"/>
      <c r="AP183" s="365"/>
    </row>
    <row r="184">
      <c r="A184" s="302"/>
      <c r="B184" s="303"/>
      <c r="C184" s="304"/>
      <c r="D184" s="365"/>
      <c r="E184" s="302"/>
      <c r="F184" s="303"/>
      <c r="G184" s="304"/>
      <c r="H184" s="365"/>
      <c r="I184" s="302"/>
      <c r="J184" s="303"/>
      <c r="K184" s="304"/>
      <c r="L184" s="365"/>
      <c r="M184" s="302"/>
      <c r="N184" s="303"/>
      <c r="O184" s="304"/>
      <c r="P184" s="365"/>
      <c r="Q184" s="186"/>
      <c r="R184" s="18"/>
      <c r="S184" s="374"/>
      <c r="T184" s="372"/>
      <c r="U184" s="186"/>
      <c r="V184" s="18"/>
      <c r="W184" s="374"/>
      <c r="X184" s="372"/>
      <c r="Y184" s="186"/>
      <c r="Z184" s="18"/>
      <c r="AA184" s="374"/>
      <c r="AB184" s="372"/>
      <c r="AC184" s="186"/>
      <c r="AD184" s="18"/>
      <c r="AE184" s="374"/>
      <c r="AF184" s="372"/>
      <c r="AG184" s="186"/>
      <c r="AH184" s="18"/>
      <c r="AI184" s="374"/>
      <c r="AJ184" s="372"/>
      <c r="AK184" s="365"/>
      <c r="AL184" s="365"/>
      <c r="AM184" s="365"/>
      <c r="AN184" s="365"/>
      <c r="AO184" s="365"/>
      <c r="AP184" s="365"/>
    </row>
    <row r="185">
      <c r="A185" s="302"/>
      <c r="B185" s="303"/>
      <c r="C185" s="304"/>
      <c r="D185" s="365"/>
      <c r="E185" s="302"/>
      <c r="F185" s="303"/>
      <c r="G185" s="304"/>
      <c r="H185" s="365"/>
      <c r="I185" s="302"/>
      <c r="J185" s="303"/>
      <c r="K185" s="304"/>
      <c r="L185" s="365"/>
      <c r="M185" s="302"/>
      <c r="N185" s="303"/>
      <c r="O185" s="304"/>
      <c r="P185" s="365"/>
      <c r="Q185" s="186"/>
      <c r="R185" s="18"/>
      <c r="S185" s="374"/>
      <c r="T185" s="372"/>
      <c r="U185" s="186"/>
      <c r="V185" s="18"/>
      <c r="W185" s="374"/>
      <c r="X185" s="372"/>
      <c r="Y185" s="186"/>
      <c r="Z185" s="18"/>
      <c r="AA185" s="374"/>
      <c r="AB185" s="372"/>
      <c r="AC185" s="186"/>
      <c r="AD185" s="18"/>
      <c r="AE185" s="374"/>
      <c r="AF185" s="372"/>
      <c r="AG185" s="186"/>
      <c r="AH185" s="18"/>
      <c r="AI185" s="374"/>
      <c r="AJ185" s="372"/>
      <c r="AK185" s="365"/>
      <c r="AL185" s="365"/>
      <c r="AM185" s="365"/>
      <c r="AN185" s="365"/>
      <c r="AO185" s="365"/>
      <c r="AP185" s="365"/>
    </row>
    <row r="186">
      <c r="A186" s="302"/>
      <c r="B186" s="303"/>
      <c r="C186" s="304"/>
      <c r="D186" s="365"/>
      <c r="E186" s="302"/>
      <c r="F186" s="303"/>
      <c r="G186" s="304"/>
      <c r="H186" s="365"/>
      <c r="I186" s="302"/>
      <c r="J186" s="303"/>
      <c r="K186" s="304"/>
      <c r="L186" s="365"/>
      <c r="M186" s="302"/>
      <c r="N186" s="303"/>
      <c r="O186" s="304"/>
      <c r="P186" s="365"/>
      <c r="Q186" s="186"/>
      <c r="R186" s="18"/>
      <c r="S186" s="374"/>
      <c r="T186" s="372"/>
      <c r="U186" s="186"/>
      <c r="V186" s="18"/>
      <c r="W186" s="374"/>
      <c r="X186" s="372"/>
      <c r="Y186" s="186"/>
      <c r="Z186" s="18"/>
      <c r="AA186" s="374"/>
      <c r="AB186" s="372"/>
      <c r="AC186" s="186"/>
      <c r="AD186" s="18"/>
      <c r="AE186" s="374"/>
      <c r="AF186" s="372"/>
      <c r="AG186" s="186"/>
      <c r="AH186" s="18"/>
      <c r="AI186" s="374"/>
      <c r="AJ186" s="372"/>
      <c r="AK186" s="365"/>
      <c r="AL186" s="365"/>
      <c r="AM186" s="365"/>
      <c r="AN186" s="365"/>
      <c r="AO186" s="365"/>
      <c r="AP186" s="365"/>
    </row>
    <row r="187">
      <c r="A187" s="302"/>
      <c r="B187" s="303"/>
      <c r="C187" s="304"/>
      <c r="D187" s="365"/>
      <c r="E187" s="302"/>
      <c r="F187" s="303"/>
      <c r="G187" s="304"/>
      <c r="H187" s="365"/>
      <c r="I187" s="302"/>
      <c r="J187" s="303"/>
      <c r="K187" s="304"/>
      <c r="L187" s="365"/>
      <c r="M187" s="302"/>
      <c r="N187" s="303"/>
      <c r="O187" s="304"/>
      <c r="P187" s="365"/>
      <c r="Q187" s="186"/>
      <c r="R187" s="18"/>
      <c r="S187" s="374"/>
      <c r="T187" s="372"/>
      <c r="U187" s="186"/>
      <c r="V187" s="18"/>
      <c r="W187" s="374"/>
      <c r="X187" s="372"/>
      <c r="Y187" s="186"/>
      <c r="Z187" s="18"/>
      <c r="AA187" s="374"/>
      <c r="AB187" s="372"/>
      <c r="AC187" s="186"/>
      <c r="AD187" s="18"/>
      <c r="AE187" s="374"/>
      <c r="AF187" s="372"/>
      <c r="AG187" s="186"/>
      <c r="AH187" s="18"/>
      <c r="AI187" s="374"/>
      <c r="AJ187" s="372"/>
      <c r="AK187" s="365"/>
      <c r="AL187" s="365"/>
      <c r="AM187" s="365"/>
      <c r="AN187" s="365"/>
      <c r="AO187" s="365"/>
      <c r="AP187" s="365"/>
    </row>
    <row r="188">
      <c r="A188" s="302"/>
      <c r="B188" s="303"/>
      <c r="C188" s="304"/>
      <c r="D188" s="365"/>
      <c r="E188" s="302"/>
      <c r="F188" s="303"/>
      <c r="G188" s="304"/>
      <c r="H188" s="365"/>
      <c r="I188" s="302"/>
      <c r="J188" s="303"/>
      <c r="K188" s="304"/>
      <c r="L188" s="365"/>
      <c r="M188" s="302"/>
      <c r="N188" s="303"/>
      <c r="O188" s="304"/>
      <c r="P188" s="365"/>
      <c r="Q188" s="186"/>
      <c r="R188" s="18"/>
      <c r="S188" s="374"/>
      <c r="T188" s="372"/>
      <c r="U188" s="186"/>
      <c r="V188" s="18"/>
      <c r="W188" s="374"/>
      <c r="X188" s="372"/>
      <c r="Y188" s="186"/>
      <c r="Z188" s="18"/>
      <c r="AA188" s="374"/>
      <c r="AB188" s="372"/>
      <c r="AC188" s="186"/>
      <c r="AD188" s="18"/>
      <c r="AE188" s="374"/>
      <c r="AF188" s="372"/>
      <c r="AG188" s="186"/>
      <c r="AH188" s="18"/>
      <c r="AI188" s="374"/>
      <c r="AJ188" s="372"/>
      <c r="AK188" s="365"/>
      <c r="AL188" s="365"/>
      <c r="AM188" s="365"/>
      <c r="AN188" s="365"/>
      <c r="AO188" s="365"/>
      <c r="AP188" s="365"/>
    </row>
    <row r="189">
      <c r="A189" s="302"/>
      <c r="B189" s="303"/>
      <c r="C189" s="304"/>
      <c r="D189" s="365"/>
      <c r="E189" s="302"/>
      <c r="F189" s="303"/>
      <c r="G189" s="304"/>
      <c r="H189" s="365"/>
      <c r="I189" s="302"/>
      <c r="J189" s="303"/>
      <c r="K189" s="304"/>
      <c r="L189" s="365"/>
      <c r="M189" s="302"/>
      <c r="N189" s="303"/>
      <c r="O189" s="304"/>
      <c r="P189" s="365"/>
      <c r="Q189" s="186"/>
      <c r="R189" s="18"/>
      <c r="S189" s="374"/>
      <c r="T189" s="372"/>
      <c r="U189" s="186"/>
      <c r="V189" s="18"/>
      <c r="W189" s="374"/>
      <c r="X189" s="372"/>
      <c r="Y189" s="186"/>
      <c r="Z189" s="18"/>
      <c r="AA189" s="374"/>
      <c r="AB189" s="372"/>
      <c r="AC189" s="186"/>
      <c r="AD189" s="18"/>
      <c r="AE189" s="374"/>
      <c r="AF189" s="372"/>
      <c r="AG189" s="186"/>
      <c r="AH189" s="18"/>
      <c r="AI189" s="374"/>
      <c r="AJ189" s="372"/>
      <c r="AK189" s="365"/>
      <c r="AL189" s="365"/>
      <c r="AM189" s="365"/>
      <c r="AN189" s="365"/>
      <c r="AO189" s="365"/>
      <c r="AP189" s="365"/>
    </row>
    <row r="190">
      <c r="A190" s="302"/>
      <c r="B190" s="303"/>
      <c r="C190" s="304"/>
      <c r="D190" s="365"/>
      <c r="E190" s="302"/>
      <c r="F190" s="303"/>
      <c r="G190" s="304"/>
      <c r="H190" s="365"/>
      <c r="I190" s="302"/>
      <c r="J190" s="303"/>
      <c r="K190" s="304"/>
      <c r="L190" s="365"/>
      <c r="M190" s="302"/>
      <c r="N190" s="303"/>
      <c r="O190" s="304"/>
      <c r="P190" s="365"/>
      <c r="Q190" s="186"/>
      <c r="R190" s="18"/>
      <c r="S190" s="374"/>
      <c r="T190" s="372"/>
      <c r="U190" s="186"/>
      <c r="V190" s="18"/>
      <c r="W190" s="374"/>
      <c r="X190" s="372"/>
      <c r="Y190" s="186"/>
      <c r="Z190" s="18"/>
      <c r="AA190" s="374"/>
      <c r="AB190" s="372"/>
      <c r="AC190" s="186"/>
      <c r="AD190" s="18"/>
      <c r="AE190" s="374"/>
      <c r="AF190" s="372"/>
      <c r="AG190" s="186"/>
      <c r="AH190" s="18"/>
      <c r="AI190" s="374"/>
      <c r="AJ190" s="372"/>
      <c r="AK190" s="365"/>
      <c r="AL190" s="365"/>
      <c r="AM190" s="365"/>
      <c r="AN190" s="365"/>
      <c r="AO190" s="365"/>
      <c r="AP190" s="365"/>
    </row>
    <row r="191">
      <c r="A191" s="302"/>
      <c r="B191" s="303"/>
      <c r="C191" s="304"/>
      <c r="D191" s="365"/>
      <c r="E191" s="302"/>
      <c r="F191" s="303"/>
      <c r="G191" s="304"/>
      <c r="H191" s="365"/>
      <c r="I191" s="302"/>
      <c r="J191" s="303"/>
      <c r="K191" s="304"/>
      <c r="L191" s="365"/>
      <c r="M191" s="302"/>
      <c r="N191" s="303"/>
      <c r="O191" s="304"/>
      <c r="P191" s="365"/>
      <c r="Q191" s="186"/>
      <c r="R191" s="18"/>
      <c r="S191" s="374"/>
      <c r="T191" s="372"/>
      <c r="U191" s="186"/>
      <c r="V191" s="18"/>
      <c r="W191" s="374"/>
      <c r="X191" s="372"/>
      <c r="Y191" s="186"/>
      <c r="Z191" s="18"/>
      <c r="AA191" s="374"/>
      <c r="AB191" s="372"/>
      <c r="AC191" s="186"/>
      <c r="AD191" s="18"/>
      <c r="AE191" s="374"/>
      <c r="AF191" s="372"/>
      <c r="AG191" s="186"/>
      <c r="AH191" s="18"/>
      <c r="AI191" s="374"/>
      <c r="AJ191" s="372"/>
      <c r="AK191" s="365"/>
      <c r="AL191" s="365"/>
      <c r="AM191" s="365"/>
      <c r="AN191" s="365"/>
      <c r="AO191" s="365"/>
      <c r="AP191" s="365"/>
    </row>
    <row r="192">
      <c r="A192" s="302"/>
      <c r="B192" s="303"/>
      <c r="C192" s="304"/>
      <c r="D192" s="365"/>
      <c r="E192" s="302"/>
      <c r="F192" s="303"/>
      <c r="G192" s="304"/>
      <c r="H192" s="365"/>
      <c r="I192" s="302"/>
      <c r="J192" s="303"/>
      <c r="K192" s="304"/>
      <c r="L192" s="365"/>
      <c r="M192" s="302"/>
      <c r="N192" s="303"/>
      <c r="O192" s="304"/>
      <c r="P192" s="365"/>
      <c r="Q192" s="186"/>
      <c r="R192" s="18"/>
      <c r="S192" s="374"/>
      <c r="T192" s="372"/>
      <c r="U192" s="186"/>
      <c r="V192" s="18"/>
      <c r="W192" s="374"/>
      <c r="X192" s="372"/>
      <c r="Y192" s="186"/>
      <c r="Z192" s="18"/>
      <c r="AA192" s="374"/>
      <c r="AB192" s="372"/>
      <c r="AC192" s="186"/>
      <c r="AD192" s="18"/>
      <c r="AE192" s="374"/>
      <c r="AF192" s="372"/>
      <c r="AG192" s="186"/>
      <c r="AH192" s="18"/>
      <c r="AI192" s="374"/>
      <c r="AJ192" s="372"/>
      <c r="AK192" s="365"/>
      <c r="AL192" s="365"/>
      <c r="AM192" s="365"/>
      <c r="AN192" s="365"/>
      <c r="AO192" s="365"/>
      <c r="AP192" s="365"/>
    </row>
    <row r="193">
      <c r="A193" s="302"/>
      <c r="B193" s="303"/>
      <c r="C193" s="304"/>
      <c r="D193" s="365"/>
      <c r="E193" s="302"/>
      <c r="F193" s="303"/>
      <c r="G193" s="304"/>
      <c r="H193" s="365"/>
      <c r="I193" s="302"/>
      <c r="J193" s="303"/>
      <c r="K193" s="304"/>
      <c r="L193" s="365"/>
      <c r="M193" s="302"/>
      <c r="N193" s="303"/>
      <c r="O193" s="304"/>
      <c r="P193" s="365"/>
      <c r="Q193" s="186"/>
      <c r="R193" s="18"/>
      <c r="S193" s="374"/>
      <c r="T193" s="372"/>
      <c r="U193" s="186"/>
      <c r="V193" s="18"/>
      <c r="W193" s="374"/>
      <c r="X193" s="372"/>
      <c r="Y193" s="186"/>
      <c r="Z193" s="18"/>
      <c r="AA193" s="374"/>
      <c r="AB193" s="372"/>
      <c r="AC193" s="186"/>
      <c r="AD193" s="18"/>
      <c r="AE193" s="374"/>
      <c r="AF193" s="372"/>
      <c r="AG193" s="186"/>
      <c r="AH193" s="18"/>
      <c r="AI193" s="374"/>
      <c r="AJ193" s="372"/>
      <c r="AK193" s="365"/>
      <c r="AL193" s="365"/>
      <c r="AM193" s="365"/>
      <c r="AN193" s="365"/>
      <c r="AO193" s="365"/>
      <c r="AP193" s="365"/>
    </row>
    <row r="194">
      <c r="A194" s="302"/>
      <c r="B194" s="303"/>
      <c r="C194" s="304"/>
      <c r="D194" s="365"/>
      <c r="E194" s="302"/>
      <c r="F194" s="303"/>
      <c r="G194" s="304"/>
      <c r="H194" s="365"/>
      <c r="I194" s="302"/>
      <c r="J194" s="303"/>
      <c r="K194" s="304"/>
      <c r="L194" s="365"/>
      <c r="M194" s="302"/>
      <c r="N194" s="303"/>
      <c r="O194" s="304"/>
      <c r="P194" s="365"/>
      <c r="Q194" s="186"/>
      <c r="R194" s="18"/>
      <c r="S194" s="374"/>
      <c r="T194" s="372"/>
      <c r="U194" s="186"/>
      <c r="V194" s="18"/>
      <c r="W194" s="374"/>
      <c r="X194" s="372"/>
      <c r="Y194" s="186"/>
      <c r="Z194" s="18"/>
      <c r="AA194" s="374"/>
      <c r="AB194" s="372"/>
      <c r="AC194" s="186"/>
      <c r="AD194" s="18"/>
      <c r="AE194" s="374"/>
      <c r="AF194" s="372"/>
      <c r="AG194" s="186"/>
      <c r="AH194" s="18"/>
      <c r="AI194" s="374"/>
      <c r="AJ194" s="372"/>
      <c r="AK194" s="365"/>
      <c r="AL194" s="365"/>
      <c r="AM194" s="365"/>
      <c r="AN194" s="365"/>
      <c r="AO194" s="365"/>
      <c r="AP194" s="365"/>
    </row>
    <row r="195">
      <c r="A195" s="302"/>
      <c r="B195" s="303"/>
      <c r="C195" s="304"/>
      <c r="D195" s="365"/>
      <c r="E195" s="302"/>
      <c r="F195" s="303"/>
      <c r="G195" s="304"/>
      <c r="H195" s="365"/>
      <c r="I195" s="302"/>
      <c r="J195" s="303"/>
      <c r="K195" s="304"/>
      <c r="L195" s="365"/>
      <c r="M195" s="302"/>
      <c r="N195" s="303"/>
      <c r="O195" s="304"/>
      <c r="P195" s="365"/>
      <c r="Q195" s="186"/>
      <c r="R195" s="18"/>
      <c r="S195" s="374"/>
      <c r="T195" s="372"/>
      <c r="U195" s="186"/>
      <c r="V195" s="18"/>
      <c r="W195" s="374"/>
      <c r="X195" s="372"/>
      <c r="Y195" s="186"/>
      <c r="Z195" s="18"/>
      <c r="AA195" s="374"/>
      <c r="AB195" s="372"/>
      <c r="AC195" s="186"/>
      <c r="AD195" s="18"/>
      <c r="AE195" s="374"/>
      <c r="AF195" s="372"/>
      <c r="AG195" s="186"/>
      <c r="AH195" s="18"/>
      <c r="AI195" s="374"/>
      <c r="AJ195" s="372"/>
      <c r="AK195" s="365"/>
      <c r="AL195" s="365"/>
      <c r="AM195" s="365"/>
      <c r="AN195" s="365"/>
      <c r="AO195" s="365"/>
      <c r="AP195" s="365"/>
    </row>
    <row r="196">
      <c r="A196" s="302"/>
      <c r="B196" s="303"/>
      <c r="C196" s="304"/>
      <c r="D196" s="365"/>
      <c r="E196" s="302"/>
      <c r="F196" s="303"/>
      <c r="G196" s="304"/>
      <c r="H196" s="365"/>
      <c r="I196" s="302"/>
      <c r="J196" s="303"/>
      <c r="K196" s="304"/>
      <c r="L196" s="365"/>
      <c r="M196" s="302"/>
      <c r="N196" s="303"/>
      <c r="O196" s="304"/>
      <c r="P196" s="365"/>
      <c r="Q196" s="186"/>
      <c r="R196" s="18"/>
      <c r="S196" s="374"/>
      <c r="T196" s="372"/>
      <c r="U196" s="186"/>
      <c r="V196" s="18"/>
      <c r="W196" s="374"/>
      <c r="X196" s="372"/>
      <c r="Y196" s="186"/>
      <c r="Z196" s="18"/>
      <c r="AA196" s="374"/>
      <c r="AB196" s="372"/>
      <c r="AC196" s="186"/>
      <c r="AD196" s="18"/>
      <c r="AE196" s="374"/>
      <c r="AF196" s="372"/>
      <c r="AG196" s="186"/>
      <c r="AH196" s="18"/>
      <c r="AI196" s="374"/>
      <c r="AJ196" s="372"/>
      <c r="AK196" s="365"/>
      <c r="AL196" s="365"/>
      <c r="AM196" s="365"/>
      <c r="AN196" s="365"/>
      <c r="AO196" s="365"/>
      <c r="AP196" s="365"/>
    </row>
    <row r="197">
      <c r="A197" s="302"/>
      <c r="B197" s="303"/>
      <c r="C197" s="304"/>
      <c r="D197" s="365"/>
      <c r="E197" s="302"/>
      <c r="F197" s="303"/>
      <c r="G197" s="304"/>
      <c r="H197" s="365"/>
      <c r="I197" s="302"/>
      <c r="J197" s="303"/>
      <c r="K197" s="304"/>
      <c r="L197" s="365"/>
      <c r="M197" s="302"/>
      <c r="N197" s="303"/>
      <c r="O197" s="304"/>
      <c r="P197" s="365"/>
      <c r="Q197" s="186"/>
      <c r="R197" s="18"/>
      <c r="S197" s="374"/>
      <c r="T197" s="372"/>
      <c r="U197" s="186"/>
      <c r="V197" s="18"/>
      <c r="W197" s="374"/>
      <c r="X197" s="372"/>
      <c r="Y197" s="186"/>
      <c r="Z197" s="18"/>
      <c r="AA197" s="374"/>
      <c r="AB197" s="372"/>
      <c r="AC197" s="186"/>
      <c r="AD197" s="18"/>
      <c r="AE197" s="374"/>
      <c r="AF197" s="372"/>
      <c r="AG197" s="186"/>
      <c r="AH197" s="18"/>
      <c r="AI197" s="374"/>
      <c r="AJ197" s="372"/>
      <c r="AK197" s="365"/>
      <c r="AL197" s="365"/>
      <c r="AM197" s="365"/>
      <c r="AN197" s="365"/>
      <c r="AO197" s="365"/>
      <c r="AP197" s="365"/>
    </row>
    <row r="198">
      <c r="A198" s="302"/>
      <c r="B198" s="303"/>
      <c r="C198" s="304"/>
      <c r="D198" s="365"/>
      <c r="E198" s="302"/>
      <c r="F198" s="303"/>
      <c r="G198" s="304"/>
      <c r="H198" s="365"/>
      <c r="I198" s="302"/>
      <c r="J198" s="303"/>
      <c r="K198" s="304"/>
      <c r="L198" s="365"/>
      <c r="M198" s="302"/>
      <c r="N198" s="303"/>
      <c r="O198" s="304"/>
      <c r="P198" s="365"/>
      <c r="Q198" s="186"/>
      <c r="R198" s="18"/>
      <c r="S198" s="374"/>
      <c r="T198" s="372"/>
      <c r="U198" s="186"/>
      <c r="V198" s="18"/>
      <c r="W198" s="374"/>
      <c r="X198" s="372"/>
      <c r="Y198" s="186"/>
      <c r="Z198" s="18"/>
      <c r="AA198" s="374"/>
      <c r="AB198" s="372"/>
      <c r="AC198" s="186"/>
      <c r="AD198" s="18"/>
      <c r="AE198" s="374"/>
      <c r="AF198" s="372"/>
      <c r="AG198" s="186"/>
      <c r="AH198" s="18"/>
      <c r="AI198" s="374"/>
      <c r="AJ198" s="372"/>
      <c r="AK198" s="365"/>
      <c r="AL198" s="365"/>
      <c r="AM198" s="365"/>
      <c r="AN198" s="365"/>
      <c r="AO198" s="365"/>
      <c r="AP198" s="365"/>
    </row>
    <row r="199">
      <c r="A199" s="302"/>
      <c r="B199" s="303"/>
      <c r="C199" s="304"/>
      <c r="D199" s="365"/>
      <c r="E199" s="302"/>
      <c r="F199" s="303"/>
      <c r="G199" s="304"/>
      <c r="H199" s="365"/>
      <c r="I199" s="302"/>
      <c r="J199" s="303"/>
      <c r="K199" s="304"/>
      <c r="L199" s="365"/>
      <c r="M199" s="302"/>
      <c r="N199" s="303"/>
      <c r="O199" s="304"/>
      <c r="P199" s="365"/>
      <c r="Q199" s="186"/>
      <c r="R199" s="18"/>
      <c r="S199" s="374"/>
      <c r="T199" s="372"/>
      <c r="U199" s="186"/>
      <c r="V199" s="18"/>
      <c r="W199" s="374"/>
      <c r="X199" s="372"/>
      <c r="Y199" s="186"/>
      <c r="Z199" s="18"/>
      <c r="AA199" s="374"/>
      <c r="AB199" s="372"/>
      <c r="AC199" s="186"/>
      <c r="AD199" s="18"/>
      <c r="AE199" s="374"/>
      <c r="AF199" s="372"/>
      <c r="AG199" s="186"/>
      <c r="AH199" s="18"/>
      <c r="AI199" s="374"/>
      <c r="AJ199" s="372"/>
      <c r="AK199" s="365"/>
      <c r="AL199" s="365"/>
      <c r="AM199" s="365"/>
      <c r="AN199" s="365"/>
      <c r="AO199" s="365"/>
      <c r="AP199" s="365"/>
    </row>
    <row r="200">
      <c r="A200" s="302"/>
      <c r="B200" s="303"/>
      <c r="C200" s="304"/>
      <c r="D200" s="365"/>
      <c r="E200" s="302"/>
      <c r="F200" s="303"/>
      <c r="G200" s="304"/>
      <c r="H200" s="365"/>
      <c r="I200" s="302"/>
      <c r="J200" s="303"/>
      <c r="K200" s="304"/>
      <c r="L200" s="365"/>
      <c r="M200" s="302"/>
      <c r="N200" s="303"/>
      <c r="O200" s="304"/>
      <c r="P200" s="365"/>
      <c r="Q200" s="186"/>
      <c r="R200" s="18"/>
      <c r="S200" s="374"/>
      <c r="T200" s="372"/>
      <c r="U200" s="186"/>
      <c r="V200" s="18"/>
      <c r="W200" s="374"/>
      <c r="X200" s="372"/>
      <c r="Y200" s="186"/>
      <c r="Z200" s="18"/>
      <c r="AA200" s="374"/>
      <c r="AB200" s="372"/>
      <c r="AC200" s="186"/>
      <c r="AD200" s="18"/>
      <c r="AE200" s="374"/>
      <c r="AF200" s="372"/>
      <c r="AG200" s="186"/>
      <c r="AH200" s="18"/>
      <c r="AI200" s="374"/>
      <c r="AJ200" s="372"/>
      <c r="AK200" s="365"/>
      <c r="AL200" s="365"/>
      <c r="AM200" s="365"/>
      <c r="AN200" s="365"/>
      <c r="AO200" s="365"/>
      <c r="AP200" s="365"/>
    </row>
    <row r="201">
      <c r="A201" s="302"/>
      <c r="B201" s="303"/>
      <c r="C201" s="304"/>
      <c r="D201" s="365"/>
      <c r="E201" s="302"/>
      <c r="F201" s="303"/>
      <c r="G201" s="304"/>
      <c r="H201" s="365"/>
      <c r="I201" s="302"/>
      <c r="J201" s="303"/>
      <c r="K201" s="304"/>
      <c r="L201" s="365"/>
      <c r="M201" s="302"/>
      <c r="N201" s="303"/>
      <c r="O201" s="304"/>
      <c r="P201" s="365"/>
      <c r="Q201" s="186"/>
      <c r="R201" s="18"/>
      <c r="S201" s="374"/>
      <c r="T201" s="372"/>
      <c r="U201" s="186"/>
      <c r="V201" s="18"/>
      <c r="W201" s="374"/>
      <c r="X201" s="372"/>
      <c r="Y201" s="186"/>
      <c r="Z201" s="18"/>
      <c r="AA201" s="374"/>
      <c r="AB201" s="372"/>
      <c r="AC201" s="186"/>
      <c r="AD201" s="18"/>
      <c r="AE201" s="374"/>
      <c r="AF201" s="372"/>
      <c r="AG201" s="186"/>
      <c r="AH201" s="18"/>
      <c r="AI201" s="374"/>
      <c r="AJ201" s="372"/>
      <c r="AK201" s="365"/>
      <c r="AL201" s="365"/>
      <c r="AM201" s="365"/>
      <c r="AN201" s="365"/>
      <c r="AO201" s="365"/>
      <c r="AP201" s="365"/>
    </row>
    <row r="202">
      <c r="A202" s="302"/>
      <c r="B202" s="303"/>
      <c r="C202" s="304"/>
      <c r="D202" s="365"/>
      <c r="E202" s="302"/>
      <c r="F202" s="303"/>
      <c r="G202" s="304"/>
      <c r="H202" s="365"/>
      <c r="I202" s="302"/>
      <c r="J202" s="303"/>
      <c r="K202" s="304"/>
      <c r="L202" s="365"/>
      <c r="M202" s="302"/>
      <c r="N202" s="303"/>
      <c r="O202" s="304"/>
      <c r="P202" s="365"/>
      <c r="Q202" s="186"/>
      <c r="R202" s="18"/>
      <c r="S202" s="374"/>
      <c r="T202" s="372"/>
      <c r="U202" s="186"/>
      <c r="V202" s="18"/>
      <c r="W202" s="374"/>
      <c r="X202" s="372"/>
      <c r="Y202" s="186"/>
      <c r="Z202" s="18"/>
      <c r="AA202" s="374"/>
      <c r="AB202" s="372"/>
      <c r="AC202" s="186"/>
      <c r="AD202" s="18"/>
      <c r="AE202" s="374"/>
      <c r="AF202" s="372"/>
      <c r="AG202" s="186"/>
      <c r="AH202" s="18"/>
      <c r="AI202" s="374"/>
      <c r="AJ202" s="372"/>
      <c r="AK202" s="365"/>
      <c r="AL202" s="365"/>
      <c r="AM202" s="365"/>
      <c r="AN202" s="365"/>
      <c r="AO202" s="365"/>
      <c r="AP202" s="365"/>
    </row>
    <row r="203">
      <c r="A203" s="302"/>
      <c r="B203" s="303"/>
      <c r="C203" s="304"/>
      <c r="D203" s="365"/>
      <c r="E203" s="302"/>
      <c r="F203" s="303"/>
      <c r="G203" s="304"/>
      <c r="H203" s="365"/>
      <c r="I203" s="302"/>
      <c r="J203" s="303"/>
      <c r="K203" s="304"/>
      <c r="L203" s="365"/>
      <c r="M203" s="302"/>
      <c r="N203" s="303"/>
      <c r="O203" s="304"/>
      <c r="P203" s="365"/>
      <c r="Q203" s="186"/>
      <c r="R203" s="18"/>
      <c r="S203" s="374"/>
      <c r="T203" s="372"/>
      <c r="U203" s="186"/>
      <c r="V203" s="18"/>
      <c r="W203" s="374"/>
      <c r="X203" s="372"/>
      <c r="Y203" s="186"/>
      <c r="Z203" s="18"/>
      <c r="AA203" s="374"/>
      <c r="AB203" s="372"/>
      <c r="AC203" s="186"/>
      <c r="AD203" s="18"/>
      <c r="AE203" s="374"/>
      <c r="AF203" s="372"/>
      <c r="AG203" s="186"/>
      <c r="AH203" s="18"/>
      <c r="AI203" s="374"/>
      <c r="AJ203" s="372"/>
      <c r="AK203" s="365"/>
      <c r="AL203" s="365"/>
      <c r="AM203" s="365"/>
      <c r="AN203" s="365"/>
      <c r="AO203" s="365"/>
      <c r="AP203" s="365"/>
    </row>
    <row r="204">
      <c r="A204" s="302"/>
      <c r="B204" s="303"/>
      <c r="C204" s="304"/>
      <c r="D204" s="365"/>
      <c r="E204" s="302"/>
      <c r="F204" s="303"/>
      <c r="G204" s="304"/>
      <c r="H204" s="365"/>
      <c r="I204" s="302"/>
      <c r="J204" s="303"/>
      <c r="K204" s="304"/>
      <c r="L204" s="365"/>
      <c r="M204" s="302"/>
      <c r="N204" s="303"/>
      <c r="O204" s="304"/>
      <c r="P204" s="365"/>
      <c r="Q204" s="186"/>
      <c r="R204" s="18"/>
      <c r="S204" s="374"/>
      <c r="T204" s="372"/>
      <c r="U204" s="186"/>
      <c r="V204" s="18"/>
      <c r="W204" s="374"/>
      <c r="X204" s="372"/>
      <c r="Y204" s="186"/>
      <c r="Z204" s="18"/>
      <c r="AA204" s="374"/>
      <c r="AB204" s="372"/>
      <c r="AC204" s="186"/>
      <c r="AD204" s="18"/>
      <c r="AE204" s="374"/>
      <c r="AF204" s="372"/>
      <c r="AG204" s="186"/>
      <c r="AH204" s="18"/>
      <c r="AI204" s="374"/>
      <c r="AJ204" s="372"/>
      <c r="AK204" s="365"/>
      <c r="AL204" s="365"/>
      <c r="AM204" s="365"/>
      <c r="AN204" s="365"/>
      <c r="AO204" s="365"/>
      <c r="AP204" s="365"/>
    </row>
    <row r="205">
      <c r="A205" s="302"/>
      <c r="B205" s="303"/>
      <c r="C205" s="304"/>
      <c r="D205" s="365"/>
      <c r="E205" s="302"/>
      <c r="F205" s="303"/>
      <c r="G205" s="304"/>
      <c r="H205" s="365"/>
      <c r="I205" s="302"/>
      <c r="J205" s="303"/>
      <c r="K205" s="304"/>
      <c r="L205" s="365"/>
      <c r="M205" s="302"/>
      <c r="N205" s="303"/>
      <c r="O205" s="304"/>
      <c r="P205" s="365"/>
      <c r="Q205" s="186"/>
      <c r="R205" s="18"/>
      <c r="S205" s="374"/>
      <c r="T205" s="372"/>
      <c r="U205" s="186"/>
      <c r="V205" s="18"/>
      <c r="W205" s="374"/>
      <c r="X205" s="372"/>
      <c r="Y205" s="186"/>
      <c r="Z205" s="18"/>
      <c r="AA205" s="374"/>
      <c r="AB205" s="372"/>
      <c r="AC205" s="186"/>
      <c r="AD205" s="18"/>
      <c r="AE205" s="374"/>
      <c r="AF205" s="372"/>
      <c r="AG205" s="186"/>
      <c r="AH205" s="18"/>
      <c r="AI205" s="374"/>
      <c r="AJ205" s="372"/>
      <c r="AK205" s="365"/>
      <c r="AL205" s="365"/>
      <c r="AM205" s="365"/>
      <c r="AN205" s="365"/>
      <c r="AO205" s="365"/>
      <c r="AP205" s="365"/>
    </row>
    <row r="206">
      <c r="A206" s="302"/>
      <c r="B206" s="303"/>
      <c r="C206" s="304"/>
      <c r="D206" s="365"/>
      <c r="E206" s="302"/>
      <c r="F206" s="303"/>
      <c r="G206" s="304"/>
      <c r="H206" s="365"/>
      <c r="I206" s="302"/>
      <c r="J206" s="303"/>
      <c r="K206" s="304"/>
      <c r="L206" s="365"/>
      <c r="M206" s="302"/>
      <c r="N206" s="303"/>
      <c r="O206" s="304"/>
      <c r="P206" s="365"/>
      <c r="Q206" s="186"/>
      <c r="R206" s="18"/>
      <c r="S206" s="374"/>
      <c r="T206" s="372"/>
      <c r="U206" s="186"/>
      <c r="V206" s="18"/>
      <c r="W206" s="374"/>
      <c r="X206" s="372"/>
      <c r="Y206" s="186"/>
      <c r="Z206" s="18"/>
      <c r="AA206" s="374"/>
      <c r="AB206" s="372"/>
      <c r="AC206" s="186"/>
      <c r="AD206" s="18"/>
      <c r="AE206" s="374"/>
      <c r="AF206" s="372"/>
      <c r="AG206" s="186"/>
      <c r="AH206" s="18"/>
      <c r="AI206" s="374"/>
      <c r="AJ206" s="372"/>
      <c r="AK206" s="365"/>
      <c r="AL206" s="365"/>
      <c r="AM206" s="365"/>
      <c r="AN206" s="365"/>
      <c r="AO206" s="365"/>
      <c r="AP206" s="365"/>
    </row>
    <row r="207">
      <c r="A207" s="302"/>
      <c r="B207" s="303"/>
      <c r="C207" s="304"/>
      <c r="D207" s="365"/>
      <c r="E207" s="302"/>
      <c r="F207" s="303"/>
      <c r="G207" s="304"/>
      <c r="H207" s="365"/>
      <c r="I207" s="302"/>
      <c r="J207" s="303"/>
      <c r="K207" s="304"/>
      <c r="L207" s="365"/>
      <c r="M207" s="302"/>
      <c r="N207" s="303"/>
      <c r="O207" s="304"/>
      <c r="P207" s="365"/>
      <c r="Q207" s="186"/>
      <c r="R207" s="18"/>
      <c r="S207" s="374"/>
      <c r="T207" s="372"/>
      <c r="U207" s="186"/>
      <c r="V207" s="18"/>
      <c r="W207" s="374"/>
      <c r="X207" s="372"/>
      <c r="Y207" s="186"/>
      <c r="Z207" s="18"/>
      <c r="AA207" s="374"/>
      <c r="AB207" s="372"/>
      <c r="AC207" s="186"/>
      <c r="AD207" s="18"/>
      <c r="AE207" s="374"/>
      <c r="AF207" s="372"/>
      <c r="AG207" s="186"/>
      <c r="AH207" s="18"/>
      <c r="AI207" s="374"/>
      <c r="AJ207" s="372"/>
      <c r="AK207" s="365"/>
      <c r="AL207" s="365"/>
      <c r="AM207" s="365"/>
      <c r="AN207" s="365"/>
      <c r="AO207" s="365"/>
      <c r="AP207" s="365"/>
    </row>
    <row r="208">
      <c r="A208" s="302"/>
      <c r="B208" s="303"/>
      <c r="C208" s="304"/>
      <c r="D208" s="365"/>
      <c r="E208" s="302"/>
      <c r="F208" s="303"/>
      <c r="G208" s="304"/>
      <c r="H208" s="365"/>
      <c r="I208" s="302"/>
      <c r="J208" s="303"/>
      <c r="K208" s="304"/>
      <c r="L208" s="365"/>
      <c r="M208" s="302"/>
      <c r="N208" s="303"/>
      <c r="O208" s="304"/>
      <c r="P208" s="365"/>
      <c r="Q208" s="186"/>
      <c r="R208" s="18"/>
      <c r="S208" s="374"/>
      <c r="T208" s="372"/>
      <c r="U208" s="186"/>
      <c r="V208" s="18"/>
      <c r="W208" s="374"/>
      <c r="X208" s="372"/>
      <c r="Y208" s="186"/>
      <c r="Z208" s="18"/>
      <c r="AA208" s="374"/>
      <c r="AB208" s="372"/>
      <c r="AC208" s="186"/>
      <c r="AD208" s="18"/>
      <c r="AE208" s="374"/>
      <c r="AF208" s="372"/>
      <c r="AG208" s="186"/>
      <c r="AH208" s="18"/>
      <c r="AI208" s="374"/>
      <c r="AJ208" s="372"/>
      <c r="AK208" s="365"/>
      <c r="AL208" s="365"/>
      <c r="AM208" s="365"/>
      <c r="AN208" s="365"/>
      <c r="AO208" s="365"/>
      <c r="AP208" s="365"/>
    </row>
    <row r="209">
      <c r="A209" s="302"/>
      <c r="B209" s="303"/>
      <c r="C209" s="304"/>
      <c r="D209" s="365"/>
      <c r="E209" s="302"/>
      <c r="F209" s="303"/>
      <c r="G209" s="304"/>
      <c r="H209" s="365"/>
      <c r="I209" s="302"/>
      <c r="J209" s="303"/>
      <c r="K209" s="304"/>
      <c r="L209" s="365"/>
      <c r="M209" s="302"/>
      <c r="N209" s="303"/>
      <c r="O209" s="304"/>
      <c r="P209" s="365"/>
      <c r="Q209" s="186"/>
      <c r="R209" s="18"/>
      <c r="S209" s="374"/>
      <c r="T209" s="372"/>
      <c r="U209" s="186"/>
      <c r="V209" s="18"/>
      <c r="W209" s="374"/>
      <c r="X209" s="372"/>
      <c r="Y209" s="186"/>
      <c r="Z209" s="18"/>
      <c r="AA209" s="374"/>
      <c r="AB209" s="372"/>
      <c r="AC209" s="186"/>
      <c r="AD209" s="18"/>
      <c r="AE209" s="374"/>
      <c r="AF209" s="372"/>
      <c r="AG209" s="186"/>
      <c r="AH209" s="18"/>
      <c r="AI209" s="374"/>
      <c r="AJ209" s="372"/>
      <c r="AK209" s="365"/>
      <c r="AL209" s="365"/>
      <c r="AM209" s="365"/>
      <c r="AN209" s="365"/>
      <c r="AO209" s="365"/>
      <c r="AP209" s="365"/>
    </row>
    <row r="210">
      <c r="A210" s="302"/>
      <c r="B210" s="303"/>
      <c r="C210" s="304"/>
      <c r="D210" s="365"/>
      <c r="E210" s="302"/>
      <c r="F210" s="303"/>
      <c r="G210" s="304"/>
      <c r="H210" s="365"/>
      <c r="I210" s="302"/>
      <c r="J210" s="303"/>
      <c r="K210" s="304"/>
      <c r="L210" s="365"/>
      <c r="M210" s="302"/>
      <c r="N210" s="303"/>
      <c r="O210" s="304"/>
      <c r="P210" s="365"/>
      <c r="Q210" s="186"/>
      <c r="R210" s="18"/>
      <c r="S210" s="374"/>
      <c r="T210" s="372"/>
      <c r="U210" s="186"/>
      <c r="V210" s="18"/>
      <c r="W210" s="374"/>
      <c r="X210" s="372"/>
      <c r="Y210" s="186"/>
      <c r="Z210" s="18"/>
      <c r="AA210" s="374"/>
      <c r="AB210" s="372"/>
      <c r="AC210" s="186"/>
      <c r="AD210" s="18"/>
      <c r="AE210" s="374"/>
      <c r="AF210" s="372"/>
      <c r="AG210" s="186"/>
      <c r="AH210" s="18"/>
      <c r="AI210" s="374"/>
      <c r="AJ210" s="372"/>
      <c r="AK210" s="365"/>
      <c r="AL210" s="365"/>
      <c r="AM210" s="365"/>
      <c r="AN210" s="365"/>
      <c r="AO210" s="365"/>
      <c r="AP210" s="365"/>
    </row>
    <row r="211">
      <c r="A211" s="302"/>
      <c r="B211" s="303"/>
      <c r="C211" s="304"/>
      <c r="D211" s="365"/>
      <c r="E211" s="302"/>
      <c r="F211" s="303"/>
      <c r="G211" s="304"/>
      <c r="H211" s="365"/>
      <c r="I211" s="302"/>
      <c r="J211" s="303"/>
      <c r="K211" s="304"/>
      <c r="L211" s="365"/>
      <c r="M211" s="302"/>
      <c r="N211" s="303"/>
      <c r="O211" s="304"/>
      <c r="P211" s="365"/>
      <c r="Q211" s="186"/>
      <c r="R211" s="18"/>
      <c r="S211" s="374"/>
      <c r="T211" s="372"/>
      <c r="U211" s="186"/>
      <c r="V211" s="18"/>
      <c r="W211" s="374"/>
      <c r="X211" s="372"/>
      <c r="Y211" s="186"/>
      <c r="Z211" s="18"/>
      <c r="AA211" s="374"/>
      <c r="AB211" s="372"/>
      <c r="AC211" s="186"/>
      <c r="AD211" s="18"/>
      <c r="AE211" s="374"/>
      <c r="AF211" s="372"/>
      <c r="AG211" s="186"/>
      <c r="AH211" s="18"/>
      <c r="AI211" s="374"/>
      <c r="AJ211" s="372"/>
      <c r="AK211" s="365"/>
      <c r="AL211" s="365"/>
      <c r="AM211" s="365"/>
      <c r="AN211" s="365"/>
      <c r="AO211" s="365"/>
      <c r="AP211" s="365"/>
    </row>
    <row r="212">
      <c r="A212" s="302"/>
      <c r="B212" s="303"/>
      <c r="C212" s="304"/>
      <c r="D212" s="365"/>
      <c r="E212" s="302"/>
      <c r="F212" s="303"/>
      <c r="G212" s="304"/>
      <c r="H212" s="365"/>
      <c r="I212" s="302"/>
      <c r="J212" s="303"/>
      <c r="K212" s="304"/>
      <c r="L212" s="365"/>
      <c r="M212" s="302"/>
      <c r="N212" s="303"/>
      <c r="O212" s="304"/>
      <c r="P212" s="365"/>
      <c r="Q212" s="186"/>
      <c r="R212" s="18"/>
      <c r="S212" s="374"/>
      <c r="T212" s="372"/>
      <c r="U212" s="186"/>
      <c r="V212" s="18"/>
      <c r="W212" s="374"/>
      <c r="X212" s="372"/>
      <c r="Y212" s="186"/>
      <c r="Z212" s="18"/>
      <c r="AA212" s="374"/>
      <c r="AB212" s="372"/>
      <c r="AC212" s="186"/>
      <c r="AD212" s="18"/>
      <c r="AE212" s="374"/>
      <c r="AF212" s="372"/>
      <c r="AG212" s="186"/>
      <c r="AH212" s="18"/>
      <c r="AI212" s="374"/>
      <c r="AJ212" s="372"/>
      <c r="AK212" s="365"/>
      <c r="AL212" s="365"/>
      <c r="AM212" s="365"/>
      <c r="AN212" s="365"/>
      <c r="AO212" s="365"/>
      <c r="AP212" s="365"/>
    </row>
    <row r="213">
      <c r="A213" s="302"/>
      <c r="B213" s="303"/>
      <c r="C213" s="304"/>
      <c r="D213" s="365"/>
      <c r="E213" s="302"/>
      <c r="F213" s="303"/>
      <c r="G213" s="304"/>
      <c r="H213" s="365"/>
      <c r="I213" s="302"/>
      <c r="J213" s="303"/>
      <c r="K213" s="304"/>
      <c r="L213" s="365"/>
      <c r="M213" s="302"/>
      <c r="N213" s="303"/>
      <c r="O213" s="304"/>
      <c r="P213" s="365"/>
      <c r="Q213" s="186"/>
      <c r="R213" s="18"/>
      <c r="S213" s="374"/>
      <c r="T213" s="372"/>
      <c r="U213" s="186"/>
      <c r="V213" s="18"/>
      <c r="W213" s="374"/>
      <c r="X213" s="372"/>
      <c r="Y213" s="186"/>
      <c r="Z213" s="18"/>
      <c r="AA213" s="374"/>
      <c r="AB213" s="372"/>
      <c r="AC213" s="186"/>
      <c r="AD213" s="18"/>
      <c r="AE213" s="374"/>
      <c r="AF213" s="372"/>
      <c r="AG213" s="186"/>
      <c r="AH213" s="18"/>
      <c r="AI213" s="374"/>
      <c r="AJ213" s="372"/>
      <c r="AK213" s="365"/>
      <c r="AL213" s="365"/>
      <c r="AM213" s="365"/>
      <c r="AN213" s="365"/>
      <c r="AO213" s="365"/>
      <c r="AP213" s="365"/>
    </row>
    <row r="214">
      <c r="A214" s="302"/>
      <c r="B214" s="303"/>
      <c r="C214" s="304"/>
      <c r="D214" s="365"/>
      <c r="E214" s="302"/>
      <c r="F214" s="303"/>
      <c r="G214" s="304"/>
      <c r="H214" s="365"/>
      <c r="I214" s="302"/>
      <c r="J214" s="303"/>
      <c r="K214" s="304"/>
      <c r="L214" s="365"/>
      <c r="M214" s="302"/>
      <c r="N214" s="303"/>
      <c r="O214" s="304"/>
      <c r="P214" s="365"/>
      <c r="Q214" s="186"/>
      <c r="R214" s="18"/>
      <c r="S214" s="374"/>
      <c r="T214" s="372"/>
      <c r="U214" s="186"/>
      <c r="V214" s="18"/>
      <c r="W214" s="374"/>
      <c r="X214" s="372"/>
      <c r="Y214" s="186"/>
      <c r="Z214" s="18"/>
      <c r="AA214" s="374"/>
      <c r="AB214" s="372"/>
      <c r="AC214" s="186"/>
      <c r="AD214" s="18"/>
      <c r="AE214" s="374"/>
      <c r="AF214" s="372"/>
      <c r="AG214" s="186"/>
      <c r="AH214" s="18"/>
      <c r="AI214" s="374"/>
      <c r="AJ214" s="372"/>
      <c r="AK214" s="365"/>
      <c r="AL214" s="365"/>
      <c r="AM214" s="365"/>
      <c r="AN214" s="365"/>
      <c r="AO214" s="365"/>
      <c r="AP214" s="365"/>
    </row>
    <row r="215">
      <c r="A215" s="302"/>
      <c r="B215" s="303"/>
      <c r="C215" s="304"/>
      <c r="D215" s="365"/>
      <c r="E215" s="302"/>
      <c r="F215" s="303"/>
      <c r="G215" s="304"/>
      <c r="H215" s="365"/>
      <c r="I215" s="302"/>
      <c r="J215" s="303"/>
      <c r="K215" s="304"/>
      <c r="L215" s="365"/>
      <c r="M215" s="302"/>
      <c r="N215" s="303"/>
      <c r="O215" s="304"/>
      <c r="P215" s="365"/>
      <c r="Q215" s="186"/>
      <c r="R215" s="18"/>
      <c r="S215" s="374"/>
      <c r="T215" s="372"/>
      <c r="U215" s="186"/>
      <c r="V215" s="18"/>
      <c r="W215" s="374"/>
      <c r="X215" s="372"/>
      <c r="Y215" s="186"/>
      <c r="Z215" s="18"/>
      <c r="AA215" s="374"/>
      <c r="AB215" s="372"/>
      <c r="AC215" s="186"/>
      <c r="AD215" s="18"/>
      <c r="AE215" s="374"/>
      <c r="AF215" s="372"/>
      <c r="AG215" s="186"/>
      <c r="AH215" s="18"/>
      <c r="AI215" s="374"/>
      <c r="AJ215" s="372"/>
      <c r="AK215" s="365"/>
      <c r="AL215" s="365"/>
      <c r="AM215" s="365"/>
      <c r="AN215" s="365"/>
      <c r="AO215" s="365"/>
      <c r="AP215" s="365"/>
    </row>
    <row r="216">
      <c r="A216" s="302"/>
      <c r="B216" s="303"/>
      <c r="C216" s="304"/>
      <c r="D216" s="365"/>
      <c r="E216" s="302"/>
      <c r="F216" s="303"/>
      <c r="G216" s="304"/>
      <c r="H216" s="365"/>
      <c r="I216" s="302"/>
      <c r="J216" s="303"/>
      <c r="K216" s="304"/>
      <c r="L216" s="365"/>
      <c r="M216" s="302"/>
      <c r="N216" s="303"/>
      <c r="O216" s="304"/>
      <c r="P216" s="365"/>
      <c r="Q216" s="186"/>
      <c r="R216" s="18"/>
      <c r="S216" s="374"/>
      <c r="T216" s="372"/>
      <c r="U216" s="186"/>
      <c r="V216" s="18"/>
      <c r="W216" s="374"/>
      <c r="X216" s="372"/>
      <c r="Y216" s="186"/>
      <c r="Z216" s="18"/>
      <c r="AA216" s="374"/>
      <c r="AB216" s="372"/>
      <c r="AC216" s="186"/>
      <c r="AD216" s="18"/>
      <c r="AE216" s="374"/>
      <c r="AF216" s="372"/>
      <c r="AG216" s="186"/>
      <c r="AH216" s="18"/>
      <c r="AI216" s="374"/>
      <c r="AJ216" s="372"/>
      <c r="AK216" s="365"/>
      <c r="AL216" s="365"/>
      <c r="AM216" s="365"/>
      <c r="AN216" s="365"/>
      <c r="AO216" s="365"/>
      <c r="AP216" s="365"/>
    </row>
    <row r="217">
      <c r="A217" s="302"/>
      <c r="B217" s="303"/>
      <c r="C217" s="304"/>
      <c r="D217" s="365"/>
      <c r="E217" s="302"/>
      <c r="F217" s="303"/>
      <c r="G217" s="304"/>
      <c r="H217" s="365"/>
      <c r="I217" s="302"/>
      <c r="J217" s="303"/>
      <c r="K217" s="304"/>
      <c r="L217" s="365"/>
      <c r="M217" s="302"/>
      <c r="N217" s="303"/>
      <c r="O217" s="304"/>
      <c r="P217" s="365"/>
      <c r="Q217" s="186"/>
      <c r="R217" s="18"/>
      <c r="S217" s="374"/>
      <c r="T217" s="372"/>
      <c r="U217" s="186"/>
      <c r="V217" s="18"/>
      <c r="W217" s="374"/>
      <c r="X217" s="372"/>
      <c r="Y217" s="186"/>
      <c r="Z217" s="18"/>
      <c r="AA217" s="374"/>
      <c r="AB217" s="372"/>
      <c r="AC217" s="186"/>
      <c r="AD217" s="18"/>
      <c r="AE217" s="374"/>
      <c r="AF217" s="372"/>
      <c r="AG217" s="186"/>
      <c r="AH217" s="18"/>
      <c r="AI217" s="374"/>
      <c r="AJ217" s="372"/>
      <c r="AK217" s="365"/>
      <c r="AL217" s="365"/>
      <c r="AM217" s="365"/>
      <c r="AN217" s="365"/>
      <c r="AO217" s="365"/>
      <c r="AP217" s="365"/>
    </row>
    <row r="218">
      <c r="A218" s="302"/>
      <c r="B218" s="303"/>
      <c r="C218" s="304"/>
      <c r="D218" s="365"/>
      <c r="E218" s="302"/>
      <c r="F218" s="303"/>
      <c r="G218" s="304"/>
      <c r="H218" s="365"/>
      <c r="I218" s="302"/>
      <c r="J218" s="303"/>
      <c r="K218" s="304"/>
      <c r="L218" s="365"/>
      <c r="M218" s="302"/>
      <c r="N218" s="303"/>
      <c r="O218" s="304"/>
      <c r="P218" s="365"/>
      <c r="Q218" s="186"/>
      <c r="R218" s="18"/>
      <c r="S218" s="374"/>
      <c r="T218" s="372"/>
      <c r="U218" s="186"/>
      <c r="V218" s="18"/>
      <c r="W218" s="374"/>
      <c r="X218" s="372"/>
      <c r="Y218" s="186"/>
      <c r="Z218" s="18"/>
      <c r="AA218" s="374"/>
      <c r="AB218" s="372"/>
      <c r="AC218" s="186"/>
      <c r="AD218" s="18"/>
      <c r="AE218" s="374"/>
      <c r="AF218" s="372"/>
      <c r="AG218" s="186"/>
      <c r="AH218" s="18"/>
      <c r="AI218" s="374"/>
      <c r="AJ218" s="372"/>
      <c r="AK218" s="365"/>
      <c r="AL218" s="365"/>
      <c r="AM218" s="365"/>
      <c r="AN218" s="365"/>
      <c r="AO218" s="365"/>
      <c r="AP218" s="365"/>
    </row>
    <row r="219">
      <c r="A219" s="302"/>
      <c r="B219" s="303"/>
      <c r="C219" s="304"/>
      <c r="D219" s="365"/>
      <c r="E219" s="302"/>
      <c r="F219" s="303"/>
      <c r="G219" s="304"/>
      <c r="H219" s="365"/>
      <c r="I219" s="302"/>
      <c r="J219" s="303"/>
      <c r="K219" s="304"/>
      <c r="L219" s="365"/>
      <c r="M219" s="302"/>
      <c r="N219" s="303"/>
      <c r="O219" s="304"/>
      <c r="P219" s="365"/>
      <c r="Q219" s="186"/>
      <c r="R219" s="18"/>
      <c r="S219" s="374"/>
      <c r="T219" s="372"/>
      <c r="U219" s="186"/>
      <c r="V219" s="18"/>
      <c r="W219" s="374"/>
      <c r="X219" s="372"/>
      <c r="Y219" s="186"/>
      <c r="Z219" s="18"/>
      <c r="AA219" s="374"/>
      <c r="AB219" s="372"/>
      <c r="AC219" s="186"/>
      <c r="AD219" s="18"/>
      <c r="AE219" s="374"/>
      <c r="AF219" s="372"/>
      <c r="AG219" s="186"/>
      <c r="AH219" s="18"/>
      <c r="AI219" s="374"/>
      <c r="AJ219" s="372"/>
      <c r="AK219" s="365"/>
      <c r="AL219" s="365"/>
      <c r="AM219" s="365"/>
      <c r="AN219" s="365"/>
      <c r="AO219" s="365"/>
      <c r="AP219" s="365"/>
    </row>
    <row r="220">
      <c r="A220" s="302"/>
      <c r="B220" s="303"/>
      <c r="C220" s="304"/>
      <c r="D220" s="365"/>
      <c r="E220" s="302"/>
      <c r="F220" s="303"/>
      <c r="G220" s="304"/>
      <c r="H220" s="365"/>
      <c r="I220" s="302"/>
      <c r="J220" s="303"/>
      <c r="K220" s="304"/>
      <c r="L220" s="365"/>
      <c r="M220" s="302"/>
      <c r="N220" s="303"/>
      <c r="O220" s="304"/>
      <c r="P220" s="365"/>
      <c r="Q220" s="186"/>
      <c r="R220" s="18"/>
      <c r="S220" s="374"/>
      <c r="T220" s="372"/>
      <c r="U220" s="186"/>
      <c r="V220" s="18"/>
      <c r="W220" s="374"/>
      <c r="X220" s="372"/>
      <c r="Y220" s="186"/>
      <c r="Z220" s="18"/>
      <c r="AA220" s="374"/>
      <c r="AB220" s="372"/>
      <c r="AC220" s="186"/>
      <c r="AD220" s="18"/>
      <c r="AE220" s="374"/>
      <c r="AF220" s="372"/>
      <c r="AG220" s="186"/>
      <c r="AH220" s="18"/>
      <c r="AI220" s="374"/>
      <c r="AJ220" s="372"/>
      <c r="AK220" s="365"/>
      <c r="AL220" s="365"/>
      <c r="AM220" s="365"/>
      <c r="AN220" s="365"/>
      <c r="AO220" s="365"/>
      <c r="AP220" s="365"/>
    </row>
    <row r="221">
      <c r="A221" s="302"/>
      <c r="B221" s="303"/>
      <c r="C221" s="304"/>
      <c r="D221" s="365"/>
      <c r="E221" s="302"/>
      <c r="F221" s="303"/>
      <c r="G221" s="304"/>
      <c r="H221" s="365"/>
      <c r="I221" s="302"/>
      <c r="J221" s="303"/>
      <c r="K221" s="304"/>
      <c r="L221" s="365"/>
      <c r="M221" s="302"/>
      <c r="N221" s="303"/>
      <c r="O221" s="304"/>
      <c r="P221" s="365"/>
      <c r="Q221" s="186"/>
      <c r="R221" s="18"/>
      <c r="S221" s="374"/>
      <c r="T221" s="372"/>
      <c r="U221" s="186"/>
      <c r="V221" s="18"/>
      <c r="W221" s="374"/>
      <c r="X221" s="372"/>
      <c r="Y221" s="186"/>
      <c r="Z221" s="18"/>
      <c r="AA221" s="374"/>
      <c r="AB221" s="372"/>
      <c r="AC221" s="186"/>
      <c r="AD221" s="18"/>
      <c r="AE221" s="374"/>
      <c r="AF221" s="372"/>
      <c r="AG221" s="186"/>
      <c r="AH221" s="18"/>
      <c r="AI221" s="374"/>
      <c r="AJ221" s="372"/>
      <c r="AK221" s="365"/>
      <c r="AL221" s="365"/>
      <c r="AM221" s="365"/>
      <c r="AN221" s="365"/>
      <c r="AO221" s="365"/>
      <c r="AP221" s="365"/>
    </row>
    <row r="222">
      <c r="A222" s="302"/>
      <c r="B222" s="303"/>
      <c r="C222" s="304"/>
      <c r="D222" s="365"/>
      <c r="E222" s="302"/>
      <c r="F222" s="303"/>
      <c r="G222" s="304"/>
      <c r="H222" s="365"/>
      <c r="I222" s="302"/>
      <c r="J222" s="303"/>
      <c r="K222" s="304"/>
      <c r="L222" s="365"/>
      <c r="M222" s="302"/>
      <c r="N222" s="303"/>
      <c r="O222" s="304"/>
      <c r="P222" s="365"/>
      <c r="Q222" s="186"/>
      <c r="R222" s="18"/>
      <c r="S222" s="374"/>
      <c r="T222" s="372"/>
      <c r="U222" s="186"/>
      <c r="V222" s="18"/>
      <c r="W222" s="374"/>
      <c r="X222" s="372"/>
      <c r="Y222" s="186"/>
      <c r="Z222" s="18"/>
      <c r="AA222" s="374"/>
      <c r="AB222" s="372"/>
      <c r="AC222" s="186"/>
      <c r="AD222" s="18"/>
      <c r="AE222" s="374"/>
      <c r="AF222" s="372"/>
      <c r="AG222" s="186"/>
      <c r="AH222" s="18"/>
      <c r="AI222" s="374"/>
      <c r="AJ222" s="372"/>
      <c r="AK222" s="365"/>
      <c r="AL222" s="365"/>
      <c r="AM222" s="365"/>
      <c r="AN222" s="365"/>
      <c r="AO222" s="365"/>
      <c r="AP222" s="365"/>
    </row>
    <row r="223">
      <c r="A223" s="302"/>
      <c r="B223" s="303"/>
      <c r="C223" s="304"/>
      <c r="D223" s="365"/>
      <c r="E223" s="302"/>
      <c r="F223" s="303"/>
      <c r="G223" s="304"/>
      <c r="H223" s="365"/>
      <c r="I223" s="302"/>
      <c r="J223" s="303"/>
      <c r="K223" s="304"/>
      <c r="L223" s="365"/>
      <c r="M223" s="302"/>
      <c r="N223" s="303"/>
      <c r="O223" s="304"/>
      <c r="P223" s="365"/>
      <c r="Q223" s="186"/>
      <c r="R223" s="18"/>
      <c r="S223" s="374"/>
      <c r="T223" s="372"/>
      <c r="U223" s="186"/>
      <c r="V223" s="18"/>
      <c r="W223" s="374"/>
      <c r="X223" s="372"/>
      <c r="Y223" s="186"/>
      <c r="Z223" s="18"/>
      <c r="AA223" s="374"/>
      <c r="AB223" s="372"/>
      <c r="AC223" s="186"/>
      <c r="AD223" s="18"/>
      <c r="AE223" s="374"/>
      <c r="AF223" s="372"/>
      <c r="AG223" s="186"/>
      <c r="AH223" s="18"/>
      <c r="AI223" s="374"/>
      <c r="AJ223" s="372"/>
      <c r="AK223" s="365"/>
      <c r="AL223" s="365"/>
      <c r="AM223" s="365"/>
      <c r="AN223" s="365"/>
      <c r="AO223" s="365"/>
      <c r="AP223" s="365"/>
    </row>
    <row r="224">
      <c r="A224" s="302"/>
      <c r="B224" s="303"/>
      <c r="C224" s="304"/>
      <c r="D224" s="365"/>
      <c r="E224" s="302"/>
      <c r="F224" s="303"/>
      <c r="G224" s="304"/>
      <c r="H224" s="365"/>
      <c r="I224" s="302"/>
      <c r="J224" s="303"/>
      <c r="K224" s="304"/>
      <c r="L224" s="365"/>
      <c r="M224" s="302"/>
      <c r="N224" s="303"/>
      <c r="O224" s="304"/>
      <c r="P224" s="365"/>
      <c r="Q224" s="186"/>
      <c r="R224" s="18"/>
      <c r="S224" s="374"/>
      <c r="T224" s="372"/>
      <c r="U224" s="186"/>
      <c r="V224" s="18"/>
      <c r="W224" s="374"/>
      <c r="X224" s="372"/>
      <c r="Y224" s="186"/>
      <c r="Z224" s="18"/>
      <c r="AA224" s="374"/>
      <c r="AB224" s="372"/>
      <c r="AC224" s="186"/>
      <c r="AD224" s="18"/>
      <c r="AE224" s="374"/>
      <c r="AF224" s="372"/>
      <c r="AG224" s="186"/>
      <c r="AH224" s="18"/>
      <c r="AI224" s="374"/>
      <c r="AJ224" s="372"/>
      <c r="AK224" s="365"/>
      <c r="AL224" s="365"/>
      <c r="AM224" s="365"/>
      <c r="AN224" s="365"/>
      <c r="AO224" s="365"/>
      <c r="AP224" s="365"/>
    </row>
    <row r="225">
      <c r="A225" s="302"/>
      <c r="B225" s="303"/>
      <c r="C225" s="304"/>
      <c r="D225" s="365"/>
      <c r="E225" s="302"/>
      <c r="F225" s="303"/>
      <c r="G225" s="304"/>
      <c r="H225" s="365"/>
      <c r="I225" s="302"/>
      <c r="J225" s="303"/>
      <c r="K225" s="304"/>
      <c r="L225" s="365"/>
      <c r="M225" s="302"/>
      <c r="N225" s="303"/>
      <c r="O225" s="304"/>
      <c r="P225" s="365"/>
      <c r="Q225" s="186"/>
      <c r="R225" s="18"/>
      <c r="S225" s="374"/>
      <c r="T225" s="372"/>
      <c r="U225" s="186"/>
      <c r="V225" s="18"/>
      <c r="W225" s="374"/>
      <c r="X225" s="372"/>
      <c r="Y225" s="186"/>
      <c r="Z225" s="18"/>
      <c r="AA225" s="374"/>
      <c r="AB225" s="372"/>
      <c r="AC225" s="186"/>
      <c r="AD225" s="18"/>
      <c r="AE225" s="374"/>
      <c r="AF225" s="372"/>
      <c r="AG225" s="186"/>
      <c r="AH225" s="18"/>
      <c r="AI225" s="374"/>
      <c r="AJ225" s="372"/>
      <c r="AK225" s="365"/>
      <c r="AL225" s="365"/>
      <c r="AM225" s="365"/>
      <c r="AN225" s="365"/>
      <c r="AO225" s="365"/>
      <c r="AP225" s="365"/>
    </row>
    <row r="226">
      <c r="A226" s="302"/>
      <c r="B226" s="303"/>
      <c r="C226" s="304"/>
      <c r="D226" s="365"/>
      <c r="E226" s="302"/>
      <c r="F226" s="303"/>
      <c r="G226" s="304"/>
      <c r="H226" s="365"/>
      <c r="I226" s="302"/>
      <c r="J226" s="303"/>
      <c r="K226" s="304"/>
      <c r="L226" s="365"/>
      <c r="M226" s="302"/>
      <c r="N226" s="303"/>
      <c r="O226" s="304"/>
      <c r="P226" s="365"/>
      <c r="Q226" s="186"/>
      <c r="R226" s="18"/>
      <c r="S226" s="374"/>
      <c r="T226" s="372"/>
      <c r="U226" s="186"/>
      <c r="V226" s="18"/>
      <c r="W226" s="374"/>
      <c r="X226" s="372"/>
      <c r="Y226" s="186"/>
      <c r="Z226" s="18"/>
      <c r="AA226" s="374"/>
      <c r="AB226" s="372"/>
      <c r="AC226" s="186"/>
      <c r="AD226" s="18"/>
      <c r="AE226" s="374"/>
      <c r="AF226" s="372"/>
      <c r="AG226" s="186"/>
      <c r="AH226" s="18"/>
      <c r="AI226" s="374"/>
      <c r="AJ226" s="372"/>
      <c r="AK226" s="365"/>
      <c r="AL226" s="365"/>
      <c r="AM226" s="365"/>
      <c r="AN226" s="365"/>
      <c r="AO226" s="365"/>
      <c r="AP226" s="365"/>
    </row>
    <row r="227">
      <c r="A227" s="302"/>
      <c r="B227" s="303"/>
      <c r="C227" s="304"/>
      <c r="D227" s="365"/>
      <c r="E227" s="302"/>
      <c r="F227" s="303"/>
      <c r="G227" s="304"/>
      <c r="H227" s="365"/>
      <c r="I227" s="302"/>
      <c r="J227" s="303"/>
      <c r="K227" s="304"/>
      <c r="L227" s="365"/>
      <c r="M227" s="302"/>
      <c r="N227" s="303"/>
      <c r="O227" s="304"/>
      <c r="P227" s="365"/>
      <c r="Q227" s="186"/>
      <c r="R227" s="18"/>
      <c r="S227" s="374"/>
      <c r="T227" s="372"/>
      <c r="U227" s="186"/>
      <c r="V227" s="18"/>
      <c r="W227" s="374"/>
      <c r="X227" s="372"/>
      <c r="Y227" s="186"/>
      <c r="Z227" s="18"/>
      <c r="AA227" s="374"/>
      <c r="AB227" s="372"/>
      <c r="AC227" s="186"/>
      <c r="AD227" s="18"/>
      <c r="AE227" s="374"/>
      <c r="AF227" s="372"/>
      <c r="AG227" s="186"/>
      <c r="AH227" s="18"/>
      <c r="AI227" s="374"/>
      <c r="AJ227" s="372"/>
      <c r="AK227" s="365"/>
      <c r="AL227" s="365"/>
      <c r="AM227" s="365"/>
      <c r="AN227" s="365"/>
      <c r="AO227" s="365"/>
      <c r="AP227" s="365"/>
    </row>
    <row r="228">
      <c r="A228" s="302"/>
      <c r="B228" s="303"/>
      <c r="C228" s="304"/>
      <c r="D228" s="365"/>
      <c r="E228" s="302"/>
      <c r="F228" s="303"/>
      <c r="G228" s="304"/>
      <c r="H228" s="365"/>
      <c r="I228" s="302"/>
      <c r="J228" s="303"/>
      <c r="K228" s="304"/>
      <c r="L228" s="365"/>
      <c r="M228" s="302"/>
      <c r="N228" s="303"/>
      <c r="O228" s="304"/>
      <c r="P228" s="365"/>
      <c r="Q228" s="186"/>
      <c r="R228" s="18"/>
      <c r="S228" s="374"/>
      <c r="T228" s="372"/>
      <c r="U228" s="186"/>
      <c r="V228" s="18"/>
      <c r="W228" s="374"/>
      <c r="X228" s="372"/>
      <c r="Y228" s="186"/>
      <c r="Z228" s="18"/>
      <c r="AA228" s="374"/>
      <c r="AB228" s="372"/>
      <c r="AC228" s="186"/>
      <c r="AD228" s="18"/>
      <c r="AE228" s="374"/>
      <c r="AF228" s="372"/>
      <c r="AG228" s="186"/>
      <c r="AH228" s="18"/>
      <c r="AI228" s="374"/>
      <c r="AJ228" s="372"/>
      <c r="AK228" s="365"/>
      <c r="AL228" s="365"/>
      <c r="AM228" s="365"/>
      <c r="AN228" s="365"/>
      <c r="AO228" s="365"/>
      <c r="AP228" s="365"/>
    </row>
    <row r="229">
      <c r="A229" s="302"/>
      <c r="B229" s="303"/>
      <c r="C229" s="304"/>
      <c r="D229" s="365"/>
      <c r="E229" s="302"/>
      <c r="F229" s="303"/>
      <c r="G229" s="304"/>
      <c r="H229" s="365"/>
      <c r="I229" s="302"/>
      <c r="J229" s="303"/>
      <c r="K229" s="304"/>
      <c r="L229" s="365"/>
      <c r="M229" s="302"/>
      <c r="N229" s="303"/>
      <c r="O229" s="304"/>
      <c r="P229" s="365"/>
      <c r="Q229" s="186"/>
      <c r="R229" s="18"/>
      <c r="S229" s="374"/>
      <c r="T229" s="372"/>
      <c r="U229" s="186"/>
      <c r="V229" s="18"/>
      <c r="W229" s="374"/>
      <c r="X229" s="372"/>
      <c r="Y229" s="186"/>
      <c r="Z229" s="18"/>
      <c r="AA229" s="374"/>
      <c r="AB229" s="372"/>
      <c r="AC229" s="186"/>
      <c r="AD229" s="18"/>
      <c r="AE229" s="374"/>
      <c r="AF229" s="372"/>
      <c r="AG229" s="186"/>
      <c r="AH229" s="18"/>
      <c r="AI229" s="374"/>
      <c r="AJ229" s="372"/>
      <c r="AK229" s="365"/>
      <c r="AL229" s="365"/>
      <c r="AM229" s="365"/>
      <c r="AN229" s="365"/>
      <c r="AO229" s="365"/>
      <c r="AP229" s="365"/>
    </row>
    <row r="230">
      <c r="A230" s="302"/>
      <c r="B230" s="303"/>
      <c r="C230" s="304"/>
      <c r="D230" s="365"/>
      <c r="E230" s="302"/>
      <c r="F230" s="303"/>
      <c r="G230" s="304"/>
      <c r="H230" s="365"/>
      <c r="I230" s="302"/>
      <c r="J230" s="303"/>
      <c r="K230" s="304"/>
      <c r="L230" s="365"/>
      <c r="M230" s="302"/>
      <c r="N230" s="303"/>
      <c r="O230" s="304"/>
      <c r="P230" s="365"/>
      <c r="Q230" s="186"/>
      <c r="R230" s="18"/>
      <c r="S230" s="374"/>
      <c r="T230" s="372"/>
      <c r="U230" s="186"/>
      <c r="V230" s="18"/>
      <c r="W230" s="374"/>
      <c r="X230" s="372"/>
      <c r="Y230" s="186"/>
      <c r="Z230" s="18"/>
      <c r="AA230" s="374"/>
      <c r="AB230" s="372"/>
      <c r="AC230" s="186"/>
      <c r="AD230" s="18"/>
      <c r="AE230" s="374"/>
      <c r="AF230" s="372"/>
      <c r="AG230" s="186"/>
      <c r="AH230" s="18"/>
      <c r="AI230" s="374"/>
      <c r="AJ230" s="372"/>
      <c r="AK230" s="365"/>
      <c r="AL230" s="365"/>
      <c r="AM230" s="365"/>
      <c r="AN230" s="365"/>
      <c r="AO230" s="365"/>
      <c r="AP230" s="365"/>
    </row>
    <row r="231">
      <c r="A231" s="302"/>
      <c r="B231" s="303"/>
      <c r="C231" s="304"/>
      <c r="D231" s="365"/>
      <c r="E231" s="302"/>
      <c r="F231" s="303"/>
      <c r="G231" s="304"/>
      <c r="H231" s="365"/>
      <c r="I231" s="302"/>
      <c r="J231" s="303"/>
      <c r="K231" s="304"/>
      <c r="L231" s="365"/>
      <c r="M231" s="302"/>
      <c r="N231" s="303"/>
      <c r="O231" s="304"/>
      <c r="P231" s="365"/>
      <c r="Q231" s="186"/>
      <c r="R231" s="18"/>
      <c r="S231" s="374"/>
      <c r="T231" s="372"/>
      <c r="U231" s="186"/>
      <c r="V231" s="18"/>
      <c r="W231" s="374"/>
      <c r="X231" s="372"/>
      <c r="Y231" s="186"/>
      <c r="Z231" s="18"/>
      <c r="AA231" s="374"/>
      <c r="AB231" s="372"/>
      <c r="AC231" s="186"/>
      <c r="AD231" s="18"/>
      <c r="AE231" s="374"/>
      <c r="AF231" s="372"/>
      <c r="AG231" s="186"/>
      <c r="AH231" s="18"/>
      <c r="AI231" s="374"/>
      <c r="AJ231" s="372"/>
      <c r="AK231" s="365"/>
      <c r="AL231" s="365"/>
      <c r="AM231" s="365"/>
      <c r="AN231" s="365"/>
      <c r="AO231" s="365"/>
      <c r="AP231" s="365"/>
    </row>
    <row r="232">
      <c r="A232" s="302"/>
      <c r="B232" s="303"/>
      <c r="C232" s="304"/>
      <c r="D232" s="365"/>
      <c r="E232" s="302"/>
      <c r="F232" s="303"/>
      <c r="G232" s="304"/>
      <c r="H232" s="365"/>
      <c r="I232" s="302"/>
      <c r="J232" s="303"/>
      <c r="K232" s="304"/>
      <c r="L232" s="365"/>
      <c r="M232" s="302"/>
      <c r="N232" s="303"/>
      <c r="O232" s="304"/>
      <c r="P232" s="365"/>
      <c r="Q232" s="186"/>
      <c r="R232" s="18"/>
      <c r="S232" s="374"/>
      <c r="T232" s="372"/>
      <c r="U232" s="186"/>
      <c r="V232" s="18"/>
      <c r="W232" s="374"/>
      <c r="X232" s="372"/>
      <c r="Y232" s="186"/>
      <c r="Z232" s="18"/>
      <c r="AA232" s="374"/>
      <c r="AB232" s="372"/>
      <c r="AC232" s="186"/>
      <c r="AD232" s="18"/>
      <c r="AE232" s="374"/>
      <c r="AF232" s="372"/>
      <c r="AG232" s="186"/>
      <c r="AH232" s="18"/>
      <c r="AI232" s="374"/>
      <c r="AJ232" s="372"/>
      <c r="AK232" s="365"/>
      <c r="AL232" s="365"/>
      <c r="AM232" s="365"/>
      <c r="AN232" s="365"/>
      <c r="AO232" s="365"/>
      <c r="AP232" s="365"/>
    </row>
    <row r="233">
      <c r="A233" s="302"/>
      <c r="B233" s="303"/>
      <c r="C233" s="304"/>
      <c r="D233" s="365"/>
      <c r="E233" s="302"/>
      <c r="F233" s="303"/>
      <c r="G233" s="304"/>
      <c r="H233" s="365"/>
      <c r="I233" s="302"/>
      <c r="J233" s="303"/>
      <c r="K233" s="304"/>
      <c r="L233" s="365"/>
      <c r="M233" s="302"/>
      <c r="N233" s="303"/>
      <c r="O233" s="304"/>
      <c r="P233" s="365"/>
      <c r="Q233" s="186"/>
      <c r="R233" s="18"/>
      <c r="S233" s="374"/>
      <c r="T233" s="372"/>
      <c r="U233" s="186"/>
      <c r="V233" s="18"/>
      <c r="W233" s="374"/>
      <c r="X233" s="372"/>
      <c r="Y233" s="186"/>
      <c r="Z233" s="18"/>
      <c r="AA233" s="374"/>
      <c r="AB233" s="372"/>
      <c r="AC233" s="186"/>
      <c r="AD233" s="18"/>
      <c r="AE233" s="374"/>
      <c r="AF233" s="372"/>
      <c r="AG233" s="186"/>
      <c r="AH233" s="18"/>
      <c r="AI233" s="374"/>
      <c r="AJ233" s="372"/>
      <c r="AK233" s="365"/>
      <c r="AL233" s="365"/>
      <c r="AM233" s="365"/>
      <c r="AN233" s="365"/>
      <c r="AO233" s="365"/>
      <c r="AP233" s="365"/>
    </row>
    <row r="234">
      <c r="A234" s="302"/>
      <c r="B234" s="303"/>
      <c r="C234" s="304"/>
      <c r="D234" s="365"/>
      <c r="E234" s="302"/>
      <c r="F234" s="303"/>
      <c r="G234" s="304"/>
      <c r="H234" s="365"/>
      <c r="I234" s="302"/>
      <c r="J234" s="303"/>
      <c r="K234" s="304"/>
      <c r="L234" s="365"/>
      <c r="M234" s="302"/>
      <c r="N234" s="303"/>
      <c r="O234" s="304"/>
      <c r="P234" s="365"/>
      <c r="Q234" s="186"/>
      <c r="R234" s="18"/>
      <c r="S234" s="374"/>
      <c r="T234" s="372"/>
      <c r="U234" s="186"/>
      <c r="V234" s="18"/>
      <c r="W234" s="374"/>
      <c r="X234" s="372"/>
      <c r="Y234" s="186"/>
      <c r="Z234" s="18"/>
      <c r="AA234" s="374"/>
      <c r="AB234" s="372"/>
      <c r="AC234" s="186"/>
      <c r="AD234" s="18"/>
      <c r="AE234" s="374"/>
      <c r="AF234" s="372"/>
      <c r="AG234" s="186"/>
      <c r="AH234" s="18"/>
      <c r="AI234" s="374"/>
      <c r="AJ234" s="372"/>
      <c r="AK234" s="365"/>
      <c r="AL234" s="365"/>
      <c r="AM234" s="365"/>
      <c r="AN234" s="365"/>
      <c r="AO234" s="365"/>
      <c r="AP234" s="365"/>
    </row>
    <row r="235">
      <c r="A235" s="302"/>
      <c r="B235" s="303"/>
      <c r="C235" s="304"/>
      <c r="D235" s="365"/>
      <c r="E235" s="302"/>
      <c r="F235" s="303"/>
      <c r="G235" s="304"/>
      <c r="H235" s="365"/>
      <c r="I235" s="302"/>
      <c r="J235" s="303"/>
      <c r="K235" s="304"/>
      <c r="L235" s="365"/>
      <c r="M235" s="302"/>
      <c r="N235" s="303"/>
      <c r="O235" s="304"/>
      <c r="P235" s="365"/>
      <c r="Q235" s="186"/>
      <c r="R235" s="18"/>
      <c r="S235" s="374"/>
      <c r="T235" s="372"/>
      <c r="U235" s="186"/>
      <c r="V235" s="18"/>
      <c r="W235" s="374"/>
      <c r="X235" s="372"/>
      <c r="Y235" s="186"/>
      <c r="Z235" s="18"/>
      <c r="AA235" s="374"/>
      <c r="AB235" s="372"/>
      <c r="AC235" s="186"/>
      <c r="AD235" s="18"/>
      <c r="AE235" s="374"/>
      <c r="AF235" s="372"/>
      <c r="AG235" s="186"/>
      <c r="AH235" s="18"/>
      <c r="AI235" s="374"/>
      <c r="AJ235" s="372"/>
      <c r="AK235" s="365"/>
      <c r="AL235" s="365"/>
      <c r="AM235" s="365"/>
      <c r="AN235" s="365"/>
      <c r="AO235" s="365"/>
      <c r="AP235" s="365"/>
    </row>
    <row r="236">
      <c r="A236" s="302"/>
      <c r="B236" s="303"/>
      <c r="C236" s="304"/>
      <c r="D236" s="365"/>
      <c r="E236" s="302"/>
      <c r="F236" s="303"/>
      <c r="G236" s="304"/>
      <c r="H236" s="365"/>
      <c r="I236" s="302"/>
      <c r="J236" s="303"/>
      <c r="K236" s="304"/>
      <c r="L236" s="365"/>
      <c r="M236" s="302"/>
      <c r="N236" s="303"/>
      <c r="O236" s="304"/>
      <c r="P236" s="365"/>
      <c r="Q236" s="186"/>
      <c r="R236" s="18"/>
      <c r="S236" s="374"/>
      <c r="T236" s="372"/>
      <c r="U236" s="186"/>
      <c r="V236" s="18"/>
      <c r="W236" s="374"/>
      <c r="X236" s="372"/>
      <c r="Y236" s="186"/>
      <c r="Z236" s="18"/>
      <c r="AA236" s="374"/>
      <c r="AB236" s="372"/>
      <c r="AC236" s="186"/>
      <c r="AD236" s="18"/>
      <c r="AE236" s="374"/>
      <c r="AF236" s="372"/>
      <c r="AG236" s="186"/>
      <c r="AH236" s="18"/>
      <c r="AI236" s="374"/>
      <c r="AJ236" s="372"/>
      <c r="AK236" s="365"/>
      <c r="AL236" s="365"/>
      <c r="AM236" s="365"/>
      <c r="AN236" s="365"/>
      <c r="AO236" s="365"/>
      <c r="AP236" s="365"/>
    </row>
    <row r="237">
      <c r="A237" s="302"/>
      <c r="B237" s="303"/>
      <c r="C237" s="304"/>
      <c r="D237" s="365"/>
      <c r="E237" s="302"/>
      <c r="F237" s="303"/>
      <c r="G237" s="304"/>
      <c r="H237" s="365"/>
      <c r="I237" s="302"/>
      <c r="J237" s="303"/>
      <c r="K237" s="304"/>
      <c r="L237" s="365"/>
      <c r="M237" s="302"/>
      <c r="N237" s="303"/>
      <c r="O237" s="304"/>
      <c r="P237" s="365"/>
      <c r="Q237" s="186"/>
      <c r="R237" s="18"/>
      <c r="S237" s="374"/>
      <c r="T237" s="372"/>
      <c r="U237" s="186"/>
      <c r="V237" s="18"/>
      <c r="W237" s="374"/>
      <c r="X237" s="372"/>
      <c r="Y237" s="186"/>
      <c r="Z237" s="18"/>
      <c r="AA237" s="374"/>
      <c r="AB237" s="372"/>
      <c r="AC237" s="186"/>
      <c r="AD237" s="18"/>
      <c r="AE237" s="374"/>
      <c r="AF237" s="372"/>
      <c r="AG237" s="186"/>
      <c r="AH237" s="18"/>
      <c r="AI237" s="374"/>
      <c r="AJ237" s="372"/>
      <c r="AK237" s="365"/>
      <c r="AL237" s="365"/>
      <c r="AM237" s="365"/>
      <c r="AN237" s="365"/>
      <c r="AO237" s="365"/>
      <c r="AP237" s="365"/>
    </row>
    <row r="238">
      <c r="A238" s="302"/>
      <c r="B238" s="303"/>
      <c r="C238" s="304"/>
      <c r="D238" s="365"/>
      <c r="E238" s="302"/>
      <c r="F238" s="303"/>
      <c r="G238" s="304"/>
      <c r="H238" s="365"/>
      <c r="I238" s="302"/>
      <c r="J238" s="303"/>
      <c r="K238" s="304"/>
      <c r="L238" s="365"/>
      <c r="M238" s="302"/>
      <c r="N238" s="303"/>
      <c r="O238" s="304"/>
      <c r="P238" s="365"/>
      <c r="Q238" s="186"/>
      <c r="R238" s="18"/>
      <c r="S238" s="374"/>
      <c r="T238" s="372"/>
      <c r="U238" s="186"/>
      <c r="V238" s="18"/>
      <c r="W238" s="374"/>
      <c r="X238" s="372"/>
      <c r="Y238" s="186"/>
      <c r="Z238" s="18"/>
      <c r="AA238" s="374"/>
      <c r="AB238" s="372"/>
      <c r="AC238" s="186"/>
      <c r="AD238" s="18"/>
      <c r="AE238" s="374"/>
      <c r="AF238" s="372"/>
      <c r="AG238" s="186"/>
      <c r="AH238" s="18"/>
      <c r="AI238" s="374"/>
      <c r="AJ238" s="372"/>
      <c r="AK238" s="365"/>
      <c r="AL238" s="365"/>
      <c r="AM238" s="365"/>
      <c r="AN238" s="365"/>
      <c r="AO238" s="365"/>
      <c r="AP238" s="365"/>
    </row>
    <row r="239">
      <c r="A239" s="302"/>
      <c r="B239" s="303"/>
      <c r="C239" s="304"/>
      <c r="D239" s="365"/>
      <c r="E239" s="302"/>
      <c r="F239" s="303"/>
      <c r="G239" s="304"/>
      <c r="H239" s="365"/>
      <c r="I239" s="302"/>
      <c r="J239" s="303"/>
      <c r="K239" s="304"/>
      <c r="L239" s="365"/>
      <c r="M239" s="302"/>
      <c r="N239" s="303"/>
      <c r="O239" s="304"/>
      <c r="P239" s="365"/>
      <c r="Q239" s="186"/>
      <c r="R239" s="18"/>
      <c r="S239" s="374"/>
      <c r="T239" s="372"/>
      <c r="U239" s="186"/>
      <c r="V239" s="18"/>
      <c r="W239" s="374"/>
      <c r="X239" s="372"/>
      <c r="Y239" s="186"/>
      <c r="Z239" s="18"/>
      <c r="AA239" s="374"/>
      <c r="AB239" s="372"/>
      <c r="AC239" s="186"/>
      <c r="AD239" s="18"/>
      <c r="AE239" s="374"/>
      <c r="AF239" s="372"/>
      <c r="AG239" s="186"/>
      <c r="AH239" s="18"/>
      <c r="AI239" s="374"/>
      <c r="AJ239" s="372"/>
      <c r="AK239" s="365"/>
      <c r="AL239" s="365"/>
      <c r="AM239" s="365"/>
      <c r="AN239" s="365"/>
      <c r="AO239" s="365"/>
      <c r="AP239" s="365"/>
    </row>
    <row r="240">
      <c r="A240" s="302"/>
      <c r="B240" s="303"/>
      <c r="C240" s="304"/>
      <c r="D240" s="365"/>
      <c r="E240" s="302"/>
      <c r="F240" s="303"/>
      <c r="G240" s="304"/>
      <c r="H240" s="365"/>
      <c r="I240" s="302"/>
      <c r="J240" s="303"/>
      <c r="K240" s="304"/>
      <c r="L240" s="365"/>
      <c r="M240" s="302"/>
      <c r="N240" s="303"/>
      <c r="O240" s="304"/>
      <c r="P240" s="365"/>
      <c r="Q240" s="186"/>
      <c r="R240" s="18"/>
      <c r="S240" s="374"/>
      <c r="T240" s="372"/>
      <c r="U240" s="186"/>
      <c r="V240" s="18"/>
      <c r="W240" s="374"/>
      <c r="X240" s="372"/>
      <c r="Y240" s="186"/>
      <c r="Z240" s="18"/>
      <c r="AA240" s="374"/>
      <c r="AB240" s="372"/>
      <c r="AC240" s="186"/>
      <c r="AD240" s="18"/>
      <c r="AE240" s="374"/>
      <c r="AF240" s="372"/>
      <c r="AG240" s="186"/>
      <c r="AH240" s="18"/>
      <c r="AI240" s="374"/>
      <c r="AJ240" s="372"/>
      <c r="AK240" s="365"/>
      <c r="AL240" s="365"/>
      <c r="AM240" s="365"/>
      <c r="AN240" s="365"/>
      <c r="AO240" s="365"/>
      <c r="AP240" s="365"/>
    </row>
    <row r="241">
      <c r="A241" s="302"/>
      <c r="B241" s="303"/>
      <c r="C241" s="304"/>
      <c r="D241" s="365"/>
      <c r="E241" s="302"/>
      <c r="F241" s="303"/>
      <c r="G241" s="304"/>
      <c r="H241" s="365"/>
      <c r="I241" s="302"/>
      <c r="J241" s="303"/>
      <c r="K241" s="304"/>
      <c r="L241" s="365"/>
      <c r="M241" s="302"/>
      <c r="N241" s="303"/>
      <c r="O241" s="304"/>
      <c r="P241" s="365"/>
      <c r="Q241" s="186"/>
      <c r="R241" s="18"/>
      <c r="S241" s="374"/>
      <c r="T241" s="372"/>
      <c r="U241" s="186"/>
      <c r="V241" s="18"/>
      <c r="W241" s="374"/>
      <c r="X241" s="372"/>
      <c r="Y241" s="186"/>
      <c r="Z241" s="18"/>
      <c r="AA241" s="374"/>
      <c r="AB241" s="372"/>
      <c r="AC241" s="186"/>
      <c r="AD241" s="18"/>
      <c r="AE241" s="374"/>
      <c r="AF241" s="372"/>
      <c r="AG241" s="186"/>
      <c r="AH241" s="18"/>
      <c r="AI241" s="374"/>
      <c r="AJ241" s="372"/>
      <c r="AK241" s="365"/>
      <c r="AL241" s="365"/>
      <c r="AM241" s="365"/>
      <c r="AN241" s="365"/>
      <c r="AO241" s="365"/>
      <c r="AP241" s="365"/>
    </row>
    <row r="242">
      <c r="A242" s="302"/>
      <c r="B242" s="303"/>
      <c r="C242" s="304"/>
      <c r="D242" s="365"/>
      <c r="E242" s="302"/>
      <c r="F242" s="303"/>
      <c r="G242" s="304"/>
      <c r="H242" s="365"/>
      <c r="I242" s="302"/>
      <c r="J242" s="303"/>
      <c r="K242" s="304"/>
      <c r="L242" s="365"/>
      <c r="M242" s="302"/>
      <c r="N242" s="303"/>
      <c r="O242" s="304"/>
      <c r="P242" s="365"/>
      <c r="Q242" s="186"/>
      <c r="R242" s="18"/>
      <c r="S242" s="374"/>
      <c r="T242" s="372"/>
      <c r="U242" s="186"/>
      <c r="V242" s="18"/>
      <c r="W242" s="374"/>
      <c r="X242" s="372"/>
      <c r="Y242" s="186"/>
      <c r="Z242" s="18"/>
      <c r="AA242" s="374"/>
      <c r="AB242" s="372"/>
      <c r="AC242" s="186"/>
      <c r="AD242" s="18"/>
      <c r="AE242" s="374"/>
      <c r="AF242" s="372"/>
      <c r="AG242" s="186"/>
      <c r="AH242" s="18"/>
      <c r="AI242" s="374"/>
      <c r="AJ242" s="372"/>
      <c r="AK242" s="365"/>
      <c r="AL242" s="365"/>
      <c r="AM242" s="365"/>
      <c r="AN242" s="365"/>
      <c r="AO242" s="365"/>
      <c r="AP242" s="365"/>
    </row>
    <row r="243">
      <c r="A243" s="302"/>
      <c r="B243" s="303"/>
      <c r="C243" s="304"/>
      <c r="D243" s="365"/>
      <c r="E243" s="302"/>
      <c r="F243" s="303"/>
      <c r="G243" s="304"/>
      <c r="H243" s="365"/>
      <c r="I243" s="302"/>
      <c r="J243" s="303"/>
      <c r="K243" s="304"/>
      <c r="L243" s="365"/>
      <c r="M243" s="302"/>
      <c r="N243" s="303"/>
      <c r="O243" s="304"/>
      <c r="P243" s="365"/>
      <c r="Q243" s="186"/>
      <c r="R243" s="18"/>
      <c r="S243" s="374"/>
      <c r="T243" s="372"/>
      <c r="U243" s="186"/>
      <c r="V243" s="18"/>
      <c r="W243" s="374"/>
      <c r="X243" s="372"/>
      <c r="Y243" s="186"/>
      <c r="Z243" s="18"/>
      <c r="AA243" s="374"/>
      <c r="AB243" s="372"/>
      <c r="AC243" s="186"/>
      <c r="AD243" s="18"/>
      <c r="AE243" s="374"/>
      <c r="AF243" s="372"/>
      <c r="AG243" s="186"/>
      <c r="AH243" s="18"/>
      <c r="AI243" s="374"/>
      <c r="AJ243" s="372"/>
      <c r="AK243" s="365"/>
      <c r="AL243" s="365"/>
      <c r="AM243" s="365"/>
      <c r="AN243" s="365"/>
      <c r="AO243" s="365"/>
      <c r="AP243" s="365"/>
    </row>
    <row r="244">
      <c r="A244" s="302"/>
      <c r="B244" s="303"/>
      <c r="C244" s="304"/>
      <c r="D244" s="365"/>
      <c r="E244" s="302"/>
      <c r="F244" s="303"/>
      <c r="G244" s="304"/>
      <c r="H244" s="365"/>
      <c r="I244" s="302"/>
      <c r="J244" s="303"/>
      <c r="K244" s="304"/>
      <c r="L244" s="365"/>
      <c r="M244" s="302"/>
      <c r="N244" s="303"/>
      <c r="O244" s="304"/>
      <c r="P244" s="365"/>
      <c r="Q244" s="186"/>
      <c r="R244" s="18"/>
      <c r="S244" s="374"/>
      <c r="T244" s="372"/>
      <c r="U244" s="186"/>
      <c r="V244" s="18"/>
      <c r="W244" s="374"/>
      <c r="X244" s="372"/>
      <c r="Y244" s="186"/>
      <c r="Z244" s="18"/>
      <c r="AA244" s="374"/>
      <c r="AB244" s="372"/>
      <c r="AC244" s="186"/>
      <c r="AD244" s="18"/>
      <c r="AE244" s="374"/>
      <c r="AF244" s="372"/>
      <c r="AG244" s="186"/>
      <c r="AH244" s="18"/>
      <c r="AI244" s="374"/>
      <c r="AJ244" s="372"/>
      <c r="AK244" s="365"/>
      <c r="AL244" s="365"/>
      <c r="AM244" s="365"/>
      <c r="AN244" s="365"/>
      <c r="AO244" s="365"/>
      <c r="AP244" s="365"/>
    </row>
    <row r="245">
      <c r="A245" s="302"/>
      <c r="B245" s="303"/>
      <c r="C245" s="304"/>
      <c r="D245" s="365"/>
      <c r="E245" s="302"/>
      <c r="F245" s="303"/>
      <c r="G245" s="304"/>
      <c r="H245" s="365"/>
      <c r="I245" s="302"/>
      <c r="J245" s="303"/>
      <c r="K245" s="304"/>
      <c r="L245" s="365"/>
      <c r="M245" s="302"/>
      <c r="N245" s="303"/>
      <c r="O245" s="304"/>
      <c r="P245" s="365"/>
      <c r="Q245" s="186"/>
      <c r="R245" s="18"/>
      <c r="S245" s="374"/>
      <c r="T245" s="372"/>
      <c r="U245" s="186"/>
      <c r="V245" s="18"/>
      <c r="W245" s="374"/>
      <c r="X245" s="372"/>
      <c r="Y245" s="186"/>
      <c r="Z245" s="18"/>
      <c r="AA245" s="374"/>
      <c r="AB245" s="372"/>
      <c r="AC245" s="186"/>
      <c r="AD245" s="18"/>
      <c r="AE245" s="374"/>
      <c r="AF245" s="372"/>
      <c r="AG245" s="186"/>
      <c r="AH245" s="18"/>
      <c r="AI245" s="374"/>
      <c r="AJ245" s="372"/>
      <c r="AK245" s="365"/>
      <c r="AL245" s="365"/>
      <c r="AM245" s="365"/>
      <c r="AN245" s="365"/>
      <c r="AO245" s="365"/>
      <c r="AP245" s="365"/>
    </row>
    <row r="246">
      <c r="A246" s="302"/>
      <c r="B246" s="303"/>
      <c r="C246" s="304"/>
      <c r="D246" s="365"/>
      <c r="E246" s="302"/>
      <c r="F246" s="303"/>
      <c r="G246" s="304"/>
      <c r="H246" s="365"/>
      <c r="I246" s="302"/>
      <c r="J246" s="303"/>
      <c r="K246" s="304"/>
      <c r="L246" s="365"/>
      <c r="M246" s="302"/>
      <c r="N246" s="303"/>
      <c r="O246" s="304"/>
      <c r="P246" s="365"/>
      <c r="Q246" s="186"/>
      <c r="R246" s="18"/>
      <c r="S246" s="374"/>
      <c r="T246" s="372"/>
      <c r="U246" s="186"/>
      <c r="V246" s="18"/>
      <c r="W246" s="374"/>
      <c r="X246" s="372"/>
      <c r="Y246" s="186"/>
      <c r="Z246" s="18"/>
      <c r="AA246" s="374"/>
      <c r="AB246" s="372"/>
      <c r="AC246" s="186"/>
      <c r="AD246" s="18"/>
      <c r="AE246" s="374"/>
      <c r="AF246" s="372"/>
      <c r="AG246" s="186"/>
      <c r="AH246" s="18"/>
      <c r="AI246" s="374"/>
      <c r="AJ246" s="372"/>
      <c r="AK246" s="365"/>
      <c r="AL246" s="365"/>
      <c r="AM246" s="365"/>
      <c r="AN246" s="365"/>
      <c r="AO246" s="365"/>
      <c r="AP246" s="365"/>
    </row>
    <row r="247">
      <c r="A247" s="302"/>
      <c r="B247" s="303"/>
      <c r="C247" s="304"/>
      <c r="D247" s="365"/>
      <c r="E247" s="302"/>
      <c r="F247" s="303"/>
      <c r="G247" s="304"/>
      <c r="H247" s="365"/>
      <c r="I247" s="302"/>
      <c r="J247" s="303"/>
      <c r="K247" s="304"/>
      <c r="L247" s="365"/>
      <c r="M247" s="302"/>
      <c r="N247" s="303"/>
      <c r="O247" s="304"/>
      <c r="P247" s="365"/>
      <c r="Q247" s="186"/>
      <c r="R247" s="18"/>
      <c r="S247" s="374"/>
      <c r="T247" s="372"/>
      <c r="U247" s="186"/>
      <c r="V247" s="18"/>
      <c r="W247" s="374"/>
      <c r="X247" s="372"/>
      <c r="Y247" s="186"/>
      <c r="Z247" s="18"/>
      <c r="AA247" s="374"/>
      <c r="AB247" s="372"/>
      <c r="AC247" s="186"/>
      <c r="AD247" s="18"/>
      <c r="AE247" s="374"/>
      <c r="AF247" s="372"/>
      <c r="AG247" s="186"/>
      <c r="AH247" s="18"/>
      <c r="AI247" s="374"/>
      <c r="AJ247" s="372"/>
      <c r="AK247" s="365"/>
      <c r="AL247" s="365"/>
      <c r="AM247" s="365"/>
      <c r="AN247" s="365"/>
      <c r="AO247" s="365"/>
      <c r="AP247" s="365"/>
    </row>
    <row r="248">
      <c r="A248" s="302"/>
      <c r="B248" s="303"/>
      <c r="C248" s="304"/>
      <c r="D248" s="365"/>
      <c r="E248" s="302"/>
      <c r="F248" s="303"/>
      <c r="G248" s="304"/>
      <c r="H248" s="365"/>
      <c r="I248" s="302"/>
      <c r="J248" s="303"/>
      <c r="K248" s="304"/>
      <c r="L248" s="365"/>
      <c r="M248" s="302"/>
      <c r="N248" s="303"/>
      <c r="O248" s="304"/>
      <c r="P248" s="365"/>
      <c r="Q248" s="186"/>
      <c r="R248" s="18"/>
      <c r="S248" s="374"/>
      <c r="T248" s="372"/>
      <c r="U248" s="186"/>
      <c r="V248" s="18"/>
      <c r="W248" s="374"/>
      <c r="X248" s="372"/>
      <c r="Y248" s="186"/>
      <c r="Z248" s="18"/>
      <c r="AA248" s="374"/>
      <c r="AB248" s="372"/>
      <c r="AC248" s="186"/>
      <c r="AD248" s="18"/>
      <c r="AE248" s="374"/>
      <c r="AF248" s="372"/>
      <c r="AG248" s="186"/>
      <c r="AH248" s="18"/>
      <c r="AI248" s="374"/>
      <c r="AJ248" s="372"/>
      <c r="AK248" s="365"/>
      <c r="AL248" s="365"/>
      <c r="AM248" s="365"/>
      <c r="AN248" s="365"/>
      <c r="AO248" s="365"/>
      <c r="AP248" s="365"/>
    </row>
    <row r="249">
      <c r="A249" s="302"/>
      <c r="B249" s="303"/>
      <c r="C249" s="304"/>
      <c r="D249" s="365"/>
      <c r="E249" s="302"/>
      <c r="F249" s="303"/>
      <c r="G249" s="304"/>
      <c r="H249" s="365"/>
      <c r="I249" s="302"/>
      <c r="J249" s="303"/>
      <c r="K249" s="304"/>
      <c r="L249" s="365"/>
      <c r="M249" s="302"/>
      <c r="N249" s="303"/>
      <c r="O249" s="304"/>
      <c r="P249" s="365"/>
      <c r="Q249" s="186"/>
      <c r="R249" s="18"/>
      <c r="S249" s="374"/>
      <c r="T249" s="372"/>
      <c r="U249" s="186"/>
      <c r="V249" s="18"/>
      <c r="W249" s="374"/>
      <c r="X249" s="372"/>
      <c r="Y249" s="186"/>
      <c r="Z249" s="18"/>
      <c r="AA249" s="374"/>
      <c r="AB249" s="372"/>
      <c r="AC249" s="186"/>
      <c r="AD249" s="18"/>
      <c r="AE249" s="374"/>
      <c r="AF249" s="372"/>
      <c r="AG249" s="186"/>
      <c r="AH249" s="18"/>
      <c r="AI249" s="374"/>
      <c r="AJ249" s="372"/>
      <c r="AK249" s="365"/>
      <c r="AL249" s="365"/>
      <c r="AM249" s="365"/>
      <c r="AN249" s="365"/>
      <c r="AO249" s="365"/>
      <c r="AP249" s="365"/>
    </row>
    <row r="250">
      <c r="A250" s="302"/>
      <c r="B250" s="303"/>
      <c r="C250" s="304"/>
      <c r="D250" s="365"/>
      <c r="E250" s="302"/>
      <c r="F250" s="303"/>
      <c r="G250" s="304"/>
      <c r="H250" s="365"/>
      <c r="I250" s="302"/>
      <c r="J250" s="303"/>
      <c r="K250" s="304"/>
      <c r="L250" s="365"/>
      <c r="M250" s="302"/>
      <c r="N250" s="303"/>
      <c r="O250" s="304"/>
      <c r="P250" s="365"/>
      <c r="Q250" s="186"/>
      <c r="R250" s="18"/>
      <c r="S250" s="374"/>
      <c r="T250" s="372"/>
      <c r="U250" s="186"/>
      <c r="V250" s="18"/>
      <c r="W250" s="374"/>
      <c r="X250" s="372"/>
      <c r="Y250" s="186"/>
      <c r="Z250" s="18"/>
      <c r="AA250" s="374"/>
      <c r="AB250" s="372"/>
      <c r="AC250" s="186"/>
      <c r="AD250" s="18"/>
      <c r="AE250" s="374"/>
      <c r="AF250" s="372"/>
      <c r="AG250" s="186"/>
      <c r="AH250" s="18"/>
      <c r="AI250" s="374"/>
      <c r="AJ250" s="372"/>
      <c r="AK250" s="365"/>
      <c r="AL250" s="365"/>
      <c r="AM250" s="365"/>
      <c r="AN250" s="365"/>
      <c r="AO250" s="365"/>
      <c r="AP250" s="365"/>
    </row>
    <row r="251">
      <c r="A251" s="302"/>
      <c r="B251" s="303"/>
      <c r="C251" s="304"/>
      <c r="D251" s="365"/>
      <c r="E251" s="302"/>
      <c r="F251" s="303"/>
      <c r="G251" s="304"/>
      <c r="H251" s="365"/>
      <c r="I251" s="302"/>
      <c r="J251" s="303"/>
      <c r="K251" s="304"/>
      <c r="L251" s="365"/>
      <c r="M251" s="302"/>
      <c r="N251" s="303"/>
      <c r="O251" s="304"/>
      <c r="P251" s="365"/>
      <c r="Q251" s="186"/>
      <c r="R251" s="18"/>
      <c r="S251" s="374"/>
      <c r="T251" s="372"/>
      <c r="U251" s="186"/>
      <c r="V251" s="18"/>
      <c r="W251" s="374"/>
      <c r="X251" s="372"/>
      <c r="Y251" s="186"/>
      <c r="Z251" s="18"/>
      <c r="AA251" s="374"/>
      <c r="AB251" s="372"/>
      <c r="AC251" s="186"/>
      <c r="AD251" s="18"/>
      <c r="AE251" s="374"/>
      <c r="AF251" s="372"/>
      <c r="AG251" s="186"/>
      <c r="AH251" s="18"/>
      <c r="AI251" s="374"/>
      <c r="AJ251" s="372"/>
      <c r="AK251" s="365"/>
      <c r="AL251" s="365"/>
      <c r="AM251" s="365"/>
      <c r="AN251" s="365"/>
      <c r="AO251" s="365"/>
      <c r="AP251" s="365"/>
    </row>
    <row r="252">
      <c r="A252" s="302"/>
      <c r="B252" s="303"/>
      <c r="C252" s="304"/>
      <c r="D252" s="365"/>
      <c r="E252" s="302"/>
      <c r="F252" s="303"/>
      <c r="G252" s="304"/>
      <c r="H252" s="365"/>
      <c r="I252" s="302"/>
      <c r="J252" s="303"/>
      <c r="K252" s="304"/>
      <c r="L252" s="365"/>
      <c r="M252" s="302"/>
      <c r="N252" s="303"/>
      <c r="O252" s="304"/>
      <c r="P252" s="365"/>
      <c r="Q252" s="186"/>
      <c r="R252" s="18"/>
      <c r="S252" s="374"/>
      <c r="T252" s="372"/>
      <c r="U252" s="186"/>
      <c r="V252" s="18"/>
      <c r="W252" s="374"/>
      <c r="X252" s="372"/>
      <c r="Y252" s="186"/>
      <c r="Z252" s="18"/>
      <c r="AA252" s="374"/>
      <c r="AB252" s="372"/>
      <c r="AC252" s="186"/>
      <c r="AD252" s="18"/>
      <c r="AE252" s="374"/>
      <c r="AF252" s="372"/>
      <c r="AG252" s="186"/>
      <c r="AH252" s="18"/>
      <c r="AI252" s="374"/>
      <c r="AJ252" s="372"/>
      <c r="AK252" s="365"/>
      <c r="AL252" s="365"/>
      <c r="AM252" s="365"/>
      <c r="AN252" s="365"/>
      <c r="AO252" s="365"/>
      <c r="AP252" s="365"/>
    </row>
    <row r="253">
      <c r="A253" s="302"/>
      <c r="B253" s="303"/>
      <c r="C253" s="304"/>
      <c r="D253" s="365"/>
      <c r="E253" s="302"/>
      <c r="F253" s="303"/>
      <c r="G253" s="304"/>
      <c r="H253" s="365"/>
      <c r="I253" s="302"/>
      <c r="J253" s="303"/>
      <c r="K253" s="304"/>
      <c r="L253" s="365"/>
      <c r="M253" s="302"/>
      <c r="N253" s="303"/>
      <c r="O253" s="304"/>
      <c r="P253" s="365"/>
      <c r="Q253" s="186"/>
      <c r="R253" s="18"/>
      <c r="S253" s="374"/>
      <c r="T253" s="372"/>
      <c r="U253" s="186"/>
      <c r="V253" s="18"/>
      <c r="W253" s="374"/>
      <c r="X253" s="372"/>
      <c r="Y253" s="186"/>
      <c r="Z253" s="18"/>
      <c r="AA253" s="374"/>
      <c r="AB253" s="372"/>
      <c r="AC253" s="186"/>
      <c r="AD253" s="18"/>
      <c r="AE253" s="374"/>
      <c r="AF253" s="372"/>
      <c r="AG253" s="186"/>
      <c r="AH253" s="18"/>
      <c r="AI253" s="374"/>
      <c r="AJ253" s="372"/>
      <c r="AK253" s="365"/>
      <c r="AL253" s="365"/>
      <c r="AM253" s="365"/>
      <c r="AN253" s="365"/>
      <c r="AO253" s="365"/>
      <c r="AP253" s="365"/>
    </row>
    <row r="254">
      <c r="A254" s="302"/>
      <c r="B254" s="303"/>
      <c r="C254" s="304"/>
      <c r="D254" s="365"/>
      <c r="E254" s="302"/>
      <c r="F254" s="303"/>
      <c r="G254" s="304"/>
      <c r="H254" s="365"/>
      <c r="I254" s="302"/>
      <c r="J254" s="303"/>
      <c r="K254" s="304"/>
      <c r="L254" s="365"/>
      <c r="M254" s="302"/>
      <c r="N254" s="303"/>
      <c r="O254" s="304"/>
      <c r="P254" s="365"/>
      <c r="Q254" s="186"/>
      <c r="R254" s="18"/>
      <c r="S254" s="374"/>
      <c r="T254" s="372"/>
      <c r="U254" s="186"/>
      <c r="V254" s="18"/>
      <c r="W254" s="374"/>
      <c r="X254" s="372"/>
      <c r="Y254" s="186"/>
      <c r="Z254" s="18"/>
      <c r="AA254" s="374"/>
      <c r="AB254" s="372"/>
      <c r="AC254" s="186"/>
      <c r="AD254" s="18"/>
      <c r="AE254" s="374"/>
      <c r="AF254" s="372"/>
      <c r="AG254" s="186"/>
      <c r="AH254" s="18"/>
      <c r="AI254" s="374"/>
      <c r="AJ254" s="372"/>
      <c r="AK254" s="365"/>
      <c r="AL254" s="365"/>
      <c r="AM254" s="365"/>
      <c r="AN254" s="365"/>
      <c r="AO254" s="365"/>
      <c r="AP254" s="365"/>
    </row>
    <row r="255">
      <c r="A255" s="302"/>
      <c r="B255" s="303"/>
      <c r="C255" s="304"/>
      <c r="D255" s="365"/>
      <c r="E255" s="302"/>
      <c r="F255" s="303"/>
      <c r="G255" s="304"/>
      <c r="H255" s="365"/>
      <c r="I255" s="302"/>
      <c r="J255" s="303"/>
      <c r="K255" s="304"/>
      <c r="L255" s="365"/>
      <c r="M255" s="302"/>
      <c r="N255" s="303"/>
      <c r="O255" s="304"/>
      <c r="P255" s="365"/>
      <c r="Q255" s="186"/>
      <c r="R255" s="18"/>
      <c r="S255" s="374"/>
      <c r="T255" s="372"/>
      <c r="U255" s="186"/>
      <c r="V255" s="18"/>
      <c r="W255" s="374"/>
      <c r="X255" s="372"/>
      <c r="Y255" s="186"/>
      <c r="Z255" s="18"/>
      <c r="AA255" s="374"/>
      <c r="AB255" s="372"/>
      <c r="AC255" s="186"/>
      <c r="AD255" s="18"/>
      <c r="AE255" s="374"/>
      <c r="AF255" s="372"/>
      <c r="AG255" s="186"/>
      <c r="AH255" s="18"/>
      <c r="AI255" s="374"/>
      <c r="AJ255" s="372"/>
      <c r="AK255" s="365"/>
      <c r="AL255" s="365"/>
      <c r="AM255" s="365"/>
      <c r="AN255" s="365"/>
      <c r="AO255" s="365"/>
      <c r="AP255" s="365"/>
    </row>
    <row r="256">
      <c r="A256" s="302"/>
      <c r="B256" s="303"/>
      <c r="C256" s="304"/>
      <c r="D256" s="365"/>
      <c r="E256" s="302"/>
      <c r="F256" s="303"/>
      <c r="G256" s="304"/>
      <c r="H256" s="365"/>
      <c r="I256" s="302"/>
      <c r="J256" s="303"/>
      <c r="K256" s="304"/>
      <c r="L256" s="365"/>
      <c r="M256" s="302"/>
      <c r="N256" s="303"/>
      <c r="O256" s="304"/>
      <c r="P256" s="365"/>
      <c r="Q256" s="186"/>
      <c r="R256" s="18"/>
      <c r="S256" s="374"/>
      <c r="T256" s="372"/>
      <c r="U256" s="186"/>
      <c r="V256" s="18"/>
      <c r="W256" s="374"/>
      <c r="X256" s="372"/>
      <c r="Y256" s="186"/>
      <c r="Z256" s="18"/>
      <c r="AA256" s="374"/>
      <c r="AB256" s="372"/>
      <c r="AC256" s="186"/>
      <c r="AD256" s="18"/>
      <c r="AE256" s="374"/>
      <c r="AF256" s="372"/>
      <c r="AG256" s="186"/>
      <c r="AH256" s="18"/>
      <c r="AI256" s="374"/>
      <c r="AJ256" s="372"/>
      <c r="AK256" s="365"/>
      <c r="AL256" s="365"/>
      <c r="AM256" s="365"/>
      <c r="AN256" s="365"/>
      <c r="AO256" s="365"/>
      <c r="AP256" s="365"/>
    </row>
    <row r="257">
      <c r="A257" s="302"/>
      <c r="B257" s="303"/>
      <c r="C257" s="304"/>
      <c r="D257" s="365"/>
      <c r="E257" s="302"/>
      <c r="F257" s="303"/>
      <c r="G257" s="304"/>
      <c r="H257" s="365"/>
      <c r="I257" s="302"/>
      <c r="J257" s="303"/>
      <c r="K257" s="304"/>
      <c r="L257" s="365"/>
      <c r="M257" s="302"/>
      <c r="N257" s="303"/>
      <c r="O257" s="304"/>
      <c r="P257" s="365"/>
      <c r="Q257" s="186"/>
      <c r="R257" s="18"/>
      <c r="S257" s="374"/>
      <c r="T257" s="372"/>
      <c r="U257" s="186"/>
      <c r="V257" s="18"/>
      <c r="W257" s="374"/>
      <c r="X257" s="372"/>
      <c r="Y257" s="186"/>
      <c r="Z257" s="18"/>
      <c r="AA257" s="374"/>
      <c r="AB257" s="372"/>
      <c r="AC257" s="186"/>
      <c r="AD257" s="18"/>
      <c r="AE257" s="374"/>
      <c r="AF257" s="372"/>
      <c r="AG257" s="186"/>
      <c r="AH257" s="18"/>
      <c r="AI257" s="374"/>
      <c r="AJ257" s="372"/>
      <c r="AK257" s="365"/>
      <c r="AL257" s="365"/>
      <c r="AM257" s="365"/>
      <c r="AN257" s="365"/>
      <c r="AO257" s="365"/>
      <c r="AP257" s="365"/>
    </row>
    <row r="258">
      <c r="A258" s="302"/>
      <c r="B258" s="303"/>
      <c r="C258" s="304"/>
      <c r="D258" s="365"/>
      <c r="E258" s="302"/>
      <c r="F258" s="303"/>
      <c r="G258" s="304"/>
      <c r="H258" s="365"/>
      <c r="I258" s="302"/>
      <c r="J258" s="303"/>
      <c r="K258" s="304"/>
      <c r="L258" s="365"/>
      <c r="M258" s="302"/>
      <c r="N258" s="303"/>
      <c r="O258" s="304"/>
      <c r="P258" s="365"/>
      <c r="Q258" s="186"/>
      <c r="R258" s="18"/>
      <c r="S258" s="374"/>
      <c r="T258" s="372"/>
      <c r="U258" s="186"/>
      <c r="V258" s="18"/>
      <c r="W258" s="374"/>
      <c r="X258" s="372"/>
      <c r="Y258" s="186"/>
      <c r="Z258" s="18"/>
      <c r="AA258" s="374"/>
      <c r="AB258" s="372"/>
      <c r="AC258" s="186"/>
      <c r="AD258" s="18"/>
      <c r="AE258" s="374"/>
      <c r="AF258" s="372"/>
      <c r="AG258" s="186"/>
      <c r="AH258" s="18"/>
      <c r="AI258" s="374"/>
      <c r="AJ258" s="372"/>
      <c r="AK258" s="365"/>
      <c r="AL258" s="365"/>
      <c r="AM258" s="365"/>
      <c r="AN258" s="365"/>
      <c r="AO258" s="365"/>
      <c r="AP258" s="365"/>
    </row>
    <row r="259">
      <c r="A259" s="302"/>
      <c r="B259" s="303"/>
      <c r="C259" s="304"/>
      <c r="D259" s="365"/>
      <c r="E259" s="302"/>
      <c r="F259" s="303"/>
      <c r="G259" s="304"/>
      <c r="H259" s="365"/>
      <c r="I259" s="302"/>
      <c r="J259" s="303"/>
      <c r="K259" s="304"/>
      <c r="L259" s="365"/>
      <c r="M259" s="302"/>
      <c r="N259" s="303"/>
      <c r="O259" s="304"/>
      <c r="P259" s="365"/>
      <c r="Q259" s="186"/>
      <c r="R259" s="18"/>
      <c r="S259" s="374"/>
      <c r="T259" s="372"/>
      <c r="U259" s="186"/>
      <c r="V259" s="18"/>
      <c r="W259" s="374"/>
      <c r="X259" s="372"/>
      <c r="Y259" s="186"/>
      <c r="Z259" s="18"/>
      <c r="AA259" s="374"/>
      <c r="AB259" s="372"/>
      <c r="AC259" s="186"/>
      <c r="AD259" s="18"/>
      <c r="AE259" s="374"/>
      <c r="AF259" s="372"/>
      <c r="AG259" s="186"/>
      <c r="AH259" s="18"/>
      <c r="AI259" s="374"/>
      <c r="AJ259" s="372"/>
      <c r="AK259" s="365"/>
      <c r="AL259" s="365"/>
      <c r="AM259" s="365"/>
      <c r="AN259" s="365"/>
      <c r="AO259" s="365"/>
      <c r="AP259" s="365"/>
    </row>
    <row r="260">
      <c r="A260" s="302"/>
      <c r="B260" s="303"/>
      <c r="C260" s="304"/>
      <c r="D260" s="365"/>
      <c r="E260" s="302"/>
      <c r="F260" s="303"/>
      <c r="G260" s="304"/>
      <c r="H260" s="365"/>
      <c r="I260" s="302"/>
      <c r="J260" s="303"/>
      <c r="K260" s="304"/>
      <c r="L260" s="365"/>
      <c r="M260" s="302"/>
      <c r="N260" s="303"/>
      <c r="O260" s="304"/>
      <c r="P260" s="365"/>
      <c r="Q260" s="186"/>
      <c r="R260" s="18"/>
      <c r="S260" s="374"/>
      <c r="T260" s="372"/>
      <c r="U260" s="186"/>
      <c r="V260" s="18"/>
      <c r="W260" s="374"/>
      <c r="X260" s="372"/>
      <c r="Y260" s="186"/>
      <c r="Z260" s="18"/>
      <c r="AA260" s="374"/>
      <c r="AB260" s="372"/>
      <c r="AC260" s="186"/>
      <c r="AD260" s="18"/>
      <c r="AE260" s="374"/>
      <c r="AF260" s="372"/>
      <c r="AG260" s="186"/>
      <c r="AH260" s="18"/>
      <c r="AI260" s="374"/>
      <c r="AJ260" s="372"/>
      <c r="AK260" s="365"/>
      <c r="AL260" s="365"/>
      <c r="AM260" s="365"/>
      <c r="AN260" s="365"/>
      <c r="AO260" s="365"/>
      <c r="AP260" s="365"/>
    </row>
    <row r="261">
      <c r="A261" s="302"/>
      <c r="B261" s="303"/>
      <c r="C261" s="304"/>
      <c r="D261" s="365"/>
      <c r="E261" s="302"/>
      <c r="F261" s="303"/>
      <c r="G261" s="304"/>
      <c r="H261" s="365"/>
      <c r="I261" s="302"/>
      <c r="J261" s="303"/>
      <c r="K261" s="304"/>
      <c r="L261" s="365"/>
      <c r="M261" s="302"/>
      <c r="N261" s="303"/>
      <c r="O261" s="304"/>
      <c r="P261" s="365"/>
      <c r="Q261" s="186"/>
      <c r="R261" s="18"/>
      <c r="S261" s="374"/>
      <c r="T261" s="372"/>
      <c r="U261" s="186"/>
      <c r="V261" s="18"/>
      <c r="W261" s="374"/>
      <c r="X261" s="372"/>
      <c r="Y261" s="186"/>
      <c r="Z261" s="18"/>
      <c r="AA261" s="374"/>
      <c r="AB261" s="372"/>
      <c r="AC261" s="186"/>
      <c r="AD261" s="18"/>
      <c r="AE261" s="374"/>
      <c r="AF261" s="372"/>
      <c r="AG261" s="186"/>
      <c r="AH261" s="18"/>
      <c r="AI261" s="374"/>
      <c r="AJ261" s="372"/>
      <c r="AK261" s="365"/>
      <c r="AL261" s="365"/>
      <c r="AM261" s="365"/>
      <c r="AN261" s="365"/>
      <c r="AO261" s="365"/>
      <c r="AP261" s="365"/>
    </row>
    <row r="262">
      <c r="A262" s="302"/>
      <c r="B262" s="303"/>
      <c r="C262" s="304"/>
      <c r="D262" s="365"/>
      <c r="E262" s="302"/>
      <c r="F262" s="303"/>
      <c r="G262" s="304"/>
      <c r="H262" s="365"/>
      <c r="I262" s="302"/>
      <c r="J262" s="303"/>
      <c r="K262" s="304"/>
      <c r="L262" s="365"/>
      <c r="M262" s="302"/>
      <c r="N262" s="303"/>
      <c r="O262" s="304"/>
      <c r="P262" s="365"/>
      <c r="Q262" s="186"/>
      <c r="R262" s="18"/>
      <c r="S262" s="374"/>
      <c r="T262" s="372"/>
      <c r="U262" s="186"/>
      <c r="V262" s="18"/>
      <c r="W262" s="374"/>
      <c r="X262" s="372"/>
      <c r="Y262" s="186"/>
      <c r="Z262" s="18"/>
      <c r="AA262" s="374"/>
      <c r="AB262" s="372"/>
      <c r="AC262" s="186"/>
      <c r="AD262" s="18"/>
      <c r="AE262" s="374"/>
      <c r="AF262" s="372"/>
      <c r="AG262" s="186"/>
      <c r="AH262" s="18"/>
      <c r="AI262" s="374"/>
      <c r="AJ262" s="372"/>
      <c r="AK262" s="365"/>
      <c r="AL262" s="365"/>
      <c r="AM262" s="365"/>
      <c r="AN262" s="365"/>
      <c r="AO262" s="365"/>
      <c r="AP262" s="365"/>
    </row>
    <row r="263">
      <c r="A263" s="302"/>
      <c r="B263" s="303"/>
      <c r="C263" s="304"/>
      <c r="D263" s="365"/>
      <c r="E263" s="302"/>
      <c r="F263" s="303"/>
      <c r="G263" s="304"/>
      <c r="H263" s="365"/>
      <c r="I263" s="302"/>
      <c r="J263" s="303"/>
      <c r="K263" s="304"/>
      <c r="L263" s="365"/>
      <c r="M263" s="302"/>
      <c r="N263" s="303"/>
      <c r="O263" s="304"/>
      <c r="P263" s="365"/>
      <c r="Q263" s="186"/>
      <c r="R263" s="18"/>
      <c r="S263" s="374"/>
      <c r="T263" s="372"/>
      <c r="U263" s="186"/>
      <c r="V263" s="18"/>
      <c r="W263" s="374"/>
      <c r="X263" s="372"/>
      <c r="Y263" s="186"/>
      <c r="Z263" s="18"/>
      <c r="AA263" s="374"/>
      <c r="AB263" s="372"/>
      <c r="AC263" s="186"/>
      <c r="AD263" s="18"/>
      <c r="AE263" s="374"/>
      <c r="AF263" s="372"/>
      <c r="AG263" s="186"/>
      <c r="AH263" s="18"/>
      <c r="AI263" s="374"/>
      <c r="AJ263" s="372"/>
      <c r="AK263" s="365"/>
      <c r="AL263" s="365"/>
      <c r="AM263" s="365"/>
      <c r="AN263" s="365"/>
      <c r="AO263" s="365"/>
      <c r="AP263" s="365"/>
    </row>
    <row r="264">
      <c r="A264" s="302"/>
      <c r="B264" s="303"/>
      <c r="C264" s="304"/>
      <c r="D264" s="365"/>
      <c r="E264" s="302"/>
      <c r="F264" s="303"/>
      <c r="G264" s="304"/>
      <c r="H264" s="365"/>
      <c r="I264" s="302"/>
      <c r="J264" s="303"/>
      <c r="K264" s="304"/>
      <c r="L264" s="365"/>
      <c r="M264" s="302"/>
      <c r="N264" s="303"/>
      <c r="O264" s="304"/>
      <c r="P264" s="365"/>
      <c r="Q264" s="186"/>
      <c r="R264" s="18"/>
      <c r="S264" s="374"/>
      <c r="T264" s="372"/>
      <c r="U264" s="186"/>
      <c r="V264" s="18"/>
      <c r="W264" s="374"/>
      <c r="X264" s="372"/>
      <c r="Y264" s="186"/>
      <c r="Z264" s="18"/>
      <c r="AA264" s="374"/>
      <c r="AB264" s="372"/>
      <c r="AC264" s="186"/>
      <c r="AD264" s="18"/>
      <c r="AE264" s="374"/>
      <c r="AF264" s="372"/>
      <c r="AG264" s="186"/>
      <c r="AH264" s="18"/>
      <c r="AI264" s="374"/>
      <c r="AJ264" s="372"/>
      <c r="AK264" s="365"/>
      <c r="AL264" s="365"/>
      <c r="AM264" s="365"/>
      <c r="AN264" s="365"/>
      <c r="AO264" s="365"/>
      <c r="AP264" s="365"/>
    </row>
    <row r="265">
      <c r="A265" s="302"/>
      <c r="B265" s="303"/>
      <c r="C265" s="304"/>
      <c r="D265" s="365"/>
      <c r="E265" s="302"/>
      <c r="F265" s="303"/>
      <c r="G265" s="304"/>
      <c r="H265" s="365"/>
      <c r="I265" s="302"/>
      <c r="J265" s="303"/>
      <c r="K265" s="304"/>
      <c r="L265" s="365"/>
      <c r="M265" s="302"/>
      <c r="N265" s="303"/>
      <c r="O265" s="304"/>
      <c r="P265" s="365"/>
      <c r="Q265" s="186"/>
      <c r="R265" s="18"/>
      <c r="S265" s="374"/>
      <c r="T265" s="372"/>
      <c r="U265" s="186"/>
      <c r="V265" s="18"/>
      <c r="W265" s="374"/>
      <c r="X265" s="372"/>
      <c r="Y265" s="186"/>
      <c r="Z265" s="18"/>
      <c r="AA265" s="374"/>
      <c r="AB265" s="372"/>
      <c r="AC265" s="186"/>
      <c r="AD265" s="18"/>
      <c r="AE265" s="374"/>
      <c r="AF265" s="372"/>
      <c r="AG265" s="186"/>
      <c r="AH265" s="18"/>
      <c r="AI265" s="374"/>
      <c r="AJ265" s="372"/>
      <c r="AK265" s="365"/>
      <c r="AL265" s="365"/>
      <c r="AM265" s="365"/>
      <c r="AN265" s="365"/>
      <c r="AO265" s="365"/>
      <c r="AP265" s="365"/>
    </row>
    <row r="266">
      <c r="A266" s="302"/>
      <c r="B266" s="303"/>
      <c r="C266" s="304"/>
      <c r="D266" s="365"/>
      <c r="E266" s="302"/>
      <c r="F266" s="303"/>
      <c r="G266" s="304"/>
      <c r="H266" s="365"/>
      <c r="I266" s="302"/>
      <c r="J266" s="303"/>
      <c r="K266" s="304"/>
      <c r="L266" s="365"/>
      <c r="M266" s="302"/>
      <c r="N266" s="303"/>
      <c r="O266" s="304"/>
      <c r="P266" s="365"/>
      <c r="Q266" s="186"/>
      <c r="R266" s="18"/>
      <c r="S266" s="374"/>
      <c r="T266" s="372"/>
      <c r="U266" s="186"/>
      <c r="V266" s="18"/>
      <c r="W266" s="374"/>
      <c r="X266" s="372"/>
      <c r="Y266" s="186"/>
      <c r="Z266" s="18"/>
      <c r="AA266" s="374"/>
      <c r="AB266" s="372"/>
      <c r="AC266" s="186"/>
      <c r="AD266" s="18"/>
      <c r="AE266" s="374"/>
      <c r="AF266" s="372"/>
      <c r="AG266" s="186"/>
      <c r="AH266" s="18"/>
      <c r="AI266" s="374"/>
      <c r="AJ266" s="372"/>
      <c r="AK266" s="365"/>
      <c r="AL266" s="365"/>
      <c r="AM266" s="365"/>
      <c r="AN266" s="365"/>
      <c r="AO266" s="365"/>
      <c r="AP266" s="365"/>
    </row>
    <row r="267">
      <c r="A267" s="302"/>
      <c r="B267" s="303"/>
      <c r="C267" s="304"/>
      <c r="D267" s="365"/>
      <c r="E267" s="302"/>
      <c r="F267" s="303"/>
      <c r="G267" s="304"/>
      <c r="H267" s="365"/>
      <c r="I267" s="302"/>
      <c r="J267" s="303"/>
      <c r="K267" s="304"/>
      <c r="L267" s="365"/>
      <c r="M267" s="302"/>
      <c r="N267" s="303"/>
      <c r="O267" s="304"/>
      <c r="P267" s="365"/>
      <c r="Q267" s="186"/>
      <c r="R267" s="18"/>
      <c r="S267" s="374"/>
      <c r="T267" s="372"/>
      <c r="U267" s="186"/>
      <c r="V267" s="18"/>
      <c r="W267" s="374"/>
      <c r="X267" s="372"/>
      <c r="Y267" s="186"/>
      <c r="Z267" s="18"/>
      <c r="AA267" s="374"/>
      <c r="AB267" s="372"/>
      <c r="AC267" s="186"/>
      <c r="AD267" s="18"/>
      <c r="AE267" s="374"/>
      <c r="AF267" s="372"/>
      <c r="AG267" s="186"/>
      <c r="AH267" s="18"/>
      <c r="AI267" s="374"/>
      <c r="AJ267" s="372"/>
      <c r="AK267" s="365"/>
      <c r="AL267" s="365"/>
      <c r="AM267" s="365"/>
      <c r="AN267" s="365"/>
      <c r="AO267" s="365"/>
      <c r="AP267" s="365"/>
    </row>
    <row r="268">
      <c r="A268" s="302"/>
      <c r="B268" s="303"/>
      <c r="C268" s="304"/>
      <c r="D268" s="365"/>
      <c r="E268" s="302"/>
      <c r="F268" s="303"/>
      <c r="G268" s="304"/>
      <c r="H268" s="365"/>
      <c r="I268" s="302"/>
      <c r="J268" s="303"/>
      <c r="K268" s="304"/>
      <c r="L268" s="365"/>
      <c r="M268" s="302"/>
      <c r="N268" s="303"/>
      <c r="O268" s="304"/>
      <c r="P268" s="365"/>
      <c r="Q268" s="186"/>
      <c r="R268" s="18"/>
      <c r="S268" s="374"/>
      <c r="T268" s="372"/>
      <c r="U268" s="186"/>
      <c r="V268" s="18"/>
      <c r="W268" s="374"/>
      <c r="X268" s="372"/>
      <c r="Y268" s="186"/>
      <c r="Z268" s="18"/>
      <c r="AA268" s="374"/>
      <c r="AB268" s="372"/>
      <c r="AC268" s="186"/>
      <c r="AD268" s="18"/>
      <c r="AE268" s="374"/>
      <c r="AF268" s="372"/>
      <c r="AG268" s="186"/>
      <c r="AH268" s="18"/>
      <c r="AI268" s="374"/>
      <c r="AJ268" s="372"/>
      <c r="AK268" s="365"/>
      <c r="AL268" s="365"/>
      <c r="AM268" s="365"/>
      <c r="AN268" s="365"/>
      <c r="AO268" s="365"/>
      <c r="AP268" s="365"/>
    </row>
    <row r="269">
      <c r="A269" s="302"/>
      <c r="B269" s="303"/>
      <c r="C269" s="304"/>
      <c r="D269" s="365"/>
      <c r="E269" s="302"/>
      <c r="F269" s="303"/>
      <c r="G269" s="304"/>
      <c r="H269" s="365"/>
      <c r="I269" s="302"/>
      <c r="J269" s="303"/>
      <c r="K269" s="304"/>
      <c r="L269" s="365"/>
      <c r="M269" s="302"/>
      <c r="N269" s="303"/>
      <c r="O269" s="304"/>
      <c r="P269" s="365"/>
      <c r="Q269" s="186"/>
      <c r="R269" s="18"/>
      <c r="S269" s="374"/>
      <c r="T269" s="372"/>
      <c r="U269" s="186"/>
      <c r="V269" s="18"/>
      <c r="W269" s="374"/>
      <c r="X269" s="372"/>
      <c r="Y269" s="186"/>
      <c r="Z269" s="18"/>
      <c r="AA269" s="374"/>
      <c r="AB269" s="372"/>
      <c r="AC269" s="186"/>
      <c r="AD269" s="18"/>
      <c r="AE269" s="374"/>
      <c r="AF269" s="372"/>
      <c r="AG269" s="186"/>
      <c r="AH269" s="18"/>
      <c r="AI269" s="374"/>
      <c r="AJ269" s="372"/>
      <c r="AK269" s="365"/>
      <c r="AL269" s="365"/>
      <c r="AM269" s="365"/>
      <c r="AN269" s="365"/>
      <c r="AO269" s="365"/>
      <c r="AP269" s="365"/>
    </row>
    <row r="270">
      <c r="A270" s="302"/>
      <c r="B270" s="303"/>
      <c r="C270" s="304"/>
      <c r="D270" s="365"/>
      <c r="E270" s="302"/>
      <c r="F270" s="303"/>
      <c r="G270" s="304"/>
      <c r="H270" s="365"/>
      <c r="I270" s="302"/>
      <c r="J270" s="303"/>
      <c r="K270" s="304"/>
      <c r="L270" s="365"/>
      <c r="M270" s="302"/>
      <c r="N270" s="303"/>
      <c r="O270" s="304"/>
      <c r="P270" s="365"/>
      <c r="Q270" s="186"/>
      <c r="R270" s="18"/>
      <c r="S270" s="374"/>
      <c r="T270" s="372"/>
      <c r="U270" s="186"/>
      <c r="V270" s="18"/>
      <c r="W270" s="374"/>
      <c r="X270" s="372"/>
      <c r="Y270" s="186"/>
      <c r="Z270" s="18"/>
      <c r="AA270" s="374"/>
      <c r="AB270" s="372"/>
      <c r="AC270" s="186"/>
      <c r="AD270" s="18"/>
      <c r="AE270" s="374"/>
      <c r="AF270" s="372"/>
      <c r="AG270" s="186"/>
      <c r="AH270" s="18"/>
      <c r="AI270" s="374"/>
      <c r="AJ270" s="372"/>
      <c r="AK270" s="365"/>
      <c r="AL270" s="365"/>
      <c r="AM270" s="365"/>
      <c r="AN270" s="365"/>
      <c r="AO270" s="365"/>
      <c r="AP270" s="365"/>
    </row>
    <row r="271">
      <c r="A271" s="302"/>
      <c r="B271" s="303"/>
      <c r="C271" s="304"/>
      <c r="D271" s="365"/>
      <c r="E271" s="302"/>
      <c r="F271" s="303"/>
      <c r="G271" s="304"/>
      <c r="H271" s="365"/>
      <c r="I271" s="302"/>
      <c r="J271" s="303"/>
      <c r="K271" s="304"/>
      <c r="L271" s="365"/>
      <c r="M271" s="302"/>
      <c r="N271" s="303"/>
      <c r="O271" s="304"/>
      <c r="P271" s="365"/>
      <c r="Q271" s="186"/>
      <c r="R271" s="18"/>
      <c r="S271" s="374"/>
      <c r="T271" s="372"/>
      <c r="U271" s="186"/>
      <c r="V271" s="18"/>
      <c r="W271" s="374"/>
      <c r="X271" s="372"/>
      <c r="Y271" s="186"/>
      <c r="Z271" s="18"/>
      <c r="AA271" s="374"/>
      <c r="AB271" s="372"/>
      <c r="AC271" s="186"/>
      <c r="AD271" s="18"/>
      <c r="AE271" s="374"/>
      <c r="AF271" s="372"/>
      <c r="AG271" s="186"/>
      <c r="AH271" s="18"/>
      <c r="AI271" s="374"/>
      <c r="AJ271" s="372"/>
      <c r="AK271" s="365"/>
      <c r="AL271" s="365"/>
      <c r="AM271" s="365"/>
      <c r="AN271" s="365"/>
      <c r="AO271" s="365"/>
      <c r="AP271" s="365"/>
    </row>
    <row r="272">
      <c r="A272" s="302"/>
      <c r="B272" s="303"/>
      <c r="C272" s="304"/>
      <c r="D272" s="365"/>
      <c r="E272" s="302"/>
      <c r="F272" s="303"/>
      <c r="G272" s="304"/>
      <c r="H272" s="365"/>
      <c r="I272" s="302"/>
      <c r="J272" s="303"/>
      <c r="K272" s="304"/>
      <c r="L272" s="365"/>
      <c r="M272" s="302"/>
      <c r="N272" s="303"/>
      <c r="O272" s="304"/>
      <c r="P272" s="365"/>
      <c r="Q272" s="186"/>
      <c r="R272" s="18"/>
      <c r="S272" s="374"/>
      <c r="T272" s="372"/>
      <c r="U272" s="186"/>
      <c r="V272" s="18"/>
      <c r="W272" s="374"/>
      <c r="X272" s="372"/>
      <c r="Y272" s="186"/>
      <c r="Z272" s="18"/>
      <c r="AA272" s="374"/>
      <c r="AB272" s="372"/>
      <c r="AC272" s="186"/>
      <c r="AD272" s="18"/>
      <c r="AE272" s="374"/>
      <c r="AF272" s="372"/>
      <c r="AG272" s="186"/>
      <c r="AH272" s="18"/>
      <c r="AI272" s="374"/>
      <c r="AJ272" s="372"/>
      <c r="AK272" s="365"/>
      <c r="AL272" s="365"/>
      <c r="AM272" s="365"/>
      <c r="AN272" s="365"/>
      <c r="AO272" s="365"/>
      <c r="AP272" s="365"/>
    </row>
    <row r="273">
      <c r="A273" s="302"/>
      <c r="B273" s="303"/>
      <c r="C273" s="304"/>
      <c r="D273" s="365"/>
      <c r="E273" s="302"/>
      <c r="F273" s="303"/>
      <c r="G273" s="304"/>
      <c r="H273" s="365"/>
      <c r="I273" s="302"/>
      <c r="J273" s="303"/>
      <c r="K273" s="304"/>
      <c r="L273" s="365"/>
      <c r="M273" s="302"/>
      <c r="N273" s="303"/>
      <c r="O273" s="304"/>
      <c r="P273" s="365"/>
      <c r="Q273" s="186"/>
      <c r="R273" s="18"/>
      <c r="S273" s="374"/>
      <c r="T273" s="372"/>
      <c r="U273" s="186"/>
      <c r="V273" s="18"/>
      <c r="W273" s="374"/>
      <c r="X273" s="372"/>
      <c r="Y273" s="186"/>
      <c r="Z273" s="18"/>
      <c r="AA273" s="374"/>
      <c r="AB273" s="372"/>
      <c r="AC273" s="186"/>
      <c r="AD273" s="18"/>
      <c r="AE273" s="374"/>
      <c r="AF273" s="372"/>
      <c r="AG273" s="186"/>
      <c r="AH273" s="18"/>
      <c r="AI273" s="374"/>
      <c r="AJ273" s="372"/>
      <c r="AK273" s="365"/>
      <c r="AL273" s="365"/>
      <c r="AM273" s="365"/>
      <c r="AN273" s="365"/>
      <c r="AO273" s="365"/>
      <c r="AP273" s="365"/>
    </row>
    <row r="274">
      <c r="A274" s="302"/>
      <c r="B274" s="303"/>
      <c r="C274" s="304"/>
      <c r="D274" s="365"/>
      <c r="E274" s="302"/>
      <c r="F274" s="303"/>
      <c r="G274" s="304"/>
      <c r="H274" s="365"/>
      <c r="I274" s="302"/>
      <c r="J274" s="303"/>
      <c r="K274" s="304"/>
      <c r="L274" s="365"/>
      <c r="M274" s="302"/>
      <c r="N274" s="303"/>
      <c r="O274" s="304"/>
      <c r="P274" s="365"/>
      <c r="Q274" s="186"/>
      <c r="R274" s="18"/>
      <c r="S274" s="374"/>
      <c r="T274" s="372"/>
      <c r="U274" s="186"/>
      <c r="V274" s="18"/>
      <c r="W274" s="374"/>
      <c r="X274" s="372"/>
      <c r="Y274" s="186"/>
      <c r="Z274" s="18"/>
      <c r="AA274" s="374"/>
      <c r="AB274" s="372"/>
      <c r="AC274" s="186"/>
      <c r="AD274" s="18"/>
      <c r="AE274" s="374"/>
      <c r="AF274" s="372"/>
      <c r="AG274" s="186"/>
      <c r="AH274" s="18"/>
      <c r="AI274" s="374"/>
      <c r="AJ274" s="372"/>
      <c r="AK274" s="365"/>
      <c r="AL274" s="365"/>
      <c r="AM274" s="365"/>
      <c r="AN274" s="365"/>
      <c r="AO274" s="365"/>
      <c r="AP274" s="365"/>
    </row>
    <row r="275">
      <c r="A275" s="302"/>
      <c r="B275" s="303"/>
      <c r="C275" s="304"/>
      <c r="D275" s="365"/>
      <c r="E275" s="302"/>
      <c r="F275" s="303"/>
      <c r="G275" s="304"/>
      <c r="H275" s="365"/>
      <c r="I275" s="302"/>
      <c r="J275" s="303"/>
      <c r="K275" s="304"/>
      <c r="L275" s="365"/>
      <c r="M275" s="302"/>
      <c r="N275" s="303"/>
      <c r="O275" s="304"/>
      <c r="P275" s="365"/>
      <c r="Q275" s="186"/>
      <c r="R275" s="18"/>
      <c r="S275" s="374"/>
      <c r="T275" s="372"/>
      <c r="U275" s="186"/>
      <c r="V275" s="18"/>
      <c r="W275" s="374"/>
      <c r="X275" s="372"/>
      <c r="Y275" s="186"/>
      <c r="Z275" s="18"/>
      <c r="AA275" s="374"/>
      <c r="AB275" s="372"/>
      <c r="AC275" s="186"/>
      <c r="AD275" s="18"/>
      <c r="AE275" s="374"/>
      <c r="AF275" s="372"/>
      <c r="AG275" s="186"/>
      <c r="AH275" s="18"/>
      <c r="AI275" s="374"/>
      <c r="AJ275" s="372"/>
      <c r="AK275" s="365"/>
      <c r="AL275" s="365"/>
      <c r="AM275" s="365"/>
      <c r="AN275" s="365"/>
      <c r="AO275" s="365"/>
      <c r="AP275" s="365"/>
    </row>
    <row r="276">
      <c r="A276" s="302"/>
      <c r="B276" s="303"/>
      <c r="C276" s="304"/>
      <c r="D276" s="365"/>
      <c r="E276" s="302"/>
      <c r="F276" s="303"/>
      <c r="G276" s="304"/>
      <c r="H276" s="365"/>
      <c r="I276" s="302"/>
      <c r="J276" s="303"/>
      <c r="K276" s="304"/>
      <c r="L276" s="365"/>
      <c r="M276" s="302"/>
      <c r="N276" s="303"/>
      <c r="O276" s="304"/>
      <c r="P276" s="365"/>
      <c r="Q276" s="186"/>
      <c r="R276" s="18"/>
      <c r="S276" s="374"/>
      <c r="T276" s="372"/>
      <c r="U276" s="186"/>
      <c r="V276" s="18"/>
      <c r="W276" s="374"/>
      <c r="X276" s="372"/>
      <c r="Y276" s="186"/>
      <c r="Z276" s="18"/>
      <c r="AA276" s="374"/>
      <c r="AB276" s="372"/>
      <c r="AC276" s="186"/>
      <c r="AD276" s="18"/>
      <c r="AE276" s="374"/>
      <c r="AF276" s="372"/>
      <c r="AG276" s="186"/>
      <c r="AH276" s="18"/>
      <c r="AI276" s="374"/>
      <c r="AJ276" s="372"/>
      <c r="AK276" s="365"/>
      <c r="AL276" s="365"/>
      <c r="AM276" s="365"/>
      <c r="AN276" s="365"/>
      <c r="AO276" s="365"/>
      <c r="AP276" s="365"/>
    </row>
    <row r="277">
      <c r="A277" s="302"/>
      <c r="B277" s="303"/>
      <c r="C277" s="304"/>
      <c r="D277" s="365"/>
      <c r="E277" s="302"/>
      <c r="F277" s="303"/>
      <c r="G277" s="304"/>
      <c r="H277" s="365"/>
      <c r="I277" s="302"/>
      <c r="J277" s="303"/>
      <c r="K277" s="304"/>
      <c r="L277" s="365"/>
      <c r="M277" s="302"/>
      <c r="N277" s="303"/>
      <c r="O277" s="304"/>
      <c r="P277" s="365"/>
      <c r="Q277" s="186"/>
      <c r="R277" s="18"/>
      <c r="S277" s="374"/>
      <c r="T277" s="372"/>
      <c r="U277" s="186"/>
      <c r="V277" s="18"/>
      <c r="W277" s="374"/>
      <c r="X277" s="372"/>
      <c r="Y277" s="186"/>
      <c r="Z277" s="18"/>
      <c r="AA277" s="374"/>
      <c r="AB277" s="372"/>
      <c r="AC277" s="186"/>
      <c r="AD277" s="18"/>
      <c r="AE277" s="374"/>
      <c r="AF277" s="372"/>
      <c r="AG277" s="186"/>
      <c r="AH277" s="18"/>
      <c r="AI277" s="374"/>
      <c r="AJ277" s="372"/>
      <c r="AK277" s="365"/>
      <c r="AL277" s="365"/>
      <c r="AM277" s="365"/>
      <c r="AN277" s="365"/>
      <c r="AO277" s="365"/>
      <c r="AP277" s="365"/>
    </row>
    <row r="278">
      <c r="A278" s="302"/>
      <c r="B278" s="303"/>
      <c r="C278" s="304"/>
      <c r="D278" s="365"/>
      <c r="E278" s="302"/>
      <c r="F278" s="303"/>
      <c r="G278" s="304"/>
      <c r="H278" s="365"/>
      <c r="I278" s="302"/>
      <c r="J278" s="303"/>
      <c r="K278" s="304"/>
      <c r="L278" s="365"/>
      <c r="M278" s="302"/>
      <c r="N278" s="303"/>
      <c r="O278" s="304"/>
      <c r="P278" s="365"/>
      <c r="Q278" s="186"/>
      <c r="R278" s="18"/>
      <c r="S278" s="374"/>
      <c r="T278" s="372"/>
      <c r="U278" s="186"/>
      <c r="V278" s="18"/>
      <c r="W278" s="374"/>
      <c r="X278" s="372"/>
      <c r="Y278" s="186"/>
      <c r="Z278" s="18"/>
      <c r="AA278" s="374"/>
      <c r="AB278" s="372"/>
      <c r="AC278" s="186"/>
      <c r="AD278" s="18"/>
      <c r="AE278" s="374"/>
      <c r="AF278" s="372"/>
      <c r="AG278" s="186"/>
      <c r="AH278" s="18"/>
      <c r="AI278" s="374"/>
      <c r="AJ278" s="372"/>
      <c r="AK278" s="365"/>
      <c r="AL278" s="365"/>
      <c r="AM278" s="365"/>
      <c r="AN278" s="365"/>
      <c r="AO278" s="365"/>
      <c r="AP278" s="365"/>
    </row>
    <row r="279">
      <c r="A279" s="302"/>
      <c r="B279" s="303"/>
      <c r="C279" s="304"/>
      <c r="D279" s="365"/>
      <c r="E279" s="302"/>
      <c r="F279" s="303"/>
      <c r="G279" s="304"/>
      <c r="H279" s="365"/>
      <c r="I279" s="302"/>
      <c r="J279" s="303"/>
      <c r="K279" s="304"/>
      <c r="L279" s="365"/>
      <c r="M279" s="302"/>
      <c r="N279" s="303"/>
      <c r="O279" s="304"/>
      <c r="P279" s="365"/>
      <c r="Q279" s="186"/>
      <c r="R279" s="18"/>
      <c r="S279" s="374"/>
      <c r="T279" s="372"/>
      <c r="U279" s="186"/>
      <c r="V279" s="18"/>
      <c r="W279" s="374"/>
      <c r="X279" s="372"/>
      <c r="Y279" s="186"/>
      <c r="Z279" s="18"/>
      <c r="AA279" s="374"/>
      <c r="AB279" s="372"/>
      <c r="AC279" s="186"/>
      <c r="AD279" s="18"/>
      <c r="AE279" s="374"/>
      <c r="AF279" s="372"/>
      <c r="AG279" s="186"/>
      <c r="AH279" s="18"/>
      <c r="AI279" s="374"/>
      <c r="AJ279" s="372"/>
      <c r="AK279" s="365"/>
      <c r="AL279" s="365"/>
      <c r="AM279" s="365"/>
      <c r="AN279" s="365"/>
      <c r="AO279" s="365"/>
      <c r="AP279" s="365"/>
    </row>
    <row r="280">
      <c r="A280" s="302"/>
      <c r="B280" s="303"/>
      <c r="C280" s="304"/>
      <c r="D280" s="365"/>
      <c r="E280" s="302"/>
      <c r="F280" s="303"/>
      <c r="G280" s="304"/>
      <c r="H280" s="365"/>
      <c r="I280" s="302"/>
      <c r="J280" s="303"/>
      <c r="K280" s="304"/>
      <c r="L280" s="365"/>
      <c r="M280" s="302"/>
      <c r="N280" s="303"/>
      <c r="O280" s="304"/>
      <c r="P280" s="365"/>
      <c r="Q280" s="186"/>
      <c r="R280" s="18"/>
      <c r="S280" s="374"/>
      <c r="T280" s="372"/>
      <c r="U280" s="186"/>
      <c r="V280" s="18"/>
      <c r="W280" s="374"/>
      <c r="X280" s="372"/>
      <c r="Y280" s="186"/>
      <c r="Z280" s="18"/>
      <c r="AA280" s="374"/>
      <c r="AB280" s="372"/>
      <c r="AC280" s="186"/>
      <c r="AD280" s="18"/>
      <c r="AE280" s="374"/>
      <c r="AF280" s="372"/>
      <c r="AG280" s="186"/>
      <c r="AH280" s="18"/>
      <c r="AI280" s="374"/>
      <c r="AJ280" s="372"/>
      <c r="AK280" s="365"/>
      <c r="AL280" s="365"/>
      <c r="AM280" s="365"/>
      <c r="AN280" s="365"/>
      <c r="AO280" s="365"/>
      <c r="AP280" s="365"/>
    </row>
    <row r="281">
      <c r="A281" s="302"/>
      <c r="B281" s="303"/>
      <c r="C281" s="304"/>
      <c r="D281" s="365"/>
      <c r="E281" s="302"/>
      <c r="F281" s="303"/>
      <c r="G281" s="304"/>
      <c r="H281" s="365"/>
      <c r="I281" s="302"/>
      <c r="J281" s="303"/>
      <c r="K281" s="304"/>
      <c r="L281" s="365"/>
      <c r="M281" s="302"/>
      <c r="N281" s="303"/>
      <c r="O281" s="304"/>
      <c r="P281" s="365"/>
      <c r="Q281" s="186"/>
      <c r="R281" s="18"/>
      <c r="S281" s="374"/>
      <c r="T281" s="372"/>
      <c r="U281" s="186"/>
      <c r="V281" s="18"/>
      <c r="W281" s="374"/>
      <c r="X281" s="372"/>
      <c r="Y281" s="186"/>
      <c r="Z281" s="18"/>
      <c r="AA281" s="374"/>
      <c r="AB281" s="372"/>
      <c r="AC281" s="186"/>
      <c r="AD281" s="18"/>
      <c r="AE281" s="374"/>
      <c r="AF281" s="372"/>
      <c r="AG281" s="186"/>
      <c r="AH281" s="18"/>
      <c r="AI281" s="374"/>
      <c r="AJ281" s="372"/>
      <c r="AK281" s="365"/>
      <c r="AL281" s="365"/>
      <c r="AM281" s="365"/>
      <c r="AN281" s="365"/>
      <c r="AO281" s="365"/>
      <c r="AP281" s="365"/>
    </row>
    <row r="282">
      <c r="A282" s="302"/>
      <c r="B282" s="303"/>
      <c r="C282" s="304"/>
      <c r="D282" s="365"/>
      <c r="E282" s="302"/>
      <c r="F282" s="303"/>
      <c r="G282" s="304"/>
      <c r="H282" s="365"/>
      <c r="I282" s="302"/>
      <c r="J282" s="303"/>
      <c r="K282" s="304"/>
      <c r="L282" s="365"/>
      <c r="M282" s="302"/>
      <c r="N282" s="303"/>
      <c r="O282" s="304"/>
      <c r="P282" s="365"/>
      <c r="Q282" s="186"/>
      <c r="R282" s="18"/>
      <c r="S282" s="374"/>
      <c r="T282" s="372"/>
      <c r="U282" s="186"/>
      <c r="V282" s="18"/>
      <c r="W282" s="374"/>
      <c r="X282" s="372"/>
      <c r="Y282" s="186"/>
      <c r="Z282" s="18"/>
      <c r="AA282" s="374"/>
      <c r="AB282" s="372"/>
      <c r="AC282" s="186"/>
      <c r="AD282" s="18"/>
      <c r="AE282" s="374"/>
      <c r="AF282" s="372"/>
      <c r="AG282" s="186"/>
      <c r="AH282" s="18"/>
      <c r="AI282" s="374"/>
      <c r="AJ282" s="372"/>
      <c r="AK282" s="365"/>
      <c r="AL282" s="365"/>
      <c r="AM282" s="365"/>
      <c r="AN282" s="365"/>
      <c r="AO282" s="365"/>
      <c r="AP282" s="365"/>
    </row>
    <row r="283">
      <c r="A283" s="302"/>
      <c r="B283" s="303"/>
      <c r="C283" s="304"/>
      <c r="D283" s="365"/>
      <c r="E283" s="302"/>
      <c r="F283" s="303"/>
      <c r="G283" s="304"/>
      <c r="H283" s="365"/>
      <c r="I283" s="302"/>
      <c r="J283" s="303"/>
      <c r="K283" s="304"/>
      <c r="L283" s="365"/>
      <c r="M283" s="302"/>
      <c r="N283" s="303"/>
      <c r="O283" s="304"/>
      <c r="P283" s="365"/>
      <c r="Q283" s="186"/>
      <c r="R283" s="18"/>
      <c r="S283" s="374"/>
      <c r="T283" s="372"/>
      <c r="U283" s="186"/>
      <c r="V283" s="18"/>
      <c r="W283" s="374"/>
      <c r="X283" s="372"/>
      <c r="Y283" s="186"/>
      <c r="Z283" s="18"/>
      <c r="AA283" s="374"/>
      <c r="AB283" s="372"/>
      <c r="AC283" s="186"/>
      <c r="AD283" s="18"/>
      <c r="AE283" s="374"/>
      <c r="AF283" s="372"/>
      <c r="AG283" s="188"/>
      <c r="AH283" s="18"/>
      <c r="AI283" s="374"/>
      <c r="AJ283" s="372"/>
      <c r="AK283" s="365"/>
      <c r="AL283" s="365"/>
      <c r="AM283" s="365"/>
      <c r="AN283" s="365"/>
      <c r="AO283" s="365"/>
      <c r="AP283" s="365"/>
    </row>
    <row r="284">
      <c r="A284" s="302"/>
      <c r="B284" s="303"/>
      <c r="C284" s="304"/>
      <c r="D284" s="365"/>
      <c r="E284" s="302"/>
      <c r="F284" s="303"/>
      <c r="G284" s="304"/>
      <c r="H284" s="365"/>
      <c r="I284" s="302"/>
      <c r="J284" s="303"/>
      <c r="K284" s="304"/>
      <c r="L284" s="365"/>
      <c r="M284" s="302"/>
      <c r="N284" s="303"/>
      <c r="O284" s="304"/>
      <c r="P284" s="365"/>
      <c r="Q284" s="186"/>
      <c r="R284" s="18"/>
      <c r="S284" s="374"/>
      <c r="T284" s="372"/>
      <c r="U284" s="186"/>
      <c r="V284" s="18"/>
      <c r="W284" s="374"/>
      <c r="X284" s="372"/>
      <c r="Y284" s="186"/>
      <c r="Z284" s="18"/>
      <c r="AA284" s="374"/>
      <c r="AB284" s="372"/>
      <c r="AC284" s="186"/>
      <c r="AD284" s="18"/>
      <c r="AE284" s="374"/>
      <c r="AF284" s="372"/>
      <c r="AG284" s="188"/>
      <c r="AH284" s="18"/>
      <c r="AI284" s="374"/>
      <c r="AJ284" s="372"/>
      <c r="AK284" s="365"/>
      <c r="AL284" s="365"/>
      <c r="AM284" s="365"/>
      <c r="AN284" s="365"/>
      <c r="AO284" s="365"/>
      <c r="AP284" s="365"/>
    </row>
    <row r="285">
      <c r="A285" s="302"/>
      <c r="B285" s="303"/>
      <c r="C285" s="304"/>
      <c r="D285" s="365"/>
      <c r="E285" s="302"/>
      <c r="F285" s="303"/>
      <c r="G285" s="304"/>
      <c r="H285" s="365"/>
      <c r="I285" s="302"/>
      <c r="J285" s="303"/>
      <c r="K285" s="304"/>
      <c r="L285" s="365"/>
      <c r="M285" s="302"/>
      <c r="N285" s="303"/>
      <c r="O285" s="304"/>
      <c r="P285" s="365"/>
      <c r="Q285" s="186"/>
      <c r="R285" s="18"/>
      <c r="S285" s="374"/>
      <c r="T285" s="372"/>
      <c r="U285" s="186"/>
      <c r="V285" s="18"/>
      <c r="W285" s="374"/>
      <c r="X285" s="372"/>
      <c r="Y285" s="186"/>
      <c r="Z285" s="18"/>
      <c r="AA285" s="374"/>
      <c r="AB285" s="372"/>
      <c r="AC285" s="186"/>
      <c r="AD285" s="18"/>
      <c r="AE285" s="374"/>
      <c r="AF285" s="372"/>
      <c r="AG285" s="188"/>
      <c r="AH285" s="18"/>
      <c r="AI285" s="374"/>
      <c r="AJ285" s="372"/>
      <c r="AK285" s="365"/>
      <c r="AL285" s="365"/>
      <c r="AM285" s="365"/>
      <c r="AN285" s="365"/>
      <c r="AO285" s="365"/>
      <c r="AP285" s="365"/>
    </row>
    <row r="286">
      <c r="A286" s="302"/>
      <c r="B286" s="303"/>
      <c r="C286" s="304"/>
      <c r="D286" s="365"/>
      <c r="E286" s="302"/>
      <c r="F286" s="303"/>
      <c r="G286" s="304"/>
      <c r="H286" s="365"/>
      <c r="I286" s="302"/>
      <c r="J286" s="303"/>
      <c r="K286" s="304"/>
      <c r="L286" s="365"/>
      <c r="M286" s="302"/>
      <c r="N286" s="303"/>
      <c r="O286" s="304"/>
      <c r="P286" s="365"/>
      <c r="Q286" s="186"/>
      <c r="R286" s="18"/>
      <c r="S286" s="374"/>
      <c r="T286" s="372"/>
      <c r="U286" s="186"/>
      <c r="V286" s="18"/>
      <c r="W286" s="374"/>
      <c r="X286" s="372"/>
      <c r="Y286" s="186"/>
      <c r="Z286" s="18"/>
      <c r="AA286" s="374"/>
      <c r="AB286" s="372"/>
      <c r="AC286" s="186"/>
      <c r="AD286" s="18"/>
      <c r="AE286" s="374"/>
      <c r="AF286" s="372"/>
      <c r="AG286" s="188"/>
      <c r="AH286" s="18"/>
      <c r="AI286" s="374"/>
      <c r="AJ286" s="372"/>
      <c r="AK286" s="365"/>
      <c r="AL286" s="365"/>
      <c r="AM286" s="365"/>
      <c r="AN286" s="365"/>
      <c r="AO286" s="365"/>
      <c r="AP286" s="365"/>
    </row>
    <row r="287">
      <c r="A287" s="302"/>
      <c r="B287" s="303"/>
      <c r="C287" s="304"/>
      <c r="D287" s="365"/>
      <c r="E287" s="302"/>
      <c r="F287" s="303"/>
      <c r="G287" s="304"/>
      <c r="H287" s="365"/>
      <c r="I287" s="302"/>
      <c r="J287" s="303"/>
      <c r="K287" s="304"/>
      <c r="L287" s="365"/>
      <c r="M287" s="302"/>
      <c r="N287" s="303"/>
      <c r="O287" s="304"/>
      <c r="P287" s="365"/>
      <c r="Q287" s="186"/>
      <c r="R287" s="18"/>
      <c r="S287" s="374"/>
      <c r="T287" s="372"/>
      <c r="U287" s="186"/>
      <c r="V287" s="18"/>
      <c r="W287" s="374"/>
      <c r="X287" s="372"/>
      <c r="Y287" s="186"/>
      <c r="Z287" s="18"/>
      <c r="AA287" s="374"/>
      <c r="AB287" s="372"/>
      <c r="AC287" s="186"/>
      <c r="AD287" s="18"/>
      <c r="AE287" s="374"/>
      <c r="AF287" s="372"/>
      <c r="AG287" s="188"/>
      <c r="AH287" s="18"/>
      <c r="AI287" s="374"/>
      <c r="AJ287" s="372"/>
      <c r="AK287" s="365"/>
      <c r="AL287" s="365"/>
      <c r="AM287" s="365"/>
      <c r="AN287" s="365"/>
      <c r="AO287" s="365"/>
      <c r="AP287" s="365"/>
    </row>
    <row r="288">
      <c r="A288" s="302"/>
      <c r="B288" s="303"/>
      <c r="C288" s="304"/>
      <c r="D288" s="365"/>
      <c r="E288" s="302"/>
      <c r="F288" s="303"/>
      <c r="G288" s="304"/>
      <c r="H288" s="365"/>
      <c r="I288" s="302"/>
      <c r="J288" s="303"/>
      <c r="K288" s="304"/>
      <c r="L288" s="365"/>
      <c r="M288" s="302"/>
      <c r="N288" s="303"/>
      <c r="O288" s="304"/>
      <c r="P288" s="365"/>
      <c r="Q288" s="186"/>
      <c r="R288" s="18"/>
      <c r="S288" s="374"/>
      <c r="T288" s="372"/>
      <c r="U288" s="186"/>
      <c r="V288" s="18"/>
      <c r="W288" s="374"/>
      <c r="X288" s="372"/>
      <c r="Y288" s="186"/>
      <c r="Z288" s="18"/>
      <c r="AA288" s="374"/>
      <c r="AB288" s="372"/>
      <c r="AC288" s="186"/>
      <c r="AD288" s="18"/>
      <c r="AE288" s="374"/>
      <c r="AF288" s="372"/>
      <c r="AG288" s="188"/>
      <c r="AH288" s="18"/>
      <c r="AI288" s="374"/>
      <c r="AJ288" s="372"/>
      <c r="AK288" s="365"/>
      <c r="AL288" s="365"/>
      <c r="AM288" s="365"/>
      <c r="AN288" s="365"/>
      <c r="AO288" s="365"/>
      <c r="AP288" s="365"/>
    </row>
    <row r="289">
      <c r="A289" s="302"/>
      <c r="B289" s="303"/>
      <c r="C289" s="304"/>
      <c r="D289" s="365"/>
      <c r="E289" s="302"/>
      <c r="F289" s="303"/>
      <c r="G289" s="304"/>
      <c r="H289" s="365"/>
      <c r="I289" s="302"/>
      <c r="J289" s="303"/>
      <c r="K289" s="304"/>
      <c r="L289" s="365"/>
      <c r="M289" s="302"/>
      <c r="N289" s="303"/>
      <c r="O289" s="304"/>
      <c r="P289" s="365"/>
      <c r="Q289" s="186"/>
      <c r="R289" s="18"/>
      <c r="S289" s="374"/>
      <c r="T289" s="372"/>
      <c r="U289" s="186"/>
      <c r="V289" s="18"/>
      <c r="W289" s="374"/>
      <c r="X289" s="372"/>
      <c r="Y289" s="186"/>
      <c r="Z289" s="18"/>
      <c r="AA289" s="374"/>
      <c r="AB289" s="372"/>
      <c r="AC289" s="186"/>
      <c r="AD289" s="18"/>
      <c r="AE289" s="374"/>
      <c r="AF289" s="372"/>
      <c r="AG289" s="188"/>
      <c r="AH289" s="18"/>
      <c r="AI289" s="374"/>
      <c r="AJ289" s="372"/>
      <c r="AK289" s="365"/>
      <c r="AL289" s="365"/>
      <c r="AM289" s="365"/>
      <c r="AN289" s="365"/>
      <c r="AO289" s="365"/>
      <c r="AP289" s="365"/>
    </row>
    <row r="290">
      <c r="A290" s="302"/>
      <c r="B290" s="303"/>
      <c r="C290" s="304"/>
      <c r="D290" s="365"/>
      <c r="E290" s="302"/>
      <c r="F290" s="303"/>
      <c r="G290" s="304"/>
      <c r="H290" s="365"/>
      <c r="I290" s="302"/>
      <c r="J290" s="303"/>
      <c r="K290" s="304"/>
      <c r="L290" s="365"/>
      <c r="M290" s="302"/>
      <c r="N290" s="303"/>
      <c r="O290" s="304"/>
      <c r="P290" s="365"/>
      <c r="Q290" s="186"/>
      <c r="R290" s="18"/>
      <c r="S290" s="374"/>
      <c r="T290" s="372"/>
      <c r="U290" s="186"/>
      <c r="V290" s="18"/>
      <c r="W290" s="374"/>
      <c r="X290" s="372"/>
      <c r="Y290" s="186"/>
      <c r="Z290" s="18"/>
      <c r="AA290" s="374"/>
      <c r="AB290" s="372"/>
      <c r="AC290" s="186"/>
      <c r="AD290" s="18"/>
      <c r="AE290" s="374"/>
      <c r="AF290" s="372"/>
      <c r="AG290" s="188"/>
      <c r="AH290" s="18"/>
      <c r="AI290" s="374"/>
      <c r="AJ290" s="372"/>
      <c r="AK290" s="365"/>
      <c r="AL290" s="365"/>
      <c r="AM290" s="365"/>
      <c r="AN290" s="365"/>
      <c r="AO290" s="365"/>
      <c r="AP290" s="365"/>
    </row>
    <row r="291">
      <c r="A291" s="302"/>
      <c r="B291" s="303"/>
      <c r="C291" s="304"/>
      <c r="D291" s="365"/>
      <c r="E291" s="302"/>
      <c r="F291" s="303"/>
      <c r="G291" s="304"/>
      <c r="H291" s="365"/>
      <c r="I291" s="302"/>
      <c r="J291" s="303"/>
      <c r="K291" s="304"/>
      <c r="L291" s="365"/>
      <c r="M291" s="302"/>
      <c r="N291" s="303"/>
      <c r="O291" s="304"/>
      <c r="P291" s="365"/>
      <c r="Q291" s="186"/>
      <c r="R291" s="18"/>
      <c r="S291" s="374"/>
      <c r="T291" s="372"/>
      <c r="U291" s="186"/>
      <c r="V291" s="18"/>
      <c r="W291" s="374"/>
      <c r="X291" s="372"/>
      <c r="Y291" s="186"/>
      <c r="Z291" s="18"/>
      <c r="AA291" s="374"/>
      <c r="AB291" s="372"/>
      <c r="AC291" s="186"/>
      <c r="AD291" s="18"/>
      <c r="AE291" s="374"/>
      <c r="AF291" s="372"/>
      <c r="AG291" s="188"/>
      <c r="AH291" s="18"/>
      <c r="AI291" s="374"/>
      <c r="AJ291" s="372"/>
      <c r="AK291" s="365"/>
      <c r="AL291" s="365"/>
      <c r="AM291" s="365"/>
      <c r="AN291" s="365"/>
      <c r="AO291" s="365"/>
      <c r="AP291" s="365"/>
    </row>
    <row r="292">
      <c r="A292" s="302"/>
      <c r="B292" s="303"/>
      <c r="C292" s="304"/>
      <c r="D292" s="365"/>
      <c r="E292" s="302"/>
      <c r="F292" s="303"/>
      <c r="G292" s="304"/>
      <c r="H292" s="365"/>
      <c r="I292" s="302"/>
      <c r="J292" s="303"/>
      <c r="K292" s="304"/>
      <c r="L292" s="365"/>
      <c r="M292" s="302"/>
      <c r="N292" s="303"/>
      <c r="O292" s="304"/>
      <c r="P292" s="365"/>
      <c r="Q292" s="186"/>
      <c r="R292" s="18"/>
      <c r="S292" s="374"/>
      <c r="T292" s="372"/>
      <c r="U292" s="186"/>
      <c r="V292" s="18"/>
      <c r="W292" s="374"/>
      <c r="X292" s="372"/>
      <c r="Y292" s="186"/>
      <c r="Z292" s="18"/>
      <c r="AA292" s="374"/>
      <c r="AB292" s="372"/>
      <c r="AC292" s="186"/>
      <c r="AD292" s="18"/>
      <c r="AE292" s="374"/>
      <c r="AF292" s="372"/>
      <c r="AG292" s="188"/>
      <c r="AH292" s="18"/>
      <c r="AI292" s="374"/>
      <c r="AJ292" s="372"/>
      <c r="AK292" s="365"/>
      <c r="AL292" s="365"/>
      <c r="AM292" s="365"/>
      <c r="AN292" s="365"/>
      <c r="AO292" s="365"/>
      <c r="AP292" s="365"/>
    </row>
    <row r="293">
      <c r="A293" s="302"/>
      <c r="B293" s="303"/>
      <c r="C293" s="304"/>
      <c r="D293" s="365"/>
      <c r="E293" s="302"/>
      <c r="F293" s="303"/>
      <c r="G293" s="304"/>
      <c r="H293" s="365"/>
      <c r="I293" s="302"/>
      <c r="J293" s="303"/>
      <c r="K293" s="304"/>
      <c r="L293" s="365"/>
      <c r="M293" s="302"/>
      <c r="N293" s="303"/>
      <c r="O293" s="304"/>
      <c r="P293" s="365"/>
      <c r="Q293" s="186"/>
      <c r="R293" s="18"/>
      <c r="S293" s="374"/>
      <c r="T293" s="372"/>
      <c r="U293" s="186"/>
      <c r="V293" s="18"/>
      <c r="W293" s="374"/>
      <c r="X293" s="372"/>
      <c r="Y293" s="186"/>
      <c r="Z293" s="18"/>
      <c r="AA293" s="374"/>
      <c r="AB293" s="372"/>
      <c r="AC293" s="186"/>
      <c r="AD293" s="18"/>
      <c r="AE293" s="374"/>
      <c r="AF293" s="372"/>
      <c r="AG293" s="188"/>
      <c r="AH293" s="18"/>
      <c r="AI293" s="374"/>
      <c r="AJ293" s="372"/>
      <c r="AK293" s="365"/>
      <c r="AL293" s="365"/>
      <c r="AM293" s="365"/>
      <c r="AN293" s="365"/>
      <c r="AO293" s="365"/>
      <c r="AP293" s="365"/>
    </row>
    <row r="294">
      <c r="A294" s="302"/>
      <c r="B294" s="303"/>
      <c r="C294" s="304"/>
      <c r="D294" s="365"/>
      <c r="E294" s="302"/>
      <c r="F294" s="303"/>
      <c r="G294" s="304"/>
      <c r="H294" s="365"/>
      <c r="I294" s="302"/>
      <c r="J294" s="303"/>
      <c r="K294" s="304"/>
      <c r="L294" s="365"/>
      <c r="M294" s="302"/>
      <c r="N294" s="303"/>
      <c r="O294" s="304"/>
      <c r="P294" s="365"/>
      <c r="Q294" s="186"/>
      <c r="R294" s="18"/>
      <c r="S294" s="374"/>
      <c r="T294" s="372"/>
      <c r="U294" s="186"/>
      <c r="V294" s="18"/>
      <c r="W294" s="374"/>
      <c r="X294" s="372"/>
      <c r="Y294" s="186"/>
      <c r="Z294" s="18"/>
      <c r="AA294" s="374"/>
      <c r="AB294" s="372"/>
      <c r="AC294" s="186"/>
      <c r="AD294" s="18"/>
      <c r="AE294" s="374"/>
      <c r="AF294" s="372"/>
      <c r="AG294" s="188"/>
      <c r="AH294" s="188"/>
      <c r="AI294" s="188"/>
      <c r="AJ294" s="188"/>
      <c r="AK294" s="365"/>
      <c r="AL294" s="365"/>
      <c r="AM294" s="365"/>
      <c r="AN294" s="365"/>
      <c r="AO294" s="365"/>
      <c r="AP294" s="365"/>
    </row>
    <row r="295">
      <c r="A295" s="302"/>
      <c r="B295" s="303"/>
      <c r="C295" s="304"/>
      <c r="D295" s="365"/>
      <c r="E295" s="302"/>
      <c r="F295" s="303"/>
      <c r="G295" s="304"/>
      <c r="H295" s="365"/>
      <c r="I295" s="302"/>
      <c r="J295" s="303"/>
      <c r="K295" s="304"/>
      <c r="L295" s="365"/>
      <c r="M295" s="302"/>
      <c r="N295" s="303"/>
      <c r="O295" s="304"/>
      <c r="P295" s="365"/>
      <c r="Q295" s="186"/>
      <c r="R295" s="18"/>
      <c r="S295" s="374"/>
      <c r="T295" s="372"/>
      <c r="U295" s="186"/>
      <c r="V295" s="18"/>
      <c r="W295" s="374"/>
      <c r="X295" s="372"/>
      <c r="Y295" s="186"/>
      <c r="Z295" s="18"/>
      <c r="AA295" s="374"/>
      <c r="AB295" s="372"/>
      <c r="AC295" s="186"/>
      <c r="AD295" s="18"/>
      <c r="AE295" s="374"/>
      <c r="AF295" s="372"/>
      <c r="AG295" s="188"/>
      <c r="AH295" s="188"/>
      <c r="AI295" s="188"/>
      <c r="AJ295" s="188"/>
      <c r="AK295" s="365"/>
      <c r="AL295" s="365"/>
      <c r="AM295" s="365"/>
      <c r="AN295" s="365"/>
      <c r="AO295" s="365"/>
      <c r="AP295" s="365"/>
    </row>
    <row r="296">
      <c r="A296" s="302"/>
      <c r="B296" s="303"/>
      <c r="C296" s="304"/>
      <c r="D296" s="365"/>
      <c r="E296" s="302"/>
      <c r="F296" s="303"/>
      <c r="G296" s="304"/>
      <c r="H296" s="365"/>
      <c r="I296" s="302"/>
      <c r="J296" s="303"/>
      <c r="K296" s="304"/>
      <c r="L296" s="365"/>
      <c r="M296" s="302"/>
      <c r="N296" s="303"/>
      <c r="O296" s="304"/>
      <c r="P296" s="365"/>
      <c r="Q296" s="186"/>
      <c r="R296" s="18"/>
      <c r="S296" s="374"/>
      <c r="T296" s="372"/>
      <c r="U296" s="186"/>
      <c r="V296" s="18"/>
      <c r="W296" s="374"/>
      <c r="X296" s="372"/>
      <c r="Y296" s="186"/>
      <c r="Z296" s="18"/>
      <c r="AA296" s="374"/>
      <c r="AB296" s="372"/>
      <c r="AC296" s="186"/>
      <c r="AD296" s="18"/>
      <c r="AE296" s="374"/>
      <c r="AF296" s="372"/>
      <c r="AG296" s="188"/>
      <c r="AH296" s="188"/>
      <c r="AI296" s="188"/>
      <c r="AJ296" s="188"/>
      <c r="AK296" s="365"/>
      <c r="AL296" s="365"/>
      <c r="AM296" s="365"/>
      <c r="AN296" s="365"/>
      <c r="AO296" s="365"/>
      <c r="AP296" s="365"/>
    </row>
    <row r="297">
      <c r="A297" s="302"/>
      <c r="B297" s="303"/>
      <c r="C297" s="304"/>
      <c r="D297" s="365"/>
      <c r="E297" s="302"/>
      <c r="F297" s="303"/>
      <c r="G297" s="304"/>
      <c r="H297" s="365"/>
      <c r="I297" s="302"/>
      <c r="J297" s="303"/>
      <c r="K297" s="304"/>
      <c r="L297" s="365"/>
      <c r="M297" s="302"/>
      <c r="N297" s="303"/>
      <c r="O297" s="304"/>
      <c r="P297" s="365"/>
      <c r="Q297" s="186"/>
      <c r="R297" s="18"/>
      <c r="S297" s="374"/>
      <c r="T297" s="372"/>
      <c r="U297" s="186"/>
      <c r="V297" s="18"/>
      <c r="W297" s="374"/>
      <c r="X297" s="372"/>
      <c r="Y297" s="186"/>
      <c r="Z297" s="18"/>
      <c r="AA297" s="374"/>
      <c r="AB297" s="372"/>
      <c r="AC297" s="186"/>
      <c r="AD297" s="18"/>
      <c r="AE297" s="374"/>
      <c r="AF297" s="372"/>
      <c r="AG297" s="188"/>
      <c r="AH297" s="188"/>
      <c r="AI297" s="188"/>
      <c r="AJ297" s="188"/>
      <c r="AK297" s="365"/>
      <c r="AL297" s="365"/>
      <c r="AM297" s="365"/>
      <c r="AN297" s="365"/>
      <c r="AO297" s="365"/>
      <c r="AP297" s="365"/>
    </row>
    <row r="298">
      <c r="A298" s="302"/>
      <c r="B298" s="303"/>
      <c r="C298" s="304"/>
      <c r="D298" s="365"/>
      <c r="E298" s="302"/>
      <c r="F298" s="303"/>
      <c r="G298" s="304"/>
      <c r="H298" s="365"/>
      <c r="I298" s="302"/>
      <c r="J298" s="303"/>
      <c r="K298" s="304"/>
      <c r="L298" s="365"/>
      <c r="M298" s="302"/>
      <c r="N298" s="303"/>
      <c r="O298" s="304"/>
      <c r="P298" s="365"/>
      <c r="Q298" s="186"/>
      <c r="R298" s="18"/>
      <c r="S298" s="374"/>
      <c r="T298" s="372"/>
      <c r="U298" s="186"/>
      <c r="V298" s="18"/>
      <c r="W298" s="374"/>
      <c r="X298" s="372"/>
      <c r="Y298" s="186"/>
      <c r="Z298" s="18"/>
      <c r="AA298" s="374"/>
      <c r="AB298" s="372"/>
      <c r="AC298" s="186"/>
      <c r="AD298" s="18"/>
      <c r="AE298" s="374"/>
      <c r="AF298" s="372"/>
      <c r="AG298" s="188"/>
      <c r="AH298" s="188"/>
      <c r="AI298" s="188"/>
      <c r="AJ298" s="188"/>
      <c r="AK298" s="365"/>
      <c r="AL298" s="365"/>
      <c r="AM298" s="365"/>
      <c r="AN298" s="365"/>
      <c r="AO298" s="365"/>
      <c r="AP298" s="365"/>
    </row>
    <row r="299">
      <c r="A299" s="302"/>
      <c r="B299" s="303"/>
      <c r="C299" s="304"/>
      <c r="D299" s="365"/>
      <c r="E299" s="302"/>
      <c r="F299" s="303"/>
      <c r="G299" s="304"/>
      <c r="H299" s="365"/>
      <c r="I299" s="302"/>
      <c r="J299" s="303"/>
      <c r="K299" s="304"/>
      <c r="L299" s="365"/>
      <c r="M299" s="302"/>
      <c r="N299" s="303"/>
      <c r="O299" s="304"/>
      <c r="P299" s="365"/>
      <c r="Q299" s="186"/>
      <c r="R299" s="18"/>
      <c r="S299" s="374"/>
      <c r="T299" s="372"/>
      <c r="U299" s="186"/>
      <c r="V299" s="18"/>
      <c r="W299" s="374"/>
      <c r="X299" s="372"/>
      <c r="Y299" s="186"/>
      <c r="Z299" s="18"/>
      <c r="AA299" s="374"/>
      <c r="AB299" s="372"/>
      <c r="AC299" s="186"/>
      <c r="AD299" s="18"/>
      <c r="AE299" s="374"/>
      <c r="AF299" s="372"/>
      <c r="AG299" s="188"/>
      <c r="AH299" s="188"/>
      <c r="AI299" s="188"/>
      <c r="AJ299" s="188"/>
      <c r="AK299" s="365"/>
      <c r="AL299" s="365"/>
      <c r="AM299" s="365"/>
      <c r="AN299" s="365"/>
      <c r="AO299" s="365"/>
      <c r="AP299" s="365"/>
    </row>
    <row r="300">
      <c r="A300" s="302"/>
      <c r="B300" s="303"/>
      <c r="C300" s="304"/>
      <c r="D300" s="365"/>
      <c r="E300" s="302"/>
      <c r="F300" s="303"/>
      <c r="G300" s="304"/>
      <c r="H300" s="365"/>
      <c r="I300" s="302"/>
      <c r="J300" s="303"/>
      <c r="K300" s="304"/>
      <c r="L300" s="365"/>
      <c r="M300" s="302"/>
      <c r="N300" s="303"/>
      <c r="O300" s="304"/>
      <c r="P300" s="365"/>
      <c r="Q300" s="186"/>
      <c r="R300" s="18"/>
      <c r="S300" s="374"/>
      <c r="T300" s="372"/>
      <c r="U300" s="186"/>
      <c r="V300" s="18"/>
      <c r="W300" s="374"/>
      <c r="X300" s="372"/>
      <c r="Y300" s="186"/>
      <c r="Z300" s="18"/>
      <c r="AA300" s="374"/>
      <c r="AB300" s="372"/>
      <c r="AC300" s="186"/>
      <c r="AD300" s="18"/>
      <c r="AE300" s="374"/>
      <c r="AF300" s="372"/>
      <c r="AG300" s="188"/>
      <c r="AH300" s="188"/>
      <c r="AI300" s="188"/>
      <c r="AJ300" s="188"/>
      <c r="AK300" s="365"/>
      <c r="AL300" s="365"/>
      <c r="AM300" s="365"/>
      <c r="AN300" s="365"/>
      <c r="AO300" s="365"/>
      <c r="AP300" s="365"/>
    </row>
    <row r="301">
      <c r="A301" s="302"/>
      <c r="B301" s="303"/>
      <c r="C301" s="304"/>
      <c r="D301" s="365"/>
      <c r="E301" s="302"/>
      <c r="F301" s="303"/>
      <c r="G301" s="304"/>
      <c r="H301" s="365"/>
      <c r="I301" s="302"/>
      <c r="J301" s="303"/>
      <c r="K301" s="304"/>
      <c r="L301" s="365"/>
      <c r="M301" s="302"/>
      <c r="N301" s="303"/>
      <c r="O301" s="304"/>
      <c r="P301" s="365"/>
      <c r="Q301" s="186"/>
      <c r="R301" s="18"/>
      <c r="S301" s="374"/>
      <c r="T301" s="372"/>
      <c r="U301" s="186"/>
      <c r="V301" s="18"/>
      <c r="W301" s="374"/>
      <c r="X301" s="372"/>
      <c r="Y301" s="186"/>
      <c r="Z301" s="18"/>
      <c r="AA301" s="374"/>
      <c r="AB301" s="372"/>
      <c r="AC301" s="186"/>
      <c r="AD301" s="18"/>
      <c r="AE301" s="374"/>
      <c r="AF301" s="372"/>
      <c r="AG301" s="188"/>
      <c r="AH301" s="188"/>
      <c r="AI301" s="188"/>
      <c r="AJ301" s="188"/>
      <c r="AK301" s="365"/>
      <c r="AL301" s="365"/>
      <c r="AM301" s="365"/>
      <c r="AN301" s="365"/>
      <c r="AO301" s="365"/>
      <c r="AP301" s="365"/>
    </row>
    <row r="302">
      <c r="A302" s="302"/>
      <c r="B302" s="303"/>
      <c r="C302" s="304"/>
      <c r="D302" s="365"/>
      <c r="E302" s="302"/>
      <c r="F302" s="303"/>
      <c r="G302" s="304"/>
      <c r="H302" s="365"/>
      <c r="I302" s="302"/>
      <c r="J302" s="303"/>
      <c r="K302" s="304"/>
      <c r="L302" s="365"/>
      <c r="M302" s="302"/>
      <c r="N302" s="303"/>
      <c r="O302" s="304"/>
      <c r="P302" s="365"/>
      <c r="Q302" s="186"/>
      <c r="R302" s="18"/>
      <c r="S302" s="374"/>
      <c r="T302" s="372"/>
      <c r="U302" s="186"/>
      <c r="V302" s="18"/>
      <c r="W302" s="374"/>
      <c r="X302" s="372"/>
      <c r="Y302" s="186"/>
      <c r="Z302" s="18"/>
      <c r="AA302" s="374"/>
      <c r="AB302" s="372"/>
      <c r="AC302" s="186"/>
      <c r="AD302" s="18"/>
      <c r="AE302" s="374"/>
      <c r="AF302" s="372"/>
      <c r="AG302" s="188"/>
      <c r="AH302" s="188"/>
      <c r="AI302" s="188"/>
      <c r="AJ302" s="188"/>
      <c r="AK302" s="365"/>
      <c r="AL302" s="365"/>
      <c r="AM302" s="365"/>
      <c r="AN302" s="365"/>
      <c r="AO302" s="365"/>
      <c r="AP302" s="365"/>
    </row>
    <row r="303">
      <c r="A303" s="302"/>
      <c r="B303" s="303"/>
      <c r="C303" s="304"/>
      <c r="D303" s="365"/>
      <c r="E303" s="302"/>
      <c r="F303" s="303"/>
      <c r="G303" s="304"/>
      <c r="H303" s="365"/>
      <c r="I303" s="302"/>
      <c r="J303" s="303"/>
      <c r="K303" s="304"/>
      <c r="L303" s="365"/>
      <c r="M303" s="302"/>
      <c r="N303" s="303"/>
      <c r="O303" s="304"/>
      <c r="P303" s="365"/>
      <c r="Q303" s="186"/>
      <c r="R303" s="18"/>
      <c r="S303" s="374"/>
      <c r="T303" s="372"/>
      <c r="U303" s="186"/>
      <c r="V303" s="18"/>
      <c r="W303" s="374"/>
      <c r="X303" s="372"/>
      <c r="Y303" s="186"/>
      <c r="Z303" s="18"/>
      <c r="AA303" s="374"/>
      <c r="AB303" s="372"/>
      <c r="AC303" s="186"/>
      <c r="AD303" s="18"/>
      <c r="AE303" s="374"/>
      <c r="AF303" s="372"/>
      <c r="AG303" s="188"/>
      <c r="AH303" s="188"/>
      <c r="AI303" s="188"/>
      <c r="AJ303" s="188"/>
      <c r="AK303" s="365"/>
      <c r="AL303" s="365"/>
      <c r="AM303" s="365"/>
      <c r="AN303" s="365"/>
      <c r="AO303" s="365"/>
      <c r="AP303" s="365"/>
    </row>
    <row r="304">
      <c r="A304" s="302"/>
      <c r="B304" s="303"/>
      <c r="C304" s="304"/>
      <c r="D304" s="365"/>
      <c r="E304" s="302"/>
      <c r="F304" s="303"/>
      <c r="G304" s="304"/>
      <c r="H304" s="365"/>
      <c r="I304" s="302"/>
      <c r="J304" s="303"/>
      <c r="K304" s="304"/>
      <c r="L304" s="365"/>
      <c r="M304" s="302"/>
      <c r="N304" s="303"/>
      <c r="O304" s="304"/>
      <c r="P304" s="365"/>
      <c r="Q304" s="186"/>
      <c r="R304" s="18"/>
      <c r="S304" s="374"/>
      <c r="T304" s="372"/>
      <c r="U304" s="186"/>
      <c r="V304" s="18"/>
      <c r="W304" s="374"/>
      <c r="X304" s="372"/>
      <c r="Y304" s="186"/>
      <c r="Z304" s="18"/>
      <c r="AA304" s="374"/>
      <c r="AB304" s="372"/>
      <c r="AC304" s="186"/>
      <c r="AD304" s="18"/>
      <c r="AE304" s="374"/>
      <c r="AF304" s="372"/>
      <c r="AG304" s="188"/>
      <c r="AH304" s="188"/>
      <c r="AI304" s="188"/>
      <c r="AJ304" s="188"/>
      <c r="AK304" s="365"/>
      <c r="AL304" s="365"/>
      <c r="AM304" s="365"/>
      <c r="AN304" s="365"/>
      <c r="AO304" s="365"/>
      <c r="AP304" s="365"/>
    </row>
    <row r="305">
      <c r="A305" s="302"/>
      <c r="B305" s="303"/>
      <c r="C305" s="304"/>
      <c r="D305" s="365"/>
      <c r="E305" s="302"/>
      <c r="F305" s="303"/>
      <c r="G305" s="304"/>
      <c r="H305" s="365"/>
      <c r="I305" s="302"/>
      <c r="J305" s="303"/>
      <c r="K305" s="304"/>
      <c r="L305" s="365"/>
      <c r="M305" s="302"/>
      <c r="N305" s="303"/>
      <c r="O305" s="304"/>
      <c r="P305" s="365"/>
      <c r="Q305" s="186"/>
      <c r="R305" s="18"/>
      <c r="S305" s="374"/>
      <c r="T305" s="372"/>
      <c r="U305" s="186"/>
      <c r="V305" s="18"/>
      <c r="W305" s="374"/>
      <c r="X305" s="372"/>
      <c r="Y305" s="186"/>
      <c r="Z305" s="18"/>
      <c r="AA305" s="374"/>
      <c r="AB305" s="372"/>
      <c r="AC305" s="186"/>
      <c r="AD305" s="18"/>
      <c r="AE305" s="374"/>
      <c r="AF305" s="372"/>
      <c r="AG305" s="188"/>
      <c r="AH305" s="188"/>
      <c r="AI305" s="188"/>
      <c r="AJ305" s="188"/>
      <c r="AK305" s="365"/>
      <c r="AL305" s="365"/>
      <c r="AM305" s="365"/>
      <c r="AN305" s="365"/>
      <c r="AO305" s="365"/>
      <c r="AP305" s="365"/>
    </row>
    <row r="306">
      <c r="A306" s="302"/>
      <c r="B306" s="303"/>
      <c r="C306" s="304"/>
      <c r="D306" s="365"/>
      <c r="E306" s="302"/>
      <c r="F306" s="303"/>
      <c r="G306" s="304"/>
      <c r="H306" s="365"/>
      <c r="I306" s="302"/>
      <c r="J306" s="303"/>
      <c r="K306" s="304"/>
      <c r="L306" s="365"/>
      <c r="M306" s="302"/>
      <c r="N306" s="303"/>
      <c r="O306" s="304"/>
      <c r="P306" s="365"/>
      <c r="Q306" s="186"/>
      <c r="R306" s="18"/>
      <c r="S306" s="374"/>
      <c r="T306" s="372"/>
      <c r="U306" s="186"/>
      <c r="V306" s="18"/>
      <c r="W306" s="374"/>
      <c r="X306" s="372"/>
      <c r="Y306" s="186"/>
      <c r="Z306" s="18"/>
      <c r="AA306" s="374"/>
      <c r="AB306" s="372"/>
      <c r="AC306" s="186"/>
      <c r="AD306" s="18"/>
      <c r="AE306" s="374"/>
      <c r="AF306" s="372"/>
      <c r="AG306" s="188"/>
      <c r="AH306" s="188"/>
      <c r="AI306" s="188"/>
      <c r="AJ306" s="188"/>
      <c r="AK306" s="365"/>
      <c r="AL306" s="365"/>
      <c r="AM306" s="365"/>
      <c r="AN306" s="365"/>
      <c r="AO306" s="365"/>
      <c r="AP306" s="365"/>
    </row>
    <row r="307">
      <c r="A307" s="302"/>
      <c r="B307" s="303"/>
      <c r="C307" s="304"/>
      <c r="D307" s="365"/>
      <c r="E307" s="302"/>
      <c r="F307" s="303"/>
      <c r="G307" s="304"/>
      <c r="H307" s="365"/>
      <c r="I307" s="302"/>
      <c r="J307" s="303"/>
      <c r="K307" s="304"/>
      <c r="L307" s="365"/>
      <c r="M307" s="302"/>
      <c r="N307" s="303"/>
      <c r="O307" s="304"/>
      <c r="P307" s="365"/>
      <c r="Q307" s="186"/>
      <c r="R307" s="18"/>
      <c r="S307" s="374"/>
      <c r="T307" s="372"/>
      <c r="U307" s="186"/>
      <c r="V307" s="18"/>
      <c r="W307" s="374"/>
      <c r="X307" s="372"/>
      <c r="Y307" s="186"/>
      <c r="Z307" s="18"/>
      <c r="AA307" s="374"/>
      <c r="AB307" s="372"/>
      <c r="AC307" s="186"/>
      <c r="AD307" s="18"/>
      <c r="AE307" s="374"/>
      <c r="AF307" s="372"/>
      <c r="AG307" s="188"/>
      <c r="AH307" s="188"/>
      <c r="AI307" s="188"/>
      <c r="AJ307" s="188"/>
      <c r="AK307" s="365"/>
      <c r="AL307" s="365"/>
      <c r="AM307" s="365"/>
      <c r="AN307" s="365"/>
      <c r="AO307" s="365"/>
      <c r="AP307" s="365"/>
    </row>
    <row r="308">
      <c r="A308" s="302"/>
      <c r="B308" s="303"/>
      <c r="C308" s="304"/>
      <c r="D308" s="365"/>
      <c r="E308" s="302"/>
      <c r="F308" s="303"/>
      <c r="G308" s="304"/>
      <c r="H308" s="365"/>
      <c r="I308" s="302"/>
      <c r="J308" s="303"/>
      <c r="K308" s="304"/>
      <c r="L308" s="365"/>
      <c r="M308" s="302"/>
      <c r="N308" s="303"/>
      <c r="O308" s="304"/>
      <c r="P308" s="365"/>
      <c r="Q308" s="186"/>
      <c r="R308" s="18"/>
      <c r="S308" s="374"/>
      <c r="T308" s="372"/>
      <c r="U308" s="186"/>
      <c r="V308" s="18"/>
      <c r="W308" s="374"/>
      <c r="X308" s="372"/>
      <c r="Y308" s="186"/>
      <c r="Z308" s="18"/>
      <c r="AA308" s="374"/>
      <c r="AB308" s="372"/>
      <c r="AC308" s="186"/>
      <c r="AD308" s="18"/>
      <c r="AE308" s="374"/>
      <c r="AF308" s="372"/>
      <c r="AG308" s="188"/>
      <c r="AH308" s="188"/>
      <c r="AI308" s="188"/>
      <c r="AJ308" s="188"/>
      <c r="AK308" s="365"/>
      <c r="AL308" s="365"/>
      <c r="AM308" s="365"/>
      <c r="AN308" s="365"/>
      <c r="AO308" s="365"/>
      <c r="AP308" s="365"/>
    </row>
    <row r="309">
      <c r="A309" s="302"/>
      <c r="B309" s="303"/>
      <c r="C309" s="304"/>
      <c r="D309" s="365"/>
      <c r="E309" s="302"/>
      <c r="F309" s="303"/>
      <c r="G309" s="304"/>
      <c r="H309" s="365"/>
      <c r="I309" s="302"/>
      <c r="J309" s="303"/>
      <c r="K309" s="304"/>
      <c r="L309" s="365"/>
      <c r="M309" s="302"/>
      <c r="N309" s="303"/>
      <c r="O309" s="304"/>
      <c r="P309" s="365"/>
      <c r="Q309" s="186"/>
      <c r="R309" s="18"/>
      <c r="S309" s="374"/>
      <c r="T309" s="372"/>
      <c r="U309" s="186"/>
      <c r="V309" s="18"/>
      <c r="W309" s="374"/>
      <c r="X309" s="372"/>
      <c r="Y309" s="186"/>
      <c r="Z309" s="18"/>
      <c r="AA309" s="374"/>
      <c r="AB309" s="372"/>
      <c r="AC309" s="186"/>
      <c r="AD309" s="18"/>
      <c r="AE309" s="374"/>
      <c r="AF309" s="372"/>
      <c r="AG309" s="188"/>
      <c r="AH309" s="188"/>
      <c r="AI309" s="188"/>
      <c r="AJ309" s="188"/>
      <c r="AK309" s="365"/>
      <c r="AL309" s="365"/>
      <c r="AM309" s="365"/>
      <c r="AN309" s="365"/>
      <c r="AO309" s="365"/>
      <c r="AP309" s="365"/>
    </row>
    <row r="310">
      <c r="A310" s="302"/>
      <c r="B310" s="303"/>
      <c r="C310" s="304"/>
      <c r="D310" s="365"/>
      <c r="E310" s="302"/>
      <c r="F310" s="303"/>
      <c r="G310" s="304"/>
      <c r="H310" s="365"/>
      <c r="I310" s="302"/>
      <c r="J310" s="303"/>
      <c r="K310" s="304"/>
      <c r="L310" s="365"/>
      <c r="M310" s="302"/>
      <c r="N310" s="303"/>
      <c r="O310" s="304"/>
      <c r="P310" s="365"/>
      <c r="Q310" s="186"/>
      <c r="R310" s="18"/>
      <c r="S310" s="374"/>
      <c r="T310" s="372"/>
      <c r="U310" s="186"/>
      <c r="V310" s="18"/>
      <c r="W310" s="374"/>
      <c r="X310" s="372"/>
      <c r="Y310" s="186"/>
      <c r="Z310" s="18"/>
      <c r="AA310" s="374"/>
      <c r="AB310" s="372"/>
      <c r="AC310" s="186"/>
      <c r="AD310" s="18"/>
      <c r="AE310" s="374"/>
      <c r="AF310" s="372"/>
      <c r="AG310" s="188"/>
      <c r="AH310" s="188"/>
      <c r="AI310" s="188"/>
      <c r="AJ310" s="188"/>
      <c r="AK310" s="365"/>
      <c r="AL310" s="365"/>
      <c r="AM310" s="365"/>
      <c r="AN310" s="365"/>
      <c r="AO310" s="365"/>
      <c r="AP310" s="365"/>
    </row>
    <row r="311">
      <c r="A311" s="302"/>
      <c r="B311" s="303"/>
      <c r="C311" s="304"/>
      <c r="D311" s="365"/>
      <c r="E311" s="302"/>
      <c r="F311" s="303"/>
      <c r="G311" s="304"/>
      <c r="H311" s="365"/>
      <c r="I311" s="302"/>
      <c r="J311" s="303"/>
      <c r="K311" s="304"/>
      <c r="L311" s="365"/>
      <c r="M311" s="302"/>
      <c r="N311" s="303"/>
      <c r="O311" s="304"/>
      <c r="P311" s="365"/>
      <c r="Q311" s="186"/>
      <c r="R311" s="18"/>
      <c r="S311" s="374"/>
      <c r="T311" s="372"/>
      <c r="U311" s="186"/>
      <c r="V311" s="18"/>
      <c r="W311" s="374"/>
      <c r="X311" s="372"/>
      <c r="Y311" s="186"/>
      <c r="Z311" s="18"/>
      <c r="AA311" s="374"/>
      <c r="AB311" s="372"/>
      <c r="AC311" s="186"/>
      <c r="AD311" s="18"/>
      <c r="AE311" s="374"/>
      <c r="AF311" s="372"/>
      <c r="AG311" s="188"/>
      <c r="AH311" s="188"/>
      <c r="AI311" s="188"/>
      <c r="AJ311" s="188"/>
      <c r="AK311" s="365"/>
      <c r="AL311" s="365"/>
      <c r="AM311" s="365"/>
      <c r="AN311" s="365"/>
      <c r="AO311" s="365"/>
      <c r="AP311" s="365"/>
    </row>
    <row r="312">
      <c r="A312" s="302"/>
      <c r="B312" s="303"/>
      <c r="C312" s="304"/>
      <c r="D312" s="365"/>
      <c r="E312" s="302"/>
      <c r="F312" s="303"/>
      <c r="G312" s="304"/>
      <c r="H312" s="365"/>
      <c r="I312" s="302"/>
      <c r="J312" s="303"/>
      <c r="K312" s="304"/>
      <c r="L312" s="365"/>
      <c r="M312" s="302"/>
      <c r="N312" s="303"/>
      <c r="O312" s="304"/>
      <c r="P312" s="365"/>
      <c r="Q312" s="186"/>
      <c r="R312" s="18"/>
      <c r="S312" s="374"/>
      <c r="T312" s="372"/>
      <c r="U312" s="186"/>
      <c r="V312" s="18"/>
      <c r="W312" s="374"/>
      <c r="X312" s="372"/>
      <c r="Y312" s="186"/>
      <c r="Z312" s="18"/>
      <c r="AA312" s="374"/>
      <c r="AB312" s="372"/>
      <c r="AC312" s="186"/>
      <c r="AD312" s="18"/>
      <c r="AE312" s="374"/>
      <c r="AF312" s="372"/>
      <c r="AG312" s="188"/>
      <c r="AH312" s="188"/>
      <c r="AI312" s="188"/>
      <c r="AJ312" s="188"/>
      <c r="AK312" s="365"/>
      <c r="AL312" s="365"/>
      <c r="AM312" s="365"/>
      <c r="AN312" s="365"/>
      <c r="AO312" s="365"/>
      <c r="AP312" s="365"/>
    </row>
    <row r="313">
      <c r="A313" s="302"/>
      <c r="B313" s="303"/>
      <c r="C313" s="304"/>
      <c r="D313" s="365"/>
      <c r="E313" s="302"/>
      <c r="F313" s="303"/>
      <c r="G313" s="304"/>
      <c r="H313" s="365"/>
      <c r="I313" s="302"/>
      <c r="J313" s="303"/>
      <c r="K313" s="304"/>
      <c r="L313" s="365"/>
      <c r="M313" s="302"/>
      <c r="N313" s="303"/>
      <c r="O313" s="304"/>
      <c r="P313" s="365"/>
      <c r="Q313" s="186"/>
      <c r="R313" s="18"/>
      <c r="S313" s="374"/>
      <c r="T313" s="372"/>
      <c r="U313" s="186"/>
      <c r="V313" s="18"/>
      <c r="W313" s="374"/>
      <c r="X313" s="372"/>
      <c r="Y313" s="186"/>
      <c r="Z313" s="18"/>
      <c r="AA313" s="374"/>
      <c r="AB313" s="372"/>
      <c r="AC313" s="186"/>
      <c r="AD313" s="18"/>
      <c r="AE313" s="374"/>
      <c r="AF313" s="372"/>
      <c r="AG313" s="188"/>
      <c r="AH313" s="188"/>
      <c r="AI313" s="188"/>
      <c r="AJ313" s="188"/>
      <c r="AK313" s="365"/>
      <c r="AL313" s="365"/>
      <c r="AM313" s="365"/>
      <c r="AN313" s="365"/>
      <c r="AO313" s="365"/>
      <c r="AP313" s="365"/>
    </row>
    <row r="314">
      <c r="A314" s="302"/>
      <c r="B314" s="303"/>
      <c r="C314" s="304"/>
      <c r="D314" s="365"/>
      <c r="E314" s="302"/>
      <c r="F314" s="303"/>
      <c r="G314" s="304"/>
      <c r="H314" s="365"/>
      <c r="I314" s="302"/>
      <c r="J314" s="303"/>
      <c r="K314" s="304"/>
      <c r="L314" s="365"/>
      <c r="M314" s="302"/>
      <c r="N314" s="303"/>
      <c r="O314" s="304"/>
      <c r="P314" s="365"/>
      <c r="Q314" s="186"/>
      <c r="R314" s="18"/>
      <c r="S314" s="374"/>
      <c r="T314" s="372"/>
      <c r="U314" s="186"/>
      <c r="V314" s="18"/>
      <c r="W314" s="374"/>
      <c r="X314" s="372"/>
      <c r="Y314" s="186"/>
      <c r="Z314" s="18"/>
      <c r="AA314" s="374"/>
      <c r="AB314" s="372"/>
      <c r="AC314" s="186"/>
      <c r="AD314" s="18"/>
      <c r="AE314" s="374"/>
      <c r="AF314" s="372"/>
      <c r="AG314" s="188"/>
      <c r="AH314" s="188"/>
      <c r="AI314" s="188"/>
      <c r="AJ314" s="188"/>
      <c r="AK314" s="365"/>
      <c r="AL314" s="365"/>
      <c r="AM314" s="365"/>
      <c r="AN314" s="365"/>
      <c r="AO314" s="365"/>
      <c r="AP314" s="365"/>
    </row>
    <row r="315">
      <c r="A315" s="302"/>
      <c r="B315" s="303"/>
      <c r="C315" s="304"/>
      <c r="D315" s="365"/>
      <c r="E315" s="302"/>
      <c r="F315" s="303"/>
      <c r="G315" s="304"/>
      <c r="H315" s="365"/>
      <c r="I315" s="302"/>
      <c r="J315" s="303"/>
      <c r="K315" s="304"/>
      <c r="L315" s="365"/>
      <c r="M315" s="302"/>
      <c r="N315" s="303"/>
      <c r="O315" s="304"/>
      <c r="P315" s="365"/>
      <c r="Q315" s="186"/>
      <c r="R315" s="18"/>
      <c r="S315" s="374"/>
      <c r="T315" s="372"/>
      <c r="U315" s="186"/>
      <c r="V315" s="18"/>
      <c r="W315" s="374"/>
      <c r="X315" s="372"/>
      <c r="Y315" s="186"/>
      <c r="Z315" s="18"/>
      <c r="AA315" s="374"/>
      <c r="AB315" s="372"/>
      <c r="AC315" s="186"/>
      <c r="AD315" s="18"/>
      <c r="AE315" s="374"/>
      <c r="AF315" s="372"/>
      <c r="AG315" s="188"/>
      <c r="AH315" s="188"/>
      <c r="AI315" s="188"/>
      <c r="AJ315" s="188"/>
      <c r="AK315" s="365"/>
      <c r="AL315" s="365"/>
      <c r="AM315" s="365"/>
      <c r="AN315" s="365"/>
      <c r="AO315" s="365"/>
      <c r="AP315" s="365"/>
    </row>
    <row r="316">
      <c r="A316" s="302"/>
      <c r="B316" s="303"/>
      <c r="C316" s="304"/>
      <c r="D316" s="365"/>
      <c r="E316" s="302"/>
      <c r="F316" s="303"/>
      <c r="G316" s="304"/>
      <c r="H316" s="365"/>
      <c r="I316" s="302"/>
      <c r="J316" s="303"/>
      <c r="K316" s="304"/>
      <c r="L316" s="365"/>
      <c r="M316" s="302"/>
      <c r="N316" s="303"/>
      <c r="O316" s="304"/>
      <c r="P316" s="365"/>
      <c r="Q316" s="186"/>
      <c r="R316" s="18"/>
      <c r="S316" s="374"/>
      <c r="T316" s="372"/>
      <c r="U316" s="186"/>
      <c r="V316" s="18"/>
      <c r="W316" s="374"/>
      <c r="X316" s="372"/>
      <c r="Y316" s="186"/>
      <c r="Z316" s="18"/>
      <c r="AA316" s="374"/>
      <c r="AB316" s="372"/>
      <c r="AC316" s="186"/>
      <c r="AD316" s="18"/>
      <c r="AE316" s="374"/>
      <c r="AF316" s="372"/>
      <c r="AG316" s="188"/>
      <c r="AH316" s="188"/>
      <c r="AI316" s="188"/>
      <c r="AJ316" s="188"/>
      <c r="AK316" s="365"/>
      <c r="AL316" s="365"/>
      <c r="AM316" s="365"/>
      <c r="AN316" s="365"/>
      <c r="AO316" s="365"/>
      <c r="AP316" s="365"/>
    </row>
    <row r="317">
      <c r="A317" s="302"/>
      <c r="B317" s="303"/>
      <c r="C317" s="304"/>
      <c r="D317" s="365"/>
      <c r="E317" s="302"/>
      <c r="F317" s="303"/>
      <c r="G317" s="304"/>
      <c r="H317" s="365"/>
      <c r="I317" s="302"/>
      <c r="J317" s="303"/>
      <c r="K317" s="304"/>
      <c r="L317" s="365"/>
      <c r="M317" s="302"/>
      <c r="N317" s="303"/>
      <c r="O317" s="304"/>
      <c r="P317" s="365"/>
      <c r="Q317" s="186"/>
      <c r="R317" s="18"/>
      <c r="S317" s="374"/>
      <c r="T317" s="372"/>
      <c r="U317" s="186"/>
      <c r="V317" s="18"/>
      <c r="W317" s="374"/>
      <c r="X317" s="372"/>
      <c r="Y317" s="186"/>
      <c r="Z317" s="18"/>
      <c r="AA317" s="374"/>
      <c r="AB317" s="372"/>
      <c r="AC317" s="186"/>
      <c r="AD317" s="18"/>
      <c r="AE317" s="374"/>
      <c r="AF317" s="372"/>
      <c r="AG317" s="188"/>
      <c r="AH317" s="188"/>
      <c r="AI317" s="188"/>
      <c r="AJ317" s="188"/>
      <c r="AK317" s="365"/>
      <c r="AL317" s="365"/>
      <c r="AM317" s="365"/>
      <c r="AN317" s="365"/>
      <c r="AO317" s="365"/>
      <c r="AP317" s="365"/>
    </row>
    <row r="318">
      <c r="A318" s="302"/>
      <c r="B318" s="303"/>
      <c r="C318" s="304"/>
      <c r="D318" s="365"/>
      <c r="E318" s="302"/>
      <c r="F318" s="303"/>
      <c r="G318" s="304"/>
      <c r="H318" s="365"/>
      <c r="I318" s="302"/>
      <c r="J318" s="303"/>
      <c r="K318" s="304"/>
      <c r="L318" s="365"/>
      <c r="M318" s="302"/>
      <c r="N318" s="303"/>
      <c r="O318" s="304"/>
      <c r="P318" s="365"/>
      <c r="Q318" s="186"/>
      <c r="R318" s="18"/>
      <c r="S318" s="374"/>
      <c r="T318" s="372"/>
      <c r="U318" s="186"/>
      <c r="V318" s="18"/>
      <c r="W318" s="374"/>
      <c r="X318" s="372"/>
      <c r="Y318" s="186"/>
      <c r="Z318" s="18"/>
      <c r="AA318" s="374"/>
      <c r="AB318" s="372"/>
      <c r="AC318" s="186"/>
      <c r="AD318" s="18"/>
      <c r="AE318" s="374"/>
      <c r="AF318" s="372"/>
      <c r="AG318" s="188"/>
      <c r="AH318" s="188"/>
      <c r="AI318" s="188"/>
      <c r="AJ318" s="188"/>
      <c r="AK318" s="365"/>
      <c r="AL318" s="365"/>
      <c r="AM318" s="365"/>
      <c r="AN318" s="365"/>
      <c r="AO318" s="365"/>
      <c r="AP318" s="365"/>
    </row>
    <row r="319">
      <c r="A319" s="302"/>
      <c r="B319" s="303"/>
      <c r="C319" s="304"/>
      <c r="D319" s="365"/>
      <c r="E319" s="302"/>
      <c r="F319" s="303"/>
      <c r="G319" s="304"/>
      <c r="H319" s="365"/>
      <c r="I319" s="302"/>
      <c r="J319" s="303"/>
      <c r="K319" s="304"/>
      <c r="L319" s="365"/>
      <c r="M319" s="302"/>
      <c r="N319" s="303"/>
      <c r="O319" s="304"/>
      <c r="P319" s="365"/>
      <c r="Q319" s="186"/>
      <c r="R319" s="18"/>
      <c r="S319" s="374"/>
      <c r="T319" s="372"/>
      <c r="U319" s="186"/>
      <c r="V319" s="18"/>
      <c r="W319" s="374"/>
      <c r="X319" s="372"/>
      <c r="Y319" s="186"/>
      <c r="Z319" s="18"/>
      <c r="AA319" s="374"/>
      <c r="AB319" s="372"/>
      <c r="AC319" s="186"/>
      <c r="AD319" s="18"/>
      <c r="AE319" s="374"/>
      <c r="AF319" s="372"/>
      <c r="AG319" s="188"/>
      <c r="AH319" s="188"/>
      <c r="AI319" s="188"/>
      <c r="AJ319" s="188"/>
      <c r="AK319" s="365"/>
      <c r="AL319" s="365"/>
      <c r="AM319" s="365"/>
      <c r="AN319" s="365"/>
      <c r="AO319" s="365"/>
      <c r="AP319" s="365"/>
    </row>
    <row r="320">
      <c r="A320" s="302"/>
      <c r="B320" s="303"/>
      <c r="C320" s="304"/>
      <c r="D320" s="365"/>
      <c r="E320" s="302"/>
      <c r="F320" s="303"/>
      <c r="G320" s="304"/>
      <c r="H320" s="365"/>
      <c r="I320" s="302"/>
      <c r="J320" s="303"/>
      <c r="K320" s="304"/>
      <c r="L320" s="365"/>
      <c r="M320" s="302"/>
      <c r="N320" s="303"/>
      <c r="O320" s="304"/>
      <c r="P320" s="365"/>
      <c r="Q320" s="186"/>
      <c r="R320" s="18"/>
      <c r="S320" s="374"/>
      <c r="T320" s="372"/>
      <c r="U320" s="186"/>
      <c r="V320" s="18"/>
      <c r="W320" s="374"/>
      <c r="X320" s="372"/>
      <c r="Y320" s="186"/>
      <c r="Z320" s="18"/>
      <c r="AA320" s="374"/>
      <c r="AB320" s="372"/>
      <c r="AC320" s="186"/>
      <c r="AD320" s="18"/>
      <c r="AE320" s="374"/>
      <c r="AF320" s="372"/>
      <c r="AG320" s="188"/>
      <c r="AH320" s="188"/>
      <c r="AI320" s="188"/>
      <c r="AJ320" s="188"/>
      <c r="AK320" s="365"/>
      <c r="AL320" s="365"/>
      <c r="AM320" s="365"/>
      <c r="AN320" s="365"/>
      <c r="AO320" s="365"/>
      <c r="AP320" s="365"/>
    </row>
    <row r="321">
      <c r="A321" s="302"/>
      <c r="B321" s="303"/>
      <c r="C321" s="304"/>
      <c r="D321" s="365"/>
      <c r="E321" s="302"/>
      <c r="F321" s="303"/>
      <c r="G321" s="304"/>
      <c r="H321" s="365"/>
      <c r="I321" s="302"/>
      <c r="J321" s="303"/>
      <c r="K321" s="304"/>
      <c r="L321" s="365"/>
      <c r="M321" s="302"/>
      <c r="N321" s="303"/>
      <c r="O321" s="304"/>
      <c r="P321" s="365"/>
      <c r="Q321" s="186"/>
      <c r="R321" s="18"/>
      <c r="S321" s="374"/>
      <c r="T321" s="372"/>
      <c r="U321" s="186"/>
      <c r="V321" s="18"/>
      <c r="W321" s="374"/>
      <c r="X321" s="372"/>
      <c r="Y321" s="186"/>
      <c r="Z321" s="18"/>
      <c r="AA321" s="374"/>
      <c r="AB321" s="372"/>
      <c r="AC321" s="186"/>
      <c r="AD321" s="18"/>
      <c r="AE321" s="374"/>
      <c r="AF321" s="372"/>
      <c r="AG321" s="188"/>
      <c r="AH321" s="188"/>
      <c r="AI321" s="188"/>
      <c r="AJ321" s="188"/>
      <c r="AK321" s="365"/>
      <c r="AL321" s="365"/>
      <c r="AM321" s="365"/>
      <c r="AN321" s="365"/>
      <c r="AO321" s="365"/>
      <c r="AP321" s="365"/>
    </row>
    <row r="322">
      <c r="A322" s="302"/>
      <c r="B322" s="303"/>
      <c r="C322" s="304"/>
      <c r="D322" s="365"/>
      <c r="E322" s="302"/>
      <c r="F322" s="303"/>
      <c r="G322" s="304"/>
      <c r="H322" s="365"/>
      <c r="I322" s="302"/>
      <c r="J322" s="303"/>
      <c r="K322" s="304"/>
      <c r="L322" s="365"/>
      <c r="M322" s="302"/>
      <c r="N322" s="303"/>
      <c r="O322" s="304"/>
      <c r="P322" s="365"/>
      <c r="Q322" s="186"/>
      <c r="R322" s="18"/>
      <c r="S322" s="374"/>
      <c r="T322" s="372"/>
      <c r="U322" s="186"/>
      <c r="V322" s="18"/>
      <c r="W322" s="374"/>
      <c r="X322" s="372"/>
      <c r="Y322" s="186"/>
      <c r="Z322" s="18"/>
      <c r="AA322" s="374"/>
      <c r="AB322" s="372"/>
      <c r="AC322" s="186"/>
      <c r="AD322" s="18"/>
      <c r="AE322" s="374"/>
      <c r="AF322" s="372"/>
      <c r="AG322" s="188"/>
      <c r="AH322" s="188"/>
      <c r="AI322" s="188"/>
      <c r="AJ322" s="188"/>
      <c r="AK322" s="365"/>
      <c r="AL322" s="365"/>
      <c r="AM322" s="365"/>
      <c r="AN322" s="365"/>
      <c r="AO322" s="365"/>
      <c r="AP322" s="365"/>
    </row>
    <row r="323">
      <c r="A323" s="302"/>
      <c r="B323" s="303"/>
      <c r="C323" s="304"/>
      <c r="D323" s="365"/>
      <c r="E323" s="302"/>
      <c r="F323" s="303"/>
      <c r="G323" s="304"/>
      <c r="H323" s="365"/>
      <c r="I323" s="302"/>
      <c r="J323" s="303"/>
      <c r="K323" s="304"/>
      <c r="L323" s="365"/>
      <c r="M323" s="302"/>
      <c r="N323" s="303"/>
      <c r="O323" s="304"/>
      <c r="P323" s="365"/>
      <c r="Q323" s="186"/>
      <c r="R323" s="18"/>
      <c r="S323" s="374"/>
      <c r="T323" s="372"/>
      <c r="U323" s="186"/>
      <c r="V323" s="18"/>
      <c r="W323" s="374"/>
      <c r="X323" s="372"/>
      <c r="Y323" s="186"/>
      <c r="Z323" s="18"/>
      <c r="AA323" s="374"/>
      <c r="AB323" s="372"/>
      <c r="AC323" s="186"/>
      <c r="AD323" s="18"/>
      <c r="AE323" s="374"/>
      <c r="AF323" s="372"/>
      <c r="AG323" s="188"/>
      <c r="AH323" s="188"/>
      <c r="AI323" s="188"/>
      <c r="AJ323" s="188"/>
      <c r="AK323" s="365"/>
      <c r="AL323" s="365"/>
      <c r="AM323" s="365"/>
      <c r="AN323" s="365"/>
      <c r="AO323" s="365"/>
      <c r="AP323" s="365"/>
    </row>
    <row r="324">
      <c r="A324" s="302"/>
      <c r="B324" s="303"/>
      <c r="C324" s="304"/>
      <c r="D324" s="365"/>
      <c r="E324" s="302"/>
      <c r="F324" s="303"/>
      <c r="G324" s="304"/>
      <c r="H324" s="365"/>
      <c r="I324" s="302"/>
      <c r="J324" s="303"/>
      <c r="K324" s="304"/>
      <c r="L324" s="365"/>
      <c r="M324" s="302"/>
      <c r="N324" s="303"/>
      <c r="O324" s="304"/>
      <c r="P324" s="365"/>
      <c r="Q324" s="186"/>
      <c r="R324" s="18"/>
      <c r="S324" s="374"/>
      <c r="T324" s="372"/>
      <c r="U324" s="186"/>
      <c r="V324" s="18"/>
      <c r="W324" s="374"/>
      <c r="X324" s="372"/>
      <c r="Y324" s="186"/>
      <c r="Z324" s="18"/>
      <c r="AA324" s="374"/>
      <c r="AB324" s="372"/>
      <c r="AC324" s="186"/>
      <c r="AD324" s="18"/>
      <c r="AE324" s="374"/>
      <c r="AF324" s="372"/>
      <c r="AG324" s="188"/>
      <c r="AH324" s="188"/>
      <c r="AI324" s="188"/>
      <c r="AJ324" s="188"/>
      <c r="AK324" s="365"/>
      <c r="AL324" s="365"/>
      <c r="AM324" s="365"/>
      <c r="AN324" s="365"/>
      <c r="AO324" s="365"/>
      <c r="AP324" s="365"/>
    </row>
    <row r="325">
      <c r="A325" s="302"/>
      <c r="B325" s="303"/>
      <c r="C325" s="304"/>
      <c r="D325" s="365"/>
      <c r="E325" s="302"/>
      <c r="F325" s="303"/>
      <c r="G325" s="304"/>
      <c r="H325" s="365"/>
      <c r="I325" s="302"/>
      <c r="J325" s="303"/>
      <c r="K325" s="304"/>
      <c r="L325" s="365"/>
      <c r="M325" s="302"/>
      <c r="N325" s="303"/>
      <c r="O325" s="304"/>
      <c r="P325" s="365"/>
      <c r="Q325" s="186"/>
      <c r="R325" s="18"/>
      <c r="S325" s="374"/>
      <c r="T325" s="372"/>
      <c r="U325" s="186"/>
      <c r="V325" s="18"/>
      <c r="W325" s="374"/>
      <c r="X325" s="372"/>
      <c r="Y325" s="186"/>
      <c r="Z325" s="18"/>
      <c r="AA325" s="374"/>
      <c r="AB325" s="372"/>
      <c r="AC325" s="186"/>
      <c r="AD325" s="18"/>
      <c r="AE325" s="374"/>
      <c r="AF325" s="372"/>
      <c r="AG325" s="188"/>
      <c r="AH325" s="188"/>
      <c r="AI325" s="188"/>
      <c r="AJ325" s="188"/>
      <c r="AK325" s="365"/>
      <c r="AL325" s="365"/>
      <c r="AM325" s="365"/>
      <c r="AN325" s="365"/>
      <c r="AO325" s="365"/>
      <c r="AP325" s="365"/>
    </row>
    <row r="326">
      <c r="A326" s="302"/>
      <c r="B326" s="303"/>
      <c r="C326" s="304"/>
      <c r="D326" s="365"/>
      <c r="E326" s="302"/>
      <c r="F326" s="303"/>
      <c r="G326" s="304"/>
      <c r="H326" s="365"/>
      <c r="I326" s="302"/>
      <c r="J326" s="303"/>
      <c r="K326" s="304"/>
      <c r="L326" s="365"/>
      <c r="M326" s="302"/>
      <c r="N326" s="303"/>
      <c r="O326" s="304"/>
      <c r="P326" s="365"/>
      <c r="Q326" s="186"/>
      <c r="R326" s="18"/>
      <c r="S326" s="374"/>
      <c r="T326" s="372"/>
      <c r="U326" s="186"/>
      <c r="V326" s="18"/>
      <c r="W326" s="374"/>
      <c r="X326" s="372"/>
      <c r="Y326" s="186"/>
      <c r="Z326" s="18"/>
      <c r="AA326" s="374"/>
      <c r="AB326" s="372"/>
      <c r="AC326" s="186"/>
      <c r="AD326" s="18"/>
      <c r="AE326" s="374"/>
      <c r="AF326" s="372"/>
      <c r="AG326" s="188"/>
      <c r="AH326" s="188"/>
      <c r="AI326" s="188"/>
      <c r="AJ326" s="188"/>
      <c r="AK326" s="365"/>
      <c r="AL326" s="365"/>
      <c r="AM326" s="365"/>
      <c r="AN326" s="365"/>
      <c r="AO326" s="365"/>
      <c r="AP326" s="365"/>
    </row>
    <row r="327">
      <c r="A327" s="302"/>
      <c r="B327" s="303"/>
      <c r="C327" s="304"/>
      <c r="D327" s="365"/>
      <c r="E327" s="302"/>
      <c r="F327" s="303"/>
      <c r="G327" s="304"/>
      <c r="H327" s="365"/>
      <c r="I327" s="302"/>
      <c r="J327" s="303"/>
      <c r="K327" s="304"/>
      <c r="L327" s="365"/>
      <c r="M327" s="302"/>
      <c r="N327" s="303"/>
      <c r="O327" s="304"/>
      <c r="P327" s="365"/>
      <c r="Q327" s="186"/>
      <c r="R327" s="18"/>
      <c r="S327" s="374"/>
      <c r="T327" s="372"/>
      <c r="U327" s="186"/>
      <c r="V327" s="18"/>
      <c r="W327" s="374"/>
      <c r="X327" s="372"/>
      <c r="Y327" s="186"/>
      <c r="Z327" s="18"/>
      <c r="AA327" s="374"/>
      <c r="AB327" s="372"/>
      <c r="AC327" s="186"/>
      <c r="AD327" s="18"/>
      <c r="AE327" s="374"/>
      <c r="AF327" s="372"/>
      <c r="AG327" s="188"/>
      <c r="AH327" s="188"/>
      <c r="AI327" s="188"/>
      <c r="AJ327" s="188"/>
      <c r="AK327" s="365"/>
      <c r="AL327" s="365"/>
      <c r="AM327" s="365"/>
      <c r="AN327" s="365"/>
      <c r="AO327" s="365"/>
      <c r="AP327" s="365"/>
    </row>
    <row r="328">
      <c r="A328" s="302"/>
      <c r="B328" s="303"/>
      <c r="C328" s="304"/>
      <c r="D328" s="365"/>
      <c r="E328" s="302"/>
      <c r="F328" s="303"/>
      <c r="G328" s="304"/>
      <c r="H328" s="365"/>
      <c r="I328" s="302"/>
      <c r="J328" s="303"/>
      <c r="K328" s="304"/>
      <c r="L328" s="365"/>
      <c r="M328" s="302"/>
      <c r="N328" s="303"/>
      <c r="O328" s="304"/>
      <c r="P328" s="365"/>
      <c r="Q328" s="186"/>
      <c r="R328" s="18"/>
      <c r="S328" s="374"/>
      <c r="T328" s="372"/>
      <c r="U328" s="186"/>
      <c r="V328" s="18"/>
      <c r="W328" s="374"/>
      <c r="X328" s="372"/>
      <c r="Y328" s="186"/>
      <c r="Z328" s="18"/>
      <c r="AA328" s="374"/>
      <c r="AB328" s="372"/>
      <c r="AC328" s="186"/>
      <c r="AD328" s="18"/>
      <c r="AE328" s="374"/>
      <c r="AF328" s="372"/>
      <c r="AG328" s="188"/>
      <c r="AH328" s="188"/>
      <c r="AI328" s="188"/>
      <c r="AJ328" s="188"/>
      <c r="AK328" s="365"/>
      <c r="AL328" s="365"/>
      <c r="AM328" s="365"/>
      <c r="AN328" s="365"/>
      <c r="AO328" s="365"/>
      <c r="AP328" s="365"/>
    </row>
    <row r="329">
      <c r="A329" s="302"/>
      <c r="B329" s="303"/>
      <c r="C329" s="304"/>
      <c r="D329" s="365"/>
      <c r="E329" s="302"/>
      <c r="F329" s="303"/>
      <c r="G329" s="304"/>
      <c r="H329" s="365"/>
      <c r="I329" s="302"/>
      <c r="J329" s="303"/>
      <c r="K329" s="304"/>
      <c r="L329" s="365"/>
      <c r="M329" s="302"/>
      <c r="N329" s="303"/>
      <c r="O329" s="304"/>
      <c r="P329" s="365"/>
      <c r="Q329" s="186"/>
      <c r="R329" s="18"/>
      <c r="S329" s="374"/>
      <c r="T329" s="372"/>
      <c r="U329" s="186"/>
      <c r="V329" s="18"/>
      <c r="W329" s="374"/>
      <c r="X329" s="372"/>
      <c r="Y329" s="186"/>
      <c r="Z329" s="18"/>
      <c r="AA329" s="374"/>
      <c r="AB329" s="372"/>
      <c r="AC329" s="186"/>
      <c r="AD329" s="18"/>
      <c r="AE329" s="374"/>
      <c r="AF329" s="372"/>
      <c r="AG329" s="188"/>
      <c r="AH329" s="188"/>
      <c r="AI329" s="188"/>
      <c r="AJ329" s="188"/>
      <c r="AK329" s="365"/>
      <c r="AL329" s="365"/>
      <c r="AM329" s="365"/>
      <c r="AN329" s="365"/>
      <c r="AO329" s="365"/>
      <c r="AP329" s="365"/>
    </row>
    <row r="330">
      <c r="A330" s="302"/>
      <c r="B330" s="303"/>
      <c r="C330" s="304"/>
      <c r="D330" s="365"/>
      <c r="E330" s="302"/>
      <c r="F330" s="303"/>
      <c r="G330" s="304"/>
      <c r="H330" s="365"/>
      <c r="I330" s="302"/>
      <c r="J330" s="303"/>
      <c r="K330" s="304"/>
      <c r="L330" s="365"/>
      <c r="M330" s="302"/>
      <c r="N330" s="303"/>
      <c r="O330" s="304"/>
      <c r="P330" s="365"/>
      <c r="Q330" s="186"/>
      <c r="R330" s="18"/>
      <c r="S330" s="374"/>
      <c r="T330" s="372"/>
      <c r="U330" s="186"/>
      <c r="V330" s="18"/>
      <c r="W330" s="374"/>
      <c r="X330" s="372"/>
      <c r="Y330" s="186"/>
      <c r="Z330" s="18"/>
      <c r="AA330" s="374"/>
      <c r="AB330" s="372"/>
      <c r="AC330" s="186"/>
      <c r="AD330" s="18"/>
      <c r="AE330" s="374"/>
      <c r="AF330" s="372"/>
      <c r="AG330" s="188"/>
      <c r="AH330" s="188"/>
      <c r="AI330" s="188"/>
      <c r="AJ330" s="188"/>
      <c r="AK330" s="365"/>
      <c r="AL330" s="365"/>
      <c r="AM330" s="365"/>
      <c r="AN330" s="365"/>
      <c r="AO330" s="365"/>
      <c r="AP330" s="365"/>
    </row>
    <row r="331">
      <c r="A331" s="302"/>
      <c r="B331" s="303"/>
      <c r="C331" s="304"/>
      <c r="D331" s="365"/>
      <c r="E331" s="302"/>
      <c r="F331" s="303"/>
      <c r="G331" s="304"/>
      <c r="H331" s="365"/>
      <c r="I331" s="302"/>
      <c r="J331" s="303"/>
      <c r="K331" s="304"/>
      <c r="L331" s="365"/>
      <c r="M331" s="302"/>
      <c r="N331" s="303"/>
      <c r="O331" s="304"/>
      <c r="P331" s="365"/>
      <c r="Q331" s="186"/>
      <c r="R331" s="18"/>
      <c r="S331" s="374"/>
      <c r="T331" s="372"/>
      <c r="U331" s="186"/>
      <c r="V331" s="18"/>
      <c r="W331" s="374"/>
      <c r="X331" s="372"/>
      <c r="Y331" s="186"/>
      <c r="Z331" s="18"/>
      <c r="AA331" s="374"/>
      <c r="AB331" s="372"/>
      <c r="AC331" s="186"/>
      <c r="AD331" s="18"/>
      <c r="AE331" s="374"/>
      <c r="AF331" s="372"/>
      <c r="AG331" s="188"/>
      <c r="AH331" s="188"/>
      <c r="AI331" s="188"/>
      <c r="AJ331" s="188"/>
      <c r="AK331" s="365"/>
      <c r="AL331" s="365"/>
      <c r="AM331" s="365"/>
      <c r="AN331" s="365"/>
      <c r="AO331" s="365"/>
      <c r="AP331" s="365"/>
    </row>
    <row r="332">
      <c r="A332" s="302"/>
      <c r="B332" s="303"/>
      <c r="C332" s="304"/>
      <c r="D332" s="365"/>
      <c r="E332" s="302"/>
      <c r="F332" s="303"/>
      <c r="G332" s="304"/>
      <c r="H332" s="365"/>
      <c r="I332" s="302"/>
      <c r="J332" s="303"/>
      <c r="K332" s="304"/>
      <c r="L332" s="365"/>
      <c r="M332" s="302"/>
      <c r="N332" s="303"/>
      <c r="O332" s="304"/>
      <c r="P332" s="365"/>
      <c r="Q332" s="186"/>
      <c r="R332" s="18"/>
      <c r="S332" s="374"/>
      <c r="T332" s="372"/>
      <c r="U332" s="186"/>
      <c r="V332" s="18"/>
      <c r="W332" s="374"/>
      <c r="X332" s="372"/>
      <c r="Y332" s="186"/>
      <c r="Z332" s="18"/>
      <c r="AA332" s="374"/>
      <c r="AB332" s="372"/>
      <c r="AC332" s="186"/>
      <c r="AD332" s="18"/>
      <c r="AE332" s="374"/>
      <c r="AF332" s="372"/>
      <c r="AG332" s="188"/>
      <c r="AH332" s="188"/>
      <c r="AI332" s="188"/>
      <c r="AJ332" s="188"/>
      <c r="AK332" s="365"/>
      <c r="AL332" s="365"/>
      <c r="AM332" s="365"/>
      <c r="AN332" s="365"/>
      <c r="AO332" s="365"/>
      <c r="AP332" s="365"/>
    </row>
    <row r="333">
      <c r="A333" s="302"/>
      <c r="B333" s="303"/>
      <c r="C333" s="304"/>
      <c r="D333" s="365"/>
      <c r="E333" s="302"/>
      <c r="F333" s="303"/>
      <c r="G333" s="304"/>
      <c r="H333" s="365"/>
      <c r="I333" s="302"/>
      <c r="J333" s="303"/>
      <c r="K333" s="304"/>
      <c r="L333" s="365"/>
      <c r="M333" s="302"/>
      <c r="N333" s="303"/>
      <c r="O333" s="304"/>
      <c r="P333" s="365"/>
      <c r="Q333" s="186"/>
      <c r="R333" s="18"/>
      <c r="S333" s="374"/>
      <c r="T333" s="372"/>
      <c r="U333" s="186"/>
      <c r="V333" s="18"/>
      <c r="W333" s="374"/>
      <c r="X333" s="372"/>
      <c r="Y333" s="186"/>
      <c r="Z333" s="18"/>
      <c r="AA333" s="374"/>
      <c r="AB333" s="372"/>
      <c r="AC333" s="186"/>
      <c r="AD333" s="18"/>
      <c r="AE333" s="374"/>
      <c r="AF333" s="372"/>
      <c r="AG333" s="188"/>
      <c r="AH333" s="188"/>
      <c r="AI333" s="188"/>
      <c r="AJ333" s="188"/>
      <c r="AK333" s="365"/>
      <c r="AL333" s="365"/>
      <c r="AM333" s="365"/>
      <c r="AN333" s="365"/>
      <c r="AO333" s="365"/>
      <c r="AP333" s="365"/>
    </row>
    <row r="334">
      <c r="A334" s="302"/>
      <c r="B334" s="303"/>
      <c r="C334" s="304"/>
      <c r="D334" s="365"/>
      <c r="E334" s="302"/>
      <c r="F334" s="303"/>
      <c r="G334" s="304"/>
      <c r="H334" s="365"/>
      <c r="I334" s="302"/>
      <c r="J334" s="303"/>
      <c r="K334" s="304"/>
      <c r="L334" s="365"/>
      <c r="M334" s="302"/>
      <c r="N334" s="303"/>
      <c r="O334" s="304"/>
      <c r="P334" s="365"/>
      <c r="Q334" s="186"/>
      <c r="R334" s="18"/>
      <c r="S334" s="374"/>
      <c r="T334" s="372"/>
      <c r="U334" s="186"/>
      <c r="V334" s="18"/>
      <c r="W334" s="374"/>
      <c r="X334" s="372"/>
      <c r="Y334" s="186"/>
      <c r="Z334" s="18"/>
      <c r="AA334" s="374"/>
      <c r="AB334" s="372"/>
      <c r="AC334" s="186"/>
      <c r="AD334" s="18"/>
      <c r="AE334" s="374"/>
      <c r="AF334" s="372"/>
      <c r="AG334" s="188"/>
      <c r="AH334" s="188"/>
      <c r="AI334" s="188"/>
      <c r="AJ334" s="188"/>
      <c r="AK334" s="365"/>
      <c r="AL334" s="365"/>
      <c r="AM334" s="365"/>
      <c r="AN334" s="365"/>
      <c r="AO334" s="365"/>
      <c r="AP334" s="365"/>
    </row>
    <row r="335">
      <c r="A335" s="302"/>
      <c r="B335" s="303"/>
      <c r="C335" s="304"/>
      <c r="D335" s="365"/>
      <c r="E335" s="302"/>
      <c r="F335" s="303"/>
      <c r="G335" s="304"/>
      <c r="H335" s="365"/>
      <c r="I335" s="302"/>
      <c r="J335" s="303"/>
      <c r="K335" s="304"/>
      <c r="L335" s="365"/>
      <c r="M335" s="302"/>
      <c r="N335" s="303"/>
      <c r="O335" s="304"/>
      <c r="P335" s="365"/>
      <c r="Q335" s="186"/>
      <c r="R335" s="18"/>
      <c r="S335" s="374"/>
      <c r="T335" s="372"/>
      <c r="U335" s="186"/>
      <c r="V335" s="18"/>
      <c r="W335" s="374"/>
      <c r="X335" s="372"/>
      <c r="Y335" s="186"/>
      <c r="Z335" s="18"/>
      <c r="AA335" s="374"/>
      <c r="AB335" s="372"/>
      <c r="AC335" s="186"/>
      <c r="AD335" s="18"/>
      <c r="AE335" s="374"/>
      <c r="AF335" s="372"/>
      <c r="AG335" s="188"/>
      <c r="AH335" s="188"/>
      <c r="AI335" s="188"/>
      <c r="AJ335" s="188"/>
      <c r="AK335" s="365"/>
      <c r="AL335" s="365"/>
      <c r="AM335" s="365"/>
      <c r="AN335" s="365"/>
      <c r="AO335" s="365"/>
      <c r="AP335" s="365"/>
    </row>
    <row r="336">
      <c r="A336" s="302"/>
      <c r="B336" s="303"/>
      <c r="C336" s="304"/>
      <c r="D336" s="365"/>
      <c r="E336" s="302"/>
      <c r="F336" s="303"/>
      <c r="G336" s="304"/>
      <c r="H336" s="365"/>
      <c r="I336" s="302"/>
      <c r="J336" s="303"/>
      <c r="K336" s="304"/>
      <c r="L336" s="365"/>
      <c r="M336" s="302"/>
      <c r="N336" s="303"/>
      <c r="O336" s="304"/>
      <c r="P336" s="365"/>
      <c r="Q336" s="186"/>
      <c r="R336" s="18"/>
      <c r="S336" s="374"/>
      <c r="T336" s="372"/>
      <c r="U336" s="186"/>
      <c r="V336" s="18"/>
      <c r="W336" s="374"/>
      <c r="X336" s="372"/>
      <c r="Y336" s="186"/>
      <c r="Z336" s="18"/>
      <c r="AA336" s="374"/>
      <c r="AB336" s="372"/>
      <c r="AC336" s="186"/>
      <c r="AD336" s="18"/>
      <c r="AE336" s="374"/>
      <c r="AF336" s="372"/>
      <c r="AG336" s="188"/>
      <c r="AH336" s="188"/>
      <c r="AI336" s="188"/>
      <c r="AJ336" s="188"/>
      <c r="AK336" s="365"/>
      <c r="AL336" s="365"/>
      <c r="AM336" s="365"/>
      <c r="AN336" s="365"/>
      <c r="AO336" s="365"/>
      <c r="AP336" s="365"/>
    </row>
    <row r="337">
      <c r="A337" s="302"/>
      <c r="B337" s="303"/>
      <c r="C337" s="304"/>
      <c r="D337" s="365"/>
      <c r="E337" s="302"/>
      <c r="F337" s="303"/>
      <c r="G337" s="304"/>
      <c r="H337" s="365"/>
      <c r="I337" s="302"/>
      <c r="J337" s="303"/>
      <c r="K337" s="304"/>
      <c r="L337" s="365"/>
      <c r="M337" s="302"/>
      <c r="N337" s="303"/>
      <c r="O337" s="304"/>
      <c r="P337" s="365"/>
      <c r="Q337" s="186"/>
      <c r="R337" s="18"/>
      <c r="S337" s="374"/>
      <c r="T337" s="372"/>
      <c r="U337" s="186"/>
      <c r="V337" s="18"/>
      <c r="W337" s="374"/>
      <c r="X337" s="372"/>
      <c r="Y337" s="186"/>
      <c r="Z337" s="18"/>
      <c r="AA337" s="374"/>
      <c r="AB337" s="372"/>
      <c r="AC337" s="186"/>
      <c r="AD337" s="18"/>
      <c r="AE337" s="374"/>
      <c r="AF337" s="372"/>
      <c r="AG337" s="188"/>
      <c r="AH337" s="188"/>
      <c r="AI337" s="188"/>
      <c r="AJ337" s="188"/>
      <c r="AK337" s="365"/>
      <c r="AL337" s="365"/>
      <c r="AM337" s="365"/>
      <c r="AN337" s="365"/>
      <c r="AO337" s="365"/>
      <c r="AP337" s="365"/>
    </row>
    <row r="338">
      <c r="A338" s="302"/>
      <c r="B338" s="303"/>
      <c r="C338" s="304"/>
      <c r="D338" s="365"/>
      <c r="E338" s="302"/>
      <c r="F338" s="303"/>
      <c r="G338" s="304"/>
      <c r="H338" s="365"/>
      <c r="I338" s="302"/>
      <c r="J338" s="303"/>
      <c r="K338" s="304"/>
      <c r="L338" s="365"/>
      <c r="M338" s="302"/>
      <c r="N338" s="303"/>
      <c r="O338" s="304"/>
      <c r="P338" s="365"/>
      <c r="Q338" s="186"/>
      <c r="R338" s="18"/>
      <c r="S338" s="374"/>
      <c r="T338" s="372"/>
      <c r="U338" s="186"/>
      <c r="V338" s="18"/>
      <c r="W338" s="374"/>
      <c r="X338" s="372"/>
      <c r="Y338" s="186"/>
      <c r="Z338" s="18"/>
      <c r="AA338" s="374"/>
      <c r="AB338" s="372"/>
      <c r="AC338" s="186"/>
      <c r="AD338" s="18"/>
      <c r="AE338" s="374"/>
      <c r="AF338" s="372"/>
      <c r="AG338" s="188"/>
      <c r="AH338" s="188"/>
      <c r="AI338" s="188"/>
      <c r="AJ338" s="188"/>
      <c r="AK338" s="365"/>
      <c r="AL338" s="365"/>
      <c r="AM338" s="365"/>
      <c r="AN338" s="365"/>
      <c r="AO338" s="365"/>
      <c r="AP338" s="365"/>
    </row>
    <row r="339">
      <c r="A339" s="302"/>
      <c r="B339" s="303"/>
      <c r="C339" s="304"/>
      <c r="D339" s="365"/>
      <c r="E339" s="302"/>
      <c r="F339" s="303"/>
      <c r="G339" s="304"/>
      <c r="H339" s="365"/>
      <c r="I339" s="302"/>
      <c r="J339" s="303"/>
      <c r="K339" s="304"/>
      <c r="L339" s="365"/>
      <c r="M339" s="302"/>
      <c r="N339" s="303"/>
      <c r="O339" s="304"/>
      <c r="P339" s="365"/>
      <c r="Q339" s="186"/>
      <c r="R339" s="18"/>
      <c r="S339" s="374"/>
      <c r="T339" s="372"/>
      <c r="U339" s="186"/>
      <c r="V339" s="18"/>
      <c r="W339" s="374"/>
      <c r="X339" s="372"/>
      <c r="Y339" s="186"/>
      <c r="Z339" s="18"/>
      <c r="AA339" s="374"/>
      <c r="AB339" s="372"/>
      <c r="AC339" s="186"/>
      <c r="AD339" s="18"/>
      <c r="AE339" s="374"/>
      <c r="AF339" s="372"/>
      <c r="AG339" s="188"/>
      <c r="AH339" s="188"/>
      <c r="AI339" s="188"/>
      <c r="AJ339" s="188"/>
      <c r="AK339" s="365"/>
      <c r="AL339" s="365"/>
      <c r="AM339" s="365"/>
      <c r="AN339" s="365"/>
      <c r="AO339" s="365"/>
      <c r="AP339" s="365"/>
    </row>
    <row r="340">
      <c r="A340" s="302"/>
      <c r="B340" s="303"/>
      <c r="C340" s="304"/>
      <c r="D340" s="365"/>
      <c r="E340" s="302"/>
      <c r="F340" s="303"/>
      <c r="G340" s="304"/>
      <c r="H340" s="365"/>
      <c r="I340" s="302"/>
      <c r="J340" s="303"/>
      <c r="K340" s="304"/>
      <c r="L340" s="365"/>
      <c r="M340" s="302"/>
      <c r="N340" s="303"/>
      <c r="O340" s="304"/>
      <c r="P340" s="365"/>
      <c r="Q340" s="186"/>
      <c r="R340" s="18"/>
      <c r="S340" s="374"/>
      <c r="T340" s="372"/>
      <c r="U340" s="186"/>
      <c r="V340" s="18"/>
      <c r="W340" s="374"/>
      <c r="X340" s="372"/>
      <c r="Y340" s="186"/>
      <c r="Z340" s="18"/>
      <c r="AA340" s="374"/>
      <c r="AB340" s="372"/>
      <c r="AC340" s="186"/>
      <c r="AD340" s="18"/>
      <c r="AE340" s="374"/>
      <c r="AF340" s="372"/>
      <c r="AG340" s="188"/>
      <c r="AH340" s="188"/>
      <c r="AI340" s="188"/>
      <c r="AJ340" s="188"/>
      <c r="AK340" s="365"/>
      <c r="AL340" s="365"/>
      <c r="AM340" s="365"/>
      <c r="AN340" s="365"/>
      <c r="AO340" s="365"/>
      <c r="AP340" s="365"/>
    </row>
    <row r="341">
      <c r="A341" s="302"/>
      <c r="B341" s="303"/>
      <c r="C341" s="304"/>
      <c r="D341" s="365"/>
      <c r="E341" s="302"/>
      <c r="F341" s="303"/>
      <c r="G341" s="304"/>
      <c r="H341" s="365"/>
      <c r="I341" s="302"/>
      <c r="J341" s="303"/>
      <c r="K341" s="304"/>
      <c r="L341" s="365"/>
      <c r="M341" s="302"/>
      <c r="N341" s="303"/>
      <c r="O341" s="304"/>
      <c r="P341" s="365"/>
      <c r="Q341" s="186"/>
      <c r="R341" s="18"/>
      <c r="S341" s="374"/>
      <c r="T341" s="372"/>
      <c r="U341" s="186"/>
      <c r="V341" s="18"/>
      <c r="W341" s="374"/>
      <c r="X341" s="372"/>
      <c r="Y341" s="186"/>
      <c r="Z341" s="18"/>
      <c r="AA341" s="374"/>
      <c r="AB341" s="372"/>
      <c r="AC341" s="186"/>
      <c r="AD341" s="18"/>
      <c r="AE341" s="374"/>
      <c r="AF341" s="372"/>
      <c r="AG341" s="188"/>
      <c r="AH341" s="188"/>
      <c r="AI341" s="188"/>
      <c r="AJ341" s="188"/>
      <c r="AK341" s="365"/>
      <c r="AL341" s="365"/>
      <c r="AM341" s="365"/>
      <c r="AN341" s="365"/>
      <c r="AO341" s="365"/>
      <c r="AP341" s="365"/>
    </row>
    <row r="342">
      <c r="A342" s="302"/>
      <c r="B342" s="303"/>
      <c r="C342" s="304"/>
      <c r="D342" s="365"/>
      <c r="E342" s="302"/>
      <c r="F342" s="303"/>
      <c r="G342" s="304"/>
      <c r="H342" s="365"/>
      <c r="I342" s="302"/>
      <c r="J342" s="303"/>
      <c r="K342" s="304"/>
      <c r="L342" s="365"/>
      <c r="M342" s="302"/>
      <c r="N342" s="303"/>
      <c r="O342" s="304"/>
      <c r="P342" s="365"/>
      <c r="Q342" s="186"/>
      <c r="R342" s="18"/>
      <c r="S342" s="374"/>
      <c r="T342" s="372"/>
      <c r="U342" s="186"/>
      <c r="V342" s="18"/>
      <c r="W342" s="374"/>
      <c r="X342" s="372"/>
      <c r="Y342" s="186"/>
      <c r="Z342" s="18"/>
      <c r="AA342" s="374"/>
      <c r="AB342" s="372"/>
      <c r="AC342" s="186"/>
      <c r="AD342" s="18"/>
      <c r="AE342" s="374"/>
      <c r="AF342" s="372"/>
      <c r="AG342" s="188"/>
      <c r="AH342" s="188"/>
      <c r="AI342" s="188"/>
      <c r="AJ342" s="188"/>
      <c r="AK342" s="365"/>
      <c r="AL342" s="365"/>
      <c r="AM342" s="365"/>
      <c r="AN342" s="365"/>
      <c r="AO342" s="365"/>
      <c r="AP342" s="365"/>
    </row>
    <row r="343">
      <c r="A343" s="302"/>
      <c r="B343" s="303"/>
      <c r="C343" s="304"/>
      <c r="D343" s="365"/>
      <c r="E343" s="302"/>
      <c r="F343" s="303"/>
      <c r="G343" s="304"/>
      <c r="H343" s="365"/>
      <c r="I343" s="302"/>
      <c r="J343" s="303"/>
      <c r="K343" s="304"/>
      <c r="L343" s="365"/>
      <c r="M343" s="302"/>
      <c r="N343" s="303"/>
      <c r="O343" s="304"/>
      <c r="P343" s="365"/>
      <c r="Q343" s="186"/>
      <c r="R343" s="18"/>
      <c r="S343" s="374"/>
      <c r="T343" s="372"/>
      <c r="U343" s="186"/>
      <c r="V343" s="18"/>
      <c r="W343" s="374"/>
      <c r="X343" s="372"/>
      <c r="Y343" s="186"/>
      <c r="Z343" s="18"/>
      <c r="AA343" s="374"/>
      <c r="AB343" s="372"/>
      <c r="AC343" s="186"/>
      <c r="AD343" s="18"/>
      <c r="AE343" s="374"/>
      <c r="AF343" s="372"/>
      <c r="AG343" s="188"/>
      <c r="AH343" s="188"/>
      <c r="AI343" s="188"/>
      <c r="AJ343" s="188"/>
      <c r="AK343" s="365"/>
      <c r="AL343" s="365"/>
      <c r="AM343" s="365"/>
      <c r="AN343" s="365"/>
      <c r="AO343" s="365"/>
      <c r="AP343" s="365"/>
    </row>
    <row r="344">
      <c r="A344" s="302"/>
      <c r="B344" s="303"/>
      <c r="C344" s="304"/>
      <c r="D344" s="365"/>
      <c r="E344" s="302"/>
      <c r="F344" s="303"/>
      <c r="G344" s="304"/>
      <c r="H344" s="365"/>
      <c r="I344" s="302"/>
      <c r="J344" s="303"/>
      <c r="K344" s="304"/>
      <c r="L344" s="365"/>
      <c r="M344" s="302"/>
      <c r="N344" s="303"/>
      <c r="O344" s="304"/>
      <c r="P344" s="365"/>
      <c r="Q344" s="186"/>
      <c r="R344" s="18"/>
      <c r="S344" s="374"/>
      <c r="T344" s="372"/>
      <c r="U344" s="186"/>
      <c r="V344" s="18"/>
      <c r="W344" s="374"/>
      <c r="X344" s="372"/>
      <c r="Y344" s="186"/>
      <c r="Z344" s="18"/>
      <c r="AA344" s="374"/>
      <c r="AB344" s="372"/>
      <c r="AC344" s="186"/>
      <c r="AD344" s="18"/>
      <c r="AE344" s="374"/>
      <c r="AF344" s="372"/>
      <c r="AG344" s="188"/>
      <c r="AH344" s="188"/>
      <c r="AI344" s="188"/>
      <c r="AJ344" s="188"/>
      <c r="AK344" s="365"/>
      <c r="AL344" s="365"/>
      <c r="AM344" s="365"/>
      <c r="AN344" s="365"/>
      <c r="AO344" s="365"/>
      <c r="AP344" s="365"/>
    </row>
    <row r="345">
      <c r="A345" s="302"/>
      <c r="B345" s="303"/>
      <c r="C345" s="304"/>
      <c r="D345" s="365"/>
      <c r="E345" s="302"/>
      <c r="F345" s="303"/>
      <c r="G345" s="304"/>
      <c r="H345" s="365"/>
      <c r="I345" s="302"/>
      <c r="J345" s="303"/>
      <c r="K345" s="304"/>
      <c r="L345" s="365"/>
      <c r="M345" s="302"/>
      <c r="N345" s="303"/>
      <c r="O345" s="304"/>
      <c r="P345" s="365"/>
      <c r="Q345" s="186"/>
      <c r="R345" s="18"/>
      <c r="S345" s="374"/>
      <c r="T345" s="372"/>
      <c r="U345" s="186"/>
      <c r="V345" s="18"/>
      <c r="W345" s="374"/>
      <c r="X345" s="372"/>
      <c r="Y345" s="186"/>
      <c r="Z345" s="18"/>
      <c r="AA345" s="374"/>
      <c r="AB345" s="372"/>
      <c r="AC345" s="186"/>
      <c r="AD345" s="18"/>
      <c r="AE345" s="374"/>
      <c r="AF345" s="372"/>
      <c r="AG345" s="188"/>
      <c r="AH345" s="188"/>
      <c r="AI345" s="188"/>
      <c r="AJ345" s="188"/>
      <c r="AK345" s="365"/>
      <c r="AL345" s="365"/>
      <c r="AM345" s="365"/>
      <c r="AN345" s="365"/>
      <c r="AO345" s="365"/>
      <c r="AP345" s="365"/>
    </row>
    <row r="346">
      <c r="A346" s="302"/>
      <c r="B346" s="303"/>
      <c r="C346" s="304"/>
      <c r="D346" s="365"/>
      <c r="E346" s="302"/>
      <c r="F346" s="303"/>
      <c r="G346" s="304"/>
      <c r="H346" s="365"/>
      <c r="I346" s="302"/>
      <c r="J346" s="303"/>
      <c r="K346" s="304"/>
      <c r="L346" s="365"/>
      <c r="M346" s="302"/>
      <c r="N346" s="303"/>
      <c r="O346" s="304"/>
      <c r="P346" s="365"/>
      <c r="Q346" s="186"/>
      <c r="R346" s="18"/>
      <c r="S346" s="374"/>
      <c r="T346" s="372"/>
      <c r="U346" s="186"/>
      <c r="V346" s="18"/>
      <c r="W346" s="374"/>
      <c r="X346" s="372"/>
      <c r="Y346" s="186"/>
      <c r="Z346" s="18"/>
      <c r="AA346" s="374"/>
      <c r="AB346" s="372"/>
      <c r="AC346" s="186"/>
      <c r="AD346" s="18"/>
      <c r="AE346" s="374"/>
      <c r="AF346" s="372"/>
      <c r="AG346" s="188"/>
      <c r="AH346" s="188"/>
      <c r="AI346" s="188"/>
      <c r="AJ346" s="188"/>
      <c r="AK346" s="365"/>
      <c r="AL346" s="365"/>
      <c r="AM346" s="365"/>
      <c r="AN346" s="365"/>
      <c r="AO346" s="365"/>
      <c r="AP346" s="365"/>
    </row>
    <row r="347">
      <c r="A347" s="302"/>
      <c r="B347" s="303"/>
      <c r="C347" s="304"/>
      <c r="D347" s="365"/>
      <c r="E347" s="302"/>
      <c r="F347" s="303"/>
      <c r="G347" s="304"/>
      <c r="H347" s="365"/>
      <c r="I347" s="302"/>
      <c r="J347" s="303"/>
      <c r="K347" s="304"/>
      <c r="L347" s="365"/>
      <c r="M347" s="302"/>
      <c r="N347" s="303"/>
      <c r="O347" s="304"/>
      <c r="P347" s="365"/>
      <c r="Q347" s="186"/>
      <c r="R347" s="18"/>
      <c r="S347" s="374"/>
      <c r="T347" s="372"/>
      <c r="U347" s="186"/>
      <c r="V347" s="18"/>
      <c r="W347" s="374"/>
      <c r="X347" s="372"/>
      <c r="Y347" s="186"/>
      <c r="Z347" s="18"/>
      <c r="AA347" s="374"/>
      <c r="AB347" s="372"/>
      <c r="AC347" s="186"/>
      <c r="AD347" s="18"/>
      <c r="AE347" s="374"/>
      <c r="AF347" s="372"/>
      <c r="AG347" s="188"/>
      <c r="AH347" s="188"/>
      <c r="AI347" s="188"/>
      <c r="AJ347" s="188"/>
      <c r="AK347" s="365"/>
      <c r="AL347" s="365"/>
      <c r="AM347" s="365"/>
      <c r="AN347" s="365"/>
      <c r="AO347" s="365"/>
      <c r="AP347" s="365"/>
    </row>
    <row r="348">
      <c r="A348" s="302"/>
      <c r="B348" s="303"/>
      <c r="C348" s="304"/>
      <c r="D348" s="365"/>
      <c r="E348" s="302"/>
      <c r="F348" s="303"/>
      <c r="G348" s="304"/>
      <c r="H348" s="365"/>
      <c r="I348" s="302"/>
      <c r="J348" s="303"/>
      <c r="K348" s="304"/>
      <c r="L348" s="365"/>
      <c r="M348" s="302"/>
      <c r="N348" s="303"/>
      <c r="O348" s="304"/>
      <c r="P348" s="365"/>
      <c r="Q348" s="186"/>
      <c r="R348" s="18"/>
      <c r="S348" s="374"/>
      <c r="T348" s="372"/>
      <c r="U348" s="186"/>
      <c r="V348" s="18"/>
      <c r="W348" s="374"/>
      <c r="X348" s="372"/>
      <c r="Y348" s="186"/>
      <c r="Z348" s="18"/>
      <c r="AA348" s="374"/>
      <c r="AB348" s="372"/>
      <c r="AC348" s="186"/>
      <c r="AD348" s="18"/>
      <c r="AE348" s="374"/>
      <c r="AF348" s="372"/>
      <c r="AG348" s="188"/>
      <c r="AH348" s="188"/>
      <c r="AI348" s="188"/>
      <c r="AJ348" s="188"/>
      <c r="AK348" s="365"/>
      <c r="AL348" s="365"/>
      <c r="AM348" s="365"/>
      <c r="AN348" s="365"/>
      <c r="AO348" s="365"/>
      <c r="AP348" s="365"/>
    </row>
    <row r="349">
      <c r="A349" s="302"/>
      <c r="B349" s="303"/>
      <c r="C349" s="304"/>
      <c r="D349" s="365"/>
      <c r="E349" s="302"/>
      <c r="F349" s="303"/>
      <c r="G349" s="304"/>
      <c r="H349" s="365"/>
      <c r="I349" s="302"/>
      <c r="J349" s="303"/>
      <c r="K349" s="304"/>
      <c r="L349" s="365"/>
      <c r="M349" s="302"/>
      <c r="N349" s="303"/>
      <c r="O349" s="304"/>
      <c r="P349" s="365"/>
      <c r="Q349" s="186"/>
      <c r="R349" s="18"/>
      <c r="S349" s="374"/>
      <c r="T349" s="372"/>
      <c r="U349" s="186"/>
      <c r="V349" s="18"/>
      <c r="W349" s="374"/>
      <c r="X349" s="372"/>
      <c r="Y349" s="186"/>
      <c r="Z349" s="18"/>
      <c r="AA349" s="374"/>
      <c r="AB349" s="372"/>
      <c r="AC349" s="186"/>
      <c r="AD349" s="18"/>
      <c r="AE349" s="374"/>
      <c r="AF349" s="372"/>
      <c r="AG349" s="188"/>
      <c r="AH349" s="188"/>
      <c r="AI349" s="188"/>
      <c r="AJ349" s="188"/>
      <c r="AK349" s="365"/>
      <c r="AL349" s="365"/>
      <c r="AM349" s="365"/>
      <c r="AN349" s="365"/>
      <c r="AO349" s="365"/>
      <c r="AP349" s="365"/>
    </row>
    <row r="350">
      <c r="A350" s="302"/>
      <c r="B350" s="303"/>
      <c r="C350" s="304"/>
      <c r="D350" s="365"/>
      <c r="E350" s="302"/>
      <c r="F350" s="303"/>
      <c r="G350" s="304"/>
      <c r="H350" s="365"/>
      <c r="I350" s="302"/>
      <c r="J350" s="303"/>
      <c r="K350" s="304"/>
      <c r="L350" s="365"/>
      <c r="M350" s="302"/>
      <c r="N350" s="303"/>
      <c r="O350" s="304"/>
      <c r="P350" s="365"/>
      <c r="Q350" s="186"/>
      <c r="R350" s="18"/>
      <c r="S350" s="374"/>
      <c r="T350" s="372"/>
      <c r="U350" s="186"/>
      <c r="V350" s="18"/>
      <c r="W350" s="374"/>
      <c r="X350" s="372"/>
      <c r="Y350" s="186"/>
      <c r="Z350" s="18"/>
      <c r="AA350" s="374"/>
      <c r="AB350" s="372"/>
      <c r="AC350" s="186"/>
      <c r="AD350" s="18"/>
      <c r="AE350" s="374"/>
      <c r="AF350" s="372"/>
      <c r="AG350" s="188"/>
      <c r="AH350" s="188"/>
      <c r="AI350" s="188"/>
      <c r="AJ350" s="188"/>
      <c r="AK350" s="365"/>
      <c r="AL350" s="365"/>
      <c r="AM350" s="365"/>
      <c r="AN350" s="365"/>
      <c r="AO350" s="365"/>
      <c r="AP350" s="365"/>
    </row>
    <row r="351">
      <c r="A351" s="302"/>
      <c r="B351" s="303"/>
      <c r="C351" s="304"/>
      <c r="D351" s="365"/>
      <c r="E351" s="302"/>
      <c r="F351" s="303"/>
      <c r="G351" s="304"/>
      <c r="H351" s="365"/>
      <c r="I351" s="302"/>
      <c r="J351" s="303"/>
      <c r="K351" s="304"/>
      <c r="L351" s="365"/>
      <c r="M351" s="302"/>
      <c r="N351" s="303"/>
      <c r="O351" s="304"/>
      <c r="P351" s="365"/>
      <c r="Q351" s="186"/>
      <c r="R351" s="18"/>
      <c r="S351" s="374"/>
      <c r="T351" s="372"/>
      <c r="U351" s="186"/>
      <c r="V351" s="18"/>
      <c r="W351" s="374"/>
      <c r="X351" s="372"/>
      <c r="Y351" s="186"/>
      <c r="Z351" s="18"/>
      <c r="AA351" s="374"/>
      <c r="AB351" s="372"/>
      <c r="AC351" s="186"/>
      <c r="AD351" s="18"/>
      <c r="AE351" s="374"/>
      <c r="AF351" s="372"/>
      <c r="AG351" s="188"/>
      <c r="AH351" s="188"/>
      <c r="AI351" s="188"/>
      <c r="AJ351" s="188"/>
      <c r="AK351" s="365"/>
      <c r="AL351" s="365"/>
      <c r="AM351" s="365"/>
      <c r="AN351" s="365"/>
      <c r="AO351" s="365"/>
      <c r="AP351" s="365"/>
    </row>
    <row r="352">
      <c r="A352" s="302"/>
      <c r="B352" s="303"/>
      <c r="C352" s="304"/>
      <c r="D352" s="365"/>
      <c r="E352" s="302"/>
      <c r="F352" s="303"/>
      <c r="G352" s="304"/>
      <c r="H352" s="365"/>
      <c r="I352" s="302"/>
      <c r="J352" s="303"/>
      <c r="K352" s="304"/>
      <c r="L352" s="365"/>
      <c r="M352" s="302"/>
      <c r="N352" s="303"/>
      <c r="O352" s="304"/>
      <c r="P352" s="365"/>
      <c r="Q352" s="186"/>
      <c r="R352" s="18"/>
      <c r="S352" s="374"/>
      <c r="T352" s="372"/>
      <c r="U352" s="186"/>
      <c r="V352" s="18"/>
      <c r="W352" s="374"/>
      <c r="X352" s="372"/>
      <c r="Y352" s="186"/>
      <c r="Z352" s="18"/>
      <c r="AA352" s="374"/>
      <c r="AB352" s="372"/>
      <c r="AC352" s="186"/>
      <c r="AD352" s="18"/>
      <c r="AE352" s="374"/>
      <c r="AF352" s="372"/>
      <c r="AG352" s="188"/>
      <c r="AH352" s="188"/>
      <c r="AI352" s="188"/>
      <c r="AJ352" s="188"/>
      <c r="AK352" s="365"/>
      <c r="AL352" s="365"/>
      <c r="AM352" s="365"/>
      <c r="AN352" s="365"/>
      <c r="AO352" s="365"/>
      <c r="AP352" s="365"/>
    </row>
    <row r="353">
      <c r="A353" s="302"/>
      <c r="B353" s="303"/>
      <c r="C353" s="304"/>
      <c r="D353" s="365"/>
      <c r="E353" s="302"/>
      <c r="F353" s="303"/>
      <c r="G353" s="304"/>
      <c r="H353" s="365"/>
      <c r="I353" s="302"/>
      <c r="J353" s="303"/>
      <c r="K353" s="304"/>
      <c r="L353" s="365"/>
      <c r="M353" s="302"/>
      <c r="N353" s="303"/>
      <c r="O353" s="304"/>
      <c r="P353" s="365"/>
      <c r="Q353" s="186"/>
      <c r="R353" s="18"/>
      <c r="S353" s="374"/>
      <c r="T353" s="372"/>
      <c r="U353" s="186"/>
      <c r="V353" s="18"/>
      <c r="W353" s="374"/>
      <c r="X353" s="372"/>
      <c r="Y353" s="186"/>
      <c r="Z353" s="18"/>
      <c r="AA353" s="374"/>
      <c r="AB353" s="372"/>
      <c r="AC353" s="186"/>
      <c r="AD353" s="18"/>
      <c r="AE353" s="374"/>
      <c r="AF353" s="372"/>
      <c r="AG353" s="188"/>
      <c r="AH353" s="188"/>
      <c r="AI353" s="188"/>
      <c r="AJ353" s="188"/>
      <c r="AK353" s="365"/>
      <c r="AL353" s="365"/>
      <c r="AM353" s="365"/>
      <c r="AN353" s="365"/>
      <c r="AO353" s="365"/>
      <c r="AP353" s="365"/>
    </row>
    <row r="354">
      <c r="A354" s="302"/>
      <c r="B354" s="303"/>
      <c r="C354" s="304"/>
      <c r="D354" s="365"/>
      <c r="E354" s="302"/>
      <c r="F354" s="303"/>
      <c r="G354" s="304"/>
      <c r="H354" s="365"/>
      <c r="I354" s="302"/>
      <c r="J354" s="303"/>
      <c r="K354" s="304"/>
      <c r="L354" s="365"/>
      <c r="M354" s="302"/>
      <c r="N354" s="303"/>
      <c r="O354" s="304"/>
      <c r="P354" s="365"/>
      <c r="Q354" s="186"/>
      <c r="R354" s="18"/>
      <c r="S354" s="374"/>
      <c r="T354" s="372"/>
      <c r="U354" s="186"/>
      <c r="V354" s="18"/>
      <c r="W354" s="374"/>
      <c r="X354" s="372"/>
      <c r="Y354" s="186"/>
      <c r="Z354" s="18"/>
      <c r="AA354" s="374"/>
      <c r="AB354" s="372"/>
      <c r="AC354" s="186"/>
      <c r="AD354" s="18"/>
      <c r="AE354" s="374"/>
      <c r="AF354" s="372"/>
      <c r="AG354" s="188"/>
      <c r="AH354" s="188"/>
      <c r="AI354" s="188"/>
      <c r="AJ354" s="188"/>
      <c r="AK354" s="365"/>
      <c r="AL354" s="365"/>
      <c r="AM354" s="365"/>
      <c r="AN354" s="365"/>
      <c r="AO354" s="365"/>
      <c r="AP354" s="365"/>
    </row>
    <row r="355">
      <c r="A355" s="302"/>
      <c r="B355" s="303"/>
      <c r="C355" s="304"/>
      <c r="D355" s="365"/>
      <c r="E355" s="302"/>
      <c r="F355" s="303"/>
      <c r="G355" s="304"/>
      <c r="H355" s="365"/>
      <c r="I355" s="302"/>
      <c r="J355" s="303"/>
      <c r="K355" s="304"/>
      <c r="L355" s="365"/>
      <c r="M355" s="302"/>
      <c r="N355" s="303"/>
      <c r="O355" s="304"/>
      <c r="P355" s="365"/>
      <c r="Q355" s="186"/>
      <c r="R355" s="18"/>
      <c r="S355" s="374"/>
      <c r="T355" s="372"/>
      <c r="U355" s="186"/>
      <c r="V355" s="18"/>
      <c r="W355" s="374"/>
      <c r="X355" s="372"/>
      <c r="Y355" s="186"/>
      <c r="Z355" s="18"/>
      <c r="AA355" s="374"/>
      <c r="AB355" s="372"/>
      <c r="AC355" s="186"/>
      <c r="AD355" s="18"/>
      <c r="AE355" s="374"/>
      <c r="AF355" s="372"/>
      <c r="AG355" s="188"/>
      <c r="AH355" s="188"/>
      <c r="AI355" s="188"/>
      <c r="AJ355" s="188"/>
      <c r="AK355" s="365"/>
      <c r="AL355" s="365"/>
      <c r="AM355" s="365"/>
      <c r="AN355" s="365"/>
      <c r="AO355" s="365"/>
      <c r="AP355" s="365"/>
    </row>
    <row r="356">
      <c r="A356" s="302"/>
      <c r="B356" s="303"/>
      <c r="C356" s="304"/>
      <c r="D356" s="365"/>
      <c r="E356" s="302"/>
      <c r="F356" s="303"/>
      <c r="G356" s="304"/>
      <c r="H356" s="365"/>
      <c r="I356" s="302"/>
      <c r="J356" s="303"/>
      <c r="K356" s="304"/>
      <c r="L356" s="365"/>
      <c r="M356" s="302"/>
      <c r="N356" s="303"/>
      <c r="O356" s="304"/>
      <c r="P356" s="365"/>
      <c r="Q356" s="186"/>
      <c r="R356" s="18"/>
      <c r="S356" s="374"/>
      <c r="T356" s="372"/>
      <c r="U356" s="186"/>
      <c r="V356" s="18"/>
      <c r="W356" s="374"/>
      <c r="X356" s="372"/>
      <c r="Y356" s="186"/>
      <c r="Z356" s="18"/>
      <c r="AA356" s="374"/>
      <c r="AB356" s="372"/>
      <c r="AC356" s="186"/>
      <c r="AD356" s="18"/>
      <c r="AE356" s="374"/>
      <c r="AF356" s="372"/>
      <c r="AG356" s="188"/>
      <c r="AH356" s="188"/>
      <c r="AI356" s="188"/>
      <c r="AJ356" s="188"/>
      <c r="AK356" s="365"/>
      <c r="AL356" s="365"/>
      <c r="AM356" s="365"/>
      <c r="AN356" s="365"/>
      <c r="AO356" s="365"/>
      <c r="AP356" s="365"/>
    </row>
    <row r="357">
      <c r="A357" s="302"/>
      <c r="B357" s="303"/>
      <c r="C357" s="304"/>
      <c r="D357" s="365"/>
      <c r="E357" s="302"/>
      <c r="F357" s="303"/>
      <c r="G357" s="304"/>
      <c r="H357" s="365"/>
      <c r="I357" s="302"/>
      <c r="J357" s="303"/>
      <c r="K357" s="304"/>
      <c r="L357" s="365"/>
      <c r="M357" s="302"/>
      <c r="N357" s="303"/>
      <c r="O357" s="304"/>
      <c r="P357" s="365"/>
      <c r="Q357" s="186"/>
      <c r="R357" s="18"/>
      <c r="S357" s="374"/>
      <c r="T357" s="372"/>
      <c r="U357" s="186"/>
      <c r="V357" s="18"/>
      <c r="W357" s="374"/>
      <c r="X357" s="372"/>
      <c r="Y357" s="186"/>
      <c r="Z357" s="18"/>
      <c r="AA357" s="374"/>
      <c r="AB357" s="372"/>
      <c r="AC357" s="186"/>
      <c r="AD357" s="18"/>
      <c r="AE357" s="374"/>
      <c r="AF357" s="372"/>
      <c r="AG357" s="188"/>
      <c r="AH357" s="188"/>
      <c r="AI357" s="188"/>
      <c r="AJ357" s="188"/>
      <c r="AK357" s="365"/>
      <c r="AL357" s="365"/>
      <c r="AM357" s="365"/>
      <c r="AN357" s="365"/>
      <c r="AO357" s="365"/>
      <c r="AP357" s="365"/>
    </row>
    <row r="358">
      <c r="A358" s="302"/>
      <c r="B358" s="303"/>
      <c r="C358" s="304"/>
      <c r="D358" s="365"/>
      <c r="E358" s="302"/>
      <c r="F358" s="303"/>
      <c r="G358" s="304"/>
      <c r="H358" s="365"/>
      <c r="I358" s="302"/>
      <c r="J358" s="303"/>
      <c r="K358" s="304"/>
      <c r="L358" s="365"/>
      <c r="M358" s="302"/>
      <c r="N358" s="303"/>
      <c r="O358" s="304"/>
      <c r="P358" s="365"/>
      <c r="Q358" s="186"/>
      <c r="R358" s="18"/>
      <c r="S358" s="374"/>
      <c r="T358" s="372"/>
      <c r="U358" s="186"/>
      <c r="V358" s="18"/>
      <c r="W358" s="374"/>
      <c r="X358" s="372"/>
      <c r="Y358" s="186"/>
      <c r="Z358" s="18"/>
      <c r="AA358" s="374"/>
      <c r="AB358" s="372"/>
      <c r="AC358" s="186"/>
      <c r="AD358" s="18"/>
      <c r="AE358" s="374"/>
      <c r="AF358" s="372"/>
      <c r="AG358" s="188"/>
      <c r="AH358" s="188"/>
      <c r="AI358" s="188"/>
      <c r="AJ358" s="188"/>
      <c r="AK358" s="365"/>
      <c r="AL358" s="365"/>
      <c r="AM358" s="365"/>
      <c r="AN358" s="365"/>
      <c r="AO358" s="365"/>
      <c r="AP358" s="365"/>
    </row>
    <row r="359">
      <c r="A359" s="302"/>
      <c r="B359" s="303"/>
      <c r="C359" s="304"/>
      <c r="D359" s="365"/>
      <c r="E359" s="302"/>
      <c r="F359" s="303"/>
      <c r="G359" s="304"/>
      <c r="H359" s="365"/>
      <c r="I359" s="302"/>
      <c r="J359" s="303"/>
      <c r="K359" s="304"/>
      <c r="L359" s="365"/>
      <c r="M359" s="302"/>
      <c r="N359" s="303"/>
      <c r="O359" s="304"/>
      <c r="P359" s="365"/>
      <c r="Q359" s="186"/>
      <c r="R359" s="18"/>
      <c r="S359" s="374"/>
      <c r="T359" s="372"/>
      <c r="U359" s="186"/>
      <c r="V359" s="18"/>
      <c r="W359" s="374"/>
      <c r="X359" s="372"/>
      <c r="Y359" s="186"/>
      <c r="Z359" s="18"/>
      <c r="AA359" s="374"/>
      <c r="AB359" s="372"/>
      <c r="AC359" s="186"/>
      <c r="AD359" s="18"/>
      <c r="AE359" s="374"/>
      <c r="AF359" s="372"/>
      <c r="AG359" s="188"/>
      <c r="AH359" s="188"/>
      <c r="AI359" s="188"/>
      <c r="AJ359" s="188"/>
      <c r="AK359" s="365"/>
      <c r="AL359" s="365"/>
      <c r="AM359" s="365"/>
      <c r="AN359" s="365"/>
      <c r="AO359" s="365"/>
      <c r="AP359" s="365"/>
    </row>
    <row r="360">
      <c r="A360" s="302"/>
      <c r="B360" s="303"/>
      <c r="C360" s="304"/>
      <c r="D360" s="365"/>
      <c r="E360" s="302"/>
      <c r="F360" s="303"/>
      <c r="G360" s="304"/>
      <c r="H360" s="365"/>
      <c r="I360" s="302"/>
      <c r="J360" s="303"/>
      <c r="K360" s="304"/>
      <c r="L360" s="365"/>
      <c r="M360" s="302"/>
      <c r="N360" s="303"/>
      <c r="O360" s="304"/>
      <c r="P360" s="365"/>
      <c r="Q360" s="186"/>
      <c r="R360" s="18"/>
      <c r="S360" s="374"/>
      <c r="T360" s="372"/>
      <c r="U360" s="186"/>
      <c r="V360" s="18"/>
      <c r="W360" s="374"/>
      <c r="X360" s="372"/>
      <c r="Y360" s="186"/>
      <c r="Z360" s="18"/>
      <c r="AA360" s="374"/>
      <c r="AB360" s="372"/>
      <c r="AC360" s="186"/>
      <c r="AD360" s="18"/>
      <c r="AE360" s="374"/>
      <c r="AF360" s="372"/>
      <c r="AG360" s="188"/>
      <c r="AH360" s="188"/>
      <c r="AI360" s="188"/>
      <c r="AJ360" s="188"/>
      <c r="AK360" s="365"/>
      <c r="AL360" s="365"/>
      <c r="AM360" s="365"/>
      <c r="AN360" s="365"/>
      <c r="AO360" s="365"/>
      <c r="AP360" s="365"/>
    </row>
    <row r="361">
      <c r="A361" s="302"/>
      <c r="B361" s="303"/>
      <c r="C361" s="304"/>
      <c r="D361" s="365"/>
      <c r="E361" s="302"/>
      <c r="F361" s="303"/>
      <c r="G361" s="304"/>
      <c r="H361" s="365"/>
      <c r="I361" s="302"/>
      <c r="J361" s="303"/>
      <c r="K361" s="304"/>
      <c r="L361" s="365"/>
      <c r="M361" s="302"/>
      <c r="N361" s="303"/>
      <c r="O361" s="304"/>
      <c r="P361" s="365"/>
      <c r="Q361" s="186"/>
      <c r="R361" s="18"/>
      <c r="S361" s="374"/>
      <c r="T361" s="372"/>
      <c r="U361" s="186"/>
      <c r="V361" s="18"/>
      <c r="W361" s="374"/>
      <c r="X361" s="372"/>
      <c r="Y361" s="186"/>
      <c r="Z361" s="18"/>
      <c r="AA361" s="374"/>
      <c r="AB361" s="372"/>
      <c r="AC361" s="186"/>
      <c r="AD361" s="18"/>
      <c r="AE361" s="374"/>
      <c r="AF361" s="372"/>
      <c r="AG361" s="188"/>
      <c r="AH361" s="188"/>
      <c r="AI361" s="188"/>
      <c r="AJ361" s="188"/>
      <c r="AK361" s="365"/>
      <c r="AL361" s="365"/>
      <c r="AM361" s="365"/>
      <c r="AN361" s="365"/>
      <c r="AO361" s="365"/>
      <c r="AP361" s="365"/>
    </row>
    <row r="362">
      <c r="A362" s="302"/>
      <c r="B362" s="303"/>
      <c r="C362" s="304"/>
      <c r="D362" s="365"/>
      <c r="E362" s="302"/>
      <c r="F362" s="303"/>
      <c r="G362" s="304"/>
      <c r="H362" s="365"/>
      <c r="I362" s="302"/>
      <c r="J362" s="303"/>
      <c r="K362" s="304"/>
      <c r="L362" s="365"/>
      <c r="M362" s="302"/>
      <c r="N362" s="303"/>
      <c r="O362" s="304"/>
      <c r="P362" s="365"/>
      <c r="Q362" s="186"/>
      <c r="R362" s="18"/>
      <c r="S362" s="374"/>
      <c r="T362" s="372"/>
      <c r="U362" s="186"/>
      <c r="V362" s="18"/>
      <c r="W362" s="374"/>
      <c r="X362" s="372"/>
      <c r="Y362" s="186"/>
      <c r="Z362" s="18"/>
      <c r="AA362" s="374"/>
      <c r="AB362" s="372"/>
      <c r="AC362" s="186"/>
      <c r="AD362" s="18"/>
      <c r="AE362" s="374"/>
      <c r="AF362" s="372"/>
      <c r="AG362" s="188"/>
      <c r="AH362" s="188"/>
      <c r="AI362" s="188"/>
      <c r="AJ362" s="188"/>
      <c r="AK362" s="365"/>
      <c r="AL362" s="365"/>
      <c r="AM362" s="365"/>
      <c r="AN362" s="365"/>
      <c r="AO362" s="365"/>
      <c r="AP362" s="365"/>
    </row>
    <row r="363">
      <c r="A363" s="302"/>
      <c r="B363" s="303"/>
      <c r="C363" s="304"/>
      <c r="D363" s="365"/>
      <c r="E363" s="302"/>
      <c r="F363" s="303"/>
      <c r="G363" s="304"/>
      <c r="H363" s="365"/>
      <c r="I363" s="302"/>
      <c r="J363" s="303"/>
      <c r="K363" s="304"/>
      <c r="L363" s="365"/>
      <c r="M363" s="302"/>
      <c r="N363" s="303"/>
      <c r="O363" s="304"/>
      <c r="P363" s="365"/>
      <c r="Q363" s="186"/>
      <c r="R363" s="18"/>
      <c r="S363" s="374"/>
      <c r="T363" s="372"/>
      <c r="U363" s="186"/>
      <c r="V363" s="18"/>
      <c r="W363" s="374"/>
      <c r="X363" s="372"/>
      <c r="Y363" s="186"/>
      <c r="Z363" s="18"/>
      <c r="AA363" s="374"/>
      <c r="AB363" s="372"/>
      <c r="AC363" s="186"/>
      <c r="AD363" s="18"/>
      <c r="AE363" s="374"/>
      <c r="AF363" s="372"/>
      <c r="AG363" s="188"/>
      <c r="AH363" s="188"/>
      <c r="AI363" s="188"/>
      <c r="AJ363" s="188"/>
      <c r="AK363" s="365"/>
      <c r="AL363" s="365"/>
      <c r="AM363" s="365"/>
      <c r="AN363" s="365"/>
      <c r="AO363" s="365"/>
      <c r="AP363" s="365"/>
    </row>
    <row r="364">
      <c r="A364" s="302"/>
      <c r="B364" s="303"/>
      <c r="C364" s="304"/>
      <c r="D364" s="365"/>
      <c r="E364" s="302"/>
      <c r="F364" s="303"/>
      <c r="G364" s="304"/>
      <c r="H364" s="365"/>
      <c r="I364" s="302"/>
      <c r="J364" s="303"/>
      <c r="K364" s="304"/>
      <c r="L364" s="365"/>
      <c r="M364" s="302"/>
      <c r="N364" s="303"/>
      <c r="O364" s="304"/>
      <c r="P364" s="365"/>
      <c r="Q364" s="186"/>
      <c r="R364" s="18"/>
      <c r="S364" s="374"/>
      <c r="T364" s="372"/>
      <c r="U364" s="186"/>
      <c r="V364" s="18"/>
      <c r="W364" s="374"/>
      <c r="X364" s="372"/>
      <c r="Y364" s="186"/>
      <c r="Z364" s="18"/>
      <c r="AA364" s="374"/>
      <c r="AB364" s="372"/>
      <c r="AC364" s="186"/>
      <c r="AD364" s="18"/>
      <c r="AE364" s="374"/>
      <c r="AF364" s="372"/>
      <c r="AG364" s="188"/>
      <c r="AH364" s="188"/>
      <c r="AI364" s="188"/>
      <c r="AJ364" s="188"/>
      <c r="AK364" s="365"/>
      <c r="AL364" s="365"/>
      <c r="AM364" s="365"/>
      <c r="AN364" s="365"/>
      <c r="AO364" s="365"/>
      <c r="AP364" s="365"/>
    </row>
    <row r="365">
      <c r="A365" s="302"/>
      <c r="B365" s="303"/>
      <c r="C365" s="304"/>
      <c r="D365" s="365"/>
      <c r="E365" s="302"/>
      <c r="F365" s="303"/>
      <c r="G365" s="304"/>
      <c r="H365" s="365"/>
      <c r="I365" s="302"/>
      <c r="J365" s="303"/>
      <c r="K365" s="304"/>
      <c r="L365" s="365"/>
      <c r="M365" s="302"/>
      <c r="N365" s="303"/>
      <c r="O365" s="304"/>
      <c r="P365" s="365"/>
      <c r="Q365" s="186"/>
      <c r="R365" s="18"/>
      <c r="S365" s="374"/>
      <c r="T365" s="372"/>
      <c r="U365" s="186"/>
      <c r="V365" s="18"/>
      <c r="W365" s="374"/>
      <c r="X365" s="372"/>
      <c r="Y365" s="186"/>
      <c r="Z365" s="18"/>
      <c r="AA365" s="374"/>
      <c r="AB365" s="372"/>
      <c r="AC365" s="186"/>
      <c r="AD365" s="18"/>
      <c r="AE365" s="374"/>
      <c r="AF365" s="372"/>
      <c r="AG365" s="188"/>
      <c r="AH365" s="188"/>
      <c r="AI365" s="188"/>
      <c r="AJ365" s="188"/>
      <c r="AK365" s="365"/>
      <c r="AL365" s="365"/>
      <c r="AM365" s="365"/>
      <c r="AN365" s="365"/>
      <c r="AO365" s="365"/>
      <c r="AP365" s="365"/>
    </row>
    <row r="366">
      <c r="A366" s="302"/>
      <c r="B366" s="303"/>
      <c r="C366" s="304"/>
      <c r="D366" s="365"/>
      <c r="E366" s="302"/>
      <c r="F366" s="303"/>
      <c r="G366" s="304"/>
      <c r="H366" s="365"/>
      <c r="I366" s="302"/>
      <c r="J366" s="303"/>
      <c r="K366" s="304"/>
      <c r="L366" s="365"/>
      <c r="M366" s="302"/>
      <c r="N366" s="303"/>
      <c r="O366" s="304"/>
      <c r="P366" s="365"/>
      <c r="Q366" s="186"/>
      <c r="R366" s="18"/>
      <c r="S366" s="374"/>
      <c r="T366" s="372"/>
      <c r="U366" s="186"/>
      <c r="V366" s="18"/>
      <c r="W366" s="374"/>
      <c r="X366" s="372"/>
      <c r="Y366" s="186"/>
      <c r="Z366" s="18"/>
      <c r="AA366" s="374"/>
      <c r="AB366" s="372"/>
      <c r="AC366" s="186"/>
      <c r="AD366" s="18"/>
      <c r="AE366" s="374"/>
      <c r="AF366" s="372"/>
      <c r="AG366" s="188"/>
      <c r="AH366" s="188"/>
      <c r="AI366" s="188"/>
      <c r="AJ366" s="188"/>
      <c r="AK366" s="365"/>
      <c r="AL366" s="365"/>
      <c r="AM366" s="365"/>
      <c r="AN366" s="365"/>
      <c r="AO366" s="365"/>
      <c r="AP366" s="365"/>
    </row>
    <row r="367">
      <c r="A367" s="302"/>
      <c r="B367" s="303"/>
      <c r="C367" s="304"/>
      <c r="D367" s="365"/>
      <c r="E367" s="302"/>
      <c r="F367" s="303"/>
      <c r="G367" s="304"/>
      <c r="H367" s="365"/>
      <c r="I367" s="302"/>
      <c r="J367" s="303"/>
      <c r="K367" s="304"/>
      <c r="L367" s="365"/>
      <c r="M367" s="302"/>
      <c r="N367" s="303"/>
      <c r="O367" s="304"/>
      <c r="P367" s="365"/>
      <c r="Q367" s="186"/>
      <c r="R367" s="18"/>
      <c r="S367" s="374"/>
      <c r="T367" s="372"/>
      <c r="U367" s="186"/>
      <c r="V367" s="18"/>
      <c r="W367" s="374"/>
      <c r="X367" s="372"/>
      <c r="Y367" s="186"/>
      <c r="Z367" s="18"/>
      <c r="AA367" s="374"/>
      <c r="AB367" s="372"/>
      <c r="AC367" s="186"/>
      <c r="AD367" s="18"/>
      <c r="AE367" s="374"/>
      <c r="AF367" s="372"/>
      <c r="AG367" s="188"/>
      <c r="AH367" s="188"/>
      <c r="AI367" s="188"/>
      <c r="AJ367" s="188"/>
      <c r="AK367" s="365"/>
      <c r="AL367" s="365"/>
      <c r="AM367" s="365"/>
      <c r="AN367" s="365"/>
      <c r="AO367" s="365"/>
      <c r="AP367" s="365"/>
    </row>
    <row r="368">
      <c r="A368" s="302"/>
      <c r="B368" s="303"/>
      <c r="C368" s="304"/>
      <c r="D368" s="365"/>
      <c r="E368" s="302"/>
      <c r="F368" s="303"/>
      <c r="G368" s="304"/>
      <c r="H368" s="365"/>
      <c r="I368" s="302"/>
      <c r="J368" s="303"/>
      <c r="K368" s="304"/>
      <c r="L368" s="365"/>
      <c r="M368" s="302"/>
      <c r="N368" s="303"/>
      <c r="O368" s="304"/>
      <c r="P368" s="365"/>
      <c r="Q368" s="186"/>
      <c r="R368" s="18"/>
      <c r="S368" s="374"/>
      <c r="T368" s="372"/>
      <c r="U368" s="186"/>
      <c r="V368" s="18"/>
      <c r="W368" s="374"/>
      <c r="X368" s="372"/>
      <c r="Y368" s="186"/>
      <c r="Z368" s="18"/>
      <c r="AA368" s="374"/>
      <c r="AB368" s="372"/>
      <c r="AC368" s="186"/>
      <c r="AD368" s="18"/>
      <c r="AE368" s="374"/>
      <c r="AF368" s="372"/>
      <c r="AG368" s="188"/>
      <c r="AH368" s="188"/>
      <c r="AI368" s="188"/>
      <c r="AJ368" s="188"/>
      <c r="AK368" s="365"/>
      <c r="AL368" s="365"/>
      <c r="AM368" s="365"/>
      <c r="AN368" s="365"/>
      <c r="AO368" s="365"/>
      <c r="AP368" s="365"/>
    </row>
    <row r="369">
      <c r="A369" s="302"/>
      <c r="B369" s="303"/>
      <c r="C369" s="304"/>
      <c r="D369" s="365"/>
      <c r="E369" s="302"/>
      <c r="F369" s="303"/>
      <c r="G369" s="304"/>
      <c r="H369" s="365"/>
      <c r="I369" s="302"/>
      <c r="J369" s="303"/>
      <c r="K369" s="304"/>
      <c r="L369" s="365"/>
      <c r="M369" s="302"/>
      <c r="N369" s="303"/>
      <c r="O369" s="304"/>
      <c r="P369" s="365"/>
      <c r="Q369" s="186"/>
      <c r="R369" s="18"/>
      <c r="S369" s="374"/>
      <c r="T369" s="372"/>
      <c r="U369" s="186"/>
      <c r="V369" s="18"/>
      <c r="W369" s="374"/>
      <c r="X369" s="372"/>
      <c r="Y369" s="186"/>
      <c r="Z369" s="18"/>
      <c r="AA369" s="374"/>
      <c r="AB369" s="372"/>
      <c r="AC369" s="186"/>
      <c r="AD369" s="18"/>
      <c r="AE369" s="374"/>
      <c r="AF369" s="372"/>
      <c r="AG369" s="188"/>
      <c r="AH369" s="188"/>
      <c r="AI369" s="188"/>
      <c r="AJ369" s="188"/>
      <c r="AK369" s="365"/>
      <c r="AL369" s="365"/>
      <c r="AM369" s="365"/>
      <c r="AN369" s="365"/>
      <c r="AO369" s="365"/>
      <c r="AP369" s="365"/>
    </row>
    <row r="370">
      <c r="A370" s="302"/>
      <c r="B370" s="303"/>
      <c r="C370" s="304"/>
      <c r="D370" s="365"/>
      <c r="E370" s="302"/>
      <c r="F370" s="303"/>
      <c r="G370" s="304"/>
      <c r="H370" s="365"/>
      <c r="I370" s="302"/>
      <c r="J370" s="303"/>
      <c r="K370" s="304"/>
      <c r="L370" s="365"/>
      <c r="M370" s="302"/>
      <c r="N370" s="303"/>
      <c r="O370" s="304"/>
      <c r="P370" s="365"/>
      <c r="Q370" s="186"/>
      <c r="R370" s="18"/>
      <c r="S370" s="374"/>
      <c r="T370" s="372"/>
      <c r="U370" s="186"/>
      <c r="V370" s="18"/>
      <c r="W370" s="374"/>
      <c r="X370" s="372"/>
      <c r="Y370" s="186"/>
      <c r="Z370" s="18"/>
      <c r="AA370" s="374"/>
      <c r="AB370" s="372"/>
      <c r="AC370" s="186"/>
      <c r="AD370" s="18"/>
      <c r="AE370" s="374"/>
      <c r="AF370" s="372"/>
      <c r="AG370" s="188"/>
      <c r="AH370" s="188"/>
      <c r="AI370" s="188"/>
      <c r="AJ370" s="188"/>
      <c r="AK370" s="365"/>
      <c r="AL370" s="365"/>
      <c r="AM370" s="365"/>
      <c r="AN370" s="365"/>
      <c r="AO370" s="365"/>
      <c r="AP370" s="365"/>
    </row>
    <row r="371">
      <c r="A371" s="302"/>
      <c r="B371" s="303"/>
      <c r="C371" s="304"/>
      <c r="D371" s="365"/>
      <c r="E371" s="302"/>
      <c r="F371" s="303"/>
      <c r="G371" s="304"/>
      <c r="H371" s="365"/>
      <c r="I371" s="302"/>
      <c r="J371" s="303"/>
      <c r="K371" s="304"/>
      <c r="L371" s="365"/>
      <c r="M371" s="302"/>
      <c r="N371" s="303"/>
      <c r="O371" s="304"/>
      <c r="P371" s="365"/>
      <c r="Q371" s="186"/>
      <c r="R371" s="18"/>
      <c r="S371" s="374"/>
      <c r="T371" s="372"/>
      <c r="U371" s="186"/>
      <c r="V371" s="18"/>
      <c r="W371" s="374"/>
      <c r="X371" s="372"/>
      <c r="Y371" s="186"/>
      <c r="Z371" s="18"/>
      <c r="AA371" s="374"/>
      <c r="AB371" s="372"/>
      <c r="AC371" s="186"/>
      <c r="AD371" s="18"/>
      <c r="AE371" s="374"/>
      <c r="AF371" s="372"/>
      <c r="AG371" s="188"/>
      <c r="AH371" s="188"/>
      <c r="AI371" s="188"/>
      <c r="AJ371" s="188"/>
      <c r="AK371" s="365"/>
      <c r="AL371" s="365"/>
      <c r="AM371" s="365"/>
      <c r="AN371" s="365"/>
      <c r="AO371" s="365"/>
      <c r="AP371" s="365"/>
    </row>
    <row r="372">
      <c r="A372" s="302"/>
      <c r="B372" s="303"/>
      <c r="C372" s="304"/>
      <c r="D372" s="365"/>
      <c r="E372" s="302"/>
      <c r="F372" s="303"/>
      <c r="G372" s="304"/>
      <c r="H372" s="365"/>
      <c r="I372" s="302"/>
      <c r="J372" s="303"/>
      <c r="K372" s="304"/>
      <c r="L372" s="365"/>
      <c r="M372" s="302"/>
      <c r="N372" s="303"/>
      <c r="O372" s="304"/>
      <c r="P372" s="365"/>
      <c r="Q372" s="186"/>
      <c r="R372" s="18"/>
      <c r="S372" s="374"/>
      <c r="T372" s="372"/>
      <c r="U372" s="186"/>
      <c r="V372" s="18"/>
      <c r="W372" s="374"/>
      <c r="X372" s="372"/>
      <c r="Y372" s="186"/>
      <c r="Z372" s="18"/>
      <c r="AA372" s="374"/>
      <c r="AB372" s="372"/>
      <c r="AC372" s="186"/>
      <c r="AD372" s="18"/>
      <c r="AE372" s="374"/>
      <c r="AF372" s="372"/>
      <c r="AG372" s="188"/>
      <c r="AH372" s="188"/>
      <c r="AI372" s="188"/>
      <c r="AJ372" s="188"/>
      <c r="AK372" s="365"/>
      <c r="AL372" s="365"/>
      <c r="AM372" s="365"/>
      <c r="AN372" s="365"/>
      <c r="AO372" s="365"/>
      <c r="AP372" s="365"/>
    </row>
    <row r="373">
      <c r="A373" s="302"/>
      <c r="B373" s="303"/>
      <c r="C373" s="304"/>
      <c r="D373" s="365"/>
      <c r="E373" s="302"/>
      <c r="F373" s="303"/>
      <c r="G373" s="304"/>
      <c r="H373" s="365"/>
      <c r="I373" s="302"/>
      <c r="J373" s="303"/>
      <c r="K373" s="304"/>
      <c r="L373" s="365"/>
      <c r="M373" s="302"/>
      <c r="N373" s="303"/>
      <c r="O373" s="304"/>
      <c r="P373" s="365"/>
      <c r="Q373" s="186"/>
      <c r="R373" s="18"/>
      <c r="S373" s="374"/>
      <c r="T373" s="372"/>
      <c r="U373" s="186"/>
      <c r="V373" s="18"/>
      <c r="W373" s="374"/>
      <c r="X373" s="372"/>
      <c r="Y373" s="186"/>
      <c r="Z373" s="18"/>
      <c r="AA373" s="374"/>
      <c r="AB373" s="372"/>
      <c r="AC373" s="186"/>
      <c r="AD373" s="18"/>
      <c r="AE373" s="374"/>
      <c r="AF373" s="372"/>
      <c r="AG373" s="188"/>
      <c r="AH373" s="188"/>
      <c r="AI373" s="188"/>
      <c r="AJ373" s="188"/>
      <c r="AK373" s="365"/>
      <c r="AL373" s="365"/>
      <c r="AM373" s="365"/>
      <c r="AN373" s="365"/>
      <c r="AO373" s="365"/>
      <c r="AP373" s="365"/>
    </row>
    <row r="374">
      <c r="A374" s="302"/>
      <c r="B374" s="303"/>
      <c r="C374" s="304"/>
      <c r="D374" s="365"/>
      <c r="E374" s="302"/>
      <c r="F374" s="303"/>
      <c r="G374" s="304"/>
      <c r="H374" s="365"/>
      <c r="I374" s="302"/>
      <c r="J374" s="303"/>
      <c r="K374" s="304"/>
      <c r="L374" s="365"/>
      <c r="M374" s="302"/>
      <c r="N374" s="303"/>
      <c r="O374" s="304"/>
      <c r="P374" s="365"/>
      <c r="Q374" s="186"/>
      <c r="R374" s="18"/>
      <c r="S374" s="374"/>
      <c r="T374" s="372"/>
      <c r="U374" s="186"/>
      <c r="V374" s="18"/>
      <c r="W374" s="374"/>
      <c r="X374" s="372"/>
      <c r="Y374" s="186"/>
      <c r="Z374" s="18"/>
      <c r="AA374" s="374"/>
      <c r="AB374" s="372"/>
      <c r="AC374" s="186"/>
      <c r="AD374" s="18"/>
      <c r="AE374" s="374"/>
      <c r="AF374" s="372"/>
      <c r="AG374" s="188"/>
      <c r="AH374" s="188"/>
      <c r="AI374" s="188"/>
      <c r="AJ374" s="188"/>
      <c r="AK374" s="365"/>
      <c r="AL374" s="365"/>
      <c r="AM374" s="365"/>
      <c r="AN374" s="365"/>
      <c r="AO374" s="365"/>
      <c r="AP374" s="365"/>
    </row>
    <row r="375">
      <c r="A375" s="302"/>
      <c r="B375" s="303"/>
      <c r="C375" s="304"/>
      <c r="D375" s="365"/>
      <c r="E375" s="302"/>
      <c r="F375" s="303"/>
      <c r="G375" s="304"/>
      <c r="H375" s="365"/>
      <c r="I375" s="302"/>
      <c r="J375" s="303"/>
      <c r="K375" s="304"/>
      <c r="L375" s="365"/>
      <c r="M375" s="302"/>
      <c r="N375" s="303"/>
      <c r="O375" s="304"/>
      <c r="P375" s="365"/>
      <c r="Q375" s="186"/>
      <c r="R375" s="18"/>
      <c r="S375" s="374"/>
      <c r="T375" s="372"/>
      <c r="U375" s="186"/>
      <c r="V375" s="18"/>
      <c r="W375" s="374"/>
      <c r="X375" s="372"/>
      <c r="Y375" s="186"/>
      <c r="Z375" s="18"/>
      <c r="AA375" s="374"/>
      <c r="AB375" s="372"/>
      <c r="AC375" s="186"/>
      <c r="AD375" s="18"/>
      <c r="AE375" s="374"/>
      <c r="AF375" s="372"/>
      <c r="AG375" s="188"/>
      <c r="AH375" s="188"/>
      <c r="AI375" s="188"/>
      <c r="AJ375" s="188"/>
      <c r="AK375" s="365"/>
      <c r="AL375" s="365"/>
      <c r="AM375" s="365"/>
      <c r="AN375" s="365"/>
      <c r="AO375" s="365"/>
      <c r="AP375" s="365"/>
    </row>
    <row r="376">
      <c r="A376" s="302"/>
      <c r="B376" s="303"/>
      <c r="C376" s="304"/>
      <c r="D376" s="365"/>
      <c r="E376" s="302"/>
      <c r="F376" s="303"/>
      <c r="G376" s="304"/>
      <c r="H376" s="365"/>
      <c r="I376" s="302"/>
      <c r="J376" s="303"/>
      <c r="K376" s="304"/>
      <c r="L376" s="365"/>
      <c r="M376" s="302"/>
      <c r="N376" s="303"/>
      <c r="O376" s="304"/>
      <c r="P376" s="365"/>
      <c r="Q376" s="186"/>
      <c r="R376" s="18"/>
      <c r="S376" s="374"/>
      <c r="T376" s="372"/>
      <c r="U376" s="186"/>
      <c r="V376" s="18"/>
      <c r="W376" s="374"/>
      <c r="X376" s="372"/>
      <c r="Y376" s="186"/>
      <c r="Z376" s="18"/>
      <c r="AA376" s="374"/>
      <c r="AB376" s="372"/>
      <c r="AC376" s="186"/>
      <c r="AD376" s="18"/>
      <c r="AE376" s="374"/>
      <c r="AF376" s="372"/>
      <c r="AG376" s="188"/>
      <c r="AH376" s="188"/>
      <c r="AI376" s="188"/>
      <c r="AJ376" s="188"/>
      <c r="AK376" s="365"/>
      <c r="AL376" s="365"/>
      <c r="AM376" s="365"/>
      <c r="AN376" s="365"/>
      <c r="AO376" s="365"/>
      <c r="AP376" s="365"/>
    </row>
    <row r="377">
      <c r="A377" s="302"/>
      <c r="B377" s="303"/>
      <c r="C377" s="304"/>
      <c r="D377" s="365"/>
      <c r="E377" s="302"/>
      <c r="F377" s="303"/>
      <c r="G377" s="304"/>
      <c r="H377" s="365"/>
      <c r="I377" s="302"/>
      <c r="J377" s="303"/>
      <c r="K377" s="304"/>
      <c r="L377" s="365"/>
      <c r="M377" s="302"/>
      <c r="N377" s="303"/>
      <c r="O377" s="304"/>
      <c r="P377" s="365"/>
      <c r="Q377" s="186"/>
      <c r="R377" s="18"/>
      <c r="S377" s="374"/>
      <c r="T377" s="372"/>
      <c r="U377" s="186"/>
      <c r="V377" s="18"/>
      <c r="W377" s="374"/>
      <c r="X377" s="372"/>
      <c r="Y377" s="186"/>
      <c r="Z377" s="18"/>
      <c r="AA377" s="374"/>
      <c r="AB377" s="372"/>
      <c r="AC377" s="186"/>
      <c r="AD377" s="18"/>
      <c r="AE377" s="374"/>
      <c r="AF377" s="372"/>
      <c r="AG377" s="188"/>
      <c r="AH377" s="188"/>
      <c r="AI377" s="188"/>
      <c r="AJ377" s="188"/>
      <c r="AK377" s="365"/>
      <c r="AL377" s="365"/>
      <c r="AM377" s="365"/>
      <c r="AN377" s="365"/>
      <c r="AO377" s="365"/>
      <c r="AP377" s="365"/>
    </row>
    <row r="378">
      <c r="A378" s="302"/>
      <c r="B378" s="303"/>
      <c r="C378" s="304"/>
      <c r="D378" s="365"/>
      <c r="E378" s="302"/>
      <c r="F378" s="303"/>
      <c r="G378" s="304"/>
      <c r="H378" s="365"/>
      <c r="I378" s="302"/>
      <c r="J378" s="303"/>
      <c r="K378" s="304"/>
      <c r="L378" s="365"/>
      <c r="M378" s="302"/>
      <c r="N378" s="303"/>
      <c r="O378" s="304"/>
      <c r="P378" s="365"/>
      <c r="Q378" s="186"/>
      <c r="R378" s="18"/>
      <c r="S378" s="374"/>
      <c r="T378" s="372"/>
      <c r="U378" s="186"/>
      <c r="V378" s="18"/>
      <c r="W378" s="374"/>
      <c r="X378" s="372"/>
      <c r="Y378" s="186"/>
      <c r="Z378" s="18"/>
      <c r="AA378" s="374"/>
      <c r="AB378" s="372"/>
      <c r="AC378" s="186"/>
      <c r="AD378" s="18"/>
      <c r="AE378" s="374"/>
      <c r="AF378" s="372"/>
      <c r="AG378" s="188"/>
      <c r="AH378" s="188"/>
      <c r="AI378" s="188"/>
      <c r="AJ378" s="188"/>
      <c r="AK378" s="365"/>
      <c r="AL378" s="365"/>
      <c r="AM378" s="365"/>
      <c r="AN378" s="365"/>
      <c r="AO378" s="365"/>
      <c r="AP378" s="365"/>
    </row>
    <row r="379">
      <c r="A379" s="302"/>
      <c r="B379" s="303"/>
      <c r="C379" s="304"/>
      <c r="D379" s="365"/>
      <c r="E379" s="302"/>
      <c r="F379" s="303"/>
      <c r="G379" s="304"/>
      <c r="H379" s="365"/>
      <c r="I379" s="302"/>
      <c r="J379" s="303"/>
      <c r="K379" s="304"/>
      <c r="L379" s="365"/>
      <c r="M379" s="302"/>
      <c r="N379" s="303"/>
      <c r="O379" s="304"/>
      <c r="P379" s="365"/>
      <c r="Q379" s="186"/>
      <c r="R379" s="18"/>
      <c r="S379" s="374"/>
      <c r="T379" s="372"/>
      <c r="U379" s="186"/>
      <c r="V379" s="18"/>
      <c r="W379" s="374"/>
      <c r="X379" s="372"/>
      <c r="Y379" s="186"/>
      <c r="Z379" s="18"/>
      <c r="AA379" s="374"/>
      <c r="AB379" s="372"/>
      <c r="AC379" s="186"/>
      <c r="AD379" s="18"/>
      <c r="AE379" s="374"/>
      <c r="AF379" s="372"/>
      <c r="AG379" s="188"/>
      <c r="AH379" s="188"/>
      <c r="AI379" s="188"/>
      <c r="AJ379" s="188"/>
      <c r="AK379" s="365"/>
      <c r="AL379" s="365"/>
      <c r="AM379" s="365"/>
      <c r="AN379" s="365"/>
      <c r="AO379" s="365"/>
      <c r="AP379" s="365"/>
    </row>
    <row r="380">
      <c r="A380" s="302"/>
      <c r="B380" s="303"/>
      <c r="C380" s="304"/>
      <c r="D380" s="365"/>
      <c r="E380" s="302"/>
      <c r="F380" s="303"/>
      <c r="G380" s="304"/>
      <c r="H380" s="365"/>
      <c r="I380" s="302"/>
      <c r="J380" s="303"/>
      <c r="K380" s="304"/>
      <c r="L380" s="365"/>
      <c r="M380" s="302"/>
      <c r="N380" s="303"/>
      <c r="O380" s="304"/>
      <c r="P380" s="365"/>
      <c r="Q380" s="186"/>
      <c r="R380" s="18"/>
      <c r="S380" s="374"/>
      <c r="T380" s="372"/>
      <c r="U380" s="186"/>
      <c r="V380" s="18"/>
      <c r="W380" s="374"/>
      <c r="X380" s="372"/>
      <c r="Y380" s="186"/>
      <c r="Z380" s="18"/>
      <c r="AA380" s="374"/>
      <c r="AB380" s="372"/>
      <c r="AC380" s="186"/>
      <c r="AD380" s="18"/>
      <c r="AE380" s="374"/>
      <c r="AF380" s="372"/>
      <c r="AG380" s="188"/>
      <c r="AH380" s="188"/>
      <c r="AI380" s="188"/>
      <c r="AJ380" s="188"/>
      <c r="AK380" s="365"/>
      <c r="AL380" s="365"/>
      <c r="AM380" s="365"/>
      <c r="AN380" s="365"/>
      <c r="AO380" s="365"/>
      <c r="AP380" s="365"/>
    </row>
    <row r="381">
      <c r="A381" s="302"/>
      <c r="B381" s="303"/>
      <c r="C381" s="304"/>
      <c r="D381" s="365"/>
      <c r="E381" s="302"/>
      <c r="F381" s="303"/>
      <c r="G381" s="304"/>
      <c r="H381" s="365"/>
      <c r="I381" s="302"/>
      <c r="J381" s="303"/>
      <c r="K381" s="304"/>
      <c r="L381" s="365"/>
      <c r="M381" s="302"/>
      <c r="N381" s="303"/>
      <c r="O381" s="304"/>
      <c r="P381" s="365"/>
      <c r="Q381" s="186"/>
      <c r="R381" s="18"/>
      <c r="S381" s="374"/>
      <c r="T381" s="372"/>
      <c r="U381" s="186"/>
      <c r="V381" s="18"/>
      <c r="W381" s="374"/>
      <c r="X381" s="372"/>
      <c r="Y381" s="186"/>
      <c r="Z381" s="18"/>
      <c r="AA381" s="374"/>
      <c r="AB381" s="372"/>
      <c r="AC381" s="186"/>
      <c r="AD381" s="18"/>
      <c r="AE381" s="374"/>
      <c r="AF381" s="372"/>
      <c r="AG381" s="188"/>
      <c r="AH381" s="188"/>
      <c r="AI381" s="188"/>
      <c r="AJ381" s="188"/>
      <c r="AK381" s="365"/>
      <c r="AL381" s="365"/>
      <c r="AM381" s="365"/>
      <c r="AN381" s="365"/>
      <c r="AO381" s="365"/>
      <c r="AP381" s="365"/>
    </row>
    <row r="382">
      <c r="A382" s="302"/>
      <c r="B382" s="303"/>
      <c r="C382" s="304"/>
      <c r="D382" s="365"/>
      <c r="E382" s="302"/>
      <c r="F382" s="303"/>
      <c r="G382" s="304"/>
      <c r="H382" s="365"/>
      <c r="I382" s="302"/>
      <c r="J382" s="303"/>
      <c r="K382" s="304"/>
      <c r="L382" s="365"/>
      <c r="M382" s="302"/>
      <c r="N382" s="303"/>
      <c r="O382" s="304"/>
      <c r="P382" s="365"/>
      <c r="Q382" s="186"/>
      <c r="R382" s="18"/>
      <c r="S382" s="374"/>
      <c r="T382" s="372"/>
      <c r="U382" s="186"/>
      <c r="V382" s="18"/>
      <c r="W382" s="374"/>
      <c r="X382" s="372"/>
      <c r="Y382" s="186"/>
      <c r="Z382" s="18"/>
      <c r="AA382" s="374"/>
      <c r="AB382" s="372"/>
      <c r="AC382" s="186"/>
      <c r="AD382" s="18"/>
      <c r="AE382" s="374"/>
      <c r="AF382" s="372"/>
      <c r="AG382" s="188"/>
      <c r="AH382" s="188"/>
      <c r="AI382" s="188"/>
      <c r="AJ382" s="188"/>
      <c r="AK382" s="365"/>
      <c r="AL382" s="365"/>
      <c r="AM382" s="365"/>
      <c r="AN382" s="365"/>
      <c r="AO382" s="365"/>
      <c r="AP382" s="365"/>
    </row>
    <row r="383">
      <c r="A383" s="302"/>
      <c r="B383" s="303"/>
      <c r="C383" s="304"/>
      <c r="D383" s="365"/>
      <c r="E383" s="302"/>
      <c r="F383" s="303"/>
      <c r="G383" s="304"/>
      <c r="H383" s="365"/>
      <c r="I383" s="302"/>
      <c r="J383" s="303"/>
      <c r="K383" s="304"/>
      <c r="L383" s="365"/>
      <c r="M383" s="302"/>
      <c r="N383" s="303"/>
      <c r="O383" s="304"/>
      <c r="P383" s="365"/>
      <c r="Q383" s="186"/>
      <c r="R383" s="18"/>
      <c r="S383" s="374"/>
      <c r="T383" s="372"/>
      <c r="U383" s="186"/>
      <c r="V383" s="18"/>
      <c r="W383" s="374"/>
      <c r="X383" s="372"/>
      <c r="Y383" s="186"/>
      <c r="Z383" s="18"/>
      <c r="AA383" s="374"/>
      <c r="AB383" s="372"/>
      <c r="AC383" s="186"/>
      <c r="AD383" s="18"/>
      <c r="AE383" s="374"/>
      <c r="AF383" s="372"/>
      <c r="AG383" s="188"/>
      <c r="AH383" s="188"/>
      <c r="AI383" s="188"/>
      <c r="AJ383" s="188"/>
      <c r="AK383" s="365"/>
      <c r="AL383" s="365"/>
      <c r="AM383" s="365"/>
      <c r="AN383" s="365"/>
      <c r="AO383" s="365"/>
      <c r="AP383" s="365"/>
    </row>
    <row r="384">
      <c r="A384" s="302"/>
      <c r="B384" s="303"/>
      <c r="C384" s="304"/>
      <c r="D384" s="365"/>
      <c r="E384" s="302"/>
      <c r="F384" s="303"/>
      <c r="G384" s="304"/>
      <c r="H384" s="365"/>
      <c r="I384" s="302"/>
      <c r="J384" s="303"/>
      <c r="K384" s="304"/>
      <c r="L384" s="365"/>
      <c r="M384" s="302"/>
      <c r="N384" s="303"/>
      <c r="O384" s="304"/>
      <c r="P384" s="365"/>
      <c r="Q384" s="186"/>
      <c r="R384" s="18"/>
      <c r="S384" s="374"/>
      <c r="T384" s="372"/>
      <c r="U384" s="186"/>
      <c r="V384" s="18"/>
      <c r="W384" s="374"/>
      <c r="X384" s="372"/>
      <c r="Y384" s="186"/>
      <c r="Z384" s="18"/>
      <c r="AA384" s="374"/>
      <c r="AB384" s="372"/>
      <c r="AC384" s="186"/>
      <c r="AD384" s="18"/>
      <c r="AE384" s="374"/>
      <c r="AF384" s="372"/>
      <c r="AG384" s="188"/>
      <c r="AH384" s="188"/>
      <c r="AI384" s="188"/>
      <c r="AJ384" s="188"/>
      <c r="AK384" s="365"/>
      <c r="AL384" s="365"/>
      <c r="AM384" s="365"/>
      <c r="AN384" s="365"/>
      <c r="AO384" s="365"/>
      <c r="AP384" s="365"/>
    </row>
    <row r="385">
      <c r="A385" s="302"/>
      <c r="B385" s="303"/>
      <c r="C385" s="304"/>
      <c r="D385" s="365"/>
      <c r="E385" s="302"/>
      <c r="F385" s="303"/>
      <c r="G385" s="304"/>
      <c r="H385" s="365"/>
      <c r="I385" s="302"/>
      <c r="J385" s="303"/>
      <c r="K385" s="304"/>
      <c r="L385" s="365"/>
      <c r="M385" s="302"/>
      <c r="N385" s="303"/>
      <c r="O385" s="304"/>
      <c r="P385" s="365"/>
      <c r="Q385" s="186"/>
      <c r="R385" s="18"/>
      <c r="S385" s="374"/>
      <c r="T385" s="372"/>
      <c r="U385" s="186"/>
      <c r="V385" s="18"/>
      <c r="W385" s="374"/>
      <c r="X385" s="372"/>
      <c r="Y385" s="186"/>
      <c r="Z385" s="18"/>
      <c r="AA385" s="374"/>
      <c r="AB385" s="372"/>
      <c r="AC385" s="186"/>
      <c r="AD385" s="18"/>
      <c r="AE385" s="374"/>
      <c r="AF385" s="372"/>
      <c r="AG385" s="188"/>
      <c r="AH385" s="188"/>
      <c r="AI385" s="188"/>
      <c r="AJ385" s="188"/>
      <c r="AK385" s="365"/>
      <c r="AL385" s="365"/>
      <c r="AM385" s="365"/>
      <c r="AN385" s="365"/>
      <c r="AO385" s="365"/>
      <c r="AP385" s="365"/>
    </row>
    <row r="386">
      <c r="A386" s="302"/>
      <c r="B386" s="303"/>
      <c r="C386" s="304"/>
      <c r="D386" s="365"/>
      <c r="E386" s="302"/>
      <c r="F386" s="303"/>
      <c r="G386" s="304"/>
      <c r="H386" s="365"/>
      <c r="I386" s="302"/>
      <c r="J386" s="303"/>
      <c r="K386" s="304"/>
      <c r="L386" s="365"/>
      <c r="M386" s="302"/>
      <c r="N386" s="303"/>
      <c r="O386" s="304"/>
      <c r="P386" s="365"/>
      <c r="Q386" s="186"/>
      <c r="R386" s="18"/>
      <c r="S386" s="374"/>
      <c r="T386" s="372"/>
      <c r="U386" s="186"/>
      <c r="V386" s="18"/>
      <c r="W386" s="374"/>
      <c r="X386" s="372"/>
      <c r="Y386" s="186"/>
      <c r="Z386" s="18"/>
      <c r="AA386" s="374"/>
      <c r="AB386" s="372"/>
      <c r="AC386" s="186"/>
      <c r="AD386" s="18"/>
      <c r="AE386" s="374"/>
      <c r="AF386" s="372"/>
      <c r="AG386" s="188"/>
      <c r="AH386" s="188"/>
      <c r="AI386" s="188"/>
      <c r="AJ386" s="188"/>
      <c r="AK386" s="365"/>
      <c r="AL386" s="365"/>
      <c r="AM386" s="365"/>
      <c r="AN386" s="365"/>
      <c r="AO386" s="365"/>
      <c r="AP386" s="365"/>
    </row>
    <row r="387">
      <c r="A387" s="302"/>
      <c r="B387" s="303"/>
      <c r="C387" s="304"/>
      <c r="D387" s="365"/>
      <c r="E387" s="302"/>
      <c r="F387" s="303"/>
      <c r="G387" s="304"/>
      <c r="H387" s="365"/>
      <c r="I387" s="302"/>
      <c r="J387" s="303"/>
      <c r="K387" s="304"/>
      <c r="L387" s="365"/>
      <c r="M387" s="302"/>
      <c r="N387" s="303"/>
      <c r="O387" s="304"/>
      <c r="P387" s="365"/>
      <c r="Q387" s="186"/>
      <c r="R387" s="18"/>
      <c r="S387" s="374"/>
      <c r="T387" s="372"/>
      <c r="U387" s="186"/>
      <c r="V387" s="18"/>
      <c r="W387" s="374"/>
      <c r="X387" s="372"/>
      <c r="Y387" s="186"/>
      <c r="Z387" s="18"/>
      <c r="AA387" s="374"/>
      <c r="AB387" s="372"/>
      <c r="AC387" s="186"/>
      <c r="AD387" s="18"/>
      <c r="AE387" s="374"/>
      <c r="AF387" s="372"/>
      <c r="AG387" s="188"/>
      <c r="AH387" s="188"/>
      <c r="AI387" s="188"/>
      <c r="AJ387" s="188"/>
      <c r="AK387" s="365"/>
      <c r="AL387" s="365"/>
      <c r="AM387" s="365"/>
      <c r="AN387" s="365"/>
      <c r="AO387" s="365"/>
      <c r="AP387" s="365"/>
    </row>
    <row r="388">
      <c r="A388" s="302"/>
      <c r="B388" s="303"/>
      <c r="C388" s="304"/>
      <c r="D388" s="365"/>
      <c r="E388" s="302"/>
      <c r="F388" s="303"/>
      <c r="G388" s="304"/>
      <c r="H388" s="365"/>
      <c r="I388" s="302"/>
      <c r="J388" s="303"/>
      <c r="K388" s="304"/>
      <c r="L388" s="365"/>
      <c r="M388" s="302"/>
      <c r="N388" s="303"/>
      <c r="O388" s="304"/>
      <c r="P388" s="365"/>
      <c r="Q388" s="186"/>
      <c r="R388" s="18"/>
      <c r="S388" s="374"/>
      <c r="T388" s="372"/>
      <c r="U388" s="186"/>
      <c r="V388" s="18"/>
      <c r="W388" s="374"/>
      <c r="X388" s="372"/>
      <c r="Y388" s="186"/>
      <c r="Z388" s="18"/>
      <c r="AA388" s="374"/>
      <c r="AB388" s="372"/>
      <c r="AC388" s="186"/>
      <c r="AD388" s="18"/>
      <c r="AE388" s="374"/>
      <c r="AF388" s="372"/>
      <c r="AG388" s="188"/>
      <c r="AH388" s="188"/>
      <c r="AI388" s="188"/>
      <c r="AJ388" s="188"/>
      <c r="AK388" s="365"/>
      <c r="AL388" s="365"/>
      <c r="AM388" s="365"/>
      <c r="AN388" s="365"/>
      <c r="AO388" s="365"/>
      <c r="AP388" s="365"/>
    </row>
    <row r="389">
      <c r="A389" s="302"/>
      <c r="B389" s="303"/>
      <c r="C389" s="304"/>
      <c r="D389" s="365"/>
      <c r="E389" s="302"/>
      <c r="F389" s="303"/>
      <c r="G389" s="304"/>
      <c r="H389" s="365"/>
      <c r="I389" s="302"/>
      <c r="J389" s="303"/>
      <c r="K389" s="304"/>
      <c r="L389" s="365"/>
      <c r="M389" s="302"/>
      <c r="N389" s="303"/>
      <c r="O389" s="304"/>
      <c r="P389" s="365"/>
      <c r="Q389" s="186"/>
      <c r="R389" s="18"/>
      <c r="S389" s="374"/>
      <c r="T389" s="372"/>
      <c r="U389" s="186"/>
      <c r="V389" s="18"/>
      <c r="W389" s="374"/>
      <c r="X389" s="372"/>
      <c r="Y389" s="186"/>
      <c r="Z389" s="18"/>
      <c r="AA389" s="374"/>
      <c r="AB389" s="372"/>
      <c r="AC389" s="186"/>
      <c r="AD389" s="18"/>
      <c r="AE389" s="374"/>
      <c r="AF389" s="372"/>
      <c r="AG389" s="188"/>
      <c r="AH389" s="188"/>
      <c r="AI389" s="188"/>
      <c r="AJ389" s="188"/>
      <c r="AK389" s="365"/>
      <c r="AL389" s="365"/>
      <c r="AM389" s="365"/>
      <c r="AN389" s="365"/>
      <c r="AO389" s="365"/>
      <c r="AP389" s="365"/>
    </row>
    <row r="390">
      <c r="A390" s="302"/>
      <c r="B390" s="303"/>
      <c r="C390" s="304"/>
      <c r="D390" s="365"/>
      <c r="E390" s="302"/>
      <c r="F390" s="303"/>
      <c r="G390" s="304"/>
      <c r="H390" s="365"/>
      <c r="I390" s="302"/>
      <c r="J390" s="303"/>
      <c r="K390" s="304"/>
      <c r="L390" s="365"/>
      <c r="M390" s="302"/>
      <c r="N390" s="303"/>
      <c r="O390" s="304"/>
      <c r="P390" s="365"/>
      <c r="Q390" s="186"/>
      <c r="R390" s="18"/>
      <c r="S390" s="374"/>
      <c r="T390" s="372"/>
      <c r="U390" s="186"/>
      <c r="V390" s="18"/>
      <c r="W390" s="374"/>
      <c r="X390" s="372"/>
      <c r="Y390" s="186"/>
      <c r="Z390" s="18"/>
      <c r="AA390" s="374"/>
      <c r="AB390" s="372"/>
      <c r="AC390" s="186"/>
      <c r="AD390" s="18"/>
      <c r="AE390" s="374"/>
      <c r="AF390" s="372"/>
      <c r="AG390" s="188"/>
      <c r="AH390" s="188"/>
      <c r="AI390" s="188"/>
      <c r="AJ390" s="188"/>
      <c r="AK390" s="365"/>
      <c r="AL390" s="365"/>
      <c r="AM390" s="365"/>
      <c r="AN390" s="365"/>
      <c r="AO390" s="365"/>
      <c r="AP390" s="365"/>
    </row>
    <row r="391">
      <c r="A391" s="302"/>
      <c r="B391" s="303"/>
      <c r="C391" s="304"/>
      <c r="D391" s="365"/>
      <c r="E391" s="302"/>
      <c r="F391" s="303"/>
      <c r="G391" s="304"/>
      <c r="H391" s="365"/>
      <c r="I391" s="302"/>
      <c r="J391" s="303"/>
      <c r="K391" s="304"/>
      <c r="L391" s="365"/>
      <c r="M391" s="302"/>
      <c r="N391" s="303"/>
      <c r="O391" s="304"/>
      <c r="P391" s="365"/>
      <c r="Q391" s="186"/>
      <c r="R391" s="18"/>
      <c r="S391" s="374"/>
      <c r="T391" s="372"/>
      <c r="U391" s="186"/>
      <c r="V391" s="18"/>
      <c r="W391" s="374"/>
      <c r="X391" s="372"/>
      <c r="Y391" s="186"/>
      <c r="Z391" s="18"/>
      <c r="AA391" s="374"/>
      <c r="AB391" s="372"/>
      <c r="AC391" s="186"/>
      <c r="AD391" s="18"/>
      <c r="AE391" s="374"/>
      <c r="AF391" s="372"/>
      <c r="AG391" s="188"/>
      <c r="AH391" s="188"/>
      <c r="AI391" s="188"/>
      <c r="AJ391" s="188"/>
      <c r="AK391" s="365"/>
      <c r="AL391" s="365"/>
      <c r="AM391" s="365"/>
      <c r="AN391" s="365"/>
      <c r="AO391" s="365"/>
      <c r="AP391" s="365"/>
    </row>
    <row r="392">
      <c r="A392" s="302"/>
      <c r="B392" s="303"/>
      <c r="C392" s="304"/>
      <c r="D392" s="365"/>
      <c r="E392" s="302"/>
      <c r="F392" s="303"/>
      <c r="G392" s="304"/>
      <c r="H392" s="365"/>
      <c r="I392" s="302"/>
      <c r="J392" s="303"/>
      <c r="K392" s="304"/>
      <c r="L392" s="365"/>
      <c r="M392" s="302"/>
      <c r="N392" s="303"/>
      <c r="O392" s="304"/>
      <c r="P392" s="365"/>
      <c r="Q392" s="186"/>
      <c r="R392" s="18"/>
      <c r="S392" s="374"/>
      <c r="T392" s="372"/>
      <c r="U392" s="186"/>
      <c r="V392" s="18"/>
      <c r="W392" s="374"/>
      <c r="X392" s="372"/>
      <c r="Y392" s="186"/>
      <c r="Z392" s="18"/>
      <c r="AA392" s="374"/>
      <c r="AB392" s="372"/>
      <c r="AC392" s="186"/>
      <c r="AD392" s="18"/>
      <c r="AE392" s="374"/>
      <c r="AF392" s="372"/>
      <c r="AG392" s="188"/>
      <c r="AH392" s="188"/>
      <c r="AI392" s="188"/>
      <c r="AJ392" s="188"/>
      <c r="AK392" s="365"/>
      <c r="AL392" s="365"/>
      <c r="AM392" s="365"/>
      <c r="AN392" s="365"/>
      <c r="AO392" s="365"/>
      <c r="AP392" s="365"/>
    </row>
    <row r="393">
      <c r="A393" s="302"/>
      <c r="B393" s="303"/>
      <c r="C393" s="304"/>
      <c r="D393" s="365"/>
      <c r="E393" s="302"/>
      <c r="F393" s="303"/>
      <c r="G393" s="304"/>
      <c r="H393" s="365"/>
      <c r="I393" s="302"/>
      <c r="J393" s="303"/>
      <c r="K393" s="304"/>
      <c r="L393" s="365"/>
      <c r="M393" s="302"/>
      <c r="N393" s="303"/>
      <c r="O393" s="304"/>
      <c r="P393" s="365"/>
      <c r="Q393" s="186"/>
      <c r="R393" s="18"/>
      <c r="S393" s="374"/>
      <c r="T393" s="372"/>
      <c r="U393" s="186"/>
      <c r="V393" s="18"/>
      <c r="W393" s="374"/>
      <c r="X393" s="372"/>
      <c r="Y393" s="186"/>
      <c r="Z393" s="18"/>
      <c r="AA393" s="374"/>
      <c r="AB393" s="372"/>
      <c r="AC393" s="186"/>
      <c r="AD393" s="18"/>
      <c r="AE393" s="374"/>
      <c r="AF393" s="372"/>
      <c r="AG393" s="188"/>
      <c r="AH393" s="188"/>
      <c r="AI393" s="188"/>
      <c r="AJ393" s="188"/>
      <c r="AK393" s="365"/>
      <c r="AL393" s="365"/>
      <c r="AM393" s="365"/>
      <c r="AN393" s="365"/>
      <c r="AO393" s="365"/>
      <c r="AP393" s="365"/>
    </row>
    <row r="394">
      <c r="A394" s="302"/>
      <c r="B394" s="303"/>
      <c r="C394" s="304"/>
      <c r="D394" s="365"/>
      <c r="E394" s="302"/>
      <c r="F394" s="303"/>
      <c r="G394" s="304"/>
      <c r="H394" s="365"/>
      <c r="I394" s="302"/>
      <c r="J394" s="303"/>
      <c r="K394" s="304"/>
      <c r="L394" s="365"/>
      <c r="M394" s="302"/>
      <c r="N394" s="303"/>
      <c r="O394" s="304"/>
      <c r="P394" s="365"/>
      <c r="Q394" s="186"/>
      <c r="R394" s="18"/>
      <c r="S394" s="374"/>
      <c r="T394" s="372"/>
      <c r="U394" s="186"/>
      <c r="V394" s="18"/>
      <c r="W394" s="374"/>
      <c r="X394" s="372"/>
      <c r="Y394" s="186"/>
      <c r="Z394" s="18"/>
      <c r="AA394" s="374"/>
      <c r="AB394" s="372"/>
      <c r="AC394" s="186"/>
      <c r="AD394" s="18"/>
      <c r="AE394" s="374"/>
      <c r="AF394" s="372"/>
      <c r="AG394" s="188"/>
      <c r="AH394" s="188"/>
      <c r="AI394" s="188"/>
      <c r="AJ394" s="188"/>
      <c r="AK394" s="365"/>
      <c r="AL394" s="365"/>
      <c r="AM394" s="365"/>
      <c r="AN394" s="365"/>
      <c r="AO394" s="365"/>
      <c r="AP394" s="365"/>
    </row>
    <row r="395">
      <c r="A395" s="302"/>
      <c r="B395" s="303"/>
      <c r="C395" s="304"/>
      <c r="D395" s="365"/>
      <c r="E395" s="302"/>
      <c r="F395" s="303"/>
      <c r="G395" s="304"/>
      <c r="H395" s="365"/>
      <c r="I395" s="302"/>
      <c r="J395" s="303"/>
      <c r="K395" s="304"/>
      <c r="L395" s="365"/>
      <c r="M395" s="302"/>
      <c r="N395" s="303"/>
      <c r="O395" s="304"/>
      <c r="P395" s="365"/>
      <c r="Q395" s="186"/>
      <c r="R395" s="18"/>
      <c r="S395" s="374"/>
      <c r="T395" s="372"/>
      <c r="U395" s="186"/>
      <c r="V395" s="18"/>
      <c r="W395" s="374"/>
      <c r="X395" s="372"/>
      <c r="Y395" s="186"/>
      <c r="Z395" s="18"/>
      <c r="AA395" s="374"/>
      <c r="AB395" s="372"/>
      <c r="AC395" s="186"/>
      <c r="AD395" s="18"/>
      <c r="AE395" s="374"/>
      <c r="AF395" s="372"/>
      <c r="AG395" s="188"/>
      <c r="AH395" s="188"/>
      <c r="AI395" s="188"/>
      <c r="AJ395" s="188"/>
      <c r="AK395" s="365"/>
      <c r="AL395" s="365"/>
      <c r="AM395" s="365"/>
      <c r="AN395" s="365"/>
      <c r="AO395" s="365"/>
      <c r="AP395" s="365"/>
    </row>
    <row r="396">
      <c r="A396" s="302"/>
      <c r="B396" s="303"/>
      <c r="C396" s="304"/>
      <c r="D396" s="365"/>
      <c r="E396" s="302"/>
      <c r="F396" s="303"/>
      <c r="G396" s="304"/>
      <c r="H396" s="365"/>
      <c r="I396" s="302"/>
      <c r="J396" s="303"/>
      <c r="K396" s="304"/>
      <c r="L396" s="365"/>
      <c r="M396" s="302"/>
      <c r="N396" s="303"/>
      <c r="O396" s="304"/>
      <c r="P396" s="365"/>
      <c r="Q396" s="186"/>
      <c r="R396" s="18"/>
      <c r="S396" s="374"/>
      <c r="T396" s="372"/>
      <c r="U396" s="186"/>
      <c r="V396" s="18"/>
      <c r="W396" s="374"/>
      <c r="X396" s="372"/>
      <c r="Y396" s="186"/>
      <c r="Z396" s="18"/>
      <c r="AA396" s="374"/>
      <c r="AB396" s="372"/>
      <c r="AC396" s="186"/>
      <c r="AD396" s="18"/>
      <c r="AE396" s="374"/>
      <c r="AF396" s="372"/>
      <c r="AG396" s="188"/>
      <c r="AH396" s="188"/>
      <c r="AI396" s="188"/>
      <c r="AJ396" s="188"/>
      <c r="AK396" s="365"/>
      <c r="AL396" s="365"/>
      <c r="AM396" s="365"/>
      <c r="AN396" s="365"/>
      <c r="AO396" s="365"/>
      <c r="AP396" s="365"/>
    </row>
    <row r="397">
      <c r="A397" s="302"/>
      <c r="B397" s="303"/>
      <c r="C397" s="304"/>
      <c r="D397" s="365"/>
      <c r="E397" s="302"/>
      <c r="F397" s="303"/>
      <c r="G397" s="304"/>
      <c r="H397" s="365"/>
      <c r="I397" s="302"/>
      <c r="J397" s="303"/>
      <c r="K397" s="304"/>
      <c r="L397" s="365"/>
      <c r="M397" s="302"/>
      <c r="N397" s="303"/>
      <c r="O397" s="304"/>
      <c r="P397" s="365"/>
      <c r="Q397" s="186"/>
      <c r="R397" s="18"/>
      <c r="S397" s="374"/>
      <c r="T397" s="372"/>
      <c r="U397" s="186"/>
      <c r="V397" s="18"/>
      <c r="W397" s="374"/>
      <c r="X397" s="372"/>
      <c r="Y397" s="186"/>
      <c r="Z397" s="18"/>
      <c r="AA397" s="374"/>
      <c r="AB397" s="372"/>
      <c r="AC397" s="186"/>
      <c r="AD397" s="18"/>
      <c r="AE397" s="374"/>
      <c r="AF397" s="372"/>
      <c r="AG397" s="188"/>
      <c r="AH397" s="188"/>
      <c r="AI397" s="188"/>
      <c r="AJ397" s="188"/>
      <c r="AK397" s="365"/>
      <c r="AL397" s="365"/>
      <c r="AM397" s="365"/>
      <c r="AN397" s="365"/>
      <c r="AO397" s="365"/>
      <c r="AP397" s="365"/>
    </row>
    <row r="398">
      <c r="A398" s="302"/>
      <c r="B398" s="303"/>
      <c r="C398" s="304"/>
      <c r="D398" s="365"/>
      <c r="E398" s="302"/>
      <c r="F398" s="303"/>
      <c r="G398" s="304"/>
      <c r="H398" s="365"/>
      <c r="I398" s="302"/>
      <c r="J398" s="303"/>
      <c r="K398" s="304"/>
      <c r="L398" s="365"/>
      <c r="M398" s="302"/>
      <c r="N398" s="303"/>
      <c r="O398" s="304"/>
      <c r="P398" s="365"/>
      <c r="Q398" s="186"/>
      <c r="R398" s="18"/>
      <c r="S398" s="374"/>
      <c r="T398" s="372"/>
      <c r="U398" s="186"/>
      <c r="V398" s="18"/>
      <c r="W398" s="374"/>
      <c r="X398" s="372"/>
      <c r="Y398" s="186"/>
      <c r="Z398" s="18"/>
      <c r="AA398" s="374"/>
      <c r="AB398" s="372"/>
      <c r="AC398" s="186"/>
      <c r="AD398" s="18"/>
      <c r="AE398" s="374"/>
      <c r="AF398" s="372"/>
      <c r="AG398" s="188"/>
      <c r="AH398" s="188"/>
      <c r="AI398" s="188"/>
      <c r="AJ398" s="188"/>
      <c r="AK398" s="365"/>
      <c r="AL398" s="365"/>
      <c r="AM398" s="365"/>
      <c r="AN398" s="365"/>
      <c r="AO398" s="365"/>
      <c r="AP398" s="365"/>
    </row>
    <row r="399">
      <c r="A399" s="302"/>
      <c r="B399" s="303"/>
      <c r="C399" s="304"/>
      <c r="D399" s="365"/>
      <c r="E399" s="302"/>
      <c r="F399" s="303"/>
      <c r="G399" s="304"/>
      <c r="H399" s="365"/>
      <c r="I399" s="302"/>
      <c r="J399" s="303"/>
      <c r="K399" s="304"/>
      <c r="L399" s="365"/>
      <c r="M399" s="302"/>
      <c r="N399" s="303"/>
      <c r="O399" s="304"/>
      <c r="P399" s="365"/>
      <c r="Q399" s="186"/>
      <c r="R399" s="18"/>
      <c r="S399" s="374"/>
      <c r="T399" s="372"/>
      <c r="U399" s="186"/>
      <c r="V399" s="18"/>
      <c r="W399" s="374"/>
      <c r="X399" s="372"/>
      <c r="Y399" s="186"/>
      <c r="Z399" s="18"/>
      <c r="AA399" s="374"/>
      <c r="AB399" s="372"/>
      <c r="AC399" s="186"/>
      <c r="AD399" s="18"/>
      <c r="AE399" s="374"/>
      <c r="AF399" s="372"/>
      <c r="AG399" s="188"/>
      <c r="AH399" s="188"/>
      <c r="AI399" s="188"/>
      <c r="AJ399" s="188"/>
      <c r="AK399" s="365"/>
      <c r="AL399" s="365"/>
      <c r="AM399" s="365"/>
      <c r="AN399" s="365"/>
      <c r="AO399" s="365"/>
      <c r="AP399" s="365"/>
    </row>
    <row r="400">
      <c r="A400" s="302"/>
      <c r="B400" s="303"/>
      <c r="C400" s="304"/>
      <c r="D400" s="365"/>
      <c r="E400" s="302"/>
      <c r="F400" s="303"/>
      <c r="G400" s="304"/>
      <c r="H400" s="365"/>
      <c r="I400" s="302"/>
      <c r="J400" s="303"/>
      <c r="K400" s="304"/>
      <c r="L400" s="365"/>
      <c r="M400" s="302"/>
      <c r="N400" s="303"/>
      <c r="O400" s="304"/>
      <c r="P400" s="365"/>
      <c r="Q400" s="186"/>
      <c r="R400" s="18"/>
      <c r="S400" s="374"/>
      <c r="T400" s="372"/>
      <c r="U400" s="186"/>
      <c r="V400" s="18"/>
      <c r="W400" s="374"/>
      <c r="X400" s="372"/>
      <c r="Y400" s="186"/>
      <c r="Z400" s="18"/>
      <c r="AA400" s="374"/>
      <c r="AB400" s="372"/>
      <c r="AC400" s="186"/>
      <c r="AD400" s="18"/>
      <c r="AE400" s="374"/>
      <c r="AF400" s="372"/>
      <c r="AG400" s="188"/>
      <c r="AH400" s="188"/>
      <c r="AI400" s="188"/>
      <c r="AJ400" s="188"/>
      <c r="AK400" s="365"/>
      <c r="AL400" s="365"/>
      <c r="AM400" s="365"/>
      <c r="AN400" s="365"/>
      <c r="AO400" s="365"/>
      <c r="AP400" s="365"/>
    </row>
    <row r="401">
      <c r="A401" s="302"/>
      <c r="B401" s="303"/>
      <c r="C401" s="304"/>
      <c r="D401" s="365"/>
      <c r="E401" s="302"/>
      <c r="F401" s="303"/>
      <c r="G401" s="304"/>
      <c r="H401" s="365"/>
      <c r="I401" s="302"/>
      <c r="J401" s="303"/>
      <c r="K401" s="304"/>
      <c r="L401" s="365"/>
      <c r="M401" s="302"/>
      <c r="N401" s="303"/>
      <c r="O401" s="304"/>
      <c r="P401" s="365"/>
      <c r="Q401" s="186"/>
      <c r="R401" s="18"/>
      <c r="S401" s="374"/>
      <c r="T401" s="372"/>
      <c r="U401" s="186"/>
      <c r="V401" s="18"/>
      <c r="W401" s="374"/>
      <c r="X401" s="372"/>
      <c r="Y401" s="186"/>
      <c r="Z401" s="18"/>
      <c r="AA401" s="374"/>
      <c r="AB401" s="372"/>
      <c r="AC401" s="186"/>
      <c r="AD401" s="18"/>
      <c r="AE401" s="374"/>
      <c r="AF401" s="372"/>
      <c r="AG401" s="188"/>
      <c r="AH401" s="188"/>
      <c r="AI401" s="188"/>
      <c r="AJ401" s="188"/>
      <c r="AK401" s="365"/>
      <c r="AL401" s="365"/>
      <c r="AM401" s="365"/>
      <c r="AN401" s="365"/>
      <c r="AO401" s="365"/>
      <c r="AP401" s="365"/>
    </row>
    <row r="402">
      <c r="A402" s="302"/>
      <c r="B402" s="303"/>
      <c r="C402" s="304"/>
      <c r="D402" s="365"/>
      <c r="E402" s="302"/>
      <c r="F402" s="303"/>
      <c r="G402" s="304"/>
      <c r="H402" s="365"/>
      <c r="I402" s="302"/>
      <c r="J402" s="303"/>
      <c r="K402" s="304"/>
      <c r="L402" s="365"/>
      <c r="M402" s="302"/>
      <c r="N402" s="303"/>
      <c r="O402" s="304"/>
      <c r="P402" s="365"/>
      <c r="Q402" s="186"/>
      <c r="R402" s="18"/>
      <c r="S402" s="374"/>
      <c r="T402" s="372"/>
      <c r="U402" s="186"/>
      <c r="V402" s="18"/>
      <c r="W402" s="374"/>
      <c r="X402" s="372"/>
      <c r="Y402" s="186"/>
      <c r="Z402" s="18"/>
      <c r="AA402" s="374"/>
      <c r="AB402" s="372"/>
      <c r="AC402" s="186"/>
      <c r="AD402" s="18"/>
      <c r="AE402" s="374"/>
      <c r="AF402" s="372"/>
      <c r="AG402" s="188"/>
      <c r="AH402" s="188"/>
      <c r="AI402" s="188"/>
      <c r="AJ402" s="188"/>
      <c r="AK402" s="365"/>
      <c r="AL402" s="365"/>
      <c r="AM402" s="365"/>
      <c r="AN402" s="365"/>
      <c r="AO402" s="365"/>
      <c r="AP402" s="365"/>
    </row>
    <row r="403">
      <c r="A403" s="302"/>
      <c r="B403" s="303"/>
      <c r="C403" s="304"/>
      <c r="D403" s="365"/>
      <c r="E403" s="302"/>
      <c r="F403" s="303"/>
      <c r="G403" s="304"/>
      <c r="H403" s="365"/>
      <c r="I403" s="302"/>
      <c r="J403" s="303"/>
      <c r="K403" s="304"/>
      <c r="L403" s="365"/>
      <c r="M403" s="302"/>
      <c r="N403" s="303"/>
      <c r="O403" s="304"/>
      <c r="P403" s="365"/>
      <c r="Q403" s="186"/>
      <c r="R403" s="18"/>
      <c r="S403" s="374"/>
      <c r="T403" s="372"/>
      <c r="U403" s="186"/>
      <c r="V403" s="18"/>
      <c r="W403" s="374"/>
      <c r="X403" s="372"/>
      <c r="Y403" s="186"/>
      <c r="Z403" s="18"/>
      <c r="AA403" s="374"/>
      <c r="AB403" s="372"/>
      <c r="AC403" s="186"/>
      <c r="AD403" s="18"/>
      <c r="AE403" s="374"/>
      <c r="AF403" s="372"/>
      <c r="AG403" s="188"/>
      <c r="AH403" s="188"/>
      <c r="AI403" s="188"/>
      <c r="AJ403" s="188"/>
      <c r="AK403" s="365"/>
      <c r="AL403" s="365"/>
      <c r="AM403" s="365"/>
      <c r="AN403" s="365"/>
      <c r="AO403" s="365"/>
      <c r="AP403" s="365"/>
    </row>
    <row r="404">
      <c r="A404" s="302"/>
      <c r="B404" s="303"/>
      <c r="C404" s="304"/>
      <c r="D404" s="365"/>
      <c r="E404" s="302"/>
      <c r="F404" s="303"/>
      <c r="G404" s="304"/>
      <c r="H404" s="365"/>
      <c r="I404" s="302"/>
      <c r="J404" s="303"/>
      <c r="K404" s="304"/>
      <c r="L404" s="365"/>
      <c r="M404" s="302"/>
      <c r="N404" s="303"/>
      <c r="O404" s="304"/>
      <c r="P404" s="365"/>
      <c r="Q404" s="186"/>
      <c r="R404" s="18"/>
      <c r="S404" s="374"/>
      <c r="T404" s="372"/>
      <c r="U404" s="186"/>
      <c r="V404" s="18"/>
      <c r="W404" s="374"/>
      <c r="X404" s="372"/>
      <c r="Y404" s="186"/>
      <c r="Z404" s="18"/>
      <c r="AA404" s="374"/>
      <c r="AB404" s="372"/>
      <c r="AC404" s="186"/>
      <c r="AD404" s="18"/>
      <c r="AE404" s="374"/>
      <c r="AF404" s="372"/>
      <c r="AG404" s="188"/>
      <c r="AH404" s="188"/>
      <c r="AI404" s="188"/>
      <c r="AJ404" s="188"/>
      <c r="AK404" s="365"/>
      <c r="AL404" s="365"/>
      <c r="AM404" s="365"/>
      <c r="AN404" s="365"/>
      <c r="AO404" s="365"/>
      <c r="AP404" s="365"/>
    </row>
    <row r="405">
      <c r="A405" s="302"/>
      <c r="B405" s="303"/>
      <c r="C405" s="304"/>
      <c r="D405" s="365"/>
      <c r="E405" s="302"/>
      <c r="F405" s="303"/>
      <c r="G405" s="304"/>
      <c r="H405" s="365"/>
      <c r="I405" s="302"/>
      <c r="J405" s="303"/>
      <c r="K405" s="304"/>
      <c r="L405" s="365"/>
      <c r="M405" s="302"/>
      <c r="N405" s="303"/>
      <c r="O405" s="304"/>
      <c r="P405" s="365"/>
      <c r="Q405" s="186"/>
      <c r="R405" s="18"/>
      <c r="S405" s="374"/>
      <c r="T405" s="372"/>
      <c r="U405" s="186"/>
      <c r="V405" s="18"/>
      <c r="W405" s="374"/>
      <c r="X405" s="372"/>
      <c r="Y405" s="186"/>
      <c r="Z405" s="18"/>
      <c r="AA405" s="374"/>
      <c r="AB405" s="372"/>
      <c r="AC405" s="186"/>
      <c r="AD405" s="18"/>
      <c r="AE405" s="374"/>
      <c r="AF405" s="372"/>
      <c r="AG405" s="188"/>
      <c r="AH405" s="188"/>
      <c r="AI405" s="188"/>
      <c r="AJ405" s="188"/>
      <c r="AK405" s="365"/>
      <c r="AL405" s="365"/>
      <c r="AM405" s="365"/>
      <c r="AN405" s="365"/>
      <c r="AO405" s="365"/>
      <c r="AP405" s="365"/>
    </row>
    <row r="406">
      <c r="A406" s="302"/>
      <c r="B406" s="303"/>
      <c r="C406" s="304"/>
      <c r="D406" s="365"/>
      <c r="E406" s="302"/>
      <c r="F406" s="303"/>
      <c r="G406" s="304"/>
      <c r="H406" s="365"/>
      <c r="I406" s="302"/>
      <c r="J406" s="303"/>
      <c r="K406" s="304"/>
      <c r="L406" s="365"/>
      <c r="M406" s="302"/>
      <c r="N406" s="303"/>
      <c r="O406" s="304"/>
      <c r="P406" s="365"/>
      <c r="Q406" s="186"/>
      <c r="R406" s="18"/>
      <c r="S406" s="374"/>
      <c r="T406" s="372"/>
      <c r="U406" s="186"/>
      <c r="V406" s="18"/>
      <c r="W406" s="374"/>
      <c r="X406" s="372"/>
      <c r="Y406" s="186"/>
      <c r="Z406" s="18"/>
      <c r="AA406" s="374"/>
      <c r="AB406" s="372"/>
      <c r="AC406" s="186"/>
      <c r="AD406" s="18"/>
      <c r="AE406" s="374"/>
      <c r="AF406" s="372"/>
      <c r="AG406" s="188"/>
      <c r="AH406" s="188"/>
      <c r="AI406" s="188"/>
      <c r="AJ406" s="188"/>
      <c r="AK406" s="365"/>
      <c r="AL406" s="365"/>
      <c r="AM406" s="365"/>
      <c r="AN406" s="365"/>
      <c r="AO406" s="365"/>
      <c r="AP406" s="365"/>
    </row>
    <row r="407">
      <c r="A407" s="302"/>
      <c r="B407" s="303"/>
      <c r="C407" s="304"/>
      <c r="D407" s="365"/>
      <c r="E407" s="302"/>
      <c r="F407" s="303"/>
      <c r="G407" s="304"/>
      <c r="H407" s="365"/>
      <c r="I407" s="302"/>
      <c r="J407" s="303"/>
      <c r="K407" s="304"/>
      <c r="L407" s="365"/>
      <c r="M407" s="302"/>
      <c r="N407" s="303"/>
      <c r="O407" s="304"/>
      <c r="P407" s="365"/>
      <c r="Q407" s="186"/>
      <c r="R407" s="18"/>
      <c r="S407" s="374"/>
      <c r="T407" s="372"/>
      <c r="U407" s="186"/>
      <c r="V407" s="18"/>
      <c r="W407" s="374"/>
      <c r="X407" s="372"/>
      <c r="Y407" s="186"/>
      <c r="Z407" s="18"/>
      <c r="AA407" s="374"/>
      <c r="AB407" s="372"/>
      <c r="AC407" s="186"/>
      <c r="AD407" s="18"/>
      <c r="AE407" s="374"/>
      <c r="AF407" s="372"/>
      <c r="AG407" s="188"/>
      <c r="AH407" s="188"/>
      <c r="AI407" s="188"/>
      <c r="AJ407" s="188"/>
      <c r="AK407" s="365"/>
      <c r="AL407" s="365"/>
      <c r="AM407" s="365"/>
      <c r="AN407" s="365"/>
      <c r="AO407" s="365"/>
      <c r="AP407" s="365"/>
    </row>
    <row r="408">
      <c r="A408" s="302"/>
      <c r="B408" s="303"/>
      <c r="C408" s="304"/>
      <c r="D408" s="365"/>
      <c r="E408" s="302"/>
      <c r="F408" s="303"/>
      <c r="G408" s="304"/>
      <c r="H408" s="365"/>
      <c r="I408" s="302"/>
      <c r="J408" s="303"/>
      <c r="K408" s="304"/>
      <c r="L408" s="365"/>
      <c r="M408" s="302"/>
      <c r="N408" s="303"/>
      <c r="O408" s="304"/>
      <c r="P408" s="365"/>
      <c r="Q408" s="186"/>
      <c r="R408" s="18"/>
      <c r="S408" s="374"/>
      <c r="T408" s="372"/>
      <c r="U408" s="186"/>
      <c r="V408" s="18"/>
      <c r="W408" s="374"/>
      <c r="X408" s="372"/>
      <c r="Y408" s="186"/>
      <c r="Z408" s="18"/>
      <c r="AA408" s="374"/>
      <c r="AB408" s="372"/>
      <c r="AC408" s="186"/>
      <c r="AD408" s="18"/>
      <c r="AE408" s="374"/>
      <c r="AF408" s="372"/>
      <c r="AG408" s="188"/>
      <c r="AH408" s="188"/>
      <c r="AI408" s="188"/>
      <c r="AJ408" s="188"/>
      <c r="AK408" s="365"/>
      <c r="AL408" s="365"/>
      <c r="AM408" s="365"/>
      <c r="AN408" s="365"/>
      <c r="AO408" s="365"/>
      <c r="AP408" s="365"/>
    </row>
    <row r="409">
      <c r="A409" s="302"/>
      <c r="B409" s="303"/>
      <c r="C409" s="304"/>
      <c r="D409" s="365"/>
      <c r="E409" s="302"/>
      <c r="F409" s="303"/>
      <c r="G409" s="304"/>
      <c r="H409" s="365"/>
      <c r="I409" s="302"/>
      <c r="J409" s="303"/>
      <c r="K409" s="304"/>
      <c r="L409" s="365"/>
      <c r="M409" s="302"/>
      <c r="N409" s="303"/>
      <c r="O409" s="304"/>
      <c r="P409" s="365"/>
      <c r="Q409" s="186"/>
      <c r="R409" s="18"/>
      <c r="S409" s="374"/>
      <c r="T409" s="372"/>
      <c r="U409" s="186"/>
      <c r="V409" s="18"/>
      <c r="W409" s="374"/>
      <c r="X409" s="372"/>
      <c r="Y409" s="186"/>
      <c r="Z409" s="18"/>
      <c r="AA409" s="374"/>
      <c r="AB409" s="372"/>
      <c r="AC409" s="186"/>
      <c r="AD409" s="18"/>
      <c r="AE409" s="374"/>
      <c r="AF409" s="372"/>
      <c r="AG409" s="188"/>
      <c r="AH409" s="188"/>
      <c r="AI409" s="188"/>
      <c r="AJ409" s="188"/>
      <c r="AK409" s="365"/>
      <c r="AL409" s="365"/>
      <c r="AM409" s="365"/>
      <c r="AN409" s="365"/>
      <c r="AO409" s="365"/>
      <c r="AP409" s="365"/>
    </row>
    <row r="410">
      <c r="A410" s="302"/>
      <c r="B410" s="303"/>
      <c r="C410" s="304"/>
      <c r="D410" s="365"/>
      <c r="E410" s="302"/>
      <c r="F410" s="303"/>
      <c r="G410" s="304"/>
      <c r="H410" s="365"/>
      <c r="I410" s="302"/>
      <c r="J410" s="303"/>
      <c r="K410" s="304"/>
      <c r="L410" s="365"/>
      <c r="M410" s="302"/>
      <c r="N410" s="303"/>
      <c r="O410" s="304"/>
      <c r="P410" s="365"/>
      <c r="Q410" s="186"/>
      <c r="R410" s="18"/>
      <c r="S410" s="374"/>
      <c r="T410" s="372"/>
      <c r="U410" s="186"/>
      <c r="V410" s="18"/>
      <c r="W410" s="374"/>
      <c r="X410" s="372"/>
      <c r="Y410" s="186"/>
      <c r="Z410" s="18"/>
      <c r="AA410" s="374"/>
      <c r="AB410" s="372"/>
      <c r="AC410" s="186"/>
      <c r="AD410" s="18"/>
      <c r="AE410" s="374"/>
      <c r="AF410" s="372"/>
      <c r="AG410" s="188"/>
      <c r="AH410" s="188"/>
      <c r="AI410" s="188"/>
      <c r="AJ410" s="188"/>
      <c r="AK410" s="365"/>
      <c r="AL410" s="365"/>
      <c r="AM410" s="365"/>
      <c r="AN410" s="365"/>
      <c r="AO410" s="365"/>
      <c r="AP410" s="365"/>
    </row>
    <row r="411">
      <c r="A411" s="302"/>
      <c r="B411" s="303"/>
      <c r="C411" s="304"/>
      <c r="D411" s="365"/>
      <c r="E411" s="302"/>
      <c r="F411" s="303"/>
      <c r="G411" s="304"/>
      <c r="H411" s="365"/>
      <c r="I411" s="302"/>
      <c r="J411" s="303"/>
      <c r="K411" s="304"/>
      <c r="L411" s="365"/>
      <c r="M411" s="302"/>
      <c r="N411" s="303"/>
      <c r="O411" s="304"/>
      <c r="P411" s="365"/>
      <c r="Q411" s="186"/>
      <c r="R411" s="18"/>
      <c r="S411" s="374"/>
      <c r="T411" s="372"/>
      <c r="U411" s="186"/>
      <c r="V411" s="18"/>
      <c r="W411" s="374"/>
      <c r="X411" s="372"/>
      <c r="Y411" s="186"/>
      <c r="Z411" s="18"/>
      <c r="AA411" s="374"/>
      <c r="AB411" s="372"/>
      <c r="AC411" s="186"/>
      <c r="AD411" s="18"/>
      <c r="AE411" s="374"/>
      <c r="AF411" s="372"/>
      <c r="AG411" s="188"/>
      <c r="AH411" s="188"/>
      <c r="AI411" s="188"/>
      <c r="AJ411" s="188"/>
      <c r="AK411" s="365"/>
      <c r="AL411" s="365"/>
      <c r="AM411" s="365"/>
      <c r="AN411" s="365"/>
      <c r="AO411" s="365"/>
      <c r="AP411" s="365"/>
    </row>
    <row r="412">
      <c r="A412" s="302"/>
      <c r="B412" s="303"/>
      <c r="C412" s="304"/>
      <c r="D412" s="365"/>
      <c r="E412" s="302"/>
      <c r="F412" s="303"/>
      <c r="G412" s="304"/>
      <c r="H412" s="365"/>
      <c r="I412" s="302"/>
      <c r="J412" s="303"/>
      <c r="K412" s="304"/>
      <c r="L412" s="365"/>
      <c r="M412" s="302"/>
      <c r="N412" s="303"/>
      <c r="O412" s="304"/>
      <c r="P412" s="365"/>
      <c r="Q412" s="186"/>
      <c r="R412" s="18"/>
      <c r="S412" s="374"/>
      <c r="T412" s="372"/>
      <c r="U412" s="186"/>
      <c r="V412" s="18"/>
      <c r="W412" s="374"/>
      <c r="X412" s="372"/>
      <c r="Y412" s="186"/>
      <c r="Z412" s="18"/>
      <c r="AA412" s="374"/>
      <c r="AB412" s="372"/>
      <c r="AC412" s="186"/>
      <c r="AD412" s="18"/>
      <c r="AE412" s="374"/>
      <c r="AF412" s="372"/>
      <c r="AG412" s="188"/>
      <c r="AH412" s="188"/>
      <c r="AI412" s="188"/>
      <c r="AJ412" s="188"/>
      <c r="AK412" s="365"/>
      <c r="AL412" s="365"/>
      <c r="AM412" s="365"/>
      <c r="AN412" s="365"/>
      <c r="AO412" s="365"/>
      <c r="AP412" s="365"/>
    </row>
    <row r="413">
      <c r="A413" s="302"/>
      <c r="B413" s="303"/>
      <c r="C413" s="304"/>
      <c r="D413" s="365"/>
      <c r="E413" s="302"/>
      <c r="F413" s="303"/>
      <c r="G413" s="304"/>
      <c r="H413" s="365"/>
      <c r="I413" s="302"/>
      <c r="J413" s="303"/>
      <c r="K413" s="304"/>
      <c r="L413" s="365"/>
      <c r="M413" s="302"/>
      <c r="N413" s="303"/>
      <c r="O413" s="304"/>
      <c r="P413" s="365"/>
      <c r="Q413" s="186"/>
      <c r="R413" s="18"/>
      <c r="S413" s="374"/>
      <c r="T413" s="372"/>
      <c r="U413" s="186"/>
      <c r="V413" s="18"/>
      <c r="W413" s="374"/>
      <c r="X413" s="372"/>
      <c r="Y413" s="186"/>
      <c r="Z413" s="18"/>
      <c r="AA413" s="374"/>
      <c r="AB413" s="372"/>
      <c r="AC413" s="186"/>
      <c r="AD413" s="18"/>
      <c r="AE413" s="374"/>
      <c r="AF413" s="372"/>
      <c r="AG413" s="188"/>
      <c r="AH413" s="188"/>
      <c r="AI413" s="188"/>
      <c r="AJ413" s="188"/>
      <c r="AK413" s="365"/>
      <c r="AL413" s="365"/>
      <c r="AM413" s="365"/>
      <c r="AN413" s="365"/>
      <c r="AO413" s="365"/>
      <c r="AP413" s="365"/>
    </row>
    <row r="414">
      <c r="A414" s="302"/>
      <c r="B414" s="303"/>
      <c r="C414" s="304"/>
      <c r="D414" s="365"/>
      <c r="E414" s="302"/>
      <c r="F414" s="303"/>
      <c r="G414" s="304"/>
      <c r="H414" s="365"/>
      <c r="I414" s="302"/>
      <c r="J414" s="303"/>
      <c r="K414" s="304"/>
      <c r="L414" s="365"/>
      <c r="M414" s="302"/>
      <c r="N414" s="303"/>
      <c r="O414" s="304"/>
      <c r="P414" s="365"/>
      <c r="Q414" s="186"/>
      <c r="R414" s="18"/>
      <c r="S414" s="374"/>
      <c r="T414" s="372"/>
      <c r="U414" s="186"/>
      <c r="V414" s="18"/>
      <c r="W414" s="374"/>
      <c r="X414" s="372"/>
      <c r="Y414" s="186"/>
      <c r="Z414" s="18"/>
      <c r="AA414" s="374"/>
      <c r="AB414" s="372"/>
      <c r="AC414" s="186"/>
      <c r="AD414" s="18"/>
      <c r="AE414" s="374"/>
      <c r="AF414" s="372"/>
      <c r="AG414" s="188"/>
      <c r="AH414" s="188"/>
      <c r="AI414" s="188"/>
      <c r="AJ414" s="188"/>
      <c r="AK414" s="365"/>
      <c r="AL414" s="365"/>
      <c r="AM414" s="365"/>
      <c r="AN414" s="365"/>
      <c r="AO414" s="365"/>
      <c r="AP414" s="365"/>
    </row>
    <row r="415">
      <c r="A415" s="302"/>
      <c r="B415" s="303"/>
      <c r="C415" s="304"/>
      <c r="D415" s="365"/>
      <c r="E415" s="302"/>
      <c r="F415" s="303"/>
      <c r="G415" s="304"/>
      <c r="H415" s="365"/>
      <c r="I415" s="302"/>
      <c r="J415" s="303"/>
      <c r="K415" s="304"/>
      <c r="L415" s="365"/>
      <c r="M415" s="302"/>
      <c r="N415" s="303"/>
      <c r="O415" s="304"/>
      <c r="P415" s="365"/>
      <c r="Q415" s="186"/>
      <c r="R415" s="18"/>
      <c r="S415" s="374"/>
      <c r="T415" s="372"/>
      <c r="U415" s="186"/>
      <c r="V415" s="18"/>
      <c r="W415" s="374"/>
      <c r="X415" s="372"/>
      <c r="Y415" s="186"/>
      <c r="Z415" s="18"/>
      <c r="AA415" s="374"/>
      <c r="AB415" s="372"/>
      <c r="AC415" s="186"/>
      <c r="AD415" s="18"/>
      <c r="AE415" s="374"/>
      <c r="AF415" s="372"/>
      <c r="AG415" s="188"/>
      <c r="AH415" s="188"/>
      <c r="AI415" s="188"/>
      <c r="AJ415" s="188"/>
      <c r="AK415" s="365"/>
      <c r="AL415" s="365"/>
      <c r="AM415" s="365"/>
      <c r="AN415" s="365"/>
      <c r="AO415" s="365"/>
      <c r="AP415" s="365"/>
    </row>
    <row r="416">
      <c r="A416" s="302"/>
      <c r="B416" s="303"/>
      <c r="C416" s="304"/>
      <c r="D416" s="365"/>
      <c r="E416" s="302"/>
      <c r="F416" s="303"/>
      <c r="G416" s="304"/>
      <c r="H416" s="365"/>
      <c r="I416" s="302"/>
      <c r="J416" s="303"/>
      <c r="K416" s="304"/>
      <c r="L416" s="365"/>
      <c r="M416" s="302"/>
      <c r="N416" s="303"/>
      <c r="O416" s="304"/>
      <c r="P416" s="365"/>
      <c r="Q416" s="186"/>
      <c r="R416" s="18"/>
      <c r="S416" s="374"/>
      <c r="T416" s="372"/>
      <c r="U416" s="186"/>
      <c r="V416" s="18"/>
      <c r="W416" s="374"/>
      <c r="X416" s="372"/>
      <c r="Y416" s="186"/>
      <c r="Z416" s="18"/>
      <c r="AA416" s="374"/>
      <c r="AB416" s="372"/>
      <c r="AC416" s="186"/>
      <c r="AD416" s="18"/>
      <c r="AE416" s="374"/>
      <c r="AF416" s="372"/>
      <c r="AG416" s="188"/>
      <c r="AH416" s="188"/>
      <c r="AI416" s="188"/>
      <c r="AJ416" s="188"/>
      <c r="AK416" s="365"/>
      <c r="AL416" s="365"/>
      <c r="AM416" s="365"/>
      <c r="AN416" s="365"/>
      <c r="AO416" s="365"/>
      <c r="AP416" s="365"/>
    </row>
    <row r="417">
      <c r="A417" s="302"/>
      <c r="B417" s="303"/>
      <c r="C417" s="304"/>
      <c r="D417" s="365"/>
      <c r="E417" s="302"/>
      <c r="F417" s="303"/>
      <c r="G417" s="304"/>
      <c r="H417" s="365"/>
      <c r="I417" s="302"/>
      <c r="J417" s="303"/>
      <c r="K417" s="304"/>
      <c r="L417" s="365"/>
      <c r="M417" s="302"/>
      <c r="N417" s="303"/>
      <c r="O417" s="304"/>
      <c r="P417" s="365"/>
      <c r="Q417" s="186"/>
      <c r="R417" s="18"/>
      <c r="S417" s="374"/>
      <c r="T417" s="372"/>
      <c r="U417" s="186"/>
      <c r="V417" s="18"/>
      <c r="W417" s="374"/>
      <c r="X417" s="372"/>
      <c r="Y417" s="186"/>
      <c r="Z417" s="18"/>
      <c r="AA417" s="374"/>
      <c r="AB417" s="372"/>
      <c r="AC417" s="186"/>
      <c r="AD417" s="18"/>
      <c r="AE417" s="374"/>
      <c r="AF417" s="372"/>
      <c r="AG417" s="188"/>
      <c r="AH417" s="188"/>
      <c r="AI417" s="188"/>
      <c r="AJ417" s="188"/>
      <c r="AK417" s="365"/>
      <c r="AL417" s="365"/>
      <c r="AM417" s="365"/>
      <c r="AN417" s="365"/>
      <c r="AO417" s="365"/>
      <c r="AP417" s="365"/>
    </row>
    <row r="418">
      <c r="A418" s="302"/>
      <c r="B418" s="303"/>
      <c r="C418" s="304"/>
      <c r="D418" s="365"/>
      <c r="E418" s="302"/>
      <c r="F418" s="303"/>
      <c r="G418" s="304"/>
      <c r="H418" s="365"/>
      <c r="I418" s="302"/>
      <c r="J418" s="303"/>
      <c r="K418" s="304"/>
      <c r="L418" s="365"/>
      <c r="M418" s="302"/>
      <c r="N418" s="303"/>
      <c r="O418" s="304"/>
      <c r="P418" s="365"/>
      <c r="Q418" s="186"/>
      <c r="R418" s="18"/>
      <c r="S418" s="374"/>
      <c r="T418" s="372"/>
      <c r="U418" s="186"/>
      <c r="V418" s="18"/>
      <c r="W418" s="374"/>
      <c r="X418" s="372"/>
      <c r="Y418" s="186"/>
      <c r="Z418" s="18"/>
      <c r="AA418" s="374"/>
      <c r="AB418" s="372"/>
      <c r="AC418" s="186"/>
      <c r="AD418" s="18"/>
      <c r="AE418" s="374"/>
      <c r="AF418" s="372"/>
      <c r="AG418" s="188"/>
      <c r="AH418" s="188"/>
      <c r="AI418" s="188"/>
      <c r="AJ418" s="188"/>
      <c r="AK418" s="365"/>
      <c r="AL418" s="365"/>
      <c r="AM418" s="365"/>
      <c r="AN418" s="365"/>
      <c r="AO418" s="365"/>
      <c r="AP418" s="365"/>
    </row>
    <row r="419">
      <c r="A419" s="302"/>
      <c r="B419" s="303"/>
      <c r="C419" s="304"/>
      <c r="D419" s="365"/>
      <c r="E419" s="302"/>
      <c r="F419" s="303"/>
      <c r="G419" s="304"/>
      <c r="H419" s="365"/>
      <c r="I419" s="302"/>
      <c r="J419" s="303"/>
      <c r="K419" s="304"/>
      <c r="L419" s="365"/>
      <c r="M419" s="302"/>
      <c r="N419" s="303"/>
      <c r="O419" s="304"/>
      <c r="P419" s="365"/>
      <c r="Q419" s="186"/>
      <c r="R419" s="18"/>
      <c r="S419" s="374"/>
      <c r="T419" s="372"/>
      <c r="U419" s="186"/>
      <c r="V419" s="18"/>
      <c r="W419" s="374"/>
      <c r="X419" s="372"/>
      <c r="Y419" s="186"/>
      <c r="Z419" s="18"/>
      <c r="AA419" s="374"/>
      <c r="AB419" s="372"/>
      <c r="AC419" s="186"/>
      <c r="AD419" s="18"/>
      <c r="AE419" s="374"/>
      <c r="AF419" s="372"/>
      <c r="AG419" s="188"/>
      <c r="AH419" s="188"/>
      <c r="AI419" s="188"/>
      <c r="AJ419" s="188"/>
      <c r="AK419" s="365"/>
      <c r="AL419" s="365"/>
      <c r="AM419" s="365"/>
      <c r="AN419" s="365"/>
      <c r="AO419" s="365"/>
      <c r="AP419" s="365"/>
    </row>
    <row r="420">
      <c r="A420" s="302"/>
      <c r="B420" s="303"/>
      <c r="C420" s="304"/>
      <c r="D420" s="365"/>
      <c r="E420" s="302"/>
      <c r="F420" s="303"/>
      <c r="G420" s="304"/>
      <c r="H420" s="365"/>
      <c r="I420" s="302"/>
      <c r="J420" s="303"/>
      <c r="K420" s="304"/>
      <c r="L420" s="365"/>
      <c r="M420" s="302"/>
      <c r="N420" s="303"/>
      <c r="O420" s="304"/>
      <c r="P420" s="365"/>
      <c r="Q420" s="186"/>
      <c r="R420" s="18"/>
      <c r="S420" s="374"/>
      <c r="T420" s="372"/>
      <c r="U420" s="186"/>
      <c r="V420" s="18"/>
      <c r="W420" s="374"/>
      <c r="X420" s="372"/>
      <c r="Y420" s="186"/>
      <c r="Z420" s="18"/>
      <c r="AA420" s="374"/>
      <c r="AB420" s="372"/>
      <c r="AC420" s="186"/>
      <c r="AD420" s="18"/>
      <c r="AE420" s="374"/>
      <c r="AF420" s="372"/>
      <c r="AG420" s="188"/>
      <c r="AH420" s="188"/>
      <c r="AI420" s="188"/>
      <c r="AJ420" s="188"/>
      <c r="AK420" s="365"/>
      <c r="AL420" s="365"/>
      <c r="AM420" s="365"/>
      <c r="AN420" s="365"/>
      <c r="AO420" s="365"/>
      <c r="AP420" s="365"/>
    </row>
    <row r="421">
      <c r="A421" s="302"/>
      <c r="B421" s="303"/>
      <c r="C421" s="304"/>
      <c r="D421" s="365"/>
      <c r="E421" s="302"/>
      <c r="F421" s="303"/>
      <c r="G421" s="304"/>
      <c r="H421" s="365"/>
      <c r="I421" s="302"/>
      <c r="J421" s="303"/>
      <c r="K421" s="304"/>
      <c r="L421" s="365"/>
      <c r="M421" s="302"/>
      <c r="N421" s="303"/>
      <c r="O421" s="304"/>
      <c r="P421" s="365"/>
      <c r="Q421" s="186"/>
      <c r="R421" s="18"/>
      <c r="S421" s="374"/>
      <c r="T421" s="372"/>
      <c r="U421" s="186"/>
      <c r="V421" s="18"/>
      <c r="W421" s="374"/>
      <c r="X421" s="372"/>
      <c r="Y421" s="186"/>
      <c r="Z421" s="18"/>
      <c r="AA421" s="374"/>
      <c r="AB421" s="372"/>
      <c r="AC421" s="186"/>
      <c r="AD421" s="18"/>
      <c r="AE421" s="374"/>
      <c r="AF421" s="372"/>
      <c r="AG421" s="188"/>
      <c r="AH421" s="188"/>
      <c r="AI421" s="188"/>
      <c r="AJ421" s="188"/>
      <c r="AK421" s="365"/>
      <c r="AL421" s="365"/>
      <c r="AM421" s="365"/>
      <c r="AN421" s="365"/>
      <c r="AO421" s="365"/>
      <c r="AP421" s="365"/>
    </row>
    <row r="422">
      <c r="A422" s="302"/>
      <c r="B422" s="303"/>
      <c r="C422" s="304"/>
      <c r="D422" s="365"/>
      <c r="E422" s="302"/>
      <c r="F422" s="303"/>
      <c r="G422" s="304"/>
      <c r="H422" s="365"/>
      <c r="I422" s="302"/>
      <c r="J422" s="303"/>
      <c r="K422" s="304"/>
      <c r="L422" s="365"/>
      <c r="M422" s="302"/>
      <c r="N422" s="303"/>
      <c r="O422" s="304"/>
      <c r="P422" s="365"/>
      <c r="Q422" s="186"/>
      <c r="R422" s="18"/>
      <c r="S422" s="374"/>
      <c r="T422" s="372"/>
      <c r="U422" s="186"/>
      <c r="V422" s="18"/>
      <c r="W422" s="374"/>
      <c r="X422" s="372"/>
      <c r="Y422" s="186"/>
      <c r="Z422" s="18"/>
      <c r="AA422" s="374"/>
      <c r="AB422" s="372"/>
      <c r="AC422" s="186"/>
      <c r="AD422" s="18"/>
      <c r="AE422" s="374"/>
      <c r="AF422" s="372"/>
      <c r="AG422" s="188"/>
      <c r="AH422" s="188"/>
      <c r="AI422" s="188"/>
      <c r="AJ422" s="188"/>
      <c r="AK422" s="365"/>
      <c r="AL422" s="365"/>
      <c r="AM422" s="365"/>
      <c r="AN422" s="365"/>
      <c r="AO422" s="365"/>
      <c r="AP422" s="365"/>
    </row>
    <row r="423">
      <c r="A423" s="302"/>
      <c r="B423" s="303"/>
      <c r="C423" s="304"/>
      <c r="D423" s="365"/>
      <c r="E423" s="302"/>
      <c r="F423" s="303"/>
      <c r="G423" s="304"/>
      <c r="H423" s="365"/>
      <c r="I423" s="302"/>
      <c r="J423" s="303"/>
      <c r="K423" s="304"/>
      <c r="L423" s="365"/>
      <c r="M423" s="302"/>
      <c r="N423" s="303"/>
      <c r="O423" s="304"/>
      <c r="P423" s="365"/>
      <c r="Q423" s="186"/>
      <c r="R423" s="18"/>
      <c r="S423" s="374"/>
      <c r="T423" s="372"/>
      <c r="U423" s="186"/>
      <c r="V423" s="18"/>
      <c r="W423" s="374"/>
      <c r="X423" s="372"/>
      <c r="Y423" s="186"/>
      <c r="Z423" s="18"/>
      <c r="AA423" s="374"/>
      <c r="AB423" s="372"/>
      <c r="AC423" s="186"/>
      <c r="AD423" s="18"/>
      <c r="AE423" s="374"/>
      <c r="AF423" s="372"/>
      <c r="AG423" s="188"/>
      <c r="AH423" s="188"/>
      <c r="AI423" s="188"/>
      <c r="AJ423" s="188"/>
      <c r="AK423" s="365"/>
      <c r="AL423" s="365"/>
      <c r="AM423" s="365"/>
      <c r="AN423" s="365"/>
      <c r="AO423" s="365"/>
      <c r="AP423" s="365"/>
    </row>
    <row r="424">
      <c r="A424" s="302"/>
      <c r="B424" s="303"/>
      <c r="C424" s="304"/>
      <c r="D424" s="365"/>
      <c r="E424" s="302"/>
      <c r="F424" s="303"/>
      <c r="G424" s="304"/>
      <c r="H424" s="365"/>
      <c r="I424" s="302"/>
      <c r="J424" s="303"/>
      <c r="K424" s="304"/>
      <c r="L424" s="365"/>
      <c r="M424" s="302"/>
      <c r="N424" s="303"/>
      <c r="O424" s="304"/>
      <c r="P424" s="365"/>
      <c r="Q424" s="186"/>
      <c r="R424" s="18"/>
      <c r="S424" s="374"/>
      <c r="T424" s="372"/>
      <c r="U424" s="186"/>
      <c r="V424" s="18"/>
      <c r="W424" s="374"/>
      <c r="X424" s="372"/>
      <c r="Y424" s="186"/>
      <c r="Z424" s="18"/>
      <c r="AA424" s="374"/>
      <c r="AB424" s="372"/>
      <c r="AC424" s="186"/>
      <c r="AD424" s="18"/>
      <c r="AE424" s="374"/>
      <c r="AF424" s="372"/>
      <c r="AG424" s="188"/>
      <c r="AH424" s="188"/>
      <c r="AI424" s="188"/>
      <c r="AJ424" s="188"/>
      <c r="AK424" s="365"/>
      <c r="AL424" s="365"/>
      <c r="AM424" s="365"/>
      <c r="AN424" s="365"/>
      <c r="AO424" s="365"/>
      <c r="AP424" s="365"/>
    </row>
    <row r="425">
      <c r="A425" s="302"/>
      <c r="B425" s="303"/>
      <c r="C425" s="304"/>
      <c r="D425" s="365"/>
      <c r="E425" s="302"/>
      <c r="F425" s="303"/>
      <c r="G425" s="304"/>
      <c r="H425" s="365"/>
      <c r="I425" s="302"/>
      <c r="J425" s="303"/>
      <c r="K425" s="304"/>
      <c r="L425" s="365"/>
      <c r="M425" s="302"/>
      <c r="N425" s="303"/>
      <c r="O425" s="304"/>
      <c r="P425" s="365"/>
      <c r="Q425" s="186"/>
      <c r="R425" s="18"/>
      <c r="S425" s="374"/>
      <c r="T425" s="372"/>
      <c r="U425" s="186"/>
      <c r="V425" s="18"/>
      <c r="W425" s="374"/>
      <c r="X425" s="372"/>
      <c r="Y425" s="186"/>
      <c r="Z425" s="18"/>
      <c r="AA425" s="374"/>
      <c r="AB425" s="372"/>
      <c r="AC425" s="186"/>
      <c r="AD425" s="18"/>
      <c r="AE425" s="374"/>
      <c r="AF425" s="372"/>
      <c r="AG425" s="188"/>
      <c r="AH425" s="188"/>
      <c r="AI425" s="188"/>
      <c r="AJ425" s="188"/>
      <c r="AK425" s="365"/>
      <c r="AL425" s="365"/>
      <c r="AM425" s="365"/>
      <c r="AN425" s="365"/>
      <c r="AO425" s="365"/>
      <c r="AP425" s="365"/>
    </row>
    <row r="426">
      <c r="A426" s="302"/>
      <c r="B426" s="303"/>
      <c r="C426" s="304"/>
      <c r="D426" s="365"/>
      <c r="E426" s="302"/>
      <c r="F426" s="303"/>
      <c r="G426" s="304"/>
      <c r="H426" s="365"/>
      <c r="I426" s="302"/>
      <c r="J426" s="303"/>
      <c r="K426" s="304"/>
      <c r="L426" s="365"/>
      <c r="M426" s="302"/>
      <c r="N426" s="303"/>
      <c r="O426" s="304"/>
      <c r="P426" s="365"/>
      <c r="Q426" s="186"/>
      <c r="R426" s="18"/>
      <c r="S426" s="374"/>
      <c r="T426" s="372"/>
      <c r="U426" s="186"/>
      <c r="V426" s="18"/>
      <c r="W426" s="374"/>
      <c r="X426" s="372"/>
      <c r="Y426" s="186"/>
      <c r="Z426" s="18"/>
      <c r="AA426" s="374"/>
      <c r="AB426" s="372"/>
      <c r="AC426" s="186"/>
      <c r="AD426" s="18"/>
      <c r="AE426" s="374"/>
      <c r="AF426" s="372"/>
      <c r="AG426" s="188"/>
      <c r="AH426" s="188"/>
      <c r="AI426" s="188"/>
      <c r="AJ426" s="188"/>
      <c r="AK426" s="365"/>
      <c r="AL426" s="365"/>
      <c r="AM426" s="365"/>
      <c r="AN426" s="365"/>
      <c r="AO426" s="365"/>
      <c r="AP426" s="365"/>
    </row>
    <row r="427">
      <c r="A427" s="302"/>
      <c r="B427" s="303"/>
      <c r="C427" s="304"/>
      <c r="D427" s="365"/>
      <c r="E427" s="302"/>
      <c r="F427" s="303"/>
      <c r="G427" s="304"/>
      <c r="H427" s="365"/>
      <c r="I427" s="302"/>
      <c r="J427" s="303"/>
      <c r="K427" s="304"/>
      <c r="L427" s="365"/>
      <c r="M427" s="302"/>
      <c r="N427" s="303"/>
      <c r="O427" s="304"/>
      <c r="P427" s="365"/>
      <c r="Q427" s="186"/>
      <c r="R427" s="18"/>
      <c r="S427" s="374"/>
      <c r="T427" s="372"/>
      <c r="U427" s="186"/>
      <c r="V427" s="18"/>
      <c r="W427" s="374"/>
      <c r="X427" s="372"/>
      <c r="Y427" s="186"/>
      <c r="Z427" s="18"/>
      <c r="AA427" s="374"/>
      <c r="AB427" s="372"/>
      <c r="AC427" s="186"/>
      <c r="AD427" s="18"/>
      <c r="AE427" s="374"/>
      <c r="AF427" s="372"/>
      <c r="AG427" s="188"/>
      <c r="AH427" s="188"/>
      <c r="AI427" s="188"/>
      <c r="AJ427" s="188"/>
      <c r="AK427" s="365"/>
      <c r="AL427" s="365"/>
      <c r="AM427" s="365"/>
      <c r="AN427" s="365"/>
      <c r="AO427" s="365"/>
      <c r="AP427" s="365"/>
    </row>
    <row r="428">
      <c r="A428" s="302"/>
      <c r="B428" s="303"/>
      <c r="C428" s="304"/>
      <c r="D428" s="365"/>
      <c r="E428" s="302"/>
      <c r="F428" s="303"/>
      <c r="G428" s="304"/>
      <c r="H428" s="365"/>
      <c r="I428" s="302"/>
      <c r="J428" s="303"/>
      <c r="K428" s="304"/>
      <c r="L428" s="365"/>
      <c r="M428" s="302"/>
      <c r="N428" s="303"/>
      <c r="O428" s="304"/>
      <c r="P428" s="365"/>
      <c r="Q428" s="186"/>
      <c r="R428" s="18"/>
      <c r="S428" s="374"/>
      <c r="T428" s="372"/>
      <c r="U428" s="186"/>
      <c r="V428" s="18"/>
      <c r="W428" s="374"/>
      <c r="X428" s="372"/>
      <c r="Y428" s="186"/>
      <c r="Z428" s="18"/>
      <c r="AA428" s="374"/>
      <c r="AB428" s="372"/>
      <c r="AC428" s="186"/>
      <c r="AD428" s="18"/>
      <c r="AE428" s="374"/>
      <c r="AF428" s="372"/>
      <c r="AG428" s="188"/>
      <c r="AH428" s="188"/>
      <c r="AI428" s="188"/>
      <c r="AJ428" s="188"/>
      <c r="AK428" s="365"/>
      <c r="AL428" s="365"/>
      <c r="AM428" s="365"/>
      <c r="AN428" s="365"/>
      <c r="AO428" s="365"/>
      <c r="AP428" s="365"/>
    </row>
    <row r="429">
      <c r="A429" s="302"/>
      <c r="B429" s="303"/>
      <c r="C429" s="304"/>
      <c r="D429" s="365"/>
      <c r="E429" s="302"/>
      <c r="F429" s="303"/>
      <c r="G429" s="304"/>
      <c r="H429" s="365"/>
      <c r="I429" s="302"/>
      <c r="J429" s="303"/>
      <c r="K429" s="304"/>
      <c r="L429" s="365"/>
      <c r="M429" s="302"/>
      <c r="N429" s="303"/>
      <c r="O429" s="304"/>
      <c r="P429" s="365"/>
      <c r="Q429" s="186"/>
      <c r="R429" s="18"/>
      <c r="S429" s="374"/>
      <c r="T429" s="372"/>
      <c r="U429" s="186"/>
      <c r="V429" s="18"/>
      <c r="W429" s="374"/>
      <c r="X429" s="372"/>
      <c r="Y429" s="186"/>
      <c r="Z429" s="18"/>
      <c r="AA429" s="374"/>
      <c r="AB429" s="372"/>
      <c r="AC429" s="186"/>
      <c r="AD429" s="18"/>
      <c r="AE429" s="374"/>
      <c r="AF429" s="372"/>
      <c r="AG429" s="188"/>
      <c r="AH429" s="188"/>
      <c r="AI429" s="188"/>
      <c r="AJ429" s="188"/>
      <c r="AK429" s="365"/>
      <c r="AL429" s="365"/>
      <c r="AM429" s="365"/>
      <c r="AN429" s="365"/>
      <c r="AO429" s="365"/>
      <c r="AP429" s="365"/>
    </row>
    <row r="430">
      <c r="A430" s="302"/>
      <c r="B430" s="303"/>
      <c r="C430" s="304"/>
      <c r="D430" s="365"/>
      <c r="E430" s="302"/>
      <c r="F430" s="303"/>
      <c r="G430" s="304"/>
      <c r="H430" s="365"/>
      <c r="I430" s="302"/>
      <c r="J430" s="303"/>
      <c r="K430" s="304"/>
      <c r="L430" s="365"/>
      <c r="M430" s="302"/>
      <c r="N430" s="303"/>
      <c r="O430" s="304"/>
      <c r="P430" s="365"/>
      <c r="Q430" s="186"/>
      <c r="R430" s="18"/>
      <c r="S430" s="374"/>
      <c r="T430" s="372"/>
      <c r="U430" s="186"/>
      <c r="V430" s="18"/>
      <c r="W430" s="374"/>
      <c r="X430" s="372"/>
      <c r="Y430" s="186"/>
      <c r="Z430" s="18"/>
      <c r="AA430" s="374"/>
      <c r="AB430" s="372"/>
      <c r="AC430" s="186"/>
      <c r="AD430" s="18"/>
      <c r="AE430" s="374"/>
      <c r="AF430" s="372"/>
      <c r="AG430" s="188"/>
      <c r="AH430" s="188"/>
      <c r="AI430" s="188"/>
      <c r="AJ430" s="188"/>
      <c r="AK430" s="365"/>
      <c r="AL430" s="365"/>
      <c r="AM430" s="365"/>
      <c r="AN430" s="365"/>
      <c r="AO430" s="365"/>
      <c r="AP430" s="365"/>
    </row>
    <row r="431">
      <c r="A431" s="302"/>
      <c r="B431" s="303"/>
      <c r="C431" s="304"/>
      <c r="D431" s="365"/>
      <c r="E431" s="302"/>
      <c r="F431" s="303"/>
      <c r="G431" s="304"/>
      <c r="H431" s="365"/>
      <c r="I431" s="302"/>
      <c r="J431" s="303"/>
      <c r="K431" s="304"/>
      <c r="L431" s="365"/>
      <c r="M431" s="302"/>
      <c r="N431" s="303"/>
      <c r="O431" s="304"/>
      <c r="P431" s="365"/>
      <c r="Q431" s="186"/>
      <c r="R431" s="18"/>
      <c r="S431" s="374"/>
      <c r="T431" s="372"/>
      <c r="U431" s="186"/>
      <c r="V431" s="18"/>
      <c r="W431" s="374"/>
      <c r="X431" s="372"/>
      <c r="Y431" s="186"/>
      <c r="Z431" s="18"/>
      <c r="AA431" s="374"/>
      <c r="AB431" s="372"/>
      <c r="AC431" s="186"/>
      <c r="AD431" s="18"/>
      <c r="AE431" s="374"/>
      <c r="AF431" s="372"/>
      <c r="AG431" s="188"/>
      <c r="AH431" s="188"/>
      <c r="AI431" s="188"/>
      <c r="AJ431" s="188"/>
      <c r="AK431" s="365"/>
      <c r="AL431" s="365"/>
      <c r="AM431" s="365"/>
      <c r="AN431" s="365"/>
      <c r="AO431" s="365"/>
      <c r="AP431" s="365"/>
    </row>
    <row r="432">
      <c r="A432" s="302"/>
      <c r="B432" s="303"/>
      <c r="C432" s="304"/>
      <c r="D432" s="365"/>
      <c r="E432" s="302"/>
      <c r="F432" s="303"/>
      <c r="G432" s="304"/>
      <c r="H432" s="365"/>
      <c r="I432" s="302"/>
      <c r="J432" s="303"/>
      <c r="K432" s="304"/>
      <c r="L432" s="365"/>
      <c r="M432" s="302"/>
      <c r="N432" s="303"/>
      <c r="O432" s="304"/>
      <c r="P432" s="365"/>
      <c r="Q432" s="186"/>
      <c r="R432" s="18"/>
      <c r="S432" s="374"/>
      <c r="T432" s="372"/>
      <c r="U432" s="186"/>
      <c r="V432" s="18"/>
      <c r="W432" s="374"/>
      <c r="X432" s="372"/>
      <c r="Y432" s="186"/>
      <c r="Z432" s="18"/>
      <c r="AA432" s="374"/>
      <c r="AB432" s="372"/>
      <c r="AC432" s="186"/>
      <c r="AD432" s="18"/>
      <c r="AE432" s="374"/>
      <c r="AF432" s="372"/>
      <c r="AG432" s="188"/>
      <c r="AH432" s="188"/>
      <c r="AI432" s="188"/>
      <c r="AJ432" s="188"/>
      <c r="AK432" s="365"/>
      <c r="AL432" s="365"/>
      <c r="AM432" s="365"/>
      <c r="AN432" s="365"/>
      <c r="AO432" s="365"/>
      <c r="AP432" s="365"/>
    </row>
    <row r="433">
      <c r="A433" s="302"/>
      <c r="B433" s="303"/>
      <c r="C433" s="304"/>
      <c r="D433" s="365"/>
      <c r="E433" s="302"/>
      <c r="F433" s="303"/>
      <c r="G433" s="304"/>
      <c r="H433" s="365"/>
      <c r="I433" s="302"/>
      <c r="J433" s="303"/>
      <c r="K433" s="304"/>
      <c r="L433" s="365"/>
      <c r="M433" s="302"/>
      <c r="N433" s="303"/>
      <c r="O433" s="304"/>
      <c r="P433" s="365"/>
      <c r="Q433" s="186"/>
      <c r="R433" s="18"/>
      <c r="S433" s="374"/>
      <c r="T433" s="372"/>
      <c r="U433" s="186"/>
      <c r="V433" s="18"/>
      <c r="W433" s="374"/>
      <c r="X433" s="372"/>
      <c r="Y433" s="186"/>
      <c r="Z433" s="18"/>
      <c r="AA433" s="374"/>
      <c r="AB433" s="372"/>
      <c r="AC433" s="186"/>
      <c r="AD433" s="18"/>
      <c r="AE433" s="374"/>
      <c r="AF433" s="372"/>
      <c r="AG433" s="188"/>
      <c r="AH433" s="188"/>
      <c r="AI433" s="188"/>
      <c r="AJ433" s="188"/>
      <c r="AK433" s="365"/>
      <c r="AL433" s="365"/>
      <c r="AM433" s="365"/>
      <c r="AN433" s="365"/>
      <c r="AO433" s="365"/>
      <c r="AP433" s="365"/>
    </row>
    <row r="434">
      <c r="A434" s="302"/>
      <c r="B434" s="303"/>
      <c r="C434" s="304"/>
      <c r="D434" s="365"/>
      <c r="E434" s="302"/>
      <c r="F434" s="303"/>
      <c r="G434" s="304"/>
      <c r="H434" s="365"/>
      <c r="I434" s="302"/>
      <c r="J434" s="303"/>
      <c r="K434" s="304"/>
      <c r="L434" s="365"/>
      <c r="M434" s="302"/>
      <c r="N434" s="303"/>
      <c r="O434" s="304"/>
      <c r="P434" s="365"/>
      <c r="Q434" s="186"/>
      <c r="R434" s="18"/>
      <c r="S434" s="374"/>
      <c r="T434" s="372"/>
      <c r="U434" s="186"/>
      <c r="V434" s="18"/>
      <c r="W434" s="374"/>
      <c r="X434" s="372"/>
      <c r="Y434" s="186"/>
      <c r="Z434" s="18"/>
      <c r="AA434" s="374"/>
      <c r="AB434" s="372"/>
      <c r="AC434" s="186"/>
      <c r="AD434" s="18"/>
      <c r="AE434" s="374"/>
      <c r="AF434" s="372"/>
      <c r="AG434" s="188"/>
      <c r="AH434" s="188"/>
      <c r="AI434" s="188"/>
      <c r="AJ434" s="188"/>
      <c r="AK434" s="365"/>
      <c r="AL434" s="365"/>
      <c r="AM434" s="365"/>
      <c r="AN434" s="365"/>
      <c r="AO434" s="365"/>
      <c r="AP434" s="365"/>
    </row>
    <row r="435">
      <c r="A435" s="302"/>
      <c r="B435" s="303"/>
      <c r="C435" s="304"/>
      <c r="D435" s="365"/>
      <c r="E435" s="302"/>
      <c r="F435" s="303"/>
      <c r="G435" s="304"/>
      <c r="H435" s="365"/>
      <c r="I435" s="302"/>
      <c r="J435" s="303"/>
      <c r="K435" s="304"/>
      <c r="L435" s="365"/>
      <c r="M435" s="302"/>
      <c r="N435" s="303"/>
      <c r="O435" s="304"/>
      <c r="P435" s="365"/>
      <c r="Q435" s="186"/>
      <c r="R435" s="18"/>
      <c r="S435" s="374"/>
      <c r="T435" s="372"/>
      <c r="U435" s="186"/>
      <c r="V435" s="18"/>
      <c r="W435" s="374"/>
      <c r="X435" s="372"/>
      <c r="Y435" s="186"/>
      <c r="Z435" s="18"/>
      <c r="AA435" s="374"/>
      <c r="AB435" s="372"/>
      <c r="AC435" s="186"/>
      <c r="AD435" s="18"/>
      <c r="AE435" s="374"/>
      <c r="AF435" s="372"/>
      <c r="AG435" s="188"/>
      <c r="AH435" s="188"/>
      <c r="AI435" s="188"/>
      <c r="AJ435" s="188"/>
      <c r="AK435" s="365"/>
      <c r="AL435" s="365"/>
      <c r="AM435" s="365"/>
      <c r="AN435" s="365"/>
      <c r="AO435" s="365"/>
      <c r="AP435" s="365"/>
    </row>
    <row r="436">
      <c r="A436" s="302"/>
      <c r="B436" s="303"/>
      <c r="C436" s="304"/>
      <c r="D436" s="365"/>
      <c r="E436" s="302"/>
      <c r="F436" s="303"/>
      <c r="G436" s="304"/>
      <c r="H436" s="365"/>
      <c r="I436" s="302"/>
      <c r="J436" s="303"/>
      <c r="K436" s="304"/>
      <c r="L436" s="365"/>
      <c r="M436" s="302"/>
      <c r="N436" s="303"/>
      <c r="O436" s="304"/>
      <c r="P436" s="365"/>
      <c r="Q436" s="186"/>
      <c r="R436" s="18"/>
      <c r="S436" s="374"/>
      <c r="T436" s="372"/>
      <c r="U436" s="186"/>
      <c r="V436" s="18"/>
      <c r="W436" s="374"/>
      <c r="X436" s="372"/>
      <c r="Y436" s="186"/>
      <c r="Z436" s="18"/>
      <c r="AA436" s="374"/>
      <c r="AB436" s="372"/>
      <c r="AC436" s="186"/>
      <c r="AD436" s="18"/>
      <c r="AE436" s="374"/>
      <c r="AF436" s="372"/>
      <c r="AG436" s="188"/>
      <c r="AH436" s="188"/>
      <c r="AI436" s="188"/>
      <c r="AJ436" s="188"/>
      <c r="AK436" s="365"/>
      <c r="AL436" s="365"/>
      <c r="AM436" s="365"/>
      <c r="AN436" s="365"/>
      <c r="AO436" s="365"/>
      <c r="AP436" s="365"/>
    </row>
    <row r="437">
      <c r="A437" s="302"/>
      <c r="B437" s="303"/>
      <c r="C437" s="304"/>
      <c r="D437" s="365"/>
      <c r="E437" s="302"/>
      <c r="F437" s="303"/>
      <c r="G437" s="304"/>
      <c r="H437" s="365"/>
      <c r="I437" s="302"/>
      <c r="J437" s="303"/>
      <c r="K437" s="304"/>
      <c r="L437" s="365"/>
      <c r="M437" s="302"/>
      <c r="N437" s="303"/>
      <c r="O437" s="304"/>
      <c r="P437" s="365"/>
      <c r="Q437" s="186"/>
      <c r="R437" s="18"/>
      <c r="S437" s="374"/>
      <c r="T437" s="372"/>
      <c r="U437" s="186"/>
      <c r="V437" s="18"/>
      <c r="W437" s="374"/>
      <c r="X437" s="372"/>
      <c r="Y437" s="186"/>
      <c r="Z437" s="18"/>
      <c r="AA437" s="374"/>
      <c r="AB437" s="372"/>
      <c r="AC437" s="186"/>
      <c r="AD437" s="18"/>
      <c r="AE437" s="374"/>
      <c r="AF437" s="372"/>
      <c r="AG437" s="188"/>
      <c r="AH437" s="188"/>
      <c r="AI437" s="188"/>
      <c r="AJ437" s="188"/>
      <c r="AK437" s="365"/>
      <c r="AL437" s="365"/>
      <c r="AM437" s="365"/>
      <c r="AN437" s="365"/>
      <c r="AO437" s="365"/>
      <c r="AP437" s="365"/>
    </row>
    <row r="438">
      <c r="A438" s="302"/>
      <c r="B438" s="303"/>
      <c r="C438" s="304"/>
      <c r="D438" s="365"/>
      <c r="E438" s="302"/>
      <c r="F438" s="303"/>
      <c r="G438" s="304"/>
      <c r="H438" s="365"/>
      <c r="I438" s="302"/>
      <c r="J438" s="303"/>
      <c r="K438" s="304"/>
      <c r="L438" s="365"/>
      <c r="M438" s="302"/>
      <c r="N438" s="303"/>
      <c r="O438" s="304"/>
      <c r="P438" s="365"/>
      <c r="Q438" s="186"/>
      <c r="R438" s="18"/>
      <c r="S438" s="374"/>
      <c r="T438" s="372"/>
      <c r="U438" s="186"/>
      <c r="V438" s="18"/>
      <c r="W438" s="374"/>
      <c r="X438" s="372"/>
      <c r="Y438" s="186"/>
      <c r="Z438" s="18"/>
      <c r="AA438" s="374"/>
      <c r="AB438" s="372"/>
      <c r="AC438" s="186"/>
      <c r="AD438" s="18"/>
      <c r="AE438" s="374"/>
      <c r="AF438" s="372"/>
      <c r="AG438" s="188"/>
      <c r="AH438" s="188"/>
      <c r="AI438" s="188"/>
      <c r="AJ438" s="188"/>
      <c r="AK438" s="365"/>
      <c r="AL438" s="365"/>
      <c r="AM438" s="365"/>
      <c r="AN438" s="365"/>
      <c r="AO438" s="365"/>
      <c r="AP438" s="365"/>
    </row>
    <row r="439">
      <c r="A439" s="302"/>
      <c r="B439" s="303"/>
      <c r="C439" s="304"/>
      <c r="D439" s="365"/>
      <c r="E439" s="302"/>
      <c r="F439" s="303"/>
      <c r="G439" s="304"/>
      <c r="H439" s="365"/>
      <c r="I439" s="302"/>
      <c r="J439" s="303"/>
      <c r="K439" s="304"/>
      <c r="L439" s="365"/>
      <c r="M439" s="302"/>
      <c r="N439" s="303"/>
      <c r="O439" s="304"/>
      <c r="P439" s="365"/>
      <c r="Q439" s="186"/>
      <c r="R439" s="18"/>
      <c r="S439" s="374"/>
      <c r="T439" s="372"/>
      <c r="U439" s="186"/>
      <c r="V439" s="18"/>
      <c r="W439" s="374"/>
      <c r="X439" s="372"/>
      <c r="Y439" s="186"/>
      <c r="Z439" s="18"/>
      <c r="AA439" s="374"/>
      <c r="AB439" s="372"/>
      <c r="AC439" s="186"/>
      <c r="AD439" s="18"/>
      <c r="AE439" s="374"/>
      <c r="AF439" s="372"/>
      <c r="AG439" s="188"/>
      <c r="AH439" s="188"/>
      <c r="AI439" s="188"/>
      <c r="AJ439" s="188"/>
      <c r="AK439" s="365"/>
      <c r="AL439" s="365"/>
      <c r="AM439" s="365"/>
      <c r="AN439" s="365"/>
      <c r="AO439" s="365"/>
      <c r="AP439" s="365"/>
    </row>
    <row r="440">
      <c r="A440" s="302"/>
      <c r="B440" s="303"/>
      <c r="C440" s="304"/>
      <c r="D440" s="365"/>
      <c r="E440" s="302"/>
      <c r="F440" s="303"/>
      <c r="G440" s="304"/>
      <c r="H440" s="365"/>
      <c r="I440" s="302"/>
      <c r="J440" s="303"/>
      <c r="K440" s="304"/>
      <c r="L440" s="365"/>
      <c r="M440" s="302"/>
      <c r="N440" s="303"/>
      <c r="O440" s="304"/>
      <c r="P440" s="365"/>
      <c r="Q440" s="186"/>
      <c r="R440" s="18"/>
      <c r="S440" s="374"/>
      <c r="T440" s="372"/>
      <c r="U440" s="186"/>
      <c r="V440" s="18"/>
      <c r="W440" s="374"/>
      <c r="X440" s="372"/>
      <c r="Y440" s="186"/>
      <c r="Z440" s="18"/>
      <c r="AA440" s="374"/>
      <c r="AB440" s="372"/>
      <c r="AC440" s="186"/>
      <c r="AD440" s="18"/>
      <c r="AE440" s="374"/>
      <c r="AF440" s="372"/>
      <c r="AG440" s="188"/>
      <c r="AH440" s="188"/>
      <c r="AI440" s="188"/>
      <c r="AJ440" s="188"/>
      <c r="AK440" s="365"/>
      <c r="AL440" s="365"/>
      <c r="AM440" s="365"/>
      <c r="AN440" s="365"/>
      <c r="AO440" s="365"/>
      <c r="AP440" s="365"/>
    </row>
    <row r="441">
      <c r="A441" s="302"/>
      <c r="B441" s="303"/>
      <c r="C441" s="304"/>
      <c r="D441" s="365"/>
      <c r="E441" s="302"/>
      <c r="F441" s="303"/>
      <c r="G441" s="304"/>
      <c r="H441" s="365"/>
      <c r="I441" s="302"/>
      <c r="J441" s="303"/>
      <c r="K441" s="304"/>
      <c r="L441" s="365"/>
      <c r="M441" s="302"/>
      <c r="N441" s="303"/>
      <c r="O441" s="304"/>
      <c r="P441" s="365"/>
      <c r="Q441" s="186"/>
      <c r="R441" s="18"/>
      <c r="S441" s="374"/>
      <c r="T441" s="372"/>
      <c r="U441" s="186"/>
      <c r="V441" s="18"/>
      <c r="W441" s="374"/>
      <c r="X441" s="372"/>
      <c r="Y441" s="186"/>
      <c r="Z441" s="18"/>
      <c r="AA441" s="374"/>
      <c r="AB441" s="372"/>
      <c r="AC441" s="186"/>
      <c r="AD441" s="18"/>
      <c r="AE441" s="374"/>
      <c r="AF441" s="372"/>
      <c r="AG441" s="188"/>
      <c r="AH441" s="188"/>
      <c r="AI441" s="188"/>
      <c r="AJ441" s="188"/>
      <c r="AK441" s="365"/>
      <c r="AL441" s="365"/>
      <c r="AM441" s="365"/>
      <c r="AN441" s="365"/>
      <c r="AO441" s="365"/>
      <c r="AP441" s="365"/>
    </row>
    <row r="442">
      <c r="A442" s="302"/>
      <c r="B442" s="303"/>
      <c r="C442" s="304"/>
      <c r="D442" s="365"/>
      <c r="E442" s="302"/>
      <c r="F442" s="303"/>
      <c r="G442" s="304"/>
      <c r="H442" s="365"/>
      <c r="I442" s="302"/>
      <c r="J442" s="303"/>
      <c r="K442" s="304"/>
      <c r="L442" s="365"/>
      <c r="M442" s="302"/>
      <c r="N442" s="303"/>
      <c r="O442" s="304"/>
      <c r="P442" s="365"/>
      <c r="Q442" s="186"/>
      <c r="R442" s="18"/>
      <c r="S442" s="374"/>
      <c r="T442" s="372"/>
      <c r="U442" s="186"/>
      <c r="V442" s="18"/>
      <c r="W442" s="374"/>
      <c r="X442" s="372"/>
      <c r="Y442" s="186"/>
      <c r="Z442" s="18"/>
      <c r="AA442" s="374"/>
      <c r="AB442" s="372"/>
      <c r="AC442" s="186"/>
      <c r="AD442" s="18"/>
      <c r="AE442" s="374"/>
      <c r="AF442" s="372"/>
      <c r="AG442" s="188"/>
      <c r="AH442" s="188"/>
      <c r="AI442" s="188"/>
      <c r="AJ442" s="188"/>
      <c r="AK442" s="365"/>
      <c r="AL442" s="365"/>
      <c r="AM442" s="365"/>
      <c r="AN442" s="365"/>
      <c r="AO442" s="365"/>
      <c r="AP442" s="365"/>
    </row>
    <row r="443">
      <c r="A443" s="302"/>
      <c r="B443" s="303"/>
      <c r="C443" s="304"/>
      <c r="D443" s="365"/>
      <c r="E443" s="302"/>
      <c r="F443" s="303"/>
      <c r="G443" s="304"/>
      <c r="H443" s="365"/>
      <c r="I443" s="302"/>
      <c r="J443" s="303"/>
      <c r="K443" s="304"/>
      <c r="L443" s="365"/>
      <c r="M443" s="302"/>
      <c r="N443" s="303"/>
      <c r="O443" s="304"/>
      <c r="P443" s="365"/>
      <c r="Q443" s="186"/>
      <c r="R443" s="18"/>
      <c r="S443" s="374"/>
      <c r="T443" s="372"/>
      <c r="U443" s="186"/>
      <c r="V443" s="18"/>
      <c r="W443" s="374"/>
      <c r="X443" s="372"/>
      <c r="Y443" s="186"/>
      <c r="Z443" s="18"/>
      <c r="AA443" s="374"/>
      <c r="AB443" s="372"/>
      <c r="AC443" s="186"/>
      <c r="AD443" s="18"/>
      <c r="AE443" s="374"/>
      <c r="AF443" s="372"/>
      <c r="AG443" s="188"/>
      <c r="AH443" s="188"/>
      <c r="AI443" s="188"/>
      <c r="AJ443" s="188"/>
      <c r="AK443" s="365"/>
      <c r="AL443" s="365"/>
      <c r="AM443" s="365"/>
      <c r="AN443" s="365"/>
      <c r="AO443" s="365"/>
      <c r="AP443" s="365"/>
    </row>
    <row r="444">
      <c r="A444" s="302"/>
      <c r="B444" s="303"/>
      <c r="C444" s="304"/>
      <c r="D444" s="365"/>
      <c r="E444" s="302"/>
      <c r="F444" s="303"/>
      <c r="G444" s="304"/>
      <c r="H444" s="365"/>
      <c r="I444" s="302"/>
      <c r="J444" s="303"/>
      <c r="K444" s="304"/>
      <c r="L444" s="365"/>
      <c r="M444" s="302"/>
      <c r="N444" s="303"/>
      <c r="O444" s="304"/>
      <c r="P444" s="365"/>
      <c r="Q444" s="186"/>
      <c r="R444" s="18"/>
      <c r="S444" s="374"/>
      <c r="T444" s="372"/>
      <c r="U444" s="186"/>
      <c r="V444" s="18"/>
      <c r="W444" s="374"/>
      <c r="X444" s="372"/>
      <c r="Y444" s="186"/>
      <c r="Z444" s="18"/>
      <c r="AA444" s="374"/>
      <c r="AB444" s="372"/>
      <c r="AC444" s="186"/>
      <c r="AD444" s="18"/>
      <c r="AE444" s="374"/>
      <c r="AF444" s="372"/>
      <c r="AG444" s="188"/>
      <c r="AH444" s="188"/>
      <c r="AI444" s="188"/>
      <c r="AJ444" s="188"/>
      <c r="AK444" s="365"/>
      <c r="AL444" s="365"/>
      <c r="AM444" s="365"/>
      <c r="AN444" s="365"/>
      <c r="AO444" s="365"/>
      <c r="AP444" s="365"/>
    </row>
    <row r="445">
      <c r="A445" s="302"/>
      <c r="B445" s="303"/>
      <c r="C445" s="304"/>
      <c r="D445" s="365"/>
      <c r="E445" s="302"/>
      <c r="F445" s="303"/>
      <c r="G445" s="304"/>
      <c r="H445" s="365"/>
      <c r="I445" s="302"/>
      <c r="J445" s="303"/>
      <c r="K445" s="304"/>
      <c r="L445" s="365"/>
      <c r="M445" s="302"/>
      <c r="N445" s="303"/>
      <c r="O445" s="304"/>
      <c r="P445" s="365"/>
      <c r="Q445" s="186"/>
      <c r="R445" s="18"/>
      <c r="S445" s="374"/>
      <c r="T445" s="372"/>
      <c r="U445" s="186"/>
      <c r="V445" s="18"/>
      <c r="W445" s="374"/>
      <c r="X445" s="372"/>
      <c r="Y445" s="186"/>
      <c r="Z445" s="18"/>
      <c r="AA445" s="374"/>
      <c r="AB445" s="372"/>
      <c r="AC445" s="186"/>
      <c r="AD445" s="18"/>
      <c r="AE445" s="374"/>
      <c r="AF445" s="372"/>
      <c r="AG445" s="188"/>
      <c r="AH445" s="188"/>
      <c r="AI445" s="188"/>
      <c r="AJ445" s="188"/>
      <c r="AK445" s="365"/>
      <c r="AL445" s="365"/>
      <c r="AM445" s="365"/>
      <c r="AN445" s="365"/>
      <c r="AO445" s="365"/>
      <c r="AP445" s="365"/>
    </row>
    <row r="446">
      <c r="A446" s="302"/>
      <c r="B446" s="303"/>
      <c r="C446" s="304"/>
      <c r="D446" s="365"/>
      <c r="E446" s="302"/>
      <c r="F446" s="303"/>
      <c r="G446" s="304"/>
      <c r="H446" s="365"/>
      <c r="I446" s="302"/>
      <c r="J446" s="303"/>
      <c r="K446" s="304"/>
      <c r="L446" s="365"/>
      <c r="M446" s="302"/>
      <c r="N446" s="303"/>
      <c r="O446" s="304"/>
      <c r="P446" s="365"/>
      <c r="Q446" s="186"/>
      <c r="R446" s="18"/>
      <c r="S446" s="374"/>
      <c r="T446" s="372"/>
      <c r="U446" s="186"/>
      <c r="V446" s="18"/>
      <c r="W446" s="374"/>
      <c r="X446" s="372"/>
      <c r="Y446" s="186"/>
      <c r="Z446" s="18"/>
      <c r="AA446" s="374"/>
      <c r="AB446" s="372"/>
      <c r="AC446" s="186"/>
      <c r="AD446" s="18"/>
      <c r="AE446" s="374"/>
      <c r="AF446" s="372"/>
      <c r="AG446" s="188"/>
      <c r="AH446" s="188"/>
      <c r="AI446" s="188"/>
      <c r="AJ446" s="188"/>
      <c r="AK446" s="365"/>
      <c r="AL446" s="365"/>
      <c r="AM446" s="365"/>
      <c r="AN446" s="365"/>
      <c r="AO446" s="365"/>
      <c r="AP446" s="365"/>
    </row>
    <row r="447">
      <c r="A447" s="302"/>
      <c r="B447" s="303"/>
      <c r="C447" s="304"/>
      <c r="D447" s="365"/>
      <c r="E447" s="302"/>
      <c r="F447" s="303"/>
      <c r="G447" s="304"/>
      <c r="H447" s="365"/>
      <c r="I447" s="302"/>
      <c r="J447" s="303"/>
      <c r="K447" s="304"/>
      <c r="L447" s="365"/>
      <c r="M447" s="302"/>
      <c r="N447" s="303"/>
      <c r="O447" s="304"/>
      <c r="P447" s="365"/>
      <c r="Q447" s="186"/>
      <c r="R447" s="18"/>
      <c r="S447" s="374"/>
      <c r="T447" s="372"/>
      <c r="U447" s="186"/>
      <c r="V447" s="18"/>
      <c r="W447" s="374"/>
      <c r="X447" s="372"/>
      <c r="Y447" s="186"/>
      <c r="Z447" s="18"/>
      <c r="AA447" s="374"/>
      <c r="AB447" s="372"/>
      <c r="AC447" s="186"/>
      <c r="AD447" s="18"/>
      <c r="AE447" s="374"/>
      <c r="AF447" s="372"/>
      <c r="AG447" s="188"/>
      <c r="AH447" s="188"/>
      <c r="AI447" s="188"/>
      <c r="AJ447" s="188"/>
      <c r="AK447" s="365"/>
      <c r="AL447" s="365"/>
      <c r="AM447" s="365"/>
      <c r="AN447" s="365"/>
      <c r="AO447" s="365"/>
      <c r="AP447" s="365"/>
    </row>
    <row r="448">
      <c r="A448" s="302"/>
      <c r="B448" s="303"/>
      <c r="C448" s="304"/>
      <c r="D448" s="365"/>
      <c r="E448" s="302"/>
      <c r="F448" s="303"/>
      <c r="G448" s="304"/>
      <c r="H448" s="365"/>
      <c r="I448" s="302"/>
      <c r="J448" s="303"/>
      <c r="K448" s="304"/>
      <c r="L448" s="365"/>
      <c r="M448" s="302"/>
      <c r="N448" s="303"/>
      <c r="O448" s="304"/>
      <c r="P448" s="365"/>
      <c r="Q448" s="186"/>
      <c r="R448" s="18"/>
      <c r="S448" s="374"/>
      <c r="T448" s="372"/>
      <c r="U448" s="186"/>
      <c r="V448" s="18"/>
      <c r="W448" s="374"/>
      <c r="X448" s="372"/>
      <c r="Y448" s="186"/>
      <c r="Z448" s="18"/>
      <c r="AA448" s="374"/>
      <c r="AB448" s="372"/>
      <c r="AC448" s="186"/>
      <c r="AD448" s="18"/>
      <c r="AE448" s="374"/>
      <c r="AF448" s="372"/>
      <c r="AG448" s="188"/>
      <c r="AH448" s="188"/>
      <c r="AI448" s="188"/>
      <c r="AJ448" s="188"/>
      <c r="AK448" s="365"/>
      <c r="AL448" s="365"/>
      <c r="AM448" s="365"/>
      <c r="AN448" s="365"/>
      <c r="AO448" s="365"/>
      <c r="AP448" s="365"/>
    </row>
    <row r="449">
      <c r="A449" s="302"/>
      <c r="B449" s="303"/>
      <c r="C449" s="304"/>
      <c r="D449" s="365"/>
      <c r="E449" s="302"/>
      <c r="F449" s="303"/>
      <c r="G449" s="304"/>
      <c r="H449" s="365"/>
      <c r="I449" s="302"/>
      <c r="J449" s="303"/>
      <c r="K449" s="304"/>
      <c r="L449" s="365"/>
      <c r="M449" s="302"/>
      <c r="N449" s="303"/>
      <c r="O449" s="304"/>
      <c r="P449" s="365"/>
      <c r="Q449" s="186"/>
      <c r="R449" s="18"/>
      <c r="S449" s="374"/>
      <c r="T449" s="372"/>
      <c r="U449" s="186"/>
      <c r="V449" s="18"/>
      <c r="W449" s="374"/>
      <c r="X449" s="372"/>
      <c r="Y449" s="186"/>
      <c r="Z449" s="18"/>
      <c r="AA449" s="374"/>
      <c r="AB449" s="372"/>
      <c r="AC449" s="186"/>
      <c r="AD449" s="18"/>
      <c r="AE449" s="374"/>
      <c r="AF449" s="372"/>
      <c r="AG449" s="188"/>
      <c r="AH449" s="188"/>
      <c r="AI449" s="188"/>
      <c r="AJ449" s="188"/>
      <c r="AK449" s="365"/>
      <c r="AL449" s="365"/>
      <c r="AM449" s="365"/>
      <c r="AN449" s="365"/>
      <c r="AO449" s="365"/>
      <c r="AP449" s="365"/>
    </row>
    <row r="450">
      <c r="A450" s="302"/>
      <c r="B450" s="303"/>
      <c r="C450" s="304"/>
      <c r="D450" s="365"/>
      <c r="E450" s="302"/>
      <c r="F450" s="303"/>
      <c r="G450" s="304"/>
      <c r="H450" s="365"/>
      <c r="I450" s="302"/>
      <c r="J450" s="303"/>
      <c r="K450" s="304"/>
      <c r="L450" s="365"/>
      <c r="M450" s="302"/>
      <c r="N450" s="303"/>
      <c r="O450" s="304"/>
      <c r="P450" s="365"/>
      <c r="Q450" s="186"/>
      <c r="R450" s="18"/>
      <c r="S450" s="374"/>
      <c r="T450" s="372"/>
      <c r="U450" s="186"/>
      <c r="V450" s="18"/>
      <c r="W450" s="374"/>
      <c r="X450" s="372"/>
      <c r="Y450" s="186"/>
      <c r="Z450" s="18"/>
      <c r="AA450" s="374"/>
      <c r="AB450" s="372"/>
      <c r="AC450" s="186"/>
      <c r="AD450" s="18"/>
      <c r="AE450" s="374"/>
      <c r="AF450" s="372"/>
      <c r="AG450" s="188"/>
      <c r="AH450" s="188"/>
      <c r="AI450" s="188"/>
      <c r="AJ450" s="188"/>
      <c r="AK450" s="365"/>
      <c r="AL450" s="365"/>
      <c r="AM450" s="365"/>
      <c r="AN450" s="365"/>
      <c r="AO450" s="365"/>
      <c r="AP450" s="365"/>
    </row>
    <row r="451">
      <c r="A451" s="302"/>
      <c r="B451" s="303"/>
      <c r="C451" s="304"/>
      <c r="D451" s="365"/>
      <c r="E451" s="302"/>
      <c r="F451" s="303"/>
      <c r="G451" s="304"/>
      <c r="H451" s="365"/>
      <c r="I451" s="302"/>
      <c r="J451" s="303"/>
      <c r="K451" s="304"/>
      <c r="L451" s="365"/>
      <c r="M451" s="302"/>
      <c r="N451" s="303"/>
      <c r="O451" s="304"/>
      <c r="P451" s="365"/>
      <c r="Q451" s="186"/>
      <c r="R451" s="18"/>
      <c r="S451" s="374"/>
      <c r="T451" s="372"/>
      <c r="U451" s="186"/>
      <c r="V451" s="18"/>
      <c r="W451" s="374"/>
      <c r="X451" s="372"/>
      <c r="Y451" s="186"/>
      <c r="Z451" s="18"/>
      <c r="AA451" s="374"/>
      <c r="AB451" s="372"/>
      <c r="AC451" s="186"/>
      <c r="AD451" s="18"/>
      <c r="AE451" s="374"/>
      <c r="AF451" s="372"/>
      <c r="AG451" s="188"/>
      <c r="AH451" s="188"/>
      <c r="AI451" s="188"/>
      <c r="AJ451" s="188"/>
      <c r="AK451" s="365"/>
      <c r="AL451" s="365"/>
      <c r="AM451" s="365"/>
      <c r="AN451" s="365"/>
      <c r="AO451" s="365"/>
      <c r="AP451" s="365"/>
    </row>
    <row r="452">
      <c r="A452" s="302"/>
      <c r="B452" s="303"/>
      <c r="C452" s="304"/>
      <c r="D452" s="365"/>
      <c r="E452" s="302"/>
      <c r="F452" s="303"/>
      <c r="G452" s="304"/>
      <c r="H452" s="365"/>
      <c r="I452" s="302"/>
      <c r="J452" s="303"/>
      <c r="K452" s="304"/>
      <c r="L452" s="365"/>
      <c r="M452" s="302"/>
      <c r="N452" s="303"/>
      <c r="O452" s="304"/>
      <c r="P452" s="365"/>
      <c r="Q452" s="186"/>
      <c r="R452" s="18"/>
      <c r="S452" s="374"/>
      <c r="T452" s="372"/>
      <c r="U452" s="186"/>
      <c r="V452" s="18"/>
      <c r="W452" s="374"/>
      <c r="X452" s="372"/>
      <c r="Y452" s="186"/>
      <c r="Z452" s="18"/>
      <c r="AA452" s="374"/>
      <c r="AB452" s="372"/>
      <c r="AC452" s="186"/>
      <c r="AD452" s="18"/>
      <c r="AE452" s="374"/>
      <c r="AF452" s="372"/>
      <c r="AG452" s="188"/>
      <c r="AH452" s="188"/>
      <c r="AI452" s="188"/>
      <c r="AJ452" s="188"/>
      <c r="AK452" s="365"/>
      <c r="AL452" s="365"/>
      <c r="AM452" s="365"/>
      <c r="AN452" s="365"/>
      <c r="AO452" s="365"/>
      <c r="AP452" s="365"/>
    </row>
    <row r="453">
      <c r="A453" s="302"/>
      <c r="B453" s="303"/>
      <c r="C453" s="304"/>
      <c r="D453" s="365"/>
      <c r="E453" s="302"/>
      <c r="F453" s="303"/>
      <c r="G453" s="304"/>
      <c r="H453" s="365"/>
      <c r="I453" s="302"/>
      <c r="J453" s="303"/>
      <c r="K453" s="304"/>
      <c r="L453" s="365"/>
      <c r="M453" s="302"/>
      <c r="N453" s="303"/>
      <c r="O453" s="304"/>
      <c r="P453" s="365"/>
      <c r="Q453" s="186"/>
      <c r="R453" s="18"/>
      <c r="S453" s="374"/>
      <c r="T453" s="372"/>
      <c r="U453" s="186"/>
      <c r="V453" s="18"/>
      <c r="W453" s="374"/>
      <c r="X453" s="372"/>
      <c r="Y453" s="186"/>
      <c r="Z453" s="18"/>
      <c r="AA453" s="374"/>
      <c r="AB453" s="372"/>
      <c r="AC453" s="186"/>
      <c r="AD453" s="18"/>
      <c r="AE453" s="374"/>
      <c r="AF453" s="372"/>
      <c r="AG453" s="188"/>
      <c r="AH453" s="188"/>
      <c r="AI453" s="188"/>
      <c r="AJ453" s="188"/>
      <c r="AK453" s="365"/>
      <c r="AL453" s="365"/>
      <c r="AM453" s="365"/>
      <c r="AN453" s="365"/>
      <c r="AO453" s="365"/>
      <c r="AP453" s="365"/>
    </row>
    <row r="454">
      <c r="A454" s="302"/>
      <c r="B454" s="303"/>
      <c r="C454" s="304"/>
      <c r="D454" s="365"/>
      <c r="E454" s="302"/>
      <c r="F454" s="303"/>
      <c r="G454" s="304"/>
      <c r="H454" s="365"/>
      <c r="I454" s="302"/>
      <c r="J454" s="303"/>
      <c r="K454" s="304"/>
      <c r="L454" s="365"/>
      <c r="M454" s="302"/>
      <c r="N454" s="303"/>
      <c r="O454" s="304"/>
      <c r="P454" s="365"/>
      <c r="Q454" s="186"/>
      <c r="R454" s="18"/>
      <c r="S454" s="374"/>
      <c r="T454" s="372"/>
      <c r="U454" s="186"/>
      <c r="V454" s="18"/>
      <c r="W454" s="374"/>
      <c r="X454" s="372"/>
      <c r="Y454" s="186"/>
      <c r="Z454" s="18"/>
      <c r="AA454" s="374"/>
      <c r="AB454" s="372"/>
      <c r="AC454" s="186"/>
      <c r="AD454" s="18"/>
      <c r="AE454" s="374"/>
      <c r="AF454" s="372"/>
      <c r="AG454" s="188"/>
      <c r="AH454" s="188"/>
      <c r="AI454" s="188"/>
      <c r="AJ454" s="188"/>
      <c r="AK454" s="365"/>
      <c r="AL454" s="365"/>
      <c r="AM454" s="365"/>
      <c r="AN454" s="365"/>
      <c r="AO454" s="365"/>
      <c r="AP454" s="365"/>
    </row>
    <row r="455">
      <c r="A455" s="302"/>
      <c r="B455" s="303"/>
      <c r="C455" s="304"/>
      <c r="D455" s="365"/>
      <c r="E455" s="302"/>
      <c r="F455" s="303"/>
      <c r="G455" s="304"/>
      <c r="H455" s="365"/>
      <c r="I455" s="302"/>
      <c r="J455" s="303"/>
      <c r="K455" s="304"/>
      <c r="L455" s="365"/>
      <c r="M455" s="302"/>
      <c r="N455" s="303"/>
      <c r="O455" s="304"/>
      <c r="P455" s="365"/>
      <c r="Q455" s="186"/>
      <c r="R455" s="18"/>
      <c r="S455" s="374"/>
      <c r="T455" s="372"/>
      <c r="U455" s="186"/>
      <c r="V455" s="18"/>
      <c r="W455" s="374"/>
      <c r="X455" s="372"/>
      <c r="Y455" s="186"/>
      <c r="Z455" s="18"/>
      <c r="AA455" s="374"/>
      <c r="AB455" s="372"/>
      <c r="AC455" s="186"/>
      <c r="AD455" s="18"/>
      <c r="AE455" s="374"/>
      <c r="AF455" s="372"/>
      <c r="AG455" s="188"/>
      <c r="AH455" s="188"/>
      <c r="AI455" s="188"/>
      <c r="AJ455" s="188"/>
      <c r="AK455" s="365"/>
      <c r="AL455" s="365"/>
      <c r="AM455" s="365"/>
      <c r="AN455" s="365"/>
      <c r="AO455" s="365"/>
      <c r="AP455" s="365"/>
    </row>
    <row r="456">
      <c r="A456" s="302"/>
      <c r="B456" s="303"/>
      <c r="C456" s="304"/>
      <c r="D456" s="365"/>
      <c r="E456" s="302"/>
      <c r="F456" s="303"/>
      <c r="G456" s="304"/>
      <c r="H456" s="365"/>
      <c r="I456" s="302"/>
      <c r="J456" s="303"/>
      <c r="K456" s="304"/>
      <c r="L456" s="365"/>
      <c r="M456" s="302"/>
      <c r="N456" s="303"/>
      <c r="O456" s="304"/>
      <c r="P456" s="365"/>
      <c r="Q456" s="186"/>
      <c r="R456" s="18"/>
      <c r="S456" s="374"/>
      <c r="T456" s="372"/>
      <c r="U456" s="186"/>
      <c r="V456" s="18"/>
      <c r="W456" s="374"/>
      <c r="X456" s="372"/>
      <c r="Y456" s="186"/>
      <c r="Z456" s="18"/>
      <c r="AA456" s="374"/>
      <c r="AB456" s="372"/>
      <c r="AC456" s="186"/>
      <c r="AD456" s="18"/>
      <c r="AE456" s="374"/>
      <c r="AF456" s="372"/>
      <c r="AG456" s="188"/>
      <c r="AH456" s="188"/>
      <c r="AI456" s="188"/>
      <c r="AJ456" s="188"/>
      <c r="AK456" s="365"/>
      <c r="AL456" s="365"/>
      <c r="AM456" s="365"/>
      <c r="AN456" s="365"/>
      <c r="AO456" s="365"/>
      <c r="AP456" s="365"/>
    </row>
    <row r="457">
      <c r="A457" s="302"/>
      <c r="B457" s="303"/>
      <c r="C457" s="304"/>
      <c r="D457" s="365"/>
      <c r="E457" s="302"/>
      <c r="F457" s="303"/>
      <c r="G457" s="304"/>
      <c r="H457" s="365"/>
      <c r="I457" s="302"/>
      <c r="J457" s="303"/>
      <c r="K457" s="304"/>
      <c r="L457" s="365"/>
      <c r="M457" s="302"/>
      <c r="N457" s="303"/>
      <c r="O457" s="304"/>
      <c r="P457" s="365"/>
      <c r="Q457" s="186"/>
      <c r="R457" s="18"/>
      <c r="S457" s="374"/>
      <c r="T457" s="372"/>
      <c r="U457" s="186"/>
      <c r="V457" s="18"/>
      <c r="W457" s="374"/>
      <c r="X457" s="372"/>
      <c r="Y457" s="186"/>
      <c r="Z457" s="18"/>
      <c r="AA457" s="374"/>
      <c r="AB457" s="372"/>
      <c r="AC457" s="186"/>
      <c r="AD457" s="18"/>
      <c r="AE457" s="374"/>
      <c r="AF457" s="372"/>
      <c r="AG457" s="188"/>
      <c r="AH457" s="188"/>
      <c r="AI457" s="188"/>
      <c r="AJ457" s="188"/>
      <c r="AK457" s="365"/>
      <c r="AL457" s="365"/>
      <c r="AM457" s="365"/>
      <c r="AN457" s="365"/>
      <c r="AO457" s="365"/>
      <c r="AP457" s="365"/>
    </row>
    <row r="458">
      <c r="A458" s="302"/>
      <c r="B458" s="303"/>
      <c r="C458" s="304"/>
      <c r="D458" s="365"/>
      <c r="E458" s="302"/>
      <c r="F458" s="303"/>
      <c r="G458" s="304"/>
      <c r="H458" s="365"/>
      <c r="I458" s="302"/>
      <c r="J458" s="303"/>
      <c r="K458" s="304"/>
      <c r="L458" s="365"/>
      <c r="M458" s="302"/>
      <c r="N458" s="303"/>
      <c r="O458" s="304"/>
      <c r="P458" s="365"/>
      <c r="Q458" s="186"/>
      <c r="R458" s="18"/>
      <c r="S458" s="374"/>
      <c r="T458" s="372"/>
      <c r="U458" s="186"/>
      <c r="V458" s="18"/>
      <c r="W458" s="374"/>
      <c r="X458" s="372"/>
      <c r="Y458" s="186"/>
      <c r="Z458" s="18"/>
      <c r="AA458" s="374"/>
      <c r="AB458" s="372"/>
      <c r="AC458" s="186"/>
      <c r="AD458" s="18"/>
      <c r="AE458" s="374"/>
      <c r="AF458" s="372"/>
      <c r="AG458" s="188"/>
      <c r="AH458" s="188"/>
      <c r="AI458" s="188"/>
      <c r="AJ458" s="188"/>
      <c r="AK458" s="365"/>
      <c r="AL458" s="365"/>
      <c r="AM458" s="365"/>
      <c r="AN458" s="365"/>
      <c r="AO458" s="365"/>
      <c r="AP458" s="365"/>
    </row>
    <row r="459">
      <c r="A459" s="302"/>
      <c r="B459" s="303"/>
      <c r="C459" s="304"/>
      <c r="D459" s="365"/>
      <c r="E459" s="302"/>
      <c r="F459" s="303"/>
      <c r="G459" s="304"/>
      <c r="H459" s="365"/>
      <c r="I459" s="302"/>
      <c r="J459" s="303"/>
      <c r="K459" s="304"/>
      <c r="L459" s="365"/>
      <c r="M459" s="302"/>
      <c r="N459" s="303"/>
      <c r="O459" s="304"/>
      <c r="P459" s="365"/>
      <c r="Q459" s="186"/>
      <c r="R459" s="18"/>
      <c r="S459" s="374"/>
      <c r="T459" s="372"/>
      <c r="U459" s="186"/>
      <c r="V459" s="18"/>
      <c r="W459" s="374"/>
      <c r="X459" s="372"/>
      <c r="Y459" s="186"/>
      <c r="Z459" s="18"/>
      <c r="AA459" s="374"/>
      <c r="AB459" s="372"/>
      <c r="AC459" s="186"/>
      <c r="AD459" s="18"/>
      <c r="AE459" s="374"/>
      <c r="AF459" s="372"/>
      <c r="AG459" s="188"/>
      <c r="AH459" s="188"/>
      <c r="AI459" s="188"/>
      <c r="AJ459" s="188"/>
      <c r="AK459" s="365"/>
      <c r="AL459" s="365"/>
      <c r="AM459" s="365"/>
      <c r="AN459" s="365"/>
      <c r="AO459" s="365"/>
      <c r="AP459" s="365"/>
    </row>
    <row r="460">
      <c r="A460" s="302"/>
      <c r="B460" s="303"/>
      <c r="C460" s="304"/>
      <c r="D460" s="365"/>
      <c r="E460" s="302"/>
      <c r="F460" s="303"/>
      <c r="G460" s="304"/>
      <c r="H460" s="365"/>
      <c r="I460" s="302"/>
      <c r="J460" s="303"/>
      <c r="K460" s="304"/>
      <c r="L460" s="365"/>
      <c r="M460" s="302"/>
      <c r="N460" s="303"/>
      <c r="O460" s="304"/>
      <c r="P460" s="365"/>
      <c r="Q460" s="186"/>
      <c r="R460" s="18"/>
      <c r="S460" s="374"/>
      <c r="T460" s="372"/>
      <c r="U460" s="186"/>
      <c r="V460" s="18"/>
      <c r="W460" s="374"/>
      <c r="X460" s="372"/>
      <c r="Y460" s="186"/>
      <c r="Z460" s="18"/>
      <c r="AA460" s="374"/>
      <c r="AB460" s="372"/>
      <c r="AC460" s="186"/>
      <c r="AD460" s="18"/>
      <c r="AE460" s="374"/>
      <c r="AF460" s="372"/>
      <c r="AG460" s="188"/>
      <c r="AH460" s="188"/>
      <c r="AI460" s="188"/>
      <c r="AJ460" s="188"/>
      <c r="AK460" s="365"/>
      <c r="AL460" s="365"/>
      <c r="AM460" s="365"/>
      <c r="AN460" s="365"/>
      <c r="AO460" s="365"/>
      <c r="AP460" s="365"/>
    </row>
    <row r="461">
      <c r="A461" s="302"/>
      <c r="B461" s="303"/>
      <c r="C461" s="304"/>
      <c r="D461" s="365"/>
      <c r="E461" s="302"/>
      <c r="F461" s="303"/>
      <c r="G461" s="304"/>
      <c r="H461" s="365"/>
      <c r="I461" s="302"/>
      <c r="J461" s="303"/>
      <c r="K461" s="304"/>
      <c r="L461" s="365"/>
      <c r="M461" s="302"/>
      <c r="N461" s="303"/>
      <c r="O461" s="304"/>
      <c r="P461" s="365"/>
      <c r="Q461" s="186"/>
      <c r="R461" s="18"/>
      <c r="S461" s="374"/>
      <c r="T461" s="372"/>
      <c r="U461" s="186"/>
      <c r="V461" s="18"/>
      <c r="W461" s="374"/>
      <c r="X461" s="372"/>
      <c r="Y461" s="186"/>
      <c r="Z461" s="18"/>
      <c r="AA461" s="374"/>
      <c r="AB461" s="372"/>
      <c r="AC461" s="186"/>
      <c r="AD461" s="18"/>
      <c r="AE461" s="374"/>
      <c r="AF461" s="372"/>
      <c r="AG461" s="188"/>
      <c r="AH461" s="188"/>
      <c r="AI461" s="188"/>
      <c r="AJ461" s="188"/>
      <c r="AK461" s="365"/>
      <c r="AL461" s="365"/>
      <c r="AM461" s="365"/>
      <c r="AN461" s="365"/>
      <c r="AO461" s="365"/>
      <c r="AP461" s="365"/>
    </row>
    <row r="462">
      <c r="A462" s="302"/>
      <c r="B462" s="303"/>
      <c r="C462" s="304"/>
      <c r="D462" s="365"/>
      <c r="E462" s="302"/>
      <c r="F462" s="303"/>
      <c r="G462" s="304"/>
      <c r="H462" s="365"/>
      <c r="I462" s="302"/>
      <c r="J462" s="303"/>
      <c r="K462" s="304"/>
      <c r="L462" s="365"/>
      <c r="M462" s="302"/>
      <c r="N462" s="303"/>
      <c r="O462" s="304"/>
      <c r="P462" s="365"/>
      <c r="Q462" s="186"/>
      <c r="R462" s="18"/>
      <c r="S462" s="374"/>
      <c r="T462" s="372"/>
      <c r="U462" s="186"/>
      <c r="V462" s="18"/>
      <c r="W462" s="374"/>
      <c r="X462" s="372"/>
      <c r="Y462" s="186"/>
      <c r="Z462" s="18"/>
      <c r="AA462" s="374"/>
      <c r="AB462" s="372"/>
      <c r="AC462" s="186"/>
      <c r="AD462" s="18"/>
      <c r="AE462" s="374"/>
      <c r="AF462" s="372"/>
      <c r="AG462" s="188"/>
      <c r="AH462" s="188"/>
      <c r="AI462" s="188"/>
      <c r="AJ462" s="188"/>
      <c r="AK462" s="365"/>
      <c r="AL462" s="365"/>
      <c r="AM462" s="365"/>
      <c r="AN462" s="365"/>
      <c r="AO462" s="365"/>
      <c r="AP462" s="365"/>
    </row>
    <row r="463">
      <c r="A463" s="302"/>
      <c r="B463" s="303"/>
      <c r="C463" s="304"/>
      <c r="D463" s="365"/>
      <c r="E463" s="302"/>
      <c r="F463" s="303"/>
      <c r="G463" s="304"/>
      <c r="H463" s="365"/>
      <c r="I463" s="302"/>
      <c r="J463" s="303"/>
      <c r="K463" s="304"/>
      <c r="L463" s="365"/>
      <c r="M463" s="302"/>
      <c r="N463" s="303"/>
      <c r="O463" s="304"/>
      <c r="P463" s="365"/>
      <c r="Q463" s="186"/>
      <c r="R463" s="18"/>
      <c r="S463" s="374"/>
      <c r="T463" s="372"/>
      <c r="U463" s="186"/>
      <c r="V463" s="18"/>
      <c r="W463" s="374"/>
      <c r="X463" s="372"/>
      <c r="Y463" s="186"/>
      <c r="Z463" s="18"/>
      <c r="AA463" s="374"/>
      <c r="AB463" s="372"/>
      <c r="AC463" s="186"/>
      <c r="AD463" s="18"/>
      <c r="AE463" s="374"/>
      <c r="AF463" s="372"/>
      <c r="AG463" s="188"/>
      <c r="AH463" s="188"/>
      <c r="AI463" s="188"/>
      <c r="AJ463" s="188"/>
      <c r="AK463" s="365"/>
      <c r="AL463" s="365"/>
      <c r="AM463" s="365"/>
      <c r="AN463" s="365"/>
      <c r="AO463" s="365"/>
      <c r="AP463" s="365"/>
    </row>
    <row r="464">
      <c r="A464" s="302"/>
      <c r="B464" s="303"/>
      <c r="C464" s="304"/>
      <c r="D464" s="365"/>
      <c r="E464" s="302"/>
      <c r="F464" s="303"/>
      <c r="G464" s="304"/>
      <c r="H464" s="365"/>
      <c r="I464" s="302"/>
      <c r="J464" s="303"/>
      <c r="K464" s="304"/>
      <c r="L464" s="365"/>
      <c r="M464" s="302"/>
      <c r="N464" s="303"/>
      <c r="O464" s="304"/>
      <c r="P464" s="365"/>
      <c r="Q464" s="186"/>
      <c r="R464" s="18"/>
      <c r="S464" s="374"/>
      <c r="T464" s="372"/>
      <c r="U464" s="186"/>
      <c r="V464" s="18"/>
      <c r="W464" s="374"/>
      <c r="X464" s="372"/>
      <c r="Y464" s="186"/>
      <c r="Z464" s="18"/>
      <c r="AA464" s="374"/>
      <c r="AB464" s="372"/>
      <c r="AC464" s="186"/>
      <c r="AD464" s="18"/>
      <c r="AE464" s="374"/>
      <c r="AF464" s="372"/>
      <c r="AG464" s="188"/>
      <c r="AH464" s="188"/>
      <c r="AI464" s="188"/>
      <c r="AJ464" s="188"/>
      <c r="AK464" s="365"/>
      <c r="AL464" s="365"/>
      <c r="AM464" s="365"/>
      <c r="AN464" s="365"/>
      <c r="AO464" s="365"/>
      <c r="AP464" s="365"/>
    </row>
    <row r="465">
      <c r="A465" s="302"/>
      <c r="B465" s="303"/>
      <c r="C465" s="304"/>
      <c r="D465" s="365"/>
      <c r="E465" s="302"/>
      <c r="F465" s="303"/>
      <c r="G465" s="304"/>
      <c r="H465" s="365"/>
      <c r="I465" s="302"/>
      <c r="J465" s="303"/>
      <c r="K465" s="304"/>
      <c r="L465" s="365"/>
      <c r="M465" s="302"/>
      <c r="N465" s="303"/>
      <c r="O465" s="304"/>
      <c r="P465" s="365"/>
      <c r="Q465" s="186"/>
      <c r="R465" s="18"/>
      <c r="S465" s="374"/>
      <c r="T465" s="372"/>
      <c r="U465" s="186"/>
      <c r="V465" s="18"/>
      <c r="W465" s="374"/>
      <c r="X465" s="372"/>
      <c r="Y465" s="186"/>
      <c r="Z465" s="18"/>
      <c r="AA465" s="374"/>
      <c r="AB465" s="372"/>
      <c r="AC465" s="186"/>
      <c r="AD465" s="18"/>
      <c r="AE465" s="374"/>
      <c r="AF465" s="372"/>
      <c r="AG465" s="188"/>
      <c r="AH465" s="188"/>
      <c r="AI465" s="188"/>
      <c r="AJ465" s="188"/>
      <c r="AK465" s="365"/>
      <c r="AL465" s="365"/>
      <c r="AM465" s="365"/>
      <c r="AN465" s="365"/>
      <c r="AO465" s="365"/>
      <c r="AP465" s="365"/>
    </row>
    <row r="466">
      <c r="A466" s="302"/>
      <c r="B466" s="303"/>
      <c r="C466" s="304"/>
      <c r="D466" s="365"/>
      <c r="E466" s="302"/>
      <c r="F466" s="303"/>
      <c r="G466" s="304"/>
      <c r="H466" s="365"/>
      <c r="I466" s="302"/>
      <c r="J466" s="303"/>
      <c r="K466" s="304"/>
      <c r="L466" s="365"/>
      <c r="M466" s="302"/>
      <c r="N466" s="303"/>
      <c r="O466" s="304"/>
      <c r="P466" s="365"/>
      <c r="Q466" s="186"/>
      <c r="R466" s="18"/>
      <c r="S466" s="374"/>
      <c r="T466" s="372"/>
      <c r="U466" s="186"/>
      <c r="V466" s="18"/>
      <c r="W466" s="374"/>
      <c r="X466" s="372"/>
      <c r="Y466" s="186"/>
      <c r="Z466" s="18"/>
      <c r="AA466" s="374"/>
      <c r="AB466" s="372"/>
      <c r="AC466" s="186"/>
      <c r="AD466" s="18"/>
      <c r="AE466" s="374"/>
      <c r="AF466" s="372"/>
      <c r="AG466" s="188"/>
      <c r="AH466" s="188"/>
      <c r="AI466" s="188"/>
      <c r="AJ466" s="188"/>
      <c r="AK466" s="365"/>
      <c r="AL466" s="365"/>
      <c r="AM466" s="365"/>
      <c r="AN466" s="365"/>
      <c r="AO466" s="365"/>
      <c r="AP466" s="365"/>
    </row>
    <row r="467">
      <c r="A467" s="302"/>
      <c r="B467" s="303"/>
      <c r="C467" s="304"/>
      <c r="D467" s="365"/>
      <c r="E467" s="302"/>
      <c r="F467" s="303"/>
      <c r="G467" s="304"/>
      <c r="H467" s="365"/>
      <c r="I467" s="302"/>
      <c r="J467" s="303"/>
      <c r="K467" s="304"/>
      <c r="L467" s="365"/>
      <c r="M467" s="302"/>
      <c r="N467" s="303"/>
      <c r="O467" s="304"/>
      <c r="P467" s="365"/>
      <c r="Q467" s="186"/>
      <c r="R467" s="18"/>
      <c r="S467" s="374"/>
      <c r="T467" s="372"/>
      <c r="U467" s="186"/>
      <c r="V467" s="18"/>
      <c r="W467" s="374"/>
      <c r="X467" s="372"/>
      <c r="Y467" s="186"/>
      <c r="Z467" s="18"/>
      <c r="AA467" s="374"/>
      <c r="AB467" s="372"/>
      <c r="AC467" s="186"/>
      <c r="AD467" s="18"/>
      <c r="AE467" s="374"/>
      <c r="AF467" s="372"/>
      <c r="AG467" s="188"/>
      <c r="AH467" s="188"/>
      <c r="AI467" s="188"/>
      <c r="AJ467" s="188"/>
      <c r="AK467" s="365"/>
      <c r="AL467" s="365"/>
      <c r="AM467" s="365"/>
      <c r="AN467" s="365"/>
      <c r="AO467" s="365"/>
      <c r="AP467" s="365"/>
    </row>
    <row r="468">
      <c r="A468" s="302"/>
      <c r="B468" s="303"/>
      <c r="C468" s="304"/>
      <c r="D468" s="365"/>
      <c r="E468" s="302"/>
      <c r="F468" s="303"/>
      <c r="G468" s="304"/>
      <c r="H468" s="365"/>
      <c r="I468" s="302"/>
      <c r="J468" s="303"/>
      <c r="K468" s="304"/>
      <c r="L468" s="365"/>
      <c r="M468" s="302"/>
      <c r="N468" s="303"/>
      <c r="O468" s="304"/>
      <c r="P468" s="365"/>
      <c r="Q468" s="186"/>
      <c r="R468" s="18"/>
      <c r="S468" s="374"/>
      <c r="T468" s="372"/>
      <c r="U468" s="186"/>
      <c r="V468" s="18"/>
      <c r="W468" s="374"/>
      <c r="X468" s="372"/>
      <c r="Y468" s="186"/>
      <c r="Z468" s="18"/>
      <c r="AA468" s="374"/>
      <c r="AB468" s="372"/>
      <c r="AC468" s="186"/>
      <c r="AD468" s="18"/>
      <c r="AE468" s="374"/>
      <c r="AF468" s="372"/>
      <c r="AG468" s="188"/>
      <c r="AH468" s="188"/>
      <c r="AI468" s="188"/>
      <c r="AJ468" s="188"/>
      <c r="AK468" s="365"/>
      <c r="AL468" s="365"/>
      <c r="AM468" s="365"/>
      <c r="AN468" s="365"/>
      <c r="AO468" s="365"/>
      <c r="AP468" s="365"/>
    </row>
    <row r="469">
      <c r="A469" s="302"/>
      <c r="B469" s="303"/>
      <c r="C469" s="304"/>
      <c r="D469" s="365"/>
      <c r="E469" s="302"/>
      <c r="F469" s="303"/>
      <c r="G469" s="304"/>
      <c r="H469" s="365"/>
      <c r="I469" s="302"/>
      <c r="J469" s="303"/>
      <c r="K469" s="304"/>
      <c r="L469" s="365"/>
      <c r="M469" s="302"/>
      <c r="N469" s="303"/>
      <c r="O469" s="304"/>
      <c r="P469" s="365"/>
      <c r="Q469" s="186"/>
      <c r="R469" s="18"/>
      <c r="S469" s="374"/>
      <c r="T469" s="372"/>
      <c r="U469" s="186"/>
      <c r="V469" s="18"/>
      <c r="W469" s="374"/>
      <c r="X469" s="372"/>
      <c r="Y469" s="186"/>
      <c r="Z469" s="18"/>
      <c r="AA469" s="374"/>
      <c r="AB469" s="372"/>
      <c r="AC469" s="186"/>
      <c r="AD469" s="18"/>
      <c r="AE469" s="374"/>
      <c r="AF469" s="372"/>
      <c r="AG469" s="188"/>
      <c r="AH469" s="188"/>
      <c r="AI469" s="188"/>
      <c r="AJ469" s="188"/>
      <c r="AK469" s="365"/>
      <c r="AL469" s="365"/>
      <c r="AM469" s="365"/>
      <c r="AN469" s="365"/>
      <c r="AO469" s="365"/>
      <c r="AP469" s="365"/>
    </row>
    <row r="470">
      <c r="A470" s="302"/>
      <c r="B470" s="303"/>
      <c r="C470" s="304"/>
      <c r="D470" s="365"/>
      <c r="E470" s="302"/>
      <c r="F470" s="303"/>
      <c r="G470" s="304"/>
      <c r="H470" s="365"/>
      <c r="I470" s="302"/>
      <c r="J470" s="303"/>
      <c r="K470" s="304"/>
      <c r="L470" s="365"/>
      <c r="M470" s="302"/>
      <c r="N470" s="303"/>
      <c r="O470" s="304"/>
      <c r="P470" s="365"/>
      <c r="Q470" s="186"/>
      <c r="R470" s="18"/>
      <c r="S470" s="374"/>
      <c r="T470" s="372"/>
      <c r="U470" s="186"/>
      <c r="V470" s="18"/>
      <c r="W470" s="374"/>
      <c r="X470" s="372"/>
      <c r="Y470" s="186"/>
      <c r="Z470" s="18"/>
      <c r="AA470" s="374"/>
      <c r="AB470" s="372"/>
      <c r="AC470" s="186"/>
      <c r="AD470" s="18"/>
      <c r="AE470" s="374"/>
      <c r="AF470" s="372"/>
      <c r="AG470" s="188"/>
      <c r="AH470" s="188"/>
      <c r="AI470" s="188"/>
      <c r="AJ470" s="188"/>
      <c r="AK470" s="365"/>
      <c r="AL470" s="365"/>
      <c r="AM470" s="365"/>
      <c r="AN470" s="365"/>
      <c r="AO470" s="365"/>
      <c r="AP470" s="365"/>
    </row>
    <row r="471">
      <c r="A471" s="302"/>
      <c r="B471" s="303"/>
      <c r="C471" s="304"/>
      <c r="D471" s="365"/>
      <c r="E471" s="302"/>
      <c r="F471" s="303"/>
      <c r="G471" s="304"/>
      <c r="H471" s="365"/>
      <c r="I471" s="302"/>
      <c r="J471" s="303"/>
      <c r="K471" s="304"/>
      <c r="L471" s="365"/>
      <c r="M471" s="302"/>
      <c r="N471" s="303"/>
      <c r="O471" s="304"/>
      <c r="P471" s="365"/>
      <c r="Q471" s="186"/>
      <c r="R471" s="18"/>
      <c r="S471" s="374"/>
      <c r="T471" s="372"/>
      <c r="U471" s="186"/>
      <c r="V471" s="18"/>
      <c r="W471" s="374"/>
      <c r="X471" s="372"/>
      <c r="Y471" s="186"/>
      <c r="Z471" s="18"/>
      <c r="AA471" s="374"/>
      <c r="AB471" s="372"/>
      <c r="AC471" s="186"/>
      <c r="AD471" s="18"/>
      <c r="AE471" s="374"/>
      <c r="AF471" s="372"/>
      <c r="AG471" s="188"/>
      <c r="AH471" s="188"/>
      <c r="AI471" s="188"/>
      <c r="AJ471" s="188"/>
      <c r="AK471" s="365"/>
      <c r="AL471" s="365"/>
      <c r="AM471" s="365"/>
      <c r="AN471" s="365"/>
      <c r="AO471" s="365"/>
      <c r="AP471" s="365"/>
    </row>
    <row r="472">
      <c r="A472" s="302"/>
      <c r="B472" s="303"/>
      <c r="C472" s="304"/>
      <c r="D472" s="365"/>
      <c r="E472" s="302"/>
      <c r="F472" s="303"/>
      <c r="G472" s="304"/>
      <c r="H472" s="365"/>
      <c r="I472" s="302"/>
      <c r="J472" s="303"/>
      <c r="K472" s="304"/>
      <c r="L472" s="365"/>
      <c r="M472" s="302"/>
      <c r="N472" s="303"/>
      <c r="O472" s="304"/>
      <c r="P472" s="365"/>
      <c r="Q472" s="186"/>
      <c r="R472" s="18"/>
      <c r="S472" s="374"/>
      <c r="T472" s="372"/>
      <c r="U472" s="186"/>
      <c r="V472" s="18"/>
      <c r="W472" s="374"/>
      <c r="X472" s="372"/>
      <c r="Y472" s="186"/>
      <c r="Z472" s="18"/>
      <c r="AA472" s="374"/>
      <c r="AB472" s="372"/>
      <c r="AC472" s="186"/>
      <c r="AD472" s="18"/>
      <c r="AE472" s="374"/>
      <c r="AF472" s="372"/>
      <c r="AG472" s="188"/>
      <c r="AH472" s="188"/>
      <c r="AI472" s="188"/>
      <c r="AJ472" s="188"/>
      <c r="AK472" s="365"/>
      <c r="AL472" s="365"/>
      <c r="AM472" s="365"/>
      <c r="AN472" s="365"/>
      <c r="AO472" s="365"/>
      <c r="AP472" s="365"/>
    </row>
    <row r="473">
      <c r="A473" s="302"/>
      <c r="B473" s="303"/>
      <c r="C473" s="304"/>
      <c r="D473" s="365"/>
      <c r="E473" s="302"/>
      <c r="F473" s="303"/>
      <c r="G473" s="304"/>
      <c r="H473" s="365"/>
      <c r="I473" s="302"/>
      <c r="J473" s="303"/>
      <c r="K473" s="304"/>
      <c r="L473" s="365"/>
      <c r="M473" s="302"/>
      <c r="N473" s="303"/>
      <c r="O473" s="304"/>
      <c r="P473" s="365"/>
      <c r="Q473" s="186"/>
      <c r="R473" s="18"/>
      <c r="S473" s="374"/>
      <c r="T473" s="372"/>
      <c r="U473" s="186"/>
      <c r="V473" s="18"/>
      <c r="W473" s="374"/>
      <c r="X473" s="372"/>
      <c r="Y473" s="186"/>
      <c r="Z473" s="18"/>
      <c r="AA473" s="374"/>
      <c r="AB473" s="372"/>
      <c r="AC473" s="186"/>
      <c r="AD473" s="18"/>
      <c r="AE473" s="374"/>
      <c r="AF473" s="372"/>
      <c r="AG473" s="188"/>
      <c r="AH473" s="188"/>
      <c r="AI473" s="188"/>
      <c r="AJ473" s="188"/>
      <c r="AK473" s="365"/>
      <c r="AL473" s="365"/>
      <c r="AM473" s="365"/>
      <c r="AN473" s="365"/>
      <c r="AO473" s="365"/>
      <c r="AP473" s="365"/>
    </row>
    <row r="474">
      <c r="A474" s="302"/>
      <c r="B474" s="303"/>
      <c r="C474" s="304"/>
      <c r="D474" s="365"/>
      <c r="E474" s="302"/>
      <c r="F474" s="303"/>
      <c r="G474" s="304"/>
      <c r="H474" s="365"/>
      <c r="I474" s="302"/>
      <c r="J474" s="303"/>
      <c r="K474" s="304"/>
      <c r="L474" s="365"/>
      <c r="M474" s="302"/>
      <c r="N474" s="303"/>
      <c r="O474" s="304"/>
      <c r="P474" s="365"/>
      <c r="Q474" s="186"/>
      <c r="R474" s="18"/>
      <c r="S474" s="374"/>
      <c r="T474" s="372"/>
      <c r="U474" s="186"/>
      <c r="V474" s="18"/>
      <c r="W474" s="374"/>
      <c r="X474" s="372"/>
      <c r="Y474" s="186"/>
      <c r="Z474" s="18"/>
      <c r="AA474" s="374"/>
      <c r="AB474" s="372"/>
      <c r="AC474" s="186"/>
      <c r="AD474" s="18"/>
      <c r="AE474" s="374"/>
      <c r="AF474" s="372"/>
      <c r="AG474" s="188"/>
      <c r="AH474" s="188"/>
      <c r="AI474" s="188"/>
      <c r="AJ474" s="188"/>
      <c r="AK474" s="365"/>
      <c r="AL474" s="365"/>
      <c r="AM474" s="365"/>
      <c r="AN474" s="365"/>
      <c r="AO474" s="365"/>
      <c r="AP474" s="365"/>
    </row>
    <row r="475">
      <c r="A475" s="302"/>
      <c r="B475" s="303"/>
      <c r="C475" s="304"/>
      <c r="D475" s="365"/>
      <c r="E475" s="302"/>
      <c r="F475" s="303"/>
      <c r="G475" s="304"/>
      <c r="H475" s="365"/>
      <c r="I475" s="302"/>
      <c r="J475" s="303"/>
      <c r="K475" s="304"/>
      <c r="L475" s="365"/>
      <c r="M475" s="302"/>
      <c r="N475" s="303"/>
      <c r="O475" s="304"/>
      <c r="P475" s="365"/>
      <c r="Q475" s="186"/>
      <c r="R475" s="18"/>
      <c r="S475" s="374"/>
      <c r="T475" s="372"/>
      <c r="U475" s="186"/>
      <c r="V475" s="18"/>
      <c r="W475" s="374"/>
      <c r="X475" s="372"/>
      <c r="Y475" s="186"/>
      <c r="Z475" s="18"/>
      <c r="AA475" s="374"/>
      <c r="AB475" s="372"/>
      <c r="AC475" s="186"/>
      <c r="AD475" s="18"/>
      <c r="AE475" s="374"/>
      <c r="AF475" s="372"/>
      <c r="AG475" s="188"/>
      <c r="AH475" s="188"/>
      <c r="AI475" s="188"/>
      <c r="AJ475" s="188"/>
      <c r="AK475" s="365"/>
      <c r="AL475" s="365"/>
      <c r="AM475" s="365"/>
      <c r="AN475" s="365"/>
      <c r="AO475" s="365"/>
      <c r="AP475" s="365"/>
    </row>
    <row r="476">
      <c r="A476" s="302"/>
      <c r="B476" s="303"/>
      <c r="C476" s="304"/>
      <c r="D476" s="365"/>
      <c r="E476" s="302"/>
      <c r="F476" s="303"/>
      <c r="G476" s="304"/>
      <c r="H476" s="365"/>
      <c r="I476" s="302"/>
      <c r="J476" s="303"/>
      <c r="K476" s="304"/>
      <c r="L476" s="365"/>
      <c r="M476" s="302"/>
      <c r="N476" s="303"/>
      <c r="O476" s="304"/>
      <c r="P476" s="365"/>
      <c r="Q476" s="186"/>
      <c r="R476" s="18"/>
      <c r="S476" s="374"/>
      <c r="T476" s="372"/>
      <c r="U476" s="186"/>
      <c r="V476" s="18"/>
      <c r="W476" s="374"/>
      <c r="X476" s="372"/>
      <c r="Y476" s="186"/>
      <c r="Z476" s="18"/>
      <c r="AA476" s="374"/>
      <c r="AB476" s="372"/>
      <c r="AC476" s="186"/>
      <c r="AD476" s="18"/>
      <c r="AE476" s="374"/>
      <c r="AF476" s="372"/>
      <c r="AG476" s="188"/>
      <c r="AH476" s="188"/>
      <c r="AI476" s="188"/>
      <c r="AJ476" s="188"/>
      <c r="AK476" s="365"/>
      <c r="AL476" s="365"/>
      <c r="AM476" s="365"/>
      <c r="AN476" s="365"/>
      <c r="AO476" s="365"/>
      <c r="AP476" s="365"/>
    </row>
    <row r="477">
      <c r="A477" s="302"/>
      <c r="B477" s="303"/>
      <c r="C477" s="304"/>
      <c r="D477" s="365"/>
      <c r="E477" s="302"/>
      <c r="F477" s="303"/>
      <c r="G477" s="304"/>
      <c r="H477" s="365"/>
      <c r="I477" s="302"/>
      <c r="J477" s="303"/>
      <c r="K477" s="304"/>
      <c r="L477" s="365"/>
      <c r="M477" s="302"/>
      <c r="N477" s="303"/>
      <c r="O477" s="304"/>
      <c r="P477" s="365"/>
      <c r="Q477" s="186"/>
      <c r="R477" s="18"/>
      <c r="S477" s="374"/>
      <c r="T477" s="372"/>
      <c r="U477" s="186"/>
      <c r="V477" s="18"/>
      <c r="W477" s="374"/>
      <c r="X477" s="372"/>
      <c r="Y477" s="186"/>
      <c r="Z477" s="18"/>
      <c r="AA477" s="374"/>
      <c r="AB477" s="372"/>
      <c r="AC477" s="186"/>
      <c r="AD477" s="18"/>
      <c r="AE477" s="374"/>
      <c r="AF477" s="372"/>
      <c r="AG477" s="188"/>
      <c r="AH477" s="188"/>
      <c r="AI477" s="188"/>
      <c r="AJ477" s="188"/>
      <c r="AK477" s="365"/>
      <c r="AL477" s="365"/>
      <c r="AM477" s="365"/>
      <c r="AN477" s="365"/>
      <c r="AO477" s="365"/>
      <c r="AP477" s="365"/>
    </row>
    <row r="478">
      <c r="A478" s="302"/>
      <c r="B478" s="303"/>
      <c r="C478" s="304"/>
      <c r="D478" s="365"/>
      <c r="E478" s="302"/>
      <c r="F478" s="303"/>
      <c r="G478" s="304"/>
      <c r="H478" s="365"/>
      <c r="I478" s="302"/>
      <c r="J478" s="303"/>
      <c r="K478" s="304"/>
      <c r="L478" s="365"/>
      <c r="M478" s="302"/>
      <c r="N478" s="303"/>
      <c r="O478" s="304"/>
      <c r="P478" s="365"/>
      <c r="Q478" s="186"/>
      <c r="R478" s="18"/>
      <c r="S478" s="374"/>
      <c r="T478" s="372"/>
      <c r="U478" s="186"/>
      <c r="V478" s="18"/>
      <c r="W478" s="374"/>
      <c r="X478" s="372"/>
      <c r="Y478" s="186"/>
      <c r="Z478" s="18"/>
      <c r="AA478" s="374"/>
      <c r="AB478" s="372"/>
      <c r="AC478" s="186"/>
      <c r="AD478" s="18"/>
      <c r="AE478" s="374"/>
      <c r="AF478" s="372"/>
      <c r="AG478" s="188"/>
      <c r="AH478" s="188"/>
      <c r="AI478" s="188"/>
      <c r="AJ478" s="188"/>
      <c r="AK478" s="365"/>
      <c r="AL478" s="365"/>
      <c r="AM478" s="365"/>
      <c r="AN478" s="365"/>
      <c r="AO478" s="365"/>
      <c r="AP478" s="365"/>
    </row>
    <row r="479">
      <c r="A479" s="302"/>
      <c r="B479" s="303"/>
      <c r="C479" s="304"/>
      <c r="D479" s="365"/>
      <c r="E479" s="302"/>
      <c r="F479" s="303"/>
      <c r="G479" s="304"/>
      <c r="H479" s="365"/>
      <c r="I479" s="302"/>
      <c r="J479" s="303"/>
      <c r="K479" s="304"/>
      <c r="L479" s="365"/>
      <c r="M479" s="302"/>
      <c r="N479" s="303"/>
      <c r="O479" s="304"/>
      <c r="P479" s="365"/>
      <c r="Q479" s="186"/>
      <c r="R479" s="18"/>
      <c r="S479" s="374"/>
      <c r="T479" s="372"/>
      <c r="U479" s="186"/>
      <c r="V479" s="18"/>
      <c r="W479" s="374"/>
      <c r="X479" s="372"/>
      <c r="Y479" s="186"/>
      <c r="Z479" s="18"/>
      <c r="AA479" s="374"/>
      <c r="AB479" s="372"/>
      <c r="AC479" s="186"/>
      <c r="AD479" s="18"/>
      <c r="AE479" s="374"/>
      <c r="AF479" s="372"/>
      <c r="AG479" s="188"/>
      <c r="AH479" s="188"/>
      <c r="AI479" s="188"/>
      <c r="AJ479" s="188"/>
      <c r="AK479" s="365"/>
      <c r="AL479" s="365"/>
      <c r="AM479" s="365"/>
      <c r="AN479" s="365"/>
      <c r="AO479" s="365"/>
      <c r="AP479" s="365"/>
    </row>
    <row r="480">
      <c r="A480" s="302"/>
      <c r="B480" s="303"/>
      <c r="C480" s="304"/>
      <c r="D480" s="365"/>
      <c r="E480" s="302"/>
      <c r="F480" s="303"/>
      <c r="G480" s="304"/>
      <c r="H480" s="365"/>
      <c r="I480" s="302"/>
      <c r="J480" s="303"/>
      <c r="K480" s="304"/>
      <c r="L480" s="365"/>
      <c r="M480" s="302"/>
      <c r="N480" s="303"/>
      <c r="O480" s="304"/>
      <c r="P480" s="365"/>
      <c r="Q480" s="186"/>
      <c r="R480" s="18"/>
      <c r="S480" s="374"/>
      <c r="T480" s="372"/>
      <c r="U480" s="186"/>
      <c r="V480" s="18"/>
      <c r="W480" s="374"/>
      <c r="X480" s="372"/>
      <c r="Y480" s="186"/>
      <c r="Z480" s="18"/>
      <c r="AA480" s="374"/>
      <c r="AB480" s="372"/>
      <c r="AC480" s="186"/>
      <c r="AD480" s="18"/>
      <c r="AE480" s="374"/>
      <c r="AF480" s="372"/>
      <c r="AG480" s="188"/>
      <c r="AH480" s="188"/>
      <c r="AI480" s="188"/>
      <c r="AJ480" s="188"/>
      <c r="AK480" s="365"/>
      <c r="AL480" s="365"/>
      <c r="AM480" s="365"/>
      <c r="AN480" s="365"/>
      <c r="AO480" s="365"/>
      <c r="AP480" s="365"/>
    </row>
    <row r="481">
      <c r="A481" s="302"/>
      <c r="B481" s="303"/>
      <c r="C481" s="304"/>
      <c r="D481" s="365"/>
      <c r="E481" s="302"/>
      <c r="F481" s="303"/>
      <c r="G481" s="304"/>
      <c r="H481" s="365"/>
      <c r="I481" s="302"/>
      <c r="J481" s="303"/>
      <c r="K481" s="304"/>
      <c r="L481" s="365"/>
      <c r="M481" s="302"/>
      <c r="N481" s="303"/>
      <c r="O481" s="304"/>
      <c r="P481" s="365"/>
      <c r="Q481" s="186"/>
      <c r="R481" s="18"/>
      <c r="S481" s="374"/>
      <c r="T481" s="372"/>
      <c r="U481" s="186"/>
      <c r="V481" s="18"/>
      <c r="W481" s="374"/>
      <c r="X481" s="372"/>
      <c r="Y481" s="186"/>
      <c r="Z481" s="18"/>
      <c r="AA481" s="374"/>
      <c r="AB481" s="372"/>
      <c r="AC481" s="186"/>
      <c r="AD481" s="18"/>
      <c r="AE481" s="374"/>
      <c r="AF481" s="372"/>
      <c r="AG481" s="188"/>
      <c r="AH481" s="188"/>
      <c r="AI481" s="188"/>
      <c r="AJ481" s="188"/>
      <c r="AK481" s="365"/>
      <c r="AL481" s="365"/>
      <c r="AM481" s="365"/>
      <c r="AN481" s="365"/>
      <c r="AO481" s="365"/>
      <c r="AP481" s="365"/>
    </row>
    <row r="482">
      <c r="A482" s="302"/>
      <c r="B482" s="303"/>
      <c r="C482" s="304"/>
      <c r="D482" s="365"/>
      <c r="E482" s="302"/>
      <c r="F482" s="303"/>
      <c r="G482" s="304"/>
      <c r="H482" s="365"/>
      <c r="I482" s="302"/>
      <c r="J482" s="303"/>
      <c r="K482" s="304"/>
      <c r="L482" s="365"/>
      <c r="M482" s="302"/>
      <c r="N482" s="303"/>
      <c r="O482" s="304"/>
      <c r="P482" s="365"/>
      <c r="Q482" s="186"/>
      <c r="R482" s="18"/>
      <c r="S482" s="374"/>
      <c r="T482" s="372"/>
      <c r="U482" s="186"/>
      <c r="V482" s="18"/>
      <c r="W482" s="374"/>
      <c r="X482" s="372"/>
      <c r="Y482" s="186"/>
      <c r="Z482" s="18"/>
      <c r="AA482" s="374"/>
      <c r="AB482" s="372"/>
      <c r="AC482" s="186"/>
      <c r="AD482" s="18"/>
      <c r="AE482" s="374"/>
      <c r="AF482" s="372"/>
      <c r="AG482" s="188"/>
      <c r="AH482" s="188"/>
      <c r="AI482" s="188"/>
      <c r="AJ482" s="188"/>
      <c r="AK482" s="365"/>
      <c r="AL482" s="365"/>
      <c r="AM482" s="365"/>
      <c r="AN482" s="365"/>
      <c r="AO482" s="365"/>
      <c r="AP482" s="365"/>
    </row>
    <row r="483">
      <c r="A483" s="302"/>
      <c r="B483" s="303"/>
      <c r="C483" s="304"/>
      <c r="D483" s="365"/>
      <c r="E483" s="302"/>
      <c r="F483" s="303"/>
      <c r="G483" s="304"/>
      <c r="H483" s="365"/>
      <c r="I483" s="302"/>
      <c r="J483" s="303"/>
      <c r="K483" s="304"/>
      <c r="L483" s="365"/>
      <c r="M483" s="302"/>
      <c r="N483" s="303"/>
      <c r="O483" s="304"/>
      <c r="P483" s="365"/>
      <c r="Q483" s="186"/>
      <c r="R483" s="18"/>
      <c r="S483" s="374"/>
      <c r="T483" s="372"/>
      <c r="U483" s="186"/>
      <c r="V483" s="18"/>
      <c r="W483" s="374"/>
      <c r="X483" s="372"/>
      <c r="Y483" s="186"/>
      <c r="Z483" s="18"/>
      <c r="AA483" s="374"/>
      <c r="AB483" s="372"/>
      <c r="AC483" s="186"/>
      <c r="AD483" s="18"/>
      <c r="AE483" s="374"/>
      <c r="AF483" s="372"/>
      <c r="AG483" s="188"/>
      <c r="AH483" s="188"/>
      <c r="AI483" s="188"/>
      <c r="AJ483" s="188"/>
      <c r="AK483" s="365"/>
      <c r="AL483" s="365"/>
      <c r="AM483" s="365"/>
      <c r="AN483" s="365"/>
      <c r="AO483" s="365"/>
      <c r="AP483" s="365"/>
    </row>
    <row r="484">
      <c r="A484" s="302"/>
      <c r="B484" s="303"/>
      <c r="C484" s="304"/>
      <c r="D484" s="365"/>
      <c r="E484" s="302"/>
      <c r="F484" s="303"/>
      <c r="G484" s="304"/>
      <c r="H484" s="365"/>
      <c r="I484" s="302"/>
      <c r="J484" s="303"/>
      <c r="K484" s="304"/>
      <c r="L484" s="365"/>
      <c r="M484" s="302"/>
      <c r="N484" s="303"/>
      <c r="O484" s="304"/>
      <c r="P484" s="365"/>
      <c r="Q484" s="186"/>
      <c r="R484" s="18"/>
      <c r="S484" s="374"/>
      <c r="T484" s="372"/>
      <c r="U484" s="186"/>
      <c r="V484" s="18"/>
      <c r="W484" s="374"/>
      <c r="X484" s="372"/>
      <c r="Y484" s="186"/>
      <c r="Z484" s="18"/>
      <c r="AA484" s="374"/>
      <c r="AB484" s="372"/>
      <c r="AC484" s="186"/>
      <c r="AD484" s="18"/>
      <c r="AE484" s="374"/>
      <c r="AF484" s="372"/>
      <c r="AG484" s="188"/>
      <c r="AH484" s="188"/>
      <c r="AI484" s="188"/>
      <c r="AJ484" s="188"/>
      <c r="AK484" s="365"/>
      <c r="AL484" s="365"/>
      <c r="AM484" s="365"/>
      <c r="AN484" s="365"/>
      <c r="AO484" s="365"/>
      <c r="AP484" s="365"/>
    </row>
    <row r="485">
      <c r="A485" s="302"/>
      <c r="B485" s="303"/>
      <c r="C485" s="304"/>
      <c r="D485" s="365"/>
      <c r="E485" s="302"/>
      <c r="F485" s="303"/>
      <c r="G485" s="304"/>
      <c r="H485" s="365"/>
      <c r="I485" s="302"/>
      <c r="J485" s="303"/>
      <c r="K485" s="304"/>
      <c r="L485" s="365"/>
      <c r="M485" s="302"/>
      <c r="N485" s="303"/>
      <c r="O485" s="304"/>
      <c r="P485" s="365"/>
      <c r="Q485" s="186"/>
      <c r="R485" s="18"/>
      <c r="S485" s="374"/>
      <c r="T485" s="372"/>
      <c r="U485" s="186"/>
      <c r="V485" s="18"/>
      <c r="W485" s="374"/>
      <c r="X485" s="372"/>
      <c r="Y485" s="186"/>
      <c r="Z485" s="18"/>
      <c r="AA485" s="374"/>
      <c r="AB485" s="372"/>
      <c r="AC485" s="186"/>
      <c r="AD485" s="18"/>
      <c r="AE485" s="374"/>
      <c r="AF485" s="372"/>
      <c r="AG485" s="188"/>
      <c r="AH485" s="188"/>
      <c r="AI485" s="188"/>
      <c r="AJ485" s="188"/>
      <c r="AK485" s="365"/>
      <c r="AL485" s="365"/>
      <c r="AM485" s="365"/>
      <c r="AN485" s="365"/>
      <c r="AO485" s="365"/>
      <c r="AP485" s="365"/>
    </row>
    <row r="486">
      <c r="A486" s="302"/>
      <c r="B486" s="303"/>
      <c r="C486" s="304"/>
      <c r="D486" s="365"/>
      <c r="E486" s="302"/>
      <c r="F486" s="303"/>
      <c r="G486" s="304"/>
      <c r="H486" s="365"/>
      <c r="I486" s="302"/>
      <c r="J486" s="303"/>
      <c r="K486" s="304"/>
      <c r="L486" s="365"/>
      <c r="M486" s="302"/>
      <c r="N486" s="303"/>
      <c r="O486" s="304"/>
      <c r="P486" s="365"/>
      <c r="Q486" s="186"/>
      <c r="R486" s="18"/>
      <c r="S486" s="374"/>
      <c r="T486" s="372"/>
      <c r="U486" s="186"/>
      <c r="V486" s="18"/>
      <c r="W486" s="374"/>
      <c r="X486" s="372"/>
      <c r="Y486" s="186"/>
      <c r="Z486" s="18"/>
      <c r="AA486" s="374"/>
      <c r="AB486" s="372"/>
      <c r="AC486" s="186"/>
      <c r="AD486" s="18"/>
      <c r="AE486" s="374"/>
      <c r="AF486" s="372"/>
      <c r="AG486" s="188"/>
      <c r="AH486" s="188"/>
      <c r="AI486" s="188"/>
      <c r="AJ486" s="188"/>
      <c r="AK486" s="365"/>
      <c r="AL486" s="365"/>
      <c r="AM486" s="365"/>
      <c r="AN486" s="365"/>
      <c r="AO486" s="365"/>
      <c r="AP486" s="365"/>
    </row>
    <row r="487">
      <c r="A487" s="302"/>
      <c r="B487" s="303"/>
      <c r="C487" s="304"/>
      <c r="D487" s="365"/>
      <c r="E487" s="302"/>
      <c r="F487" s="303"/>
      <c r="G487" s="304"/>
      <c r="H487" s="365"/>
      <c r="I487" s="302"/>
      <c r="J487" s="303"/>
      <c r="K487" s="304"/>
      <c r="L487" s="365"/>
      <c r="M487" s="302"/>
      <c r="N487" s="303"/>
      <c r="O487" s="304"/>
      <c r="P487" s="365"/>
      <c r="Q487" s="186"/>
      <c r="R487" s="18"/>
      <c r="S487" s="374"/>
      <c r="T487" s="372"/>
      <c r="U487" s="186"/>
      <c r="V487" s="18"/>
      <c r="W487" s="374"/>
      <c r="X487" s="372"/>
      <c r="Y487" s="186"/>
      <c r="Z487" s="18"/>
      <c r="AA487" s="374"/>
      <c r="AB487" s="372"/>
      <c r="AC487" s="186"/>
      <c r="AD487" s="18"/>
      <c r="AE487" s="374"/>
      <c r="AF487" s="372"/>
      <c r="AG487" s="188"/>
      <c r="AH487" s="188"/>
      <c r="AI487" s="188"/>
      <c r="AJ487" s="188"/>
      <c r="AK487" s="365"/>
      <c r="AL487" s="365"/>
      <c r="AM487" s="365"/>
      <c r="AN487" s="365"/>
      <c r="AO487" s="365"/>
      <c r="AP487" s="365"/>
    </row>
    <row r="488">
      <c r="A488" s="302"/>
      <c r="B488" s="303"/>
      <c r="C488" s="304"/>
      <c r="D488" s="365"/>
      <c r="E488" s="302"/>
      <c r="F488" s="303"/>
      <c r="G488" s="304"/>
      <c r="H488" s="365"/>
      <c r="I488" s="302"/>
      <c r="J488" s="303"/>
      <c r="K488" s="304"/>
      <c r="L488" s="365"/>
      <c r="M488" s="302"/>
      <c r="N488" s="303"/>
      <c r="O488" s="304"/>
      <c r="P488" s="365"/>
      <c r="Q488" s="186"/>
      <c r="R488" s="18"/>
      <c r="S488" s="374"/>
      <c r="T488" s="372"/>
      <c r="U488" s="186"/>
      <c r="V488" s="18"/>
      <c r="W488" s="374"/>
      <c r="X488" s="372"/>
      <c r="Y488" s="186"/>
      <c r="Z488" s="18"/>
      <c r="AA488" s="374"/>
      <c r="AB488" s="372"/>
      <c r="AC488" s="186"/>
      <c r="AD488" s="18"/>
      <c r="AE488" s="374"/>
      <c r="AF488" s="372"/>
      <c r="AG488" s="188"/>
      <c r="AH488" s="188"/>
      <c r="AI488" s="188"/>
      <c r="AJ488" s="188"/>
      <c r="AK488" s="365"/>
      <c r="AL488" s="365"/>
      <c r="AM488" s="365"/>
      <c r="AN488" s="365"/>
      <c r="AO488" s="365"/>
      <c r="AP488" s="365"/>
    </row>
    <row r="489">
      <c r="A489" s="302"/>
      <c r="B489" s="303"/>
      <c r="C489" s="304"/>
      <c r="D489" s="365"/>
      <c r="E489" s="302"/>
      <c r="F489" s="303"/>
      <c r="G489" s="304"/>
      <c r="H489" s="365"/>
      <c r="I489" s="302"/>
      <c r="J489" s="303"/>
      <c r="K489" s="304"/>
      <c r="L489" s="365"/>
      <c r="M489" s="302"/>
      <c r="N489" s="303"/>
      <c r="O489" s="304"/>
      <c r="P489" s="365"/>
      <c r="Q489" s="186"/>
      <c r="R489" s="18"/>
      <c r="S489" s="374"/>
      <c r="T489" s="372"/>
      <c r="U489" s="186"/>
      <c r="V489" s="18"/>
      <c r="W489" s="374"/>
      <c r="X489" s="372"/>
      <c r="Y489" s="186"/>
      <c r="Z489" s="18"/>
      <c r="AA489" s="374"/>
      <c r="AB489" s="372"/>
      <c r="AC489" s="186"/>
      <c r="AD489" s="18"/>
      <c r="AE489" s="374"/>
      <c r="AF489" s="372"/>
      <c r="AG489" s="188"/>
      <c r="AH489" s="188"/>
      <c r="AI489" s="188"/>
      <c r="AJ489" s="188"/>
      <c r="AK489" s="365"/>
      <c r="AL489" s="365"/>
      <c r="AM489" s="365"/>
      <c r="AN489" s="365"/>
      <c r="AO489" s="365"/>
      <c r="AP489" s="365"/>
    </row>
    <row r="490">
      <c r="A490" s="302"/>
      <c r="B490" s="303"/>
      <c r="C490" s="304"/>
      <c r="D490" s="365"/>
      <c r="E490" s="302"/>
      <c r="F490" s="303"/>
      <c r="G490" s="304"/>
      <c r="H490" s="365"/>
      <c r="I490" s="302"/>
      <c r="J490" s="303"/>
      <c r="K490" s="304"/>
      <c r="L490" s="365"/>
      <c r="M490" s="302"/>
      <c r="N490" s="303"/>
      <c r="O490" s="304"/>
      <c r="P490" s="365"/>
      <c r="Q490" s="186"/>
      <c r="R490" s="18"/>
      <c r="S490" s="374"/>
      <c r="T490" s="372"/>
      <c r="U490" s="186"/>
      <c r="V490" s="18"/>
      <c r="W490" s="374"/>
      <c r="X490" s="372"/>
      <c r="Y490" s="186"/>
      <c r="Z490" s="18"/>
      <c r="AA490" s="374"/>
      <c r="AB490" s="372"/>
      <c r="AC490" s="186"/>
      <c r="AD490" s="18"/>
      <c r="AE490" s="374"/>
      <c r="AF490" s="372"/>
      <c r="AG490" s="188"/>
      <c r="AH490" s="188"/>
      <c r="AI490" s="188"/>
      <c r="AJ490" s="188"/>
      <c r="AK490" s="365"/>
      <c r="AL490" s="365"/>
      <c r="AM490" s="365"/>
      <c r="AN490" s="365"/>
      <c r="AO490" s="365"/>
      <c r="AP490" s="365"/>
    </row>
    <row r="491">
      <c r="A491" s="302"/>
      <c r="B491" s="303"/>
      <c r="C491" s="304"/>
      <c r="D491" s="365"/>
      <c r="E491" s="302"/>
      <c r="F491" s="303"/>
      <c r="G491" s="304"/>
      <c r="H491" s="365"/>
      <c r="I491" s="302"/>
      <c r="J491" s="303"/>
      <c r="K491" s="304"/>
      <c r="L491" s="365"/>
      <c r="M491" s="302"/>
      <c r="N491" s="303"/>
      <c r="O491" s="304"/>
      <c r="P491" s="365"/>
      <c r="Q491" s="186"/>
      <c r="R491" s="18"/>
      <c r="S491" s="374"/>
      <c r="T491" s="372"/>
      <c r="U491" s="186"/>
      <c r="V491" s="18"/>
      <c r="W491" s="374"/>
      <c r="X491" s="372"/>
      <c r="Y491" s="186"/>
      <c r="Z491" s="18"/>
      <c r="AA491" s="374"/>
      <c r="AB491" s="372"/>
      <c r="AC491" s="186"/>
      <c r="AD491" s="18"/>
      <c r="AE491" s="374"/>
      <c r="AF491" s="372"/>
      <c r="AG491" s="188"/>
      <c r="AH491" s="188"/>
      <c r="AI491" s="188"/>
      <c r="AJ491" s="188"/>
      <c r="AK491" s="365"/>
      <c r="AL491" s="365"/>
      <c r="AM491" s="365"/>
      <c r="AN491" s="365"/>
      <c r="AO491" s="365"/>
      <c r="AP491" s="365"/>
    </row>
    <row r="492">
      <c r="A492" s="302"/>
      <c r="B492" s="303"/>
      <c r="C492" s="304"/>
      <c r="D492" s="365"/>
      <c r="E492" s="302"/>
      <c r="F492" s="303"/>
      <c r="G492" s="304"/>
      <c r="H492" s="365"/>
      <c r="I492" s="302"/>
      <c r="J492" s="303"/>
      <c r="K492" s="304"/>
      <c r="L492" s="365"/>
      <c r="M492" s="302"/>
      <c r="N492" s="303"/>
      <c r="O492" s="304"/>
      <c r="P492" s="365"/>
      <c r="Q492" s="186"/>
      <c r="R492" s="18"/>
      <c r="S492" s="374"/>
      <c r="T492" s="372"/>
      <c r="U492" s="186"/>
      <c r="V492" s="18"/>
      <c r="W492" s="374"/>
      <c r="X492" s="372"/>
      <c r="Y492" s="186"/>
      <c r="Z492" s="18"/>
      <c r="AA492" s="374"/>
      <c r="AB492" s="372"/>
      <c r="AC492" s="186"/>
      <c r="AD492" s="18"/>
      <c r="AE492" s="374"/>
      <c r="AF492" s="372"/>
      <c r="AG492" s="188"/>
      <c r="AH492" s="188"/>
      <c r="AI492" s="188"/>
      <c r="AJ492" s="188"/>
      <c r="AK492" s="365"/>
      <c r="AL492" s="365"/>
      <c r="AM492" s="365"/>
      <c r="AN492" s="365"/>
      <c r="AO492" s="365"/>
      <c r="AP492" s="365"/>
    </row>
    <row r="493">
      <c r="A493" s="302"/>
      <c r="B493" s="303"/>
      <c r="C493" s="304"/>
      <c r="D493" s="365"/>
      <c r="E493" s="302"/>
      <c r="F493" s="303"/>
      <c r="G493" s="304"/>
      <c r="H493" s="365"/>
      <c r="I493" s="302"/>
      <c r="J493" s="303"/>
      <c r="K493" s="304"/>
      <c r="L493" s="365"/>
      <c r="M493" s="302"/>
      <c r="N493" s="303"/>
      <c r="O493" s="304"/>
      <c r="P493" s="365"/>
      <c r="Q493" s="186"/>
      <c r="R493" s="18"/>
      <c r="S493" s="374"/>
      <c r="T493" s="372"/>
      <c r="U493" s="186"/>
      <c r="V493" s="18"/>
      <c r="W493" s="374"/>
      <c r="X493" s="372"/>
      <c r="Y493" s="186"/>
      <c r="Z493" s="18"/>
      <c r="AA493" s="374"/>
      <c r="AB493" s="372"/>
      <c r="AC493" s="186"/>
      <c r="AD493" s="18"/>
      <c r="AE493" s="374"/>
      <c r="AF493" s="372"/>
      <c r="AG493" s="188"/>
      <c r="AH493" s="188"/>
      <c r="AI493" s="188"/>
      <c r="AJ493" s="188"/>
      <c r="AK493" s="365"/>
      <c r="AL493" s="365"/>
      <c r="AM493" s="365"/>
      <c r="AN493" s="365"/>
      <c r="AO493" s="365"/>
      <c r="AP493" s="365"/>
    </row>
    <row r="494">
      <c r="A494" s="302"/>
      <c r="B494" s="303"/>
      <c r="C494" s="304"/>
      <c r="D494" s="365"/>
      <c r="E494" s="302"/>
      <c r="F494" s="303"/>
      <c r="G494" s="304"/>
      <c r="H494" s="365"/>
      <c r="I494" s="302"/>
      <c r="J494" s="303"/>
      <c r="K494" s="304"/>
      <c r="L494" s="365"/>
      <c r="M494" s="302"/>
      <c r="N494" s="303"/>
      <c r="O494" s="304"/>
      <c r="P494" s="365"/>
      <c r="Q494" s="186"/>
      <c r="R494" s="18"/>
      <c r="S494" s="374"/>
      <c r="T494" s="372"/>
      <c r="U494" s="186"/>
      <c r="V494" s="18"/>
      <c r="W494" s="374"/>
      <c r="X494" s="372"/>
      <c r="Y494" s="186"/>
      <c r="Z494" s="18"/>
      <c r="AA494" s="374"/>
      <c r="AB494" s="372"/>
      <c r="AC494" s="186"/>
      <c r="AD494" s="18"/>
      <c r="AE494" s="374"/>
      <c r="AF494" s="372"/>
      <c r="AG494" s="188"/>
      <c r="AH494" s="188"/>
      <c r="AI494" s="188"/>
      <c r="AJ494" s="188"/>
      <c r="AK494" s="365"/>
      <c r="AL494" s="365"/>
      <c r="AM494" s="365"/>
      <c r="AN494" s="365"/>
      <c r="AO494" s="365"/>
      <c r="AP494" s="365"/>
    </row>
    <row r="495">
      <c r="A495" s="302"/>
      <c r="B495" s="303"/>
      <c r="C495" s="304"/>
      <c r="D495" s="365"/>
      <c r="E495" s="302"/>
      <c r="F495" s="303"/>
      <c r="G495" s="304"/>
      <c r="H495" s="365"/>
      <c r="I495" s="302"/>
      <c r="J495" s="303"/>
      <c r="K495" s="304"/>
      <c r="L495" s="365"/>
      <c r="M495" s="302"/>
      <c r="N495" s="303"/>
      <c r="O495" s="304"/>
      <c r="P495" s="365"/>
      <c r="Q495" s="186"/>
      <c r="R495" s="18"/>
      <c r="S495" s="374"/>
      <c r="T495" s="372"/>
      <c r="U495" s="186"/>
      <c r="V495" s="18"/>
      <c r="W495" s="374"/>
      <c r="X495" s="372"/>
      <c r="Y495" s="186"/>
      <c r="Z495" s="18"/>
      <c r="AA495" s="374"/>
      <c r="AB495" s="372"/>
      <c r="AC495" s="186"/>
      <c r="AD495" s="18"/>
      <c r="AE495" s="374"/>
      <c r="AF495" s="372"/>
      <c r="AG495" s="188"/>
      <c r="AH495" s="188"/>
      <c r="AI495" s="188"/>
      <c r="AJ495" s="188"/>
      <c r="AK495" s="365"/>
      <c r="AL495" s="365"/>
      <c r="AM495" s="365"/>
      <c r="AN495" s="365"/>
      <c r="AO495" s="365"/>
      <c r="AP495" s="365"/>
    </row>
    <row r="496">
      <c r="A496" s="302"/>
      <c r="B496" s="303"/>
      <c r="C496" s="304"/>
      <c r="D496" s="365"/>
      <c r="E496" s="302"/>
      <c r="F496" s="303"/>
      <c r="G496" s="304"/>
      <c r="H496" s="365"/>
      <c r="I496" s="302"/>
      <c r="J496" s="303"/>
      <c r="K496" s="304"/>
      <c r="L496" s="365"/>
      <c r="M496" s="302"/>
      <c r="N496" s="303"/>
      <c r="O496" s="304"/>
      <c r="P496" s="365"/>
      <c r="Q496" s="186"/>
      <c r="R496" s="18"/>
      <c r="S496" s="374"/>
      <c r="T496" s="372"/>
      <c r="U496" s="186"/>
      <c r="V496" s="18"/>
      <c r="W496" s="374"/>
      <c r="X496" s="372"/>
      <c r="Y496" s="186"/>
      <c r="Z496" s="18"/>
      <c r="AA496" s="374"/>
      <c r="AB496" s="372"/>
      <c r="AC496" s="186"/>
      <c r="AD496" s="18"/>
      <c r="AE496" s="374"/>
      <c r="AF496" s="372"/>
      <c r="AG496" s="188"/>
      <c r="AH496" s="188"/>
      <c r="AI496" s="188"/>
      <c r="AJ496" s="188"/>
      <c r="AK496" s="365"/>
      <c r="AL496" s="365"/>
      <c r="AM496" s="365"/>
      <c r="AN496" s="365"/>
      <c r="AO496" s="365"/>
      <c r="AP496" s="365"/>
    </row>
    <row r="497">
      <c r="A497" s="302"/>
      <c r="B497" s="303"/>
      <c r="C497" s="304"/>
      <c r="D497" s="365"/>
      <c r="E497" s="302"/>
      <c r="F497" s="303"/>
      <c r="G497" s="304"/>
      <c r="H497" s="365"/>
      <c r="I497" s="302"/>
      <c r="J497" s="303"/>
      <c r="K497" s="304"/>
      <c r="L497" s="365"/>
      <c r="M497" s="302"/>
      <c r="N497" s="303"/>
      <c r="O497" s="304"/>
      <c r="P497" s="365"/>
      <c r="Q497" s="186"/>
      <c r="R497" s="18"/>
      <c r="S497" s="374"/>
      <c r="T497" s="372"/>
      <c r="U497" s="186"/>
      <c r="V497" s="18"/>
      <c r="W497" s="374"/>
      <c r="X497" s="372"/>
      <c r="Y497" s="186"/>
      <c r="Z497" s="18"/>
      <c r="AA497" s="374"/>
      <c r="AB497" s="372"/>
      <c r="AC497" s="186"/>
      <c r="AD497" s="18"/>
      <c r="AE497" s="374"/>
      <c r="AF497" s="372"/>
      <c r="AG497" s="188"/>
      <c r="AH497" s="188"/>
      <c r="AI497" s="188"/>
      <c r="AJ497" s="188"/>
      <c r="AK497" s="365"/>
      <c r="AL497" s="365"/>
      <c r="AM497" s="365"/>
      <c r="AN497" s="365"/>
      <c r="AO497" s="365"/>
      <c r="AP497" s="365"/>
    </row>
    <row r="498">
      <c r="A498" s="302"/>
      <c r="B498" s="303"/>
      <c r="C498" s="304"/>
      <c r="D498" s="365"/>
      <c r="E498" s="302"/>
      <c r="F498" s="303"/>
      <c r="G498" s="304"/>
      <c r="H498" s="365"/>
      <c r="I498" s="302"/>
      <c r="J498" s="303"/>
      <c r="K498" s="304"/>
      <c r="L498" s="365"/>
      <c r="M498" s="302"/>
      <c r="N498" s="303"/>
      <c r="O498" s="304"/>
      <c r="P498" s="365"/>
      <c r="Q498" s="186"/>
      <c r="R498" s="18"/>
      <c r="S498" s="374"/>
      <c r="T498" s="372"/>
      <c r="U498" s="186"/>
      <c r="V498" s="18"/>
      <c r="W498" s="374"/>
      <c r="X498" s="372"/>
      <c r="Y498" s="186"/>
      <c r="Z498" s="18"/>
      <c r="AA498" s="374"/>
      <c r="AB498" s="372"/>
      <c r="AC498" s="186"/>
      <c r="AD498" s="18"/>
      <c r="AE498" s="374"/>
      <c r="AF498" s="372"/>
      <c r="AG498" s="188"/>
      <c r="AH498" s="188"/>
      <c r="AI498" s="188"/>
      <c r="AJ498" s="188"/>
      <c r="AK498" s="365"/>
      <c r="AL498" s="365"/>
      <c r="AM498" s="365"/>
      <c r="AN498" s="365"/>
      <c r="AO498" s="365"/>
      <c r="AP498" s="365"/>
    </row>
    <row r="499">
      <c r="A499" s="302"/>
      <c r="B499" s="303"/>
      <c r="C499" s="304"/>
      <c r="D499" s="365"/>
      <c r="E499" s="302"/>
      <c r="F499" s="303"/>
      <c r="G499" s="304"/>
      <c r="H499" s="365"/>
      <c r="I499" s="302"/>
      <c r="J499" s="303"/>
      <c r="K499" s="304"/>
      <c r="L499" s="365"/>
      <c r="M499" s="302"/>
      <c r="N499" s="303"/>
      <c r="O499" s="304"/>
      <c r="P499" s="365"/>
      <c r="Q499" s="186"/>
      <c r="R499" s="18"/>
      <c r="S499" s="374"/>
      <c r="T499" s="372"/>
      <c r="U499" s="186"/>
      <c r="V499" s="18"/>
      <c r="W499" s="374"/>
      <c r="X499" s="372"/>
      <c r="Y499" s="186"/>
      <c r="Z499" s="18"/>
      <c r="AA499" s="374"/>
      <c r="AB499" s="372"/>
      <c r="AC499" s="186"/>
      <c r="AD499" s="18"/>
      <c r="AE499" s="374"/>
      <c r="AF499" s="372"/>
      <c r="AG499" s="188"/>
      <c r="AH499" s="188"/>
      <c r="AI499" s="188"/>
      <c r="AJ499" s="188"/>
      <c r="AK499" s="365"/>
      <c r="AL499" s="365"/>
      <c r="AM499" s="365"/>
      <c r="AN499" s="365"/>
      <c r="AO499" s="365"/>
      <c r="AP499" s="365"/>
    </row>
    <row r="500">
      <c r="A500" s="302"/>
      <c r="B500" s="303"/>
      <c r="C500" s="304"/>
      <c r="D500" s="365"/>
      <c r="E500" s="302"/>
      <c r="F500" s="303"/>
      <c r="G500" s="304"/>
      <c r="H500" s="365"/>
      <c r="I500" s="302"/>
      <c r="J500" s="303"/>
      <c r="K500" s="304"/>
      <c r="L500" s="365"/>
      <c r="M500" s="302"/>
      <c r="N500" s="303"/>
      <c r="O500" s="304"/>
      <c r="P500" s="365"/>
      <c r="Q500" s="186"/>
      <c r="R500" s="18"/>
      <c r="S500" s="374"/>
      <c r="T500" s="372"/>
      <c r="U500" s="186"/>
      <c r="V500" s="18"/>
      <c r="W500" s="374"/>
      <c r="X500" s="372"/>
      <c r="Y500" s="186"/>
      <c r="Z500" s="18"/>
      <c r="AA500" s="374"/>
      <c r="AB500" s="372"/>
      <c r="AC500" s="186"/>
      <c r="AD500" s="18"/>
      <c r="AE500" s="374"/>
      <c r="AF500" s="372"/>
      <c r="AG500" s="188"/>
      <c r="AH500" s="188"/>
      <c r="AI500" s="188"/>
      <c r="AJ500" s="188"/>
      <c r="AK500" s="365"/>
      <c r="AL500" s="365"/>
      <c r="AM500" s="365"/>
      <c r="AN500" s="365"/>
      <c r="AO500" s="365"/>
      <c r="AP500" s="365"/>
    </row>
    <row r="501">
      <c r="A501" s="302"/>
      <c r="B501" s="303"/>
      <c r="C501" s="304"/>
      <c r="D501" s="365"/>
      <c r="E501" s="302"/>
      <c r="F501" s="303"/>
      <c r="G501" s="304"/>
      <c r="H501" s="365"/>
      <c r="I501" s="302"/>
      <c r="J501" s="303"/>
      <c r="K501" s="304"/>
      <c r="L501" s="365"/>
      <c r="M501" s="302"/>
      <c r="N501" s="303"/>
      <c r="O501" s="304"/>
      <c r="P501" s="365"/>
      <c r="Q501" s="186"/>
      <c r="R501" s="18"/>
      <c r="S501" s="374"/>
      <c r="T501" s="372"/>
      <c r="U501" s="186"/>
      <c r="V501" s="18"/>
      <c r="W501" s="374"/>
      <c r="X501" s="372"/>
      <c r="Y501" s="186"/>
      <c r="Z501" s="18"/>
      <c r="AA501" s="374"/>
      <c r="AB501" s="372"/>
      <c r="AC501" s="186"/>
      <c r="AD501" s="18"/>
      <c r="AE501" s="374"/>
      <c r="AF501" s="372"/>
      <c r="AG501" s="188"/>
      <c r="AH501" s="188"/>
      <c r="AI501" s="188"/>
      <c r="AJ501" s="188"/>
      <c r="AK501" s="365"/>
      <c r="AL501" s="365"/>
      <c r="AM501" s="365"/>
      <c r="AN501" s="365"/>
      <c r="AO501" s="365"/>
      <c r="AP501" s="365"/>
    </row>
    <row r="502">
      <c r="A502" s="302"/>
      <c r="B502" s="303"/>
      <c r="C502" s="304"/>
      <c r="D502" s="365"/>
      <c r="E502" s="302"/>
      <c r="F502" s="303"/>
      <c r="G502" s="304"/>
      <c r="H502" s="365"/>
      <c r="I502" s="302"/>
      <c r="J502" s="303"/>
      <c r="K502" s="304"/>
      <c r="L502" s="365"/>
      <c r="M502" s="302"/>
      <c r="N502" s="303"/>
      <c r="O502" s="304"/>
      <c r="P502" s="365"/>
      <c r="Q502" s="186"/>
      <c r="R502" s="18"/>
      <c r="S502" s="374"/>
      <c r="T502" s="372"/>
      <c r="U502" s="186"/>
      <c r="V502" s="18"/>
      <c r="W502" s="374"/>
      <c r="X502" s="372"/>
      <c r="Y502" s="186"/>
      <c r="Z502" s="18"/>
      <c r="AA502" s="374"/>
      <c r="AB502" s="372"/>
      <c r="AC502" s="186"/>
      <c r="AD502" s="18"/>
      <c r="AE502" s="374"/>
      <c r="AF502" s="372"/>
      <c r="AG502" s="188"/>
      <c r="AH502" s="188"/>
      <c r="AI502" s="188"/>
      <c r="AJ502" s="188"/>
      <c r="AK502" s="365"/>
      <c r="AL502" s="365"/>
      <c r="AM502" s="365"/>
      <c r="AN502" s="365"/>
      <c r="AO502" s="365"/>
      <c r="AP502" s="365"/>
    </row>
    <row r="503">
      <c r="A503" s="302"/>
      <c r="B503" s="303"/>
      <c r="C503" s="304"/>
      <c r="D503" s="365"/>
      <c r="E503" s="302"/>
      <c r="F503" s="303"/>
      <c r="G503" s="304"/>
      <c r="H503" s="365"/>
      <c r="I503" s="302"/>
      <c r="J503" s="303"/>
      <c r="K503" s="304"/>
      <c r="L503" s="365"/>
      <c r="M503" s="302"/>
      <c r="N503" s="303"/>
      <c r="O503" s="304"/>
      <c r="P503" s="365"/>
      <c r="Q503" s="186"/>
      <c r="R503" s="18"/>
      <c r="S503" s="374"/>
      <c r="T503" s="372"/>
      <c r="U503" s="186"/>
      <c r="V503" s="18"/>
      <c r="W503" s="374"/>
      <c r="X503" s="372"/>
      <c r="Y503" s="186"/>
      <c r="Z503" s="18"/>
      <c r="AA503" s="374"/>
      <c r="AB503" s="372"/>
      <c r="AC503" s="186"/>
      <c r="AD503" s="18"/>
      <c r="AE503" s="374"/>
      <c r="AF503" s="372"/>
      <c r="AG503" s="188"/>
      <c r="AH503" s="188"/>
      <c r="AI503" s="188"/>
      <c r="AJ503" s="188"/>
      <c r="AK503" s="365"/>
      <c r="AL503" s="365"/>
      <c r="AM503" s="365"/>
      <c r="AN503" s="365"/>
      <c r="AO503" s="365"/>
      <c r="AP503" s="365"/>
    </row>
    <row r="504">
      <c r="A504" s="302"/>
      <c r="B504" s="303"/>
      <c r="C504" s="304"/>
      <c r="D504" s="365"/>
      <c r="E504" s="302"/>
      <c r="F504" s="303"/>
      <c r="G504" s="304"/>
      <c r="H504" s="365"/>
      <c r="I504" s="302"/>
      <c r="J504" s="303"/>
      <c r="K504" s="304"/>
      <c r="L504" s="365"/>
      <c r="M504" s="302"/>
      <c r="N504" s="303"/>
      <c r="O504" s="304"/>
      <c r="P504" s="365"/>
      <c r="Q504" s="186"/>
      <c r="R504" s="18"/>
      <c r="S504" s="374"/>
      <c r="T504" s="372"/>
      <c r="U504" s="186"/>
      <c r="V504" s="18"/>
      <c r="W504" s="374"/>
      <c r="X504" s="372"/>
      <c r="Y504" s="186"/>
      <c r="Z504" s="18"/>
      <c r="AA504" s="374"/>
      <c r="AB504" s="372"/>
      <c r="AC504" s="186"/>
      <c r="AD504" s="18"/>
      <c r="AE504" s="374"/>
      <c r="AF504" s="372"/>
      <c r="AG504" s="188"/>
      <c r="AH504" s="188"/>
      <c r="AI504" s="188"/>
      <c r="AJ504" s="188"/>
      <c r="AK504" s="365"/>
      <c r="AL504" s="365"/>
      <c r="AM504" s="365"/>
      <c r="AN504" s="365"/>
      <c r="AO504" s="365"/>
      <c r="AP504" s="365"/>
    </row>
    <row r="505">
      <c r="A505" s="302"/>
      <c r="B505" s="303"/>
      <c r="C505" s="304"/>
      <c r="D505" s="365"/>
      <c r="E505" s="302"/>
      <c r="F505" s="303"/>
      <c r="G505" s="304"/>
      <c r="H505" s="365"/>
      <c r="I505" s="302"/>
      <c r="J505" s="303"/>
      <c r="K505" s="304"/>
      <c r="L505" s="365"/>
      <c r="M505" s="302"/>
      <c r="N505" s="303"/>
      <c r="O505" s="304"/>
      <c r="P505" s="365"/>
      <c r="Q505" s="186"/>
      <c r="R505" s="18"/>
      <c r="S505" s="374"/>
      <c r="T505" s="372"/>
      <c r="U505" s="186"/>
      <c r="V505" s="18"/>
      <c r="W505" s="374"/>
      <c r="X505" s="372"/>
      <c r="Y505" s="186"/>
      <c r="Z505" s="18"/>
      <c r="AA505" s="374"/>
      <c r="AB505" s="372"/>
      <c r="AC505" s="186"/>
      <c r="AD505" s="18"/>
      <c r="AE505" s="374"/>
      <c r="AF505" s="372"/>
      <c r="AG505" s="188"/>
      <c r="AH505" s="188"/>
      <c r="AI505" s="188"/>
      <c r="AJ505" s="188"/>
      <c r="AK505" s="365"/>
      <c r="AL505" s="365"/>
      <c r="AM505" s="365"/>
      <c r="AN505" s="365"/>
      <c r="AO505" s="365"/>
      <c r="AP505" s="365"/>
    </row>
    <row r="506">
      <c r="A506" s="302"/>
      <c r="B506" s="303"/>
      <c r="C506" s="304"/>
      <c r="D506" s="365"/>
      <c r="E506" s="302"/>
      <c r="F506" s="303"/>
      <c r="G506" s="304"/>
      <c r="H506" s="365"/>
      <c r="I506" s="302"/>
      <c r="J506" s="303"/>
      <c r="K506" s="304"/>
      <c r="L506" s="365"/>
      <c r="M506" s="302"/>
      <c r="N506" s="303"/>
      <c r="O506" s="304"/>
      <c r="P506" s="365"/>
      <c r="Q506" s="186"/>
      <c r="R506" s="18"/>
      <c r="S506" s="374"/>
      <c r="T506" s="372"/>
      <c r="U506" s="186"/>
      <c r="V506" s="18"/>
      <c r="W506" s="374"/>
      <c r="X506" s="372"/>
      <c r="Y506" s="186"/>
      <c r="Z506" s="18"/>
      <c r="AA506" s="374"/>
      <c r="AB506" s="372"/>
      <c r="AC506" s="186"/>
      <c r="AD506" s="18"/>
      <c r="AE506" s="374"/>
      <c r="AF506" s="372"/>
      <c r="AG506" s="188"/>
      <c r="AH506" s="188"/>
      <c r="AI506" s="188"/>
      <c r="AJ506" s="188"/>
      <c r="AK506" s="365"/>
      <c r="AL506" s="365"/>
      <c r="AM506" s="365"/>
      <c r="AN506" s="365"/>
      <c r="AO506" s="365"/>
      <c r="AP506" s="365"/>
    </row>
    <row r="507">
      <c r="A507" s="302"/>
      <c r="B507" s="303"/>
      <c r="C507" s="304"/>
      <c r="D507" s="365"/>
      <c r="E507" s="302"/>
      <c r="F507" s="303"/>
      <c r="G507" s="304"/>
      <c r="H507" s="365"/>
      <c r="I507" s="302"/>
      <c r="J507" s="303"/>
      <c r="K507" s="304"/>
      <c r="L507" s="365"/>
      <c r="M507" s="302"/>
      <c r="N507" s="303"/>
      <c r="O507" s="304"/>
      <c r="P507" s="365"/>
      <c r="Q507" s="186"/>
      <c r="R507" s="18"/>
      <c r="S507" s="374"/>
      <c r="T507" s="372"/>
      <c r="U507" s="186"/>
      <c r="V507" s="18"/>
      <c r="W507" s="374"/>
      <c r="X507" s="372"/>
      <c r="Y507" s="186"/>
      <c r="Z507" s="18"/>
      <c r="AA507" s="374"/>
      <c r="AB507" s="372"/>
      <c r="AC507" s="186"/>
      <c r="AD507" s="18"/>
      <c r="AE507" s="374"/>
      <c r="AF507" s="372"/>
      <c r="AG507" s="188"/>
      <c r="AH507" s="188"/>
      <c r="AI507" s="188"/>
      <c r="AJ507" s="188"/>
      <c r="AK507" s="365"/>
      <c r="AL507" s="365"/>
      <c r="AM507" s="365"/>
      <c r="AN507" s="365"/>
      <c r="AO507" s="365"/>
      <c r="AP507" s="365"/>
    </row>
    <row r="508">
      <c r="A508" s="302"/>
      <c r="B508" s="303"/>
      <c r="C508" s="304"/>
      <c r="D508" s="365"/>
      <c r="E508" s="302"/>
      <c r="F508" s="303"/>
      <c r="G508" s="304"/>
      <c r="H508" s="365"/>
      <c r="I508" s="302"/>
      <c r="J508" s="303"/>
      <c r="K508" s="304"/>
      <c r="L508" s="365"/>
      <c r="M508" s="302"/>
      <c r="N508" s="303"/>
      <c r="O508" s="304"/>
      <c r="P508" s="365"/>
      <c r="Q508" s="186"/>
      <c r="R508" s="18"/>
      <c r="S508" s="374"/>
      <c r="T508" s="372"/>
      <c r="U508" s="186"/>
      <c r="V508" s="18"/>
      <c r="W508" s="374"/>
      <c r="X508" s="372"/>
      <c r="Y508" s="186"/>
      <c r="Z508" s="18"/>
      <c r="AA508" s="374"/>
      <c r="AB508" s="372"/>
      <c r="AC508" s="186"/>
      <c r="AD508" s="18"/>
      <c r="AE508" s="374"/>
      <c r="AF508" s="372"/>
      <c r="AG508" s="188"/>
      <c r="AH508" s="188"/>
      <c r="AI508" s="188"/>
      <c r="AJ508" s="188"/>
      <c r="AK508" s="365"/>
      <c r="AL508" s="365"/>
      <c r="AM508" s="365"/>
      <c r="AN508" s="365"/>
      <c r="AO508" s="365"/>
      <c r="AP508" s="365"/>
    </row>
    <row r="509">
      <c r="A509" s="302"/>
      <c r="B509" s="303"/>
      <c r="C509" s="304"/>
      <c r="D509" s="365"/>
      <c r="E509" s="302"/>
      <c r="F509" s="303"/>
      <c r="G509" s="304"/>
      <c r="H509" s="365"/>
      <c r="I509" s="302"/>
      <c r="J509" s="303"/>
      <c r="K509" s="304"/>
      <c r="L509" s="365"/>
      <c r="M509" s="302"/>
      <c r="N509" s="303"/>
      <c r="O509" s="304"/>
      <c r="P509" s="365"/>
      <c r="Q509" s="186"/>
      <c r="R509" s="18"/>
      <c r="S509" s="374"/>
      <c r="T509" s="372"/>
      <c r="U509" s="186"/>
      <c r="V509" s="18"/>
      <c r="W509" s="374"/>
      <c r="X509" s="372"/>
      <c r="Y509" s="186"/>
      <c r="Z509" s="18"/>
      <c r="AA509" s="374"/>
      <c r="AB509" s="372"/>
      <c r="AC509" s="186"/>
      <c r="AD509" s="18"/>
      <c r="AE509" s="374"/>
      <c r="AF509" s="372"/>
      <c r="AG509" s="188"/>
      <c r="AH509" s="188"/>
      <c r="AI509" s="188"/>
      <c r="AJ509" s="188"/>
      <c r="AK509" s="365"/>
      <c r="AL509" s="365"/>
      <c r="AM509" s="365"/>
      <c r="AN509" s="365"/>
      <c r="AO509" s="365"/>
      <c r="AP509" s="365"/>
    </row>
    <row r="510">
      <c r="A510" s="302"/>
      <c r="B510" s="303"/>
      <c r="C510" s="304"/>
      <c r="D510" s="365"/>
      <c r="E510" s="302"/>
      <c r="F510" s="303"/>
      <c r="G510" s="304"/>
      <c r="H510" s="365"/>
      <c r="I510" s="302"/>
      <c r="J510" s="303"/>
      <c r="K510" s="304"/>
      <c r="L510" s="365"/>
      <c r="M510" s="302"/>
      <c r="N510" s="303"/>
      <c r="O510" s="304"/>
      <c r="P510" s="365"/>
      <c r="Q510" s="186"/>
      <c r="R510" s="18"/>
      <c r="S510" s="374"/>
      <c r="T510" s="372"/>
      <c r="U510" s="186"/>
      <c r="V510" s="18"/>
      <c r="W510" s="374"/>
      <c r="X510" s="372"/>
      <c r="Y510" s="186"/>
      <c r="Z510" s="18"/>
      <c r="AA510" s="374"/>
      <c r="AB510" s="372"/>
      <c r="AC510" s="186"/>
      <c r="AD510" s="18"/>
      <c r="AE510" s="374"/>
      <c r="AF510" s="372"/>
      <c r="AG510" s="188"/>
      <c r="AH510" s="188"/>
      <c r="AI510" s="188"/>
      <c r="AJ510" s="188"/>
      <c r="AK510" s="365"/>
      <c r="AL510" s="365"/>
      <c r="AM510" s="365"/>
      <c r="AN510" s="365"/>
      <c r="AO510" s="365"/>
      <c r="AP510" s="365"/>
    </row>
    <row r="511">
      <c r="A511" s="302"/>
      <c r="B511" s="303"/>
      <c r="C511" s="304"/>
      <c r="D511" s="365"/>
      <c r="E511" s="302"/>
      <c r="F511" s="303"/>
      <c r="G511" s="304"/>
      <c r="H511" s="365"/>
      <c r="I511" s="302"/>
      <c r="J511" s="303"/>
      <c r="K511" s="304"/>
      <c r="L511" s="365"/>
      <c r="M511" s="302"/>
      <c r="N511" s="303"/>
      <c r="O511" s="304"/>
      <c r="P511" s="365"/>
      <c r="Q511" s="186"/>
      <c r="R511" s="18"/>
      <c r="S511" s="374"/>
      <c r="T511" s="372"/>
      <c r="U511" s="186"/>
      <c r="V511" s="18"/>
      <c r="W511" s="374"/>
      <c r="X511" s="372"/>
      <c r="Y511" s="186"/>
      <c r="Z511" s="18"/>
      <c r="AA511" s="374"/>
      <c r="AB511" s="372"/>
      <c r="AC511" s="186"/>
      <c r="AD511" s="18"/>
      <c r="AE511" s="374"/>
      <c r="AF511" s="372"/>
      <c r="AG511" s="188"/>
      <c r="AH511" s="188"/>
      <c r="AI511" s="188"/>
      <c r="AJ511" s="188"/>
      <c r="AK511" s="365"/>
      <c r="AL511" s="365"/>
      <c r="AM511" s="365"/>
      <c r="AN511" s="365"/>
      <c r="AO511" s="365"/>
      <c r="AP511" s="365"/>
    </row>
    <row r="512">
      <c r="A512" s="302"/>
      <c r="B512" s="303"/>
      <c r="C512" s="304"/>
      <c r="D512" s="365"/>
      <c r="E512" s="302"/>
      <c r="F512" s="303"/>
      <c r="G512" s="304"/>
      <c r="H512" s="365"/>
      <c r="I512" s="302"/>
      <c r="J512" s="303"/>
      <c r="K512" s="304"/>
      <c r="L512" s="365"/>
      <c r="M512" s="302"/>
      <c r="N512" s="303"/>
      <c r="O512" s="304"/>
      <c r="P512" s="365"/>
      <c r="Q512" s="186"/>
      <c r="R512" s="18"/>
      <c r="S512" s="374"/>
      <c r="T512" s="372"/>
      <c r="U512" s="186"/>
      <c r="V512" s="18"/>
      <c r="W512" s="374"/>
      <c r="X512" s="372"/>
      <c r="Y512" s="186"/>
      <c r="Z512" s="18"/>
      <c r="AA512" s="374"/>
      <c r="AB512" s="372"/>
      <c r="AC512" s="186"/>
      <c r="AD512" s="18"/>
      <c r="AE512" s="374"/>
      <c r="AF512" s="372"/>
      <c r="AG512" s="188"/>
      <c r="AH512" s="188"/>
      <c r="AI512" s="188"/>
      <c r="AJ512" s="188"/>
      <c r="AK512" s="365"/>
      <c r="AL512" s="365"/>
      <c r="AM512" s="365"/>
      <c r="AN512" s="365"/>
      <c r="AO512" s="365"/>
      <c r="AP512" s="365"/>
    </row>
    <row r="513">
      <c r="A513" s="302"/>
      <c r="B513" s="303"/>
      <c r="C513" s="304"/>
      <c r="D513" s="365"/>
      <c r="E513" s="302"/>
      <c r="F513" s="303"/>
      <c r="G513" s="304"/>
      <c r="H513" s="365"/>
      <c r="I513" s="302"/>
      <c r="J513" s="303"/>
      <c r="K513" s="304"/>
      <c r="L513" s="365"/>
      <c r="M513" s="302"/>
      <c r="N513" s="303"/>
      <c r="O513" s="304"/>
      <c r="P513" s="365"/>
      <c r="Q513" s="186"/>
      <c r="R513" s="18"/>
      <c r="S513" s="374"/>
      <c r="T513" s="372"/>
      <c r="U513" s="186"/>
      <c r="V513" s="18"/>
      <c r="W513" s="374"/>
      <c r="X513" s="372"/>
      <c r="Y513" s="186"/>
      <c r="Z513" s="18"/>
      <c r="AA513" s="374"/>
      <c r="AB513" s="372"/>
      <c r="AC513" s="186"/>
      <c r="AD513" s="18"/>
      <c r="AE513" s="374"/>
      <c r="AF513" s="372"/>
      <c r="AG513" s="188"/>
      <c r="AH513" s="188"/>
      <c r="AI513" s="188"/>
      <c r="AJ513" s="188"/>
      <c r="AK513" s="365"/>
      <c r="AL513" s="365"/>
      <c r="AM513" s="365"/>
      <c r="AN513" s="365"/>
      <c r="AO513" s="365"/>
      <c r="AP513" s="365"/>
    </row>
    <row r="514">
      <c r="A514" s="302"/>
      <c r="B514" s="303"/>
      <c r="C514" s="304"/>
      <c r="D514" s="365"/>
      <c r="E514" s="302"/>
      <c r="F514" s="303"/>
      <c r="G514" s="304"/>
      <c r="H514" s="365"/>
      <c r="I514" s="302"/>
      <c r="J514" s="303"/>
      <c r="K514" s="304"/>
      <c r="L514" s="365"/>
      <c r="M514" s="302"/>
      <c r="N514" s="303"/>
      <c r="O514" s="304"/>
      <c r="P514" s="365"/>
      <c r="Q514" s="186"/>
      <c r="R514" s="18"/>
      <c r="S514" s="374"/>
      <c r="T514" s="372"/>
      <c r="U514" s="186"/>
      <c r="V514" s="18"/>
      <c r="W514" s="374"/>
      <c r="X514" s="372"/>
      <c r="Y514" s="186"/>
      <c r="Z514" s="18"/>
      <c r="AA514" s="374"/>
      <c r="AB514" s="372"/>
      <c r="AC514" s="186"/>
      <c r="AD514" s="18"/>
      <c r="AE514" s="374"/>
      <c r="AF514" s="372"/>
      <c r="AG514" s="188"/>
      <c r="AH514" s="188"/>
      <c r="AI514" s="188"/>
      <c r="AJ514" s="188"/>
      <c r="AK514" s="365"/>
      <c r="AL514" s="365"/>
      <c r="AM514" s="365"/>
      <c r="AN514" s="365"/>
      <c r="AO514" s="365"/>
      <c r="AP514" s="365"/>
    </row>
    <row r="515">
      <c r="A515" s="302"/>
      <c r="B515" s="303"/>
      <c r="C515" s="304"/>
      <c r="D515" s="365"/>
      <c r="E515" s="302"/>
      <c r="F515" s="303"/>
      <c r="G515" s="304"/>
      <c r="H515" s="365"/>
      <c r="I515" s="302"/>
      <c r="J515" s="303"/>
      <c r="K515" s="304"/>
      <c r="L515" s="365"/>
      <c r="M515" s="302"/>
      <c r="N515" s="303"/>
      <c r="O515" s="304"/>
      <c r="P515" s="365"/>
      <c r="Q515" s="186"/>
      <c r="R515" s="18"/>
      <c r="S515" s="374"/>
      <c r="T515" s="372"/>
      <c r="U515" s="186"/>
      <c r="V515" s="18"/>
      <c r="W515" s="374"/>
      <c r="X515" s="372"/>
      <c r="Y515" s="186"/>
      <c r="Z515" s="18"/>
      <c r="AA515" s="374"/>
      <c r="AB515" s="372"/>
      <c r="AC515" s="186"/>
      <c r="AD515" s="18"/>
      <c r="AE515" s="374"/>
      <c r="AF515" s="372"/>
      <c r="AG515" s="188"/>
      <c r="AH515" s="188"/>
      <c r="AI515" s="188"/>
      <c r="AJ515" s="188"/>
      <c r="AK515" s="365"/>
      <c r="AL515" s="365"/>
      <c r="AM515" s="365"/>
      <c r="AN515" s="365"/>
      <c r="AO515" s="365"/>
      <c r="AP515" s="365"/>
    </row>
    <row r="516">
      <c r="A516" s="302"/>
      <c r="B516" s="303"/>
      <c r="C516" s="304"/>
      <c r="D516" s="365"/>
      <c r="E516" s="302"/>
      <c r="F516" s="303"/>
      <c r="G516" s="304"/>
      <c r="H516" s="365"/>
      <c r="I516" s="302"/>
      <c r="J516" s="303"/>
      <c r="K516" s="304"/>
      <c r="L516" s="365"/>
      <c r="M516" s="302"/>
      <c r="N516" s="303"/>
      <c r="O516" s="304"/>
      <c r="P516" s="365"/>
      <c r="Q516" s="186"/>
      <c r="R516" s="18"/>
      <c r="S516" s="374"/>
      <c r="T516" s="372"/>
      <c r="U516" s="186"/>
      <c r="V516" s="18"/>
      <c r="W516" s="374"/>
      <c r="X516" s="372"/>
      <c r="Y516" s="186"/>
      <c r="Z516" s="18"/>
      <c r="AA516" s="374"/>
      <c r="AB516" s="372"/>
      <c r="AC516" s="186"/>
      <c r="AD516" s="18"/>
      <c r="AE516" s="374"/>
      <c r="AF516" s="372"/>
      <c r="AG516" s="188"/>
      <c r="AH516" s="188"/>
      <c r="AI516" s="188"/>
      <c r="AJ516" s="188"/>
      <c r="AK516" s="365"/>
      <c r="AL516" s="365"/>
      <c r="AM516" s="365"/>
      <c r="AN516" s="365"/>
      <c r="AO516" s="365"/>
      <c r="AP516" s="365"/>
    </row>
    <row r="517">
      <c r="A517" s="302"/>
      <c r="B517" s="303"/>
      <c r="C517" s="304"/>
      <c r="D517" s="365"/>
      <c r="E517" s="302"/>
      <c r="F517" s="303"/>
      <c r="G517" s="304"/>
      <c r="H517" s="365"/>
      <c r="I517" s="302"/>
      <c r="J517" s="303"/>
      <c r="K517" s="304"/>
      <c r="L517" s="365"/>
      <c r="M517" s="302"/>
      <c r="N517" s="303"/>
      <c r="O517" s="304"/>
      <c r="P517" s="365"/>
      <c r="Q517" s="186"/>
      <c r="R517" s="18"/>
      <c r="S517" s="374"/>
      <c r="T517" s="372"/>
      <c r="U517" s="186"/>
      <c r="V517" s="18"/>
      <c r="W517" s="374"/>
      <c r="X517" s="372"/>
      <c r="Y517" s="186"/>
      <c r="Z517" s="18"/>
      <c r="AA517" s="374"/>
      <c r="AB517" s="372"/>
      <c r="AC517" s="186"/>
      <c r="AD517" s="18"/>
      <c r="AE517" s="374"/>
      <c r="AF517" s="372"/>
      <c r="AG517" s="188"/>
      <c r="AH517" s="188"/>
      <c r="AI517" s="188"/>
      <c r="AJ517" s="188"/>
      <c r="AK517" s="365"/>
      <c r="AL517" s="365"/>
      <c r="AM517" s="365"/>
      <c r="AN517" s="365"/>
      <c r="AO517" s="365"/>
      <c r="AP517" s="365"/>
    </row>
    <row r="518">
      <c r="A518" s="302"/>
      <c r="B518" s="303"/>
      <c r="C518" s="304"/>
      <c r="D518" s="365"/>
      <c r="E518" s="302"/>
      <c r="F518" s="303"/>
      <c r="G518" s="304"/>
      <c r="H518" s="365"/>
      <c r="I518" s="302"/>
      <c r="J518" s="303"/>
      <c r="K518" s="304"/>
      <c r="L518" s="365"/>
      <c r="M518" s="302"/>
      <c r="N518" s="303"/>
      <c r="O518" s="304"/>
      <c r="P518" s="365"/>
      <c r="Q518" s="186"/>
      <c r="R518" s="18"/>
      <c r="S518" s="374"/>
      <c r="T518" s="372"/>
      <c r="U518" s="186"/>
      <c r="V518" s="18"/>
      <c r="W518" s="374"/>
      <c r="X518" s="372"/>
      <c r="Y518" s="186"/>
      <c r="Z518" s="18"/>
      <c r="AA518" s="374"/>
      <c r="AB518" s="372"/>
      <c r="AC518" s="186"/>
      <c r="AD518" s="18"/>
      <c r="AE518" s="374"/>
      <c r="AF518" s="372"/>
      <c r="AG518" s="188"/>
      <c r="AH518" s="188"/>
      <c r="AI518" s="188"/>
      <c r="AJ518" s="188"/>
      <c r="AK518" s="365"/>
      <c r="AL518" s="365"/>
      <c r="AM518" s="365"/>
      <c r="AN518" s="365"/>
      <c r="AO518" s="365"/>
      <c r="AP518" s="365"/>
    </row>
    <row r="519">
      <c r="A519" s="302"/>
      <c r="B519" s="303"/>
      <c r="C519" s="304"/>
      <c r="D519" s="365"/>
      <c r="E519" s="302"/>
      <c r="F519" s="303"/>
      <c r="G519" s="304"/>
      <c r="H519" s="365"/>
      <c r="I519" s="302"/>
      <c r="J519" s="303"/>
      <c r="K519" s="304"/>
      <c r="L519" s="365"/>
      <c r="M519" s="302"/>
      <c r="N519" s="303"/>
      <c r="O519" s="304"/>
      <c r="P519" s="365"/>
      <c r="Q519" s="186"/>
      <c r="R519" s="18"/>
      <c r="S519" s="374"/>
      <c r="T519" s="372"/>
      <c r="U519" s="186"/>
      <c r="V519" s="18"/>
      <c r="W519" s="374"/>
      <c r="X519" s="372"/>
      <c r="Y519" s="186"/>
      <c r="Z519" s="18"/>
      <c r="AA519" s="374"/>
      <c r="AB519" s="372"/>
      <c r="AC519" s="186"/>
      <c r="AD519" s="18"/>
      <c r="AE519" s="374"/>
      <c r="AF519" s="372"/>
      <c r="AG519" s="188"/>
      <c r="AH519" s="188"/>
      <c r="AI519" s="188"/>
      <c r="AJ519" s="188"/>
      <c r="AK519" s="365"/>
      <c r="AL519" s="365"/>
      <c r="AM519" s="365"/>
      <c r="AN519" s="365"/>
      <c r="AO519" s="365"/>
      <c r="AP519" s="365"/>
    </row>
    <row r="520">
      <c r="A520" s="302"/>
      <c r="B520" s="303"/>
      <c r="C520" s="304"/>
      <c r="D520" s="365"/>
      <c r="E520" s="302"/>
      <c r="F520" s="303"/>
      <c r="G520" s="304"/>
      <c r="H520" s="365"/>
      <c r="I520" s="302"/>
      <c r="J520" s="303"/>
      <c r="K520" s="304"/>
      <c r="L520" s="365"/>
      <c r="M520" s="302"/>
      <c r="N520" s="303"/>
      <c r="O520" s="304"/>
      <c r="P520" s="365"/>
      <c r="Q520" s="186"/>
      <c r="R520" s="18"/>
      <c r="S520" s="374"/>
      <c r="T520" s="372"/>
      <c r="U520" s="186"/>
      <c r="V520" s="18"/>
      <c r="W520" s="374"/>
      <c r="X520" s="372"/>
      <c r="Y520" s="186"/>
      <c r="Z520" s="18"/>
      <c r="AA520" s="374"/>
      <c r="AB520" s="372"/>
      <c r="AC520" s="186"/>
      <c r="AD520" s="18"/>
      <c r="AE520" s="374"/>
      <c r="AF520" s="372"/>
      <c r="AG520" s="188"/>
      <c r="AH520" s="188"/>
      <c r="AI520" s="188"/>
      <c r="AJ520" s="188"/>
      <c r="AK520" s="365"/>
      <c r="AL520" s="365"/>
      <c r="AM520" s="365"/>
      <c r="AN520" s="365"/>
      <c r="AO520" s="365"/>
      <c r="AP520" s="365"/>
    </row>
    <row r="521">
      <c r="A521" s="302"/>
      <c r="B521" s="303"/>
      <c r="C521" s="304"/>
      <c r="D521" s="365"/>
      <c r="E521" s="302"/>
      <c r="F521" s="303"/>
      <c r="G521" s="304"/>
      <c r="H521" s="365"/>
      <c r="I521" s="302"/>
      <c r="J521" s="303"/>
      <c r="K521" s="304"/>
      <c r="L521" s="365"/>
      <c r="M521" s="302"/>
      <c r="N521" s="303"/>
      <c r="O521" s="304"/>
      <c r="P521" s="365"/>
      <c r="Q521" s="186"/>
      <c r="R521" s="18"/>
      <c r="S521" s="374"/>
      <c r="T521" s="372"/>
      <c r="U521" s="186"/>
      <c r="V521" s="18"/>
      <c r="W521" s="374"/>
      <c r="X521" s="372"/>
      <c r="Y521" s="186"/>
      <c r="Z521" s="18"/>
      <c r="AA521" s="374"/>
      <c r="AB521" s="372"/>
      <c r="AC521" s="186"/>
      <c r="AD521" s="18"/>
      <c r="AE521" s="374"/>
      <c r="AF521" s="372"/>
      <c r="AG521" s="188"/>
      <c r="AH521" s="188"/>
      <c r="AI521" s="188"/>
      <c r="AJ521" s="188"/>
      <c r="AK521" s="365"/>
      <c r="AL521" s="365"/>
      <c r="AM521" s="365"/>
      <c r="AN521" s="365"/>
      <c r="AO521" s="365"/>
      <c r="AP521" s="365"/>
    </row>
    <row r="522">
      <c r="A522" s="302"/>
      <c r="B522" s="303"/>
      <c r="C522" s="304"/>
      <c r="D522" s="365"/>
      <c r="E522" s="302"/>
      <c r="F522" s="303"/>
      <c r="G522" s="304"/>
      <c r="H522" s="365"/>
      <c r="I522" s="302"/>
      <c r="J522" s="303"/>
      <c r="K522" s="304"/>
      <c r="L522" s="365"/>
      <c r="M522" s="302"/>
      <c r="N522" s="303"/>
      <c r="O522" s="304"/>
      <c r="P522" s="365"/>
      <c r="Q522" s="186"/>
      <c r="R522" s="18"/>
      <c r="S522" s="374"/>
      <c r="T522" s="372"/>
      <c r="U522" s="186"/>
      <c r="V522" s="18"/>
      <c r="W522" s="374"/>
      <c r="X522" s="372"/>
      <c r="Y522" s="186"/>
      <c r="Z522" s="18"/>
      <c r="AA522" s="374"/>
      <c r="AB522" s="372"/>
      <c r="AC522" s="186"/>
      <c r="AD522" s="18"/>
      <c r="AE522" s="374"/>
      <c r="AF522" s="372"/>
      <c r="AG522" s="188"/>
      <c r="AH522" s="188"/>
      <c r="AI522" s="188"/>
      <c r="AJ522" s="188"/>
      <c r="AK522" s="365"/>
      <c r="AL522" s="365"/>
      <c r="AM522" s="365"/>
      <c r="AN522" s="365"/>
      <c r="AO522" s="365"/>
      <c r="AP522" s="365"/>
    </row>
    <row r="523">
      <c r="A523" s="302"/>
      <c r="B523" s="303"/>
      <c r="C523" s="304"/>
      <c r="D523" s="365"/>
      <c r="E523" s="302"/>
      <c r="F523" s="303"/>
      <c r="G523" s="304"/>
      <c r="H523" s="365"/>
      <c r="I523" s="302"/>
      <c r="J523" s="303"/>
      <c r="K523" s="304"/>
      <c r="L523" s="365"/>
      <c r="M523" s="302"/>
      <c r="N523" s="303"/>
      <c r="O523" s="304"/>
      <c r="P523" s="365"/>
      <c r="Q523" s="186"/>
      <c r="R523" s="18"/>
      <c r="S523" s="374"/>
      <c r="T523" s="372"/>
      <c r="U523" s="186"/>
      <c r="V523" s="18"/>
      <c r="W523" s="374"/>
      <c r="X523" s="372"/>
      <c r="Y523" s="186"/>
      <c r="Z523" s="18"/>
      <c r="AA523" s="374"/>
      <c r="AB523" s="372"/>
      <c r="AC523" s="186"/>
      <c r="AD523" s="18"/>
      <c r="AE523" s="374"/>
      <c r="AF523" s="372"/>
      <c r="AG523" s="188"/>
      <c r="AH523" s="188"/>
      <c r="AI523" s="188"/>
      <c r="AJ523" s="188"/>
      <c r="AK523" s="365"/>
      <c r="AL523" s="365"/>
      <c r="AM523" s="365"/>
      <c r="AN523" s="365"/>
      <c r="AO523" s="365"/>
      <c r="AP523" s="365"/>
    </row>
    <row r="524">
      <c r="A524" s="302"/>
      <c r="B524" s="303"/>
      <c r="C524" s="304"/>
      <c r="D524" s="365"/>
      <c r="E524" s="302"/>
      <c r="F524" s="303"/>
      <c r="G524" s="304"/>
      <c r="H524" s="365"/>
      <c r="I524" s="302"/>
      <c r="J524" s="303"/>
      <c r="K524" s="304"/>
      <c r="L524" s="365"/>
      <c r="M524" s="302"/>
      <c r="N524" s="303"/>
      <c r="O524" s="304"/>
      <c r="P524" s="365"/>
      <c r="Q524" s="186"/>
      <c r="R524" s="18"/>
      <c r="S524" s="374"/>
      <c r="T524" s="372"/>
      <c r="U524" s="186"/>
      <c r="V524" s="18"/>
      <c r="W524" s="374"/>
      <c r="X524" s="372"/>
      <c r="Y524" s="186"/>
      <c r="Z524" s="18"/>
      <c r="AA524" s="374"/>
      <c r="AB524" s="372"/>
      <c r="AC524" s="186"/>
      <c r="AD524" s="18"/>
      <c r="AE524" s="374"/>
      <c r="AF524" s="372"/>
      <c r="AG524" s="188"/>
      <c r="AH524" s="188"/>
      <c r="AI524" s="188"/>
      <c r="AJ524" s="188"/>
      <c r="AK524" s="365"/>
      <c r="AL524" s="365"/>
      <c r="AM524" s="365"/>
      <c r="AN524" s="365"/>
      <c r="AO524" s="365"/>
      <c r="AP524" s="365"/>
    </row>
    <row r="525">
      <c r="A525" s="302"/>
      <c r="B525" s="303"/>
      <c r="C525" s="304"/>
      <c r="D525" s="365"/>
      <c r="E525" s="302"/>
      <c r="F525" s="303"/>
      <c r="G525" s="304"/>
      <c r="H525" s="365"/>
      <c r="I525" s="302"/>
      <c r="J525" s="303"/>
      <c r="K525" s="304"/>
      <c r="L525" s="365"/>
      <c r="M525" s="302"/>
      <c r="N525" s="303"/>
      <c r="O525" s="304"/>
      <c r="P525" s="365"/>
      <c r="Q525" s="186"/>
      <c r="R525" s="18"/>
      <c r="S525" s="374"/>
      <c r="T525" s="372"/>
      <c r="U525" s="186"/>
      <c r="V525" s="18"/>
      <c r="W525" s="374"/>
      <c r="X525" s="372"/>
      <c r="Y525" s="186"/>
      <c r="Z525" s="18"/>
      <c r="AA525" s="374"/>
      <c r="AB525" s="372"/>
      <c r="AC525" s="186"/>
      <c r="AD525" s="18"/>
      <c r="AE525" s="374"/>
      <c r="AF525" s="372"/>
      <c r="AG525" s="188"/>
      <c r="AH525" s="188"/>
      <c r="AI525" s="188"/>
      <c r="AJ525" s="188"/>
      <c r="AK525" s="365"/>
      <c r="AL525" s="365"/>
      <c r="AM525" s="365"/>
      <c r="AN525" s="365"/>
      <c r="AO525" s="365"/>
      <c r="AP525" s="365"/>
    </row>
    <row r="526">
      <c r="A526" s="302"/>
      <c r="B526" s="303"/>
      <c r="C526" s="304"/>
      <c r="D526" s="365"/>
      <c r="E526" s="302"/>
      <c r="F526" s="303"/>
      <c r="G526" s="304"/>
      <c r="H526" s="365"/>
      <c r="I526" s="302"/>
      <c r="J526" s="303"/>
      <c r="K526" s="304"/>
      <c r="L526" s="365"/>
      <c r="M526" s="302"/>
      <c r="N526" s="303"/>
      <c r="O526" s="304"/>
      <c r="P526" s="365"/>
      <c r="Q526" s="186"/>
      <c r="R526" s="18"/>
      <c r="S526" s="374"/>
      <c r="T526" s="372"/>
      <c r="U526" s="186"/>
      <c r="V526" s="18"/>
      <c r="W526" s="374"/>
      <c r="X526" s="372"/>
      <c r="Y526" s="186"/>
      <c r="Z526" s="18"/>
      <c r="AA526" s="374"/>
      <c r="AB526" s="372"/>
      <c r="AC526" s="186"/>
      <c r="AD526" s="18"/>
      <c r="AE526" s="374"/>
      <c r="AF526" s="372"/>
      <c r="AG526" s="188"/>
      <c r="AH526" s="188"/>
      <c r="AI526" s="188"/>
      <c r="AJ526" s="188"/>
      <c r="AK526" s="365"/>
      <c r="AL526" s="365"/>
      <c r="AM526" s="365"/>
      <c r="AN526" s="365"/>
      <c r="AO526" s="365"/>
      <c r="AP526" s="365"/>
    </row>
    <row r="527">
      <c r="A527" s="302"/>
      <c r="B527" s="303"/>
      <c r="C527" s="304"/>
      <c r="D527" s="365"/>
      <c r="E527" s="302"/>
      <c r="F527" s="303"/>
      <c r="G527" s="304"/>
      <c r="H527" s="365"/>
      <c r="I527" s="302"/>
      <c r="J527" s="303"/>
      <c r="K527" s="304"/>
      <c r="L527" s="365"/>
      <c r="M527" s="302"/>
      <c r="N527" s="303"/>
      <c r="O527" s="304"/>
      <c r="P527" s="365"/>
      <c r="Q527" s="186"/>
      <c r="R527" s="18"/>
      <c r="S527" s="374"/>
      <c r="T527" s="372"/>
      <c r="U527" s="186"/>
      <c r="V527" s="18"/>
      <c r="W527" s="374"/>
      <c r="X527" s="372"/>
      <c r="Y527" s="186"/>
      <c r="Z527" s="18"/>
      <c r="AA527" s="374"/>
      <c r="AB527" s="372"/>
      <c r="AC527" s="186"/>
      <c r="AD527" s="18"/>
      <c r="AE527" s="374"/>
      <c r="AF527" s="372"/>
      <c r="AG527" s="188"/>
      <c r="AH527" s="188"/>
      <c r="AI527" s="188"/>
      <c r="AJ527" s="188"/>
      <c r="AK527" s="365"/>
      <c r="AL527" s="365"/>
      <c r="AM527" s="365"/>
      <c r="AN527" s="365"/>
      <c r="AO527" s="365"/>
      <c r="AP527" s="365"/>
    </row>
    <row r="528">
      <c r="A528" s="302"/>
      <c r="B528" s="303"/>
      <c r="C528" s="304"/>
      <c r="D528" s="365"/>
      <c r="E528" s="302"/>
      <c r="F528" s="303"/>
      <c r="G528" s="304"/>
      <c r="H528" s="365"/>
      <c r="I528" s="302"/>
      <c r="J528" s="303"/>
      <c r="K528" s="304"/>
      <c r="L528" s="365"/>
      <c r="M528" s="302"/>
      <c r="N528" s="303"/>
      <c r="O528" s="304"/>
      <c r="P528" s="365"/>
      <c r="Q528" s="186"/>
      <c r="R528" s="18"/>
      <c r="S528" s="374"/>
      <c r="T528" s="372"/>
      <c r="U528" s="186"/>
      <c r="V528" s="18"/>
      <c r="W528" s="374"/>
      <c r="X528" s="372"/>
      <c r="Y528" s="186"/>
      <c r="Z528" s="18"/>
      <c r="AA528" s="374"/>
      <c r="AB528" s="372"/>
      <c r="AC528" s="186"/>
      <c r="AD528" s="18"/>
      <c r="AE528" s="374"/>
      <c r="AF528" s="372"/>
      <c r="AG528" s="188"/>
      <c r="AH528" s="188"/>
      <c r="AI528" s="188"/>
      <c r="AJ528" s="188"/>
      <c r="AK528" s="365"/>
      <c r="AL528" s="365"/>
      <c r="AM528" s="365"/>
      <c r="AN528" s="365"/>
      <c r="AO528" s="365"/>
      <c r="AP528" s="365"/>
    </row>
    <row r="529">
      <c r="A529" s="302"/>
      <c r="B529" s="303"/>
      <c r="C529" s="304"/>
      <c r="D529" s="365"/>
      <c r="E529" s="302"/>
      <c r="F529" s="303"/>
      <c r="G529" s="304"/>
      <c r="H529" s="365"/>
      <c r="I529" s="302"/>
      <c r="J529" s="303"/>
      <c r="K529" s="304"/>
      <c r="L529" s="365"/>
      <c r="M529" s="302"/>
      <c r="N529" s="303"/>
      <c r="O529" s="304"/>
      <c r="P529" s="365"/>
      <c r="Q529" s="186"/>
      <c r="R529" s="18"/>
      <c r="S529" s="374"/>
      <c r="T529" s="372"/>
      <c r="U529" s="186"/>
      <c r="V529" s="18"/>
      <c r="W529" s="374"/>
      <c r="X529" s="372"/>
      <c r="Y529" s="186"/>
      <c r="Z529" s="18"/>
      <c r="AA529" s="374"/>
      <c r="AB529" s="372"/>
      <c r="AC529" s="186"/>
      <c r="AD529" s="18"/>
      <c r="AE529" s="374"/>
      <c r="AF529" s="372"/>
      <c r="AG529" s="188"/>
      <c r="AH529" s="188"/>
      <c r="AI529" s="188"/>
      <c r="AJ529" s="188"/>
      <c r="AK529" s="365"/>
      <c r="AL529" s="365"/>
      <c r="AM529" s="365"/>
      <c r="AN529" s="365"/>
      <c r="AO529" s="365"/>
      <c r="AP529" s="365"/>
    </row>
    <row r="530">
      <c r="A530" s="302"/>
      <c r="B530" s="303"/>
      <c r="C530" s="304"/>
      <c r="D530" s="365"/>
      <c r="E530" s="302"/>
      <c r="F530" s="303"/>
      <c r="G530" s="304"/>
      <c r="H530" s="365"/>
      <c r="I530" s="302"/>
      <c r="J530" s="303"/>
      <c r="K530" s="304"/>
      <c r="L530" s="365"/>
      <c r="M530" s="302"/>
      <c r="N530" s="303"/>
      <c r="O530" s="304"/>
      <c r="P530" s="365"/>
      <c r="Q530" s="186"/>
      <c r="R530" s="18"/>
      <c r="S530" s="374"/>
      <c r="T530" s="372"/>
      <c r="U530" s="186"/>
      <c r="V530" s="18"/>
      <c r="W530" s="374"/>
      <c r="X530" s="372"/>
      <c r="Y530" s="186"/>
      <c r="Z530" s="18"/>
      <c r="AA530" s="374"/>
      <c r="AB530" s="372"/>
      <c r="AC530" s="186"/>
      <c r="AD530" s="18"/>
      <c r="AE530" s="374"/>
      <c r="AF530" s="372"/>
      <c r="AG530" s="188"/>
      <c r="AH530" s="188"/>
      <c r="AI530" s="188"/>
      <c r="AJ530" s="188"/>
      <c r="AK530" s="365"/>
      <c r="AL530" s="365"/>
      <c r="AM530" s="365"/>
      <c r="AN530" s="365"/>
      <c r="AO530" s="365"/>
      <c r="AP530" s="365"/>
    </row>
    <row r="531">
      <c r="A531" s="302"/>
      <c r="B531" s="303"/>
      <c r="C531" s="304"/>
      <c r="D531" s="365"/>
      <c r="E531" s="302"/>
      <c r="F531" s="303"/>
      <c r="G531" s="304"/>
      <c r="H531" s="365"/>
      <c r="I531" s="302"/>
      <c r="J531" s="303"/>
      <c r="K531" s="304"/>
      <c r="L531" s="365"/>
      <c r="M531" s="302"/>
      <c r="N531" s="303"/>
      <c r="O531" s="304"/>
      <c r="P531" s="365"/>
      <c r="Q531" s="186"/>
      <c r="R531" s="18"/>
      <c r="S531" s="374"/>
      <c r="T531" s="372"/>
      <c r="U531" s="186"/>
      <c r="V531" s="18"/>
      <c r="W531" s="374"/>
      <c r="X531" s="372"/>
      <c r="Y531" s="186"/>
      <c r="Z531" s="18"/>
      <c r="AA531" s="374"/>
      <c r="AB531" s="372"/>
      <c r="AC531" s="186"/>
      <c r="AD531" s="18"/>
      <c r="AE531" s="374"/>
      <c r="AF531" s="372"/>
      <c r="AG531" s="188"/>
      <c r="AH531" s="188"/>
      <c r="AI531" s="188"/>
      <c r="AJ531" s="188"/>
      <c r="AK531" s="365"/>
      <c r="AL531" s="365"/>
      <c r="AM531" s="365"/>
      <c r="AN531" s="365"/>
      <c r="AO531" s="365"/>
      <c r="AP531" s="365"/>
    </row>
    <row r="532">
      <c r="A532" s="302"/>
      <c r="B532" s="303"/>
      <c r="C532" s="304"/>
      <c r="D532" s="365"/>
      <c r="E532" s="302"/>
      <c r="F532" s="303"/>
      <c r="G532" s="304"/>
      <c r="H532" s="365"/>
      <c r="I532" s="302"/>
      <c r="J532" s="303"/>
      <c r="K532" s="304"/>
      <c r="L532" s="365"/>
      <c r="M532" s="302"/>
      <c r="N532" s="303"/>
      <c r="O532" s="304"/>
      <c r="P532" s="365"/>
      <c r="Q532" s="186"/>
      <c r="R532" s="18"/>
      <c r="S532" s="374"/>
      <c r="T532" s="372"/>
      <c r="U532" s="186"/>
      <c r="V532" s="18"/>
      <c r="W532" s="374"/>
      <c r="X532" s="372"/>
      <c r="Y532" s="186"/>
      <c r="Z532" s="18"/>
      <c r="AA532" s="374"/>
      <c r="AB532" s="372"/>
      <c r="AC532" s="186"/>
      <c r="AD532" s="18"/>
      <c r="AE532" s="374"/>
      <c r="AF532" s="372"/>
      <c r="AG532" s="188"/>
      <c r="AH532" s="188"/>
      <c r="AI532" s="188"/>
      <c r="AJ532" s="188"/>
      <c r="AK532" s="365"/>
      <c r="AL532" s="365"/>
      <c r="AM532" s="365"/>
      <c r="AN532" s="365"/>
      <c r="AO532" s="365"/>
      <c r="AP532" s="365"/>
    </row>
    <row r="533">
      <c r="A533" s="302"/>
      <c r="B533" s="303"/>
      <c r="C533" s="304"/>
      <c r="D533" s="365"/>
      <c r="E533" s="302"/>
      <c r="F533" s="303"/>
      <c r="G533" s="304"/>
      <c r="H533" s="365"/>
      <c r="I533" s="302"/>
      <c r="J533" s="303"/>
      <c r="K533" s="304"/>
      <c r="L533" s="365"/>
      <c r="M533" s="302"/>
      <c r="N533" s="303"/>
      <c r="O533" s="304"/>
      <c r="P533" s="365"/>
      <c r="Q533" s="186"/>
      <c r="R533" s="18"/>
      <c r="S533" s="374"/>
      <c r="T533" s="372"/>
      <c r="U533" s="186"/>
      <c r="V533" s="18"/>
      <c r="W533" s="374"/>
      <c r="X533" s="372"/>
      <c r="Y533" s="186"/>
      <c r="Z533" s="18"/>
      <c r="AA533" s="374"/>
      <c r="AB533" s="372"/>
      <c r="AC533" s="186"/>
      <c r="AD533" s="18"/>
      <c r="AE533" s="374"/>
      <c r="AF533" s="372"/>
      <c r="AG533" s="188"/>
      <c r="AH533" s="188"/>
      <c r="AI533" s="188"/>
      <c r="AJ533" s="188"/>
      <c r="AK533" s="365"/>
      <c r="AL533" s="365"/>
      <c r="AM533" s="365"/>
      <c r="AN533" s="365"/>
      <c r="AO533" s="365"/>
      <c r="AP533" s="365"/>
    </row>
    <row r="534">
      <c r="A534" s="302"/>
      <c r="B534" s="303"/>
      <c r="C534" s="304"/>
      <c r="D534" s="365"/>
      <c r="E534" s="302"/>
      <c r="F534" s="303"/>
      <c r="G534" s="304"/>
      <c r="H534" s="365"/>
      <c r="I534" s="302"/>
      <c r="J534" s="303"/>
      <c r="K534" s="304"/>
      <c r="L534" s="365"/>
      <c r="M534" s="302"/>
      <c r="N534" s="303"/>
      <c r="O534" s="304"/>
      <c r="P534" s="365"/>
      <c r="Q534" s="186"/>
      <c r="R534" s="18"/>
      <c r="S534" s="374"/>
      <c r="T534" s="372"/>
      <c r="U534" s="186"/>
      <c r="V534" s="18"/>
      <c r="W534" s="374"/>
      <c r="X534" s="372"/>
      <c r="Y534" s="186"/>
      <c r="Z534" s="18"/>
      <c r="AA534" s="374"/>
      <c r="AB534" s="372"/>
      <c r="AC534" s="186"/>
      <c r="AD534" s="18"/>
      <c r="AE534" s="374"/>
      <c r="AF534" s="372"/>
      <c r="AG534" s="188"/>
      <c r="AH534" s="188"/>
      <c r="AI534" s="188"/>
      <c r="AJ534" s="188"/>
      <c r="AK534" s="365"/>
      <c r="AL534" s="365"/>
      <c r="AM534" s="365"/>
      <c r="AN534" s="365"/>
      <c r="AO534" s="365"/>
      <c r="AP534" s="365"/>
    </row>
    <row r="535">
      <c r="A535" s="302"/>
      <c r="B535" s="303"/>
      <c r="C535" s="304"/>
      <c r="D535" s="365"/>
      <c r="E535" s="302"/>
      <c r="F535" s="303"/>
      <c r="G535" s="304"/>
      <c r="H535" s="365"/>
      <c r="I535" s="302"/>
      <c r="J535" s="303"/>
      <c r="K535" s="304"/>
      <c r="L535" s="365"/>
      <c r="M535" s="302"/>
      <c r="N535" s="303"/>
      <c r="O535" s="304"/>
      <c r="P535" s="365"/>
      <c r="Q535" s="186"/>
      <c r="R535" s="18"/>
      <c r="S535" s="374"/>
      <c r="T535" s="372"/>
      <c r="U535" s="186"/>
      <c r="V535" s="18"/>
      <c r="W535" s="374"/>
      <c r="X535" s="372"/>
      <c r="Y535" s="186"/>
      <c r="Z535" s="18"/>
      <c r="AA535" s="374"/>
      <c r="AB535" s="372"/>
      <c r="AC535" s="186"/>
      <c r="AD535" s="18"/>
      <c r="AE535" s="374"/>
      <c r="AF535" s="372"/>
      <c r="AG535" s="188"/>
      <c r="AH535" s="188"/>
      <c r="AI535" s="188"/>
      <c r="AJ535" s="188"/>
      <c r="AK535" s="365"/>
      <c r="AL535" s="365"/>
      <c r="AM535" s="365"/>
      <c r="AN535" s="365"/>
      <c r="AO535" s="365"/>
      <c r="AP535" s="365"/>
    </row>
    <row r="536">
      <c r="A536" s="302"/>
      <c r="B536" s="303"/>
      <c r="C536" s="304"/>
      <c r="D536" s="365"/>
      <c r="E536" s="302"/>
      <c r="F536" s="303"/>
      <c r="G536" s="304"/>
      <c r="H536" s="365"/>
      <c r="I536" s="302"/>
      <c r="J536" s="303"/>
      <c r="K536" s="304"/>
      <c r="L536" s="365"/>
      <c r="M536" s="302"/>
      <c r="N536" s="303"/>
      <c r="O536" s="304"/>
      <c r="P536" s="365"/>
      <c r="Q536" s="186"/>
      <c r="R536" s="18"/>
      <c r="S536" s="374"/>
      <c r="T536" s="372"/>
      <c r="U536" s="186"/>
      <c r="V536" s="18"/>
      <c r="W536" s="374"/>
      <c r="X536" s="372"/>
      <c r="Y536" s="186"/>
      <c r="Z536" s="18"/>
      <c r="AA536" s="374"/>
      <c r="AB536" s="372"/>
      <c r="AC536" s="186"/>
      <c r="AD536" s="18"/>
      <c r="AE536" s="374"/>
      <c r="AF536" s="372"/>
      <c r="AG536" s="188"/>
      <c r="AH536" s="188"/>
      <c r="AI536" s="188"/>
      <c r="AJ536" s="188"/>
      <c r="AK536" s="365"/>
      <c r="AL536" s="365"/>
      <c r="AM536" s="365"/>
      <c r="AN536" s="365"/>
      <c r="AO536" s="365"/>
      <c r="AP536" s="365"/>
    </row>
    <row r="537">
      <c r="A537" s="302"/>
      <c r="B537" s="303"/>
      <c r="C537" s="304"/>
      <c r="D537" s="365"/>
      <c r="E537" s="302"/>
      <c r="F537" s="303"/>
      <c r="G537" s="304"/>
      <c r="H537" s="365"/>
      <c r="I537" s="302"/>
      <c r="J537" s="303"/>
      <c r="K537" s="304"/>
      <c r="L537" s="365"/>
      <c r="M537" s="302"/>
      <c r="N537" s="303"/>
      <c r="O537" s="304"/>
      <c r="P537" s="365"/>
      <c r="Q537" s="186"/>
      <c r="R537" s="18"/>
      <c r="S537" s="374"/>
      <c r="T537" s="372"/>
      <c r="U537" s="186"/>
      <c r="V537" s="18"/>
      <c r="W537" s="374"/>
      <c r="X537" s="372"/>
      <c r="Y537" s="186"/>
      <c r="Z537" s="18"/>
      <c r="AA537" s="374"/>
      <c r="AB537" s="372"/>
      <c r="AC537" s="186"/>
      <c r="AD537" s="18"/>
      <c r="AE537" s="374"/>
      <c r="AF537" s="372"/>
      <c r="AG537" s="188"/>
      <c r="AH537" s="188"/>
      <c r="AI537" s="188"/>
      <c r="AJ537" s="188"/>
      <c r="AK537" s="365"/>
      <c r="AL537" s="365"/>
      <c r="AM537" s="365"/>
      <c r="AN537" s="365"/>
      <c r="AO537" s="365"/>
      <c r="AP537" s="365"/>
    </row>
    <row r="538">
      <c r="A538" s="302"/>
      <c r="B538" s="303"/>
      <c r="C538" s="304"/>
      <c r="D538" s="365"/>
      <c r="E538" s="302"/>
      <c r="F538" s="303"/>
      <c r="G538" s="304"/>
      <c r="H538" s="365"/>
      <c r="I538" s="302"/>
      <c r="J538" s="303"/>
      <c r="K538" s="304"/>
      <c r="L538" s="365"/>
      <c r="M538" s="302"/>
      <c r="N538" s="303"/>
      <c r="O538" s="304"/>
      <c r="P538" s="365"/>
      <c r="Q538" s="186"/>
      <c r="R538" s="18"/>
      <c r="S538" s="374"/>
      <c r="T538" s="372"/>
      <c r="U538" s="186"/>
      <c r="V538" s="18"/>
      <c r="W538" s="374"/>
      <c r="X538" s="372"/>
      <c r="Y538" s="186"/>
      <c r="Z538" s="18"/>
      <c r="AA538" s="374"/>
      <c r="AB538" s="372"/>
      <c r="AC538" s="186"/>
      <c r="AD538" s="18"/>
      <c r="AE538" s="374"/>
      <c r="AF538" s="372"/>
      <c r="AG538" s="188"/>
      <c r="AH538" s="188"/>
      <c r="AI538" s="188"/>
      <c r="AJ538" s="188"/>
      <c r="AK538" s="365"/>
      <c r="AL538" s="365"/>
      <c r="AM538" s="365"/>
      <c r="AN538" s="365"/>
      <c r="AO538" s="365"/>
      <c r="AP538" s="365"/>
    </row>
    <row r="539">
      <c r="A539" s="302"/>
      <c r="B539" s="303"/>
      <c r="C539" s="304"/>
      <c r="D539" s="365"/>
      <c r="E539" s="302"/>
      <c r="F539" s="303"/>
      <c r="G539" s="304"/>
      <c r="H539" s="365"/>
      <c r="I539" s="302"/>
      <c r="J539" s="303"/>
      <c r="K539" s="304"/>
      <c r="L539" s="365"/>
      <c r="M539" s="302"/>
      <c r="N539" s="303"/>
      <c r="O539" s="304"/>
      <c r="P539" s="365"/>
      <c r="Q539" s="186"/>
      <c r="R539" s="18"/>
      <c r="S539" s="374"/>
      <c r="T539" s="372"/>
      <c r="U539" s="186"/>
      <c r="V539" s="18"/>
      <c r="W539" s="374"/>
      <c r="X539" s="372"/>
      <c r="Y539" s="186"/>
      <c r="Z539" s="18"/>
      <c r="AA539" s="374"/>
      <c r="AB539" s="372"/>
      <c r="AC539" s="186"/>
      <c r="AD539" s="18"/>
      <c r="AE539" s="374"/>
      <c r="AF539" s="372"/>
      <c r="AG539" s="188"/>
      <c r="AH539" s="188"/>
      <c r="AI539" s="188"/>
      <c r="AJ539" s="188"/>
      <c r="AK539" s="365"/>
      <c r="AL539" s="365"/>
      <c r="AM539" s="365"/>
      <c r="AN539" s="365"/>
      <c r="AO539" s="365"/>
      <c r="AP539" s="365"/>
    </row>
    <row r="540">
      <c r="A540" s="302"/>
      <c r="B540" s="303"/>
      <c r="C540" s="304"/>
      <c r="D540" s="365"/>
      <c r="E540" s="302"/>
      <c r="F540" s="303"/>
      <c r="G540" s="304"/>
      <c r="H540" s="365"/>
      <c r="I540" s="302"/>
      <c r="J540" s="303"/>
      <c r="K540" s="304"/>
      <c r="L540" s="365"/>
      <c r="M540" s="302"/>
      <c r="N540" s="303"/>
      <c r="O540" s="304"/>
      <c r="P540" s="365"/>
      <c r="Q540" s="186"/>
      <c r="R540" s="18"/>
      <c r="S540" s="374"/>
      <c r="T540" s="372"/>
      <c r="U540" s="186"/>
      <c r="V540" s="18"/>
      <c r="W540" s="374"/>
      <c r="X540" s="372"/>
      <c r="Y540" s="186"/>
      <c r="Z540" s="18"/>
      <c r="AA540" s="374"/>
      <c r="AB540" s="372"/>
      <c r="AC540" s="186"/>
      <c r="AD540" s="18"/>
      <c r="AE540" s="374"/>
      <c r="AF540" s="372"/>
      <c r="AG540" s="188"/>
      <c r="AH540" s="188"/>
      <c r="AI540" s="188"/>
      <c r="AJ540" s="188"/>
      <c r="AK540" s="365"/>
      <c r="AL540" s="365"/>
      <c r="AM540" s="365"/>
      <c r="AN540" s="365"/>
      <c r="AO540" s="365"/>
      <c r="AP540" s="365"/>
    </row>
    <row r="541">
      <c r="A541" s="302"/>
      <c r="B541" s="303"/>
      <c r="C541" s="304"/>
      <c r="D541" s="365"/>
      <c r="E541" s="302"/>
      <c r="F541" s="303"/>
      <c r="G541" s="304"/>
      <c r="H541" s="365"/>
      <c r="I541" s="302"/>
      <c r="J541" s="303"/>
      <c r="K541" s="304"/>
      <c r="L541" s="365"/>
      <c r="M541" s="302"/>
      <c r="N541" s="303"/>
      <c r="O541" s="304"/>
      <c r="P541" s="365"/>
      <c r="Q541" s="186"/>
      <c r="R541" s="18"/>
      <c r="S541" s="374"/>
      <c r="T541" s="372"/>
      <c r="U541" s="186"/>
      <c r="V541" s="18"/>
      <c r="W541" s="374"/>
      <c r="X541" s="372"/>
      <c r="Y541" s="186"/>
      <c r="Z541" s="18"/>
      <c r="AA541" s="374"/>
      <c r="AB541" s="372"/>
      <c r="AC541" s="186"/>
      <c r="AD541" s="18"/>
      <c r="AE541" s="374"/>
      <c r="AF541" s="372"/>
      <c r="AG541" s="188"/>
      <c r="AH541" s="188"/>
      <c r="AI541" s="188"/>
      <c r="AJ541" s="188"/>
      <c r="AK541" s="365"/>
      <c r="AL541" s="365"/>
      <c r="AM541" s="365"/>
      <c r="AN541" s="365"/>
      <c r="AO541" s="365"/>
      <c r="AP541" s="365"/>
    </row>
    <row r="542">
      <c r="A542" s="302"/>
      <c r="B542" s="303"/>
      <c r="C542" s="304"/>
      <c r="D542" s="365"/>
      <c r="E542" s="302"/>
      <c r="F542" s="303"/>
      <c r="G542" s="304"/>
      <c r="H542" s="365"/>
      <c r="I542" s="302"/>
      <c r="J542" s="303"/>
      <c r="K542" s="304"/>
      <c r="L542" s="365"/>
      <c r="M542" s="302"/>
      <c r="N542" s="303"/>
      <c r="O542" s="304"/>
      <c r="P542" s="365"/>
      <c r="Q542" s="186"/>
      <c r="R542" s="18"/>
      <c r="S542" s="374"/>
      <c r="T542" s="372"/>
      <c r="U542" s="186"/>
      <c r="V542" s="18"/>
      <c r="W542" s="374"/>
      <c r="X542" s="372"/>
      <c r="Y542" s="186"/>
      <c r="Z542" s="18"/>
      <c r="AA542" s="374"/>
      <c r="AB542" s="372"/>
      <c r="AC542" s="186"/>
      <c r="AD542" s="18"/>
      <c r="AE542" s="374"/>
      <c r="AF542" s="372"/>
      <c r="AG542" s="188"/>
      <c r="AH542" s="188"/>
      <c r="AI542" s="188"/>
      <c r="AJ542" s="188"/>
      <c r="AK542" s="365"/>
      <c r="AL542" s="365"/>
      <c r="AM542" s="365"/>
      <c r="AN542" s="365"/>
      <c r="AO542" s="365"/>
      <c r="AP542" s="365"/>
    </row>
    <row r="543">
      <c r="A543" s="302"/>
      <c r="B543" s="303"/>
      <c r="C543" s="304"/>
      <c r="D543" s="365"/>
      <c r="E543" s="302"/>
      <c r="F543" s="303"/>
      <c r="G543" s="304"/>
      <c r="H543" s="365"/>
      <c r="I543" s="302"/>
      <c r="J543" s="303"/>
      <c r="K543" s="304"/>
      <c r="L543" s="365"/>
      <c r="M543" s="302"/>
      <c r="N543" s="303"/>
      <c r="O543" s="304"/>
      <c r="P543" s="365"/>
      <c r="Q543" s="186"/>
      <c r="R543" s="18"/>
      <c r="S543" s="374"/>
      <c r="T543" s="372"/>
      <c r="U543" s="186"/>
      <c r="V543" s="18"/>
      <c r="W543" s="374"/>
      <c r="X543" s="372"/>
      <c r="Y543" s="186"/>
      <c r="Z543" s="18"/>
      <c r="AA543" s="374"/>
      <c r="AB543" s="372"/>
      <c r="AC543" s="186"/>
      <c r="AD543" s="18"/>
      <c r="AE543" s="374"/>
      <c r="AF543" s="372"/>
      <c r="AG543" s="188"/>
      <c r="AH543" s="188"/>
      <c r="AI543" s="188"/>
      <c r="AJ543" s="188"/>
      <c r="AK543" s="365"/>
      <c r="AL543" s="365"/>
      <c r="AM543" s="365"/>
      <c r="AN543" s="365"/>
      <c r="AO543" s="365"/>
      <c r="AP543" s="365"/>
    </row>
    <row r="544">
      <c r="A544" s="302"/>
      <c r="B544" s="303"/>
      <c r="C544" s="304"/>
      <c r="D544" s="365"/>
      <c r="E544" s="302"/>
      <c r="F544" s="303"/>
      <c r="G544" s="304"/>
      <c r="H544" s="365"/>
      <c r="I544" s="302"/>
      <c r="J544" s="303"/>
      <c r="K544" s="304"/>
      <c r="L544" s="365"/>
      <c r="M544" s="302"/>
      <c r="N544" s="303"/>
      <c r="O544" s="304"/>
      <c r="P544" s="365"/>
      <c r="Q544" s="186"/>
      <c r="R544" s="18"/>
      <c r="S544" s="374"/>
      <c r="T544" s="372"/>
      <c r="U544" s="186"/>
      <c r="V544" s="18"/>
      <c r="W544" s="374"/>
      <c r="X544" s="372"/>
      <c r="Y544" s="186"/>
      <c r="Z544" s="18"/>
      <c r="AA544" s="374"/>
      <c r="AB544" s="372"/>
      <c r="AC544" s="186"/>
      <c r="AD544" s="18"/>
      <c r="AE544" s="374"/>
      <c r="AF544" s="372"/>
      <c r="AG544" s="188"/>
      <c r="AH544" s="188"/>
      <c r="AI544" s="188"/>
      <c r="AJ544" s="188"/>
      <c r="AK544" s="365"/>
      <c r="AL544" s="365"/>
      <c r="AM544" s="365"/>
      <c r="AN544" s="365"/>
      <c r="AO544" s="365"/>
      <c r="AP544" s="365"/>
    </row>
    <row r="545">
      <c r="A545" s="302"/>
      <c r="B545" s="303"/>
      <c r="C545" s="304"/>
      <c r="D545" s="365"/>
      <c r="E545" s="302"/>
      <c r="F545" s="303"/>
      <c r="G545" s="304"/>
      <c r="H545" s="365"/>
      <c r="I545" s="302"/>
      <c r="J545" s="303"/>
      <c r="K545" s="304"/>
      <c r="L545" s="365"/>
      <c r="M545" s="302"/>
      <c r="N545" s="303"/>
      <c r="O545" s="304"/>
      <c r="P545" s="365"/>
      <c r="Q545" s="186"/>
      <c r="R545" s="18"/>
      <c r="S545" s="374"/>
      <c r="T545" s="372"/>
      <c r="U545" s="186"/>
      <c r="V545" s="18"/>
      <c r="W545" s="374"/>
      <c r="X545" s="372"/>
      <c r="Y545" s="186"/>
      <c r="Z545" s="18"/>
      <c r="AA545" s="374"/>
      <c r="AB545" s="372"/>
      <c r="AC545" s="186"/>
      <c r="AD545" s="18"/>
      <c r="AE545" s="374"/>
      <c r="AF545" s="372"/>
      <c r="AG545" s="188"/>
      <c r="AH545" s="188"/>
      <c r="AI545" s="188"/>
      <c r="AJ545" s="188"/>
      <c r="AK545" s="365"/>
      <c r="AL545" s="365"/>
      <c r="AM545" s="365"/>
      <c r="AN545" s="365"/>
      <c r="AO545" s="365"/>
      <c r="AP545" s="365"/>
    </row>
    <row r="546">
      <c r="A546" s="302"/>
      <c r="B546" s="303"/>
      <c r="C546" s="304"/>
      <c r="D546" s="365"/>
      <c r="E546" s="302"/>
      <c r="F546" s="303"/>
      <c r="G546" s="304"/>
      <c r="H546" s="365"/>
      <c r="I546" s="302"/>
      <c r="J546" s="303"/>
      <c r="K546" s="304"/>
      <c r="L546" s="365"/>
      <c r="M546" s="302"/>
      <c r="N546" s="303"/>
      <c r="O546" s="304"/>
      <c r="P546" s="365"/>
      <c r="Q546" s="186"/>
      <c r="R546" s="18"/>
      <c r="S546" s="374"/>
      <c r="T546" s="372"/>
      <c r="U546" s="186"/>
      <c r="V546" s="18"/>
      <c r="W546" s="374"/>
      <c r="X546" s="372"/>
      <c r="Y546" s="186"/>
      <c r="Z546" s="18"/>
      <c r="AA546" s="374"/>
      <c r="AB546" s="372"/>
      <c r="AC546" s="186"/>
      <c r="AD546" s="18"/>
      <c r="AE546" s="374"/>
      <c r="AF546" s="372"/>
      <c r="AG546" s="188"/>
      <c r="AH546" s="188"/>
      <c r="AI546" s="188"/>
      <c r="AJ546" s="188"/>
      <c r="AK546" s="365"/>
      <c r="AL546" s="365"/>
      <c r="AM546" s="365"/>
      <c r="AN546" s="365"/>
      <c r="AO546" s="365"/>
      <c r="AP546" s="365"/>
    </row>
    <row r="547">
      <c r="A547" s="302"/>
      <c r="B547" s="303"/>
      <c r="C547" s="304"/>
      <c r="D547" s="365"/>
      <c r="E547" s="302"/>
      <c r="F547" s="303"/>
      <c r="G547" s="304"/>
      <c r="H547" s="365"/>
      <c r="I547" s="302"/>
      <c r="J547" s="303"/>
      <c r="K547" s="304"/>
      <c r="L547" s="365"/>
      <c r="M547" s="302"/>
      <c r="N547" s="303"/>
      <c r="O547" s="304"/>
      <c r="P547" s="365"/>
      <c r="Q547" s="186"/>
      <c r="R547" s="18"/>
      <c r="S547" s="374"/>
      <c r="T547" s="372"/>
      <c r="U547" s="186"/>
      <c r="V547" s="18"/>
      <c r="W547" s="374"/>
      <c r="X547" s="372"/>
      <c r="Y547" s="186"/>
      <c r="Z547" s="18"/>
      <c r="AA547" s="374"/>
      <c r="AB547" s="372"/>
      <c r="AC547" s="186"/>
      <c r="AD547" s="18"/>
      <c r="AE547" s="374"/>
      <c r="AF547" s="372"/>
      <c r="AG547" s="188"/>
      <c r="AH547" s="188"/>
      <c r="AI547" s="188"/>
      <c r="AJ547" s="188"/>
      <c r="AK547" s="365"/>
      <c r="AL547" s="365"/>
      <c r="AM547" s="365"/>
      <c r="AN547" s="365"/>
      <c r="AO547" s="365"/>
      <c r="AP547" s="365"/>
    </row>
    <row r="548">
      <c r="A548" s="302"/>
      <c r="B548" s="303"/>
      <c r="C548" s="304"/>
      <c r="D548" s="365"/>
      <c r="E548" s="302"/>
      <c r="F548" s="303"/>
      <c r="G548" s="304"/>
      <c r="H548" s="365"/>
      <c r="I548" s="302"/>
      <c r="J548" s="303"/>
      <c r="K548" s="304"/>
      <c r="L548" s="365"/>
      <c r="M548" s="302"/>
      <c r="N548" s="303"/>
      <c r="O548" s="304"/>
      <c r="P548" s="365"/>
      <c r="Q548" s="186"/>
      <c r="R548" s="18"/>
      <c r="S548" s="374"/>
      <c r="T548" s="372"/>
      <c r="U548" s="186"/>
      <c r="V548" s="18"/>
      <c r="W548" s="374"/>
      <c r="X548" s="372"/>
      <c r="Y548" s="186"/>
      <c r="Z548" s="18"/>
      <c r="AA548" s="374"/>
      <c r="AB548" s="372"/>
      <c r="AC548" s="186"/>
      <c r="AD548" s="18"/>
      <c r="AE548" s="374"/>
      <c r="AF548" s="372"/>
      <c r="AG548" s="188"/>
      <c r="AH548" s="188"/>
      <c r="AI548" s="188"/>
      <c r="AJ548" s="188"/>
      <c r="AK548" s="365"/>
      <c r="AL548" s="365"/>
      <c r="AM548" s="365"/>
      <c r="AN548" s="365"/>
      <c r="AO548" s="365"/>
      <c r="AP548" s="365"/>
    </row>
    <row r="549">
      <c r="A549" s="302"/>
      <c r="B549" s="303"/>
      <c r="C549" s="304"/>
      <c r="D549" s="365"/>
      <c r="E549" s="302"/>
      <c r="F549" s="303"/>
      <c r="G549" s="304"/>
      <c r="H549" s="365"/>
      <c r="I549" s="302"/>
      <c r="J549" s="303"/>
      <c r="K549" s="304"/>
      <c r="L549" s="365"/>
      <c r="M549" s="302"/>
      <c r="N549" s="303"/>
      <c r="O549" s="304"/>
      <c r="P549" s="365"/>
      <c r="Q549" s="186"/>
      <c r="R549" s="18"/>
      <c r="S549" s="374"/>
      <c r="T549" s="372"/>
      <c r="U549" s="186"/>
      <c r="V549" s="18"/>
      <c r="W549" s="374"/>
      <c r="X549" s="372"/>
      <c r="Y549" s="186"/>
      <c r="Z549" s="18"/>
      <c r="AA549" s="374"/>
      <c r="AB549" s="372"/>
      <c r="AC549" s="186"/>
      <c r="AD549" s="18"/>
      <c r="AE549" s="374"/>
      <c r="AF549" s="372"/>
      <c r="AG549" s="188"/>
      <c r="AH549" s="188"/>
      <c r="AI549" s="188"/>
      <c r="AJ549" s="188"/>
      <c r="AK549" s="365"/>
      <c r="AL549" s="365"/>
      <c r="AM549" s="365"/>
      <c r="AN549" s="365"/>
      <c r="AO549" s="365"/>
      <c r="AP549" s="365"/>
    </row>
    <row r="550">
      <c r="A550" s="302"/>
      <c r="B550" s="303"/>
      <c r="C550" s="304"/>
      <c r="D550" s="365"/>
      <c r="E550" s="302"/>
      <c r="F550" s="303"/>
      <c r="G550" s="304"/>
      <c r="H550" s="365"/>
      <c r="I550" s="302"/>
      <c r="J550" s="303"/>
      <c r="K550" s="304"/>
      <c r="L550" s="365"/>
      <c r="M550" s="302"/>
      <c r="N550" s="303"/>
      <c r="O550" s="304"/>
      <c r="P550" s="365"/>
      <c r="Q550" s="186"/>
      <c r="R550" s="18"/>
      <c r="S550" s="374"/>
      <c r="T550" s="372"/>
      <c r="U550" s="186"/>
      <c r="V550" s="18"/>
      <c r="W550" s="374"/>
      <c r="X550" s="372"/>
      <c r="Y550" s="186"/>
      <c r="Z550" s="18"/>
      <c r="AA550" s="374"/>
      <c r="AB550" s="372"/>
      <c r="AC550" s="186"/>
      <c r="AD550" s="18"/>
      <c r="AE550" s="374"/>
      <c r="AF550" s="372"/>
      <c r="AG550" s="188"/>
      <c r="AH550" s="188"/>
      <c r="AI550" s="188"/>
      <c r="AJ550" s="188"/>
      <c r="AK550" s="365"/>
      <c r="AL550" s="365"/>
      <c r="AM550" s="365"/>
      <c r="AN550" s="365"/>
      <c r="AO550" s="365"/>
      <c r="AP550" s="365"/>
    </row>
    <row r="551">
      <c r="A551" s="302"/>
      <c r="B551" s="303"/>
      <c r="C551" s="304"/>
      <c r="D551" s="365"/>
      <c r="E551" s="302"/>
      <c r="F551" s="303"/>
      <c r="G551" s="304"/>
      <c r="H551" s="365"/>
      <c r="I551" s="302"/>
      <c r="J551" s="303"/>
      <c r="K551" s="304"/>
      <c r="L551" s="365"/>
      <c r="M551" s="302"/>
      <c r="N551" s="303"/>
      <c r="O551" s="304"/>
      <c r="P551" s="365"/>
      <c r="Q551" s="186"/>
      <c r="R551" s="18"/>
      <c r="S551" s="374"/>
      <c r="T551" s="372"/>
      <c r="U551" s="186"/>
      <c r="V551" s="18"/>
      <c r="W551" s="374"/>
      <c r="X551" s="372"/>
      <c r="Y551" s="186"/>
      <c r="Z551" s="18"/>
      <c r="AA551" s="374"/>
      <c r="AB551" s="372"/>
      <c r="AC551" s="186"/>
      <c r="AD551" s="18"/>
      <c r="AE551" s="374"/>
      <c r="AF551" s="372"/>
      <c r="AG551" s="188"/>
      <c r="AH551" s="188"/>
      <c r="AI551" s="188"/>
      <c r="AJ551" s="188"/>
      <c r="AK551" s="365"/>
      <c r="AL551" s="365"/>
      <c r="AM551" s="365"/>
      <c r="AN551" s="365"/>
      <c r="AO551" s="365"/>
      <c r="AP551" s="365"/>
    </row>
    <row r="552">
      <c r="A552" s="302"/>
      <c r="B552" s="303"/>
      <c r="C552" s="304"/>
      <c r="D552" s="365"/>
      <c r="E552" s="302"/>
      <c r="F552" s="303"/>
      <c r="G552" s="304"/>
      <c r="H552" s="365"/>
      <c r="I552" s="302"/>
      <c r="J552" s="303"/>
      <c r="K552" s="304"/>
      <c r="L552" s="365"/>
      <c r="M552" s="302"/>
      <c r="N552" s="303"/>
      <c r="O552" s="304"/>
      <c r="P552" s="365"/>
      <c r="Q552" s="186"/>
      <c r="R552" s="18"/>
      <c r="S552" s="374"/>
      <c r="T552" s="372"/>
      <c r="U552" s="186"/>
      <c r="V552" s="18"/>
      <c r="W552" s="374"/>
      <c r="X552" s="372"/>
      <c r="Y552" s="186"/>
      <c r="Z552" s="18"/>
      <c r="AA552" s="374"/>
      <c r="AB552" s="372"/>
      <c r="AC552" s="186"/>
      <c r="AD552" s="18"/>
      <c r="AE552" s="374"/>
      <c r="AF552" s="372"/>
      <c r="AG552" s="188"/>
      <c r="AH552" s="188"/>
      <c r="AI552" s="188"/>
      <c r="AJ552" s="188"/>
      <c r="AK552" s="365"/>
      <c r="AL552" s="365"/>
      <c r="AM552" s="365"/>
      <c r="AN552" s="365"/>
      <c r="AO552" s="365"/>
      <c r="AP552" s="365"/>
    </row>
    <row r="553">
      <c r="A553" s="302"/>
      <c r="B553" s="303"/>
      <c r="C553" s="304"/>
      <c r="D553" s="365"/>
      <c r="E553" s="302"/>
      <c r="F553" s="303"/>
      <c r="G553" s="304"/>
      <c r="H553" s="365"/>
      <c r="I553" s="302"/>
      <c r="J553" s="303"/>
      <c r="K553" s="304"/>
      <c r="L553" s="365"/>
      <c r="M553" s="302"/>
      <c r="N553" s="303"/>
      <c r="O553" s="304"/>
      <c r="P553" s="365"/>
      <c r="Q553" s="186"/>
      <c r="R553" s="18"/>
      <c r="S553" s="374"/>
      <c r="T553" s="372"/>
      <c r="U553" s="186"/>
      <c r="V553" s="18"/>
      <c r="W553" s="374"/>
      <c r="X553" s="372"/>
      <c r="Y553" s="186"/>
      <c r="Z553" s="18"/>
      <c r="AA553" s="374"/>
      <c r="AB553" s="372"/>
      <c r="AC553" s="186"/>
      <c r="AD553" s="18"/>
      <c r="AE553" s="374"/>
      <c r="AF553" s="372"/>
      <c r="AG553" s="188"/>
      <c r="AH553" s="188"/>
      <c r="AI553" s="188"/>
      <c r="AJ553" s="188"/>
      <c r="AK553" s="365"/>
      <c r="AL553" s="365"/>
      <c r="AM553" s="365"/>
      <c r="AN553" s="365"/>
      <c r="AO553" s="365"/>
      <c r="AP553" s="365"/>
    </row>
    <row r="554">
      <c r="A554" s="302"/>
      <c r="B554" s="303"/>
      <c r="C554" s="304"/>
      <c r="D554" s="365"/>
      <c r="E554" s="302"/>
      <c r="F554" s="303"/>
      <c r="G554" s="304"/>
      <c r="H554" s="365"/>
      <c r="I554" s="302"/>
      <c r="J554" s="303"/>
      <c r="K554" s="304"/>
      <c r="L554" s="365"/>
      <c r="M554" s="302"/>
      <c r="N554" s="303"/>
      <c r="O554" s="304"/>
      <c r="P554" s="365"/>
      <c r="Q554" s="186"/>
      <c r="R554" s="18"/>
      <c r="S554" s="374"/>
      <c r="T554" s="372"/>
      <c r="U554" s="186"/>
      <c r="V554" s="18"/>
      <c r="W554" s="374"/>
      <c r="X554" s="372"/>
      <c r="Y554" s="186"/>
      <c r="Z554" s="18"/>
      <c r="AA554" s="374"/>
      <c r="AB554" s="372"/>
      <c r="AC554" s="186"/>
      <c r="AD554" s="18"/>
      <c r="AE554" s="374"/>
      <c r="AF554" s="372"/>
      <c r="AG554" s="188"/>
      <c r="AH554" s="188"/>
      <c r="AI554" s="188"/>
      <c r="AJ554" s="188"/>
      <c r="AK554" s="365"/>
      <c r="AL554" s="365"/>
      <c r="AM554" s="365"/>
      <c r="AN554" s="365"/>
      <c r="AO554" s="365"/>
      <c r="AP554" s="365"/>
    </row>
    <row r="555">
      <c r="A555" s="302"/>
      <c r="B555" s="303"/>
      <c r="C555" s="304"/>
      <c r="D555" s="365"/>
      <c r="E555" s="302"/>
      <c r="F555" s="303"/>
      <c r="G555" s="304"/>
      <c r="H555" s="365"/>
      <c r="I555" s="302"/>
      <c r="J555" s="303"/>
      <c r="K555" s="304"/>
      <c r="L555" s="365"/>
      <c r="M555" s="302"/>
      <c r="N555" s="303"/>
      <c r="O555" s="304"/>
      <c r="P555" s="365"/>
      <c r="Q555" s="186"/>
      <c r="R555" s="18"/>
      <c r="S555" s="374"/>
      <c r="T555" s="372"/>
      <c r="U555" s="186"/>
      <c r="V555" s="18"/>
      <c r="W555" s="374"/>
      <c r="X555" s="372"/>
      <c r="Y555" s="186"/>
      <c r="Z555" s="18"/>
      <c r="AA555" s="374"/>
      <c r="AB555" s="372"/>
      <c r="AC555" s="186"/>
      <c r="AD555" s="18"/>
      <c r="AE555" s="374"/>
      <c r="AF555" s="372"/>
      <c r="AG555" s="188"/>
      <c r="AH555" s="188"/>
      <c r="AI555" s="188"/>
      <c r="AJ555" s="188"/>
      <c r="AK555" s="365"/>
      <c r="AL555" s="365"/>
      <c r="AM555" s="365"/>
      <c r="AN555" s="365"/>
      <c r="AO555" s="365"/>
      <c r="AP555" s="365"/>
    </row>
    <row r="556">
      <c r="A556" s="302"/>
      <c r="B556" s="303"/>
      <c r="C556" s="304"/>
      <c r="D556" s="365"/>
      <c r="E556" s="302"/>
      <c r="F556" s="303"/>
      <c r="G556" s="304"/>
      <c r="H556" s="365"/>
      <c r="I556" s="302"/>
      <c r="J556" s="303"/>
      <c r="K556" s="304"/>
      <c r="L556" s="365"/>
      <c r="M556" s="302"/>
      <c r="N556" s="303"/>
      <c r="O556" s="304"/>
      <c r="P556" s="365"/>
      <c r="Q556" s="186"/>
      <c r="R556" s="18"/>
      <c r="S556" s="374"/>
      <c r="T556" s="372"/>
      <c r="U556" s="186"/>
      <c r="V556" s="18"/>
      <c r="W556" s="374"/>
      <c r="X556" s="372"/>
      <c r="Y556" s="186"/>
      <c r="Z556" s="18"/>
      <c r="AA556" s="374"/>
      <c r="AB556" s="372"/>
      <c r="AC556" s="186"/>
      <c r="AD556" s="18"/>
      <c r="AE556" s="374"/>
      <c r="AF556" s="372"/>
      <c r="AG556" s="188"/>
      <c r="AH556" s="188"/>
      <c r="AI556" s="188"/>
      <c r="AJ556" s="188"/>
      <c r="AK556" s="365"/>
      <c r="AL556" s="365"/>
      <c r="AM556" s="365"/>
      <c r="AN556" s="365"/>
      <c r="AO556" s="365"/>
      <c r="AP556" s="365"/>
    </row>
    <row r="557">
      <c r="A557" s="302"/>
      <c r="B557" s="303"/>
      <c r="C557" s="304"/>
      <c r="D557" s="365"/>
      <c r="E557" s="302"/>
      <c r="F557" s="303"/>
      <c r="G557" s="304"/>
      <c r="H557" s="365"/>
      <c r="I557" s="302"/>
      <c r="J557" s="303"/>
      <c r="K557" s="304"/>
      <c r="L557" s="365"/>
      <c r="M557" s="302"/>
      <c r="N557" s="303"/>
      <c r="O557" s="304"/>
      <c r="P557" s="365"/>
      <c r="Q557" s="186"/>
      <c r="R557" s="18"/>
      <c r="S557" s="374"/>
      <c r="T557" s="372"/>
      <c r="U557" s="186"/>
      <c r="V557" s="18"/>
      <c r="W557" s="374"/>
      <c r="X557" s="372"/>
      <c r="Y557" s="186"/>
      <c r="Z557" s="18"/>
      <c r="AA557" s="374"/>
      <c r="AB557" s="372"/>
      <c r="AC557" s="186"/>
      <c r="AD557" s="18"/>
      <c r="AE557" s="374"/>
      <c r="AF557" s="372"/>
      <c r="AG557" s="188"/>
      <c r="AH557" s="188"/>
      <c r="AI557" s="188"/>
      <c r="AJ557" s="188"/>
      <c r="AK557" s="365"/>
      <c r="AL557" s="365"/>
      <c r="AM557" s="365"/>
      <c r="AN557" s="365"/>
      <c r="AO557" s="365"/>
      <c r="AP557" s="365"/>
    </row>
    <row r="558">
      <c r="A558" s="302"/>
      <c r="B558" s="303"/>
      <c r="C558" s="304"/>
      <c r="D558" s="365"/>
      <c r="E558" s="302"/>
      <c r="F558" s="303"/>
      <c r="G558" s="304"/>
      <c r="H558" s="365"/>
      <c r="I558" s="302"/>
      <c r="J558" s="303"/>
      <c r="K558" s="304"/>
      <c r="L558" s="365"/>
      <c r="M558" s="302"/>
      <c r="N558" s="303"/>
      <c r="O558" s="304"/>
      <c r="P558" s="365"/>
      <c r="Q558" s="186"/>
      <c r="R558" s="18"/>
      <c r="S558" s="374"/>
      <c r="T558" s="372"/>
      <c r="U558" s="186"/>
      <c r="V558" s="18"/>
      <c r="W558" s="374"/>
      <c r="X558" s="372"/>
      <c r="Y558" s="186"/>
      <c r="Z558" s="18"/>
      <c r="AA558" s="374"/>
      <c r="AB558" s="372"/>
      <c r="AC558" s="186"/>
      <c r="AD558" s="18"/>
      <c r="AE558" s="374"/>
      <c r="AF558" s="372"/>
      <c r="AG558" s="188"/>
      <c r="AH558" s="188"/>
      <c r="AI558" s="188"/>
      <c r="AJ558" s="188"/>
      <c r="AK558" s="365"/>
      <c r="AL558" s="365"/>
      <c r="AM558" s="365"/>
      <c r="AN558" s="365"/>
      <c r="AO558" s="365"/>
      <c r="AP558" s="365"/>
    </row>
    <row r="559">
      <c r="A559" s="302"/>
      <c r="B559" s="303"/>
      <c r="C559" s="304"/>
      <c r="D559" s="365"/>
      <c r="E559" s="302"/>
      <c r="F559" s="303"/>
      <c r="G559" s="304"/>
      <c r="H559" s="365"/>
      <c r="I559" s="302"/>
      <c r="J559" s="303"/>
      <c r="K559" s="304"/>
      <c r="L559" s="365"/>
      <c r="M559" s="302"/>
      <c r="N559" s="303"/>
      <c r="O559" s="304"/>
      <c r="P559" s="365"/>
      <c r="Q559" s="186"/>
      <c r="R559" s="18"/>
      <c r="S559" s="374"/>
      <c r="T559" s="372"/>
      <c r="U559" s="186"/>
      <c r="V559" s="18"/>
      <c r="W559" s="374"/>
      <c r="X559" s="372"/>
      <c r="Y559" s="186"/>
      <c r="Z559" s="18"/>
      <c r="AA559" s="374"/>
      <c r="AB559" s="372"/>
      <c r="AC559" s="186"/>
      <c r="AD559" s="18"/>
      <c r="AE559" s="374"/>
      <c r="AF559" s="372"/>
      <c r="AG559" s="188"/>
      <c r="AH559" s="188"/>
      <c r="AI559" s="188"/>
      <c r="AJ559" s="188"/>
      <c r="AK559" s="365"/>
      <c r="AL559" s="365"/>
      <c r="AM559" s="365"/>
      <c r="AN559" s="365"/>
      <c r="AO559" s="365"/>
      <c r="AP559" s="365"/>
    </row>
    <row r="560">
      <c r="A560" s="302"/>
      <c r="B560" s="303"/>
      <c r="C560" s="304"/>
      <c r="D560" s="365"/>
      <c r="E560" s="302"/>
      <c r="F560" s="303"/>
      <c r="G560" s="304"/>
      <c r="H560" s="365"/>
      <c r="I560" s="302"/>
      <c r="J560" s="303"/>
      <c r="K560" s="304"/>
      <c r="L560" s="365"/>
      <c r="M560" s="302"/>
      <c r="N560" s="303"/>
      <c r="O560" s="304"/>
      <c r="P560" s="365"/>
      <c r="Q560" s="186"/>
      <c r="R560" s="18"/>
      <c r="S560" s="374"/>
      <c r="T560" s="372"/>
      <c r="U560" s="186"/>
      <c r="V560" s="18"/>
      <c r="W560" s="374"/>
      <c r="X560" s="372"/>
      <c r="Y560" s="186"/>
      <c r="Z560" s="18"/>
      <c r="AA560" s="374"/>
      <c r="AB560" s="372"/>
      <c r="AC560" s="186"/>
      <c r="AD560" s="18"/>
      <c r="AE560" s="374"/>
      <c r="AF560" s="372"/>
      <c r="AG560" s="188"/>
      <c r="AH560" s="188"/>
      <c r="AI560" s="188"/>
      <c r="AJ560" s="188"/>
      <c r="AK560" s="365"/>
      <c r="AL560" s="365"/>
      <c r="AM560" s="365"/>
      <c r="AN560" s="365"/>
      <c r="AO560" s="365"/>
      <c r="AP560" s="365"/>
    </row>
    <row r="561">
      <c r="A561" s="302"/>
      <c r="B561" s="303"/>
      <c r="C561" s="304"/>
      <c r="D561" s="365"/>
      <c r="E561" s="302"/>
      <c r="F561" s="303"/>
      <c r="G561" s="304"/>
      <c r="H561" s="365"/>
      <c r="I561" s="302"/>
      <c r="J561" s="303"/>
      <c r="K561" s="304"/>
      <c r="L561" s="365"/>
      <c r="M561" s="302"/>
      <c r="N561" s="303"/>
      <c r="O561" s="304"/>
      <c r="P561" s="365"/>
      <c r="Q561" s="186"/>
      <c r="R561" s="18"/>
      <c r="S561" s="374"/>
      <c r="T561" s="372"/>
      <c r="U561" s="186"/>
      <c r="V561" s="18"/>
      <c r="W561" s="374"/>
      <c r="X561" s="372"/>
      <c r="Y561" s="186"/>
      <c r="Z561" s="18"/>
      <c r="AA561" s="374"/>
      <c r="AB561" s="372"/>
      <c r="AC561" s="186"/>
      <c r="AD561" s="18"/>
      <c r="AE561" s="374"/>
      <c r="AF561" s="372"/>
      <c r="AG561" s="188"/>
      <c r="AH561" s="188"/>
      <c r="AI561" s="188"/>
      <c r="AJ561" s="188"/>
      <c r="AK561" s="365"/>
      <c r="AL561" s="365"/>
      <c r="AM561" s="365"/>
      <c r="AN561" s="365"/>
      <c r="AO561" s="365"/>
      <c r="AP561" s="365"/>
    </row>
    <row r="562">
      <c r="A562" s="302"/>
      <c r="B562" s="303"/>
      <c r="C562" s="304"/>
      <c r="D562" s="365"/>
      <c r="E562" s="302"/>
      <c r="F562" s="303"/>
      <c r="G562" s="304"/>
      <c r="H562" s="365"/>
      <c r="I562" s="302"/>
      <c r="J562" s="303"/>
      <c r="K562" s="304"/>
      <c r="L562" s="365"/>
      <c r="M562" s="302"/>
      <c r="N562" s="303"/>
      <c r="O562" s="304"/>
      <c r="P562" s="365"/>
      <c r="Q562" s="186"/>
      <c r="R562" s="18"/>
      <c r="S562" s="374"/>
      <c r="T562" s="372"/>
      <c r="U562" s="186"/>
      <c r="V562" s="18"/>
      <c r="W562" s="374"/>
      <c r="X562" s="372"/>
      <c r="Y562" s="186"/>
      <c r="Z562" s="18"/>
      <c r="AA562" s="374"/>
      <c r="AB562" s="372"/>
      <c r="AC562" s="186"/>
      <c r="AD562" s="18"/>
      <c r="AE562" s="374"/>
      <c r="AF562" s="372"/>
      <c r="AG562" s="188"/>
      <c r="AH562" s="188"/>
      <c r="AI562" s="188"/>
      <c r="AJ562" s="188"/>
      <c r="AK562" s="365"/>
      <c r="AL562" s="365"/>
      <c r="AM562" s="365"/>
      <c r="AN562" s="365"/>
      <c r="AO562" s="365"/>
      <c r="AP562" s="365"/>
    </row>
    <row r="563">
      <c r="A563" s="302"/>
      <c r="B563" s="303"/>
      <c r="C563" s="304"/>
      <c r="D563" s="365"/>
      <c r="E563" s="302"/>
      <c r="F563" s="303"/>
      <c r="G563" s="304"/>
      <c r="H563" s="365"/>
      <c r="I563" s="302"/>
      <c r="J563" s="303"/>
      <c r="K563" s="304"/>
      <c r="L563" s="365"/>
      <c r="M563" s="302"/>
      <c r="N563" s="303"/>
      <c r="O563" s="304"/>
      <c r="P563" s="365"/>
      <c r="Q563" s="186"/>
      <c r="R563" s="18"/>
      <c r="S563" s="374"/>
      <c r="T563" s="372"/>
      <c r="U563" s="186"/>
      <c r="V563" s="18"/>
      <c r="W563" s="374"/>
      <c r="X563" s="372"/>
      <c r="Y563" s="186"/>
      <c r="Z563" s="18"/>
      <c r="AA563" s="374"/>
      <c r="AB563" s="372"/>
      <c r="AC563" s="186"/>
      <c r="AD563" s="18"/>
      <c r="AE563" s="374"/>
      <c r="AF563" s="372"/>
      <c r="AG563" s="188"/>
      <c r="AH563" s="188"/>
      <c r="AI563" s="188"/>
      <c r="AJ563" s="188"/>
      <c r="AK563" s="365"/>
      <c r="AL563" s="365"/>
      <c r="AM563" s="365"/>
      <c r="AN563" s="365"/>
      <c r="AO563" s="365"/>
      <c r="AP563" s="365"/>
    </row>
    <row r="564">
      <c r="A564" s="302"/>
      <c r="B564" s="303"/>
      <c r="C564" s="304"/>
      <c r="D564" s="365"/>
      <c r="E564" s="302"/>
      <c r="F564" s="303"/>
      <c r="G564" s="304"/>
      <c r="H564" s="365"/>
      <c r="I564" s="302"/>
      <c r="J564" s="303"/>
      <c r="K564" s="304"/>
      <c r="L564" s="365"/>
      <c r="M564" s="302"/>
      <c r="N564" s="303"/>
      <c r="O564" s="304"/>
      <c r="P564" s="365"/>
      <c r="Q564" s="186"/>
      <c r="R564" s="18"/>
      <c r="S564" s="374"/>
      <c r="T564" s="372"/>
      <c r="U564" s="186"/>
      <c r="V564" s="18"/>
      <c r="W564" s="374"/>
      <c r="X564" s="372"/>
      <c r="Y564" s="186"/>
      <c r="Z564" s="18"/>
      <c r="AA564" s="374"/>
      <c r="AB564" s="372"/>
      <c r="AC564" s="186"/>
      <c r="AD564" s="18"/>
      <c r="AE564" s="374"/>
      <c r="AF564" s="372"/>
      <c r="AG564" s="188"/>
      <c r="AH564" s="188"/>
      <c r="AI564" s="188"/>
      <c r="AJ564" s="188"/>
      <c r="AK564" s="365"/>
      <c r="AL564" s="365"/>
      <c r="AM564" s="365"/>
      <c r="AN564" s="365"/>
      <c r="AO564" s="365"/>
      <c r="AP564" s="365"/>
    </row>
    <row r="565">
      <c r="A565" s="302"/>
      <c r="B565" s="303"/>
      <c r="C565" s="304"/>
      <c r="D565" s="365"/>
      <c r="E565" s="302"/>
      <c r="F565" s="303"/>
      <c r="G565" s="304"/>
      <c r="H565" s="365"/>
      <c r="I565" s="302"/>
      <c r="J565" s="303"/>
      <c r="K565" s="304"/>
      <c r="L565" s="365"/>
      <c r="M565" s="302"/>
      <c r="N565" s="303"/>
      <c r="O565" s="304"/>
      <c r="P565" s="365"/>
      <c r="Q565" s="186"/>
      <c r="R565" s="18"/>
      <c r="S565" s="374"/>
      <c r="T565" s="372"/>
      <c r="U565" s="186"/>
      <c r="V565" s="18"/>
      <c r="W565" s="374"/>
      <c r="X565" s="372"/>
      <c r="Y565" s="186"/>
      <c r="Z565" s="18"/>
      <c r="AA565" s="374"/>
      <c r="AB565" s="372"/>
      <c r="AC565" s="186"/>
      <c r="AD565" s="18"/>
      <c r="AE565" s="374"/>
      <c r="AF565" s="372"/>
      <c r="AG565" s="188"/>
      <c r="AH565" s="188"/>
      <c r="AI565" s="188"/>
      <c r="AJ565" s="188"/>
      <c r="AK565" s="365"/>
      <c r="AL565" s="365"/>
      <c r="AM565" s="365"/>
      <c r="AN565" s="365"/>
      <c r="AO565" s="365"/>
      <c r="AP565" s="365"/>
    </row>
    <row r="566">
      <c r="A566" s="302"/>
      <c r="B566" s="303"/>
      <c r="C566" s="304"/>
      <c r="D566" s="365"/>
      <c r="E566" s="302"/>
      <c r="F566" s="303"/>
      <c r="G566" s="304"/>
      <c r="H566" s="365"/>
      <c r="I566" s="302"/>
      <c r="J566" s="303"/>
      <c r="K566" s="304"/>
      <c r="L566" s="365"/>
      <c r="M566" s="302"/>
      <c r="N566" s="303"/>
      <c r="O566" s="304"/>
      <c r="P566" s="365"/>
      <c r="Q566" s="186"/>
      <c r="R566" s="18"/>
      <c r="S566" s="374"/>
      <c r="T566" s="372"/>
      <c r="U566" s="186"/>
      <c r="V566" s="18"/>
      <c r="W566" s="374"/>
      <c r="X566" s="372"/>
      <c r="Y566" s="186"/>
      <c r="Z566" s="18"/>
      <c r="AA566" s="374"/>
      <c r="AB566" s="372"/>
      <c r="AC566" s="186"/>
      <c r="AD566" s="18"/>
      <c r="AE566" s="374"/>
      <c r="AF566" s="372"/>
      <c r="AG566" s="188"/>
      <c r="AH566" s="188"/>
      <c r="AI566" s="188"/>
      <c r="AJ566" s="188"/>
      <c r="AK566" s="365"/>
      <c r="AL566" s="365"/>
      <c r="AM566" s="365"/>
      <c r="AN566" s="365"/>
      <c r="AO566" s="365"/>
      <c r="AP566" s="365"/>
    </row>
    <row r="567">
      <c r="A567" s="302"/>
      <c r="B567" s="303"/>
      <c r="C567" s="304"/>
      <c r="D567" s="365"/>
      <c r="E567" s="302"/>
      <c r="F567" s="303"/>
      <c r="G567" s="304"/>
      <c r="H567" s="365"/>
      <c r="I567" s="302"/>
      <c r="J567" s="303"/>
      <c r="K567" s="304"/>
      <c r="L567" s="365"/>
      <c r="M567" s="302"/>
      <c r="N567" s="303"/>
      <c r="O567" s="304"/>
      <c r="P567" s="365"/>
      <c r="Q567" s="186"/>
      <c r="R567" s="18"/>
      <c r="S567" s="374"/>
      <c r="T567" s="372"/>
      <c r="U567" s="186"/>
      <c r="V567" s="18"/>
      <c r="W567" s="374"/>
      <c r="X567" s="372"/>
      <c r="Y567" s="186"/>
      <c r="Z567" s="18"/>
      <c r="AA567" s="374"/>
      <c r="AB567" s="372"/>
      <c r="AC567" s="186"/>
      <c r="AD567" s="18"/>
      <c r="AE567" s="374"/>
      <c r="AF567" s="372"/>
      <c r="AG567" s="188"/>
      <c r="AH567" s="188"/>
      <c r="AI567" s="188"/>
      <c r="AJ567" s="188"/>
      <c r="AK567" s="365"/>
      <c r="AL567" s="365"/>
      <c r="AM567" s="365"/>
      <c r="AN567" s="365"/>
      <c r="AO567" s="365"/>
      <c r="AP567" s="365"/>
    </row>
    <row r="568">
      <c r="A568" s="302"/>
      <c r="B568" s="303"/>
      <c r="C568" s="304"/>
      <c r="D568" s="365"/>
      <c r="E568" s="302"/>
      <c r="F568" s="303"/>
      <c r="G568" s="304"/>
      <c r="H568" s="365"/>
      <c r="I568" s="302"/>
      <c r="J568" s="303"/>
      <c r="K568" s="304"/>
      <c r="L568" s="365"/>
      <c r="M568" s="302"/>
      <c r="N568" s="303"/>
      <c r="O568" s="304"/>
      <c r="P568" s="365"/>
      <c r="Q568" s="186"/>
      <c r="R568" s="18"/>
      <c r="S568" s="374"/>
      <c r="T568" s="372"/>
      <c r="U568" s="186"/>
      <c r="V568" s="18"/>
      <c r="W568" s="374"/>
      <c r="X568" s="372"/>
      <c r="Y568" s="186"/>
      <c r="Z568" s="18"/>
      <c r="AA568" s="374"/>
      <c r="AB568" s="372"/>
      <c r="AC568" s="186"/>
      <c r="AD568" s="18"/>
      <c r="AE568" s="374"/>
      <c r="AF568" s="372"/>
      <c r="AG568" s="188"/>
      <c r="AH568" s="188"/>
      <c r="AI568" s="188"/>
      <c r="AJ568" s="188"/>
      <c r="AK568" s="365"/>
      <c r="AL568" s="365"/>
      <c r="AM568" s="365"/>
      <c r="AN568" s="365"/>
      <c r="AO568" s="365"/>
      <c r="AP568" s="365"/>
    </row>
    <row r="569">
      <c r="A569" s="302"/>
      <c r="B569" s="303"/>
      <c r="C569" s="304"/>
      <c r="D569" s="365"/>
      <c r="E569" s="302"/>
      <c r="F569" s="303"/>
      <c r="G569" s="304"/>
      <c r="H569" s="365"/>
      <c r="I569" s="302"/>
      <c r="J569" s="303"/>
      <c r="K569" s="304"/>
      <c r="L569" s="365"/>
      <c r="M569" s="302"/>
      <c r="N569" s="303"/>
      <c r="O569" s="304"/>
      <c r="P569" s="365"/>
      <c r="Q569" s="186"/>
      <c r="R569" s="18"/>
      <c r="S569" s="374"/>
      <c r="T569" s="372"/>
      <c r="U569" s="186"/>
      <c r="V569" s="18"/>
      <c r="W569" s="374"/>
      <c r="X569" s="372"/>
      <c r="Y569" s="186"/>
      <c r="Z569" s="18"/>
      <c r="AA569" s="374"/>
      <c r="AB569" s="372"/>
      <c r="AC569" s="186"/>
      <c r="AD569" s="18"/>
      <c r="AE569" s="374"/>
      <c r="AF569" s="372"/>
      <c r="AG569" s="188"/>
      <c r="AH569" s="188"/>
      <c r="AI569" s="188"/>
      <c r="AJ569" s="188"/>
      <c r="AK569" s="365"/>
      <c r="AL569" s="365"/>
      <c r="AM569" s="365"/>
      <c r="AN569" s="365"/>
      <c r="AO569" s="365"/>
      <c r="AP569" s="365"/>
    </row>
    <row r="570">
      <c r="A570" s="302"/>
      <c r="B570" s="303"/>
      <c r="C570" s="304"/>
      <c r="D570" s="365"/>
      <c r="E570" s="302"/>
      <c r="F570" s="303"/>
      <c r="G570" s="304"/>
      <c r="H570" s="365"/>
      <c r="I570" s="302"/>
      <c r="J570" s="303"/>
      <c r="K570" s="304"/>
      <c r="L570" s="365"/>
      <c r="M570" s="302"/>
      <c r="N570" s="303"/>
      <c r="O570" s="304"/>
      <c r="P570" s="365"/>
      <c r="Q570" s="186"/>
      <c r="R570" s="18"/>
      <c r="S570" s="374"/>
      <c r="T570" s="372"/>
      <c r="U570" s="186"/>
      <c r="V570" s="18"/>
      <c r="W570" s="374"/>
      <c r="X570" s="372"/>
      <c r="Y570" s="186"/>
      <c r="Z570" s="18"/>
      <c r="AA570" s="374"/>
      <c r="AB570" s="372"/>
      <c r="AC570" s="186"/>
      <c r="AD570" s="18"/>
      <c r="AE570" s="374"/>
      <c r="AF570" s="372"/>
      <c r="AG570" s="188"/>
      <c r="AH570" s="188"/>
      <c r="AI570" s="188"/>
      <c r="AJ570" s="188"/>
      <c r="AK570" s="365"/>
      <c r="AL570" s="365"/>
      <c r="AM570" s="365"/>
      <c r="AN570" s="365"/>
      <c r="AO570" s="365"/>
      <c r="AP570" s="365"/>
    </row>
    <row r="571">
      <c r="A571" s="302"/>
      <c r="B571" s="303"/>
      <c r="C571" s="304"/>
      <c r="D571" s="365"/>
      <c r="E571" s="302"/>
      <c r="F571" s="303"/>
      <c r="G571" s="304"/>
      <c r="H571" s="365"/>
      <c r="I571" s="302"/>
      <c r="J571" s="303"/>
      <c r="K571" s="304"/>
      <c r="L571" s="365"/>
      <c r="M571" s="302"/>
      <c r="N571" s="303"/>
      <c r="O571" s="304"/>
      <c r="P571" s="365"/>
      <c r="Q571" s="186"/>
      <c r="R571" s="18"/>
      <c r="S571" s="374"/>
      <c r="T571" s="372"/>
      <c r="U571" s="186"/>
      <c r="V571" s="18"/>
      <c r="W571" s="374"/>
      <c r="X571" s="372"/>
      <c r="Y571" s="186"/>
      <c r="Z571" s="18"/>
      <c r="AA571" s="374"/>
      <c r="AB571" s="372"/>
      <c r="AC571" s="186"/>
      <c r="AD571" s="18"/>
      <c r="AE571" s="374"/>
      <c r="AF571" s="372"/>
      <c r="AG571" s="188"/>
      <c r="AH571" s="188"/>
      <c r="AI571" s="188"/>
      <c r="AJ571" s="188"/>
      <c r="AK571" s="365"/>
      <c r="AL571" s="365"/>
      <c r="AM571" s="365"/>
      <c r="AN571" s="365"/>
      <c r="AO571" s="365"/>
      <c r="AP571" s="365"/>
    </row>
    <row r="572">
      <c r="A572" s="302"/>
      <c r="B572" s="303"/>
      <c r="C572" s="304"/>
      <c r="D572" s="365"/>
      <c r="E572" s="302"/>
      <c r="F572" s="303"/>
      <c r="G572" s="304"/>
      <c r="H572" s="365"/>
      <c r="I572" s="302"/>
      <c r="J572" s="303"/>
      <c r="K572" s="304"/>
      <c r="L572" s="365"/>
      <c r="M572" s="302"/>
      <c r="N572" s="303"/>
      <c r="O572" s="304"/>
      <c r="P572" s="365"/>
      <c r="Q572" s="186"/>
      <c r="R572" s="18"/>
      <c r="S572" s="374"/>
      <c r="T572" s="372"/>
      <c r="U572" s="186"/>
      <c r="V572" s="18"/>
      <c r="W572" s="374"/>
      <c r="X572" s="372"/>
      <c r="Y572" s="186"/>
      <c r="Z572" s="18"/>
      <c r="AA572" s="374"/>
      <c r="AB572" s="372"/>
      <c r="AC572" s="186"/>
      <c r="AD572" s="18"/>
      <c r="AE572" s="374"/>
      <c r="AF572" s="372"/>
      <c r="AG572" s="188"/>
      <c r="AH572" s="188"/>
      <c r="AI572" s="188"/>
      <c r="AJ572" s="188"/>
      <c r="AK572" s="365"/>
      <c r="AL572" s="365"/>
      <c r="AM572" s="365"/>
      <c r="AN572" s="365"/>
      <c r="AO572" s="365"/>
      <c r="AP572" s="365"/>
    </row>
    <row r="573">
      <c r="A573" s="302"/>
      <c r="B573" s="303"/>
      <c r="C573" s="304"/>
      <c r="D573" s="365"/>
      <c r="E573" s="302"/>
      <c r="F573" s="303"/>
      <c r="G573" s="304"/>
      <c r="H573" s="365"/>
      <c r="I573" s="302"/>
      <c r="J573" s="303"/>
      <c r="K573" s="304"/>
      <c r="L573" s="365"/>
      <c r="M573" s="302"/>
      <c r="N573" s="303"/>
      <c r="O573" s="304"/>
      <c r="P573" s="365"/>
      <c r="Q573" s="186"/>
      <c r="R573" s="18"/>
      <c r="S573" s="374"/>
      <c r="T573" s="372"/>
      <c r="U573" s="186"/>
      <c r="V573" s="18"/>
      <c r="W573" s="374"/>
      <c r="X573" s="372"/>
      <c r="Y573" s="186"/>
      <c r="Z573" s="18"/>
      <c r="AA573" s="374"/>
      <c r="AB573" s="372"/>
      <c r="AC573" s="186"/>
      <c r="AD573" s="18"/>
      <c r="AE573" s="374"/>
      <c r="AF573" s="372"/>
      <c r="AG573" s="188"/>
      <c r="AH573" s="188"/>
      <c r="AI573" s="188"/>
      <c r="AJ573" s="188"/>
      <c r="AK573" s="365"/>
      <c r="AL573" s="365"/>
      <c r="AM573" s="365"/>
      <c r="AN573" s="365"/>
      <c r="AO573" s="365"/>
      <c r="AP573" s="365"/>
    </row>
    <row r="574">
      <c r="A574" s="302"/>
      <c r="B574" s="303"/>
      <c r="C574" s="304"/>
      <c r="D574" s="365"/>
      <c r="E574" s="302"/>
      <c r="F574" s="303"/>
      <c r="G574" s="304"/>
      <c r="H574" s="365"/>
      <c r="I574" s="302"/>
      <c r="J574" s="303"/>
      <c r="K574" s="304"/>
      <c r="L574" s="365"/>
      <c r="M574" s="302"/>
      <c r="N574" s="303"/>
      <c r="O574" s="304"/>
      <c r="P574" s="365"/>
      <c r="Q574" s="186"/>
      <c r="R574" s="18"/>
      <c r="S574" s="374"/>
      <c r="T574" s="372"/>
      <c r="U574" s="186"/>
      <c r="V574" s="18"/>
      <c r="W574" s="374"/>
      <c r="X574" s="372"/>
      <c r="Y574" s="186"/>
      <c r="Z574" s="18"/>
      <c r="AA574" s="374"/>
      <c r="AB574" s="372"/>
      <c r="AC574" s="186"/>
      <c r="AD574" s="18"/>
      <c r="AE574" s="374"/>
      <c r="AF574" s="372"/>
      <c r="AG574" s="188"/>
      <c r="AH574" s="188"/>
      <c r="AI574" s="188"/>
      <c r="AJ574" s="188"/>
      <c r="AK574" s="365"/>
      <c r="AL574" s="365"/>
      <c r="AM574" s="365"/>
      <c r="AN574" s="365"/>
      <c r="AO574" s="365"/>
      <c r="AP574" s="365"/>
    </row>
    <row r="575">
      <c r="A575" s="302"/>
      <c r="B575" s="303"/>
      <c r="C575" s="304"/>
      <c r="D575" s="365"/>
      <c r="E575" s="302"/>
      <c r="F575" s="303"/>
      <c r="G575" s="304"/>
      <c r="H575" s="365"/>
      <c r="I575" s="302"/>
      <c r="J575" s="303"/>
      <c r="K575" s="304"/>
      <c r="L575" s="365"/>
      <c r="M575" s="302"/>
      <c r="N575" s="303"/>
      <c r="O575" s="304"/>
      <c r="P575" s="365"/>
      <c r="Q575" s="186"/>
      <c r="R575" s="18"/>
      <c r="S575" s="374"/>
      <c r="T575" s="372"/>
      <c r="U575" s="186"/>
      <c r="V575" s="18"/>
      <c r="W575" s="374"/>
      <c r="X575" s="372"/>
      <c r="Y575" s="186"/>
      <c r="Z575" s="18"/>
      <c r="AA575" s="374"/>
      <c r="AB575" s="372"/>
      <c r="AC575" s="186"/>
      <c r="AD575" s="18"/>
      <c r="AE575" s="374"/>
      <c r="AF575" s="372"/>
      <c r="AG575" s="188"/>
      <c r="AH575" s="188"/>
      <c r="AI575" s="188"/>
      <c r="AJ575" s="188"/>
      <c r="AK575" s="365"/>
      <c r="AL575" s="365"/>
      <c r="AM575" s="365"/>
      <c r="AN575" s="365"/>
      <c r="AO575" s="365"/>
      <c r="AP575" s="365"/>
    </row>
    <row r="576">
      <c r="A576" s="302"/>
      <c r="B576" s="303"/>
      <c r="C576" s="304"/>
      <c r="D576" s="365"/>
      <c r="E576" s="302"/>
      <c r="F576" s="303"/>
      <c r="G576" s="304"/>
      <c r="H576" s="365"/>
      <c r="I576" s="302"/>
      <c r="J576" s="303"/>
      <c r="K576" s="304"/>
      <c r="L576" s="365"/>
      <c r="M576" s="302"/>
      <c r="N576" s="303"/>
      <c r="O576" s="304"/>
      <c r="P576" s="365"/>
      <c r="Q576" s="186"/>
      <c r="R576" s="18"/>
      <c r="S576" s="374"/>
      <c r="T576" s="372"/>
      <c r="U576" s="186"/>
      <c r="V576" s="18"/>
      <c r="W576" s="374"/>
      <c r="X576" s="372"/>
      <c r="Y576" s="186"/>
      <c r="Z576" s="18"/>
      <c r="AA576" s="374"/>
      <c r="AB576" s="372"/>
      <c r="AC576" s="186"/>
      <c r="AD576" s="18"/>
      <c r="AE576" s="374"/>
      <c r="AF576" s="372"/>
      <c r="AG576" s="188"/>
      <c r="AH576" s="188"/>
      <c r="AI576" s="188"/>
      <c r="AJ576" s="188"/>
      <c r="AK576" s="365"/>
      <c r="AL576" s="365"/>
      <c r="AM576" s="365"/>
      <c r="AN576" s="365"/>
      <c r="AO576" s="365"/>
      <c r="AP576" s="365"/>
    </row>
    <row r="577">
      <c r="A577" s="302"/>
      <c r="B577" s="303"/>
      <c r="C577" s="304"/>
      <c r="D577" s="365"/>
      <c r="E577" s="302"/>
      <c r="F577" s="303"/>
      <c r="G577" s="304"/>
      <c r="H577" s="365"/>
      <c r="I577" s="302"/>
      <c r="J577" s="303"/>
      <c r="K577" s="304"/>
      <c r="L577" s="365"/>
      <c r="M577" s="302"/>
      <c r="N577" s="303"/>
      <c r="O577" s="304"/>
      <c r="P577" s="365"/>
      <c r="Q577" s="186"/>
      <c r="R577" s="18"/>
      <c r="S577" s="374"/>
      <c r="T577" s="372"/>
      <c r="U577" s="186"/>
      <c r="V577" s="18"/>
      <c r="W577" s="374"/>
      <c r="X577" s="372"/>
      <c r="Y577" s="186"/>
      <c r="Z577" s="18"/>
      <c r="AA577" s="374"/>
      <c r="AB577" s="372"/>
      <c r="AC577" s="186"/>
      <c r="AD577" s="18"/>
      <c r="AE577" s="374"/>
      <c r="AF577" s="372"/>
      <c r="AG577" s="188"/>
      <c r="AH577" s="188"/>
      <c r="AI577" s="188"/>
      <c r="AJ577" s="188"/>
      <c r="AK577" s="365"/>
      <c r="AL577" s="365"/>
      <c r="AM577" s="365"/>
      <c r="AN577" s="365"/>
      <c r="AO577" s="365"/>
      <c r="AP577" s="365"/>
    </row>
    <row r="578">
      <c r="A578" s="302"/>
      <c r="B578" s="303"/>
      <c r="C578" s="304"/>
      <c r="D578" s="365"/>
      <c r="E578" s="302"/>
      <c r="F578" s="303"/>
      <c r="G578" s="304"/>
      <c r="H578" s="365"/>
      <c r="I578" s="302"/>
      <c r="J578" s="303"/>
      <c r="K578" s="304"/>
      <c r="L578" s="365"/>
      <c r="M578" s="302"/>
      <c r="N578" s="303"/>
      <c r="O578" s="304"/>
      <c r="P578" s="365"/>
      <c r="Q578" s="186"/>
      <c r="R578" s="18"/>
      <c r="S578" s="374"/>
      <c r="T578" s="372"/>
      <c r="U578" s="186"/>
      <c r="V578" s="18"/>
      <c r="W578" s="374"/>
      <c r="X578" s="372"/>
      <c r="Y578" s="186"/>
      <c r="Z578" s="18"/>
      <c r="AA578" s="374"/>
      <c r="AB578" s="372"/>
      <c r="AC578" s="186"/>
      <c r="AD578" s="18"/>
      <c r="AE578" s="374"/>
      <c r="AF578" s="372"/>
      <c r="AG578" s="188"/>
      <c r="AH578" s="188"/>
      <c r="AI578" s="188"/>
      <c r="AJ578" s="188"/>
      <c r="AK578" s="365"/>
      <c r="AL578" s="365"/>
      <c r="AM578" s="365"/>
      <c r="AN578" s="365"/>
      <c r="AO578" s="365"/>
      <c r="AP578" s="365"/>
    </row>
    <row r="579">
      <c r="A579" s="302"/>
      <c r="B579" s="303"/>
      <c r="C579" s="304"/>
      <c r="D579" s="365"/>
      <c r="E579" s="302"/>
      <c r="F579" s="303"/>
      <c r="G579" s="304"/>
      <c r="H579" s="365"/>
      <c r="I579" s="302"/>
      <c r="J579" s="303"/>
      <c r="K579" s="304"/>
      <c r="L579" s="365"/>
      <c r="M579" s="302"/>
      <c r="N579" s="303"/>
      <c r="O579" s="304"/>
      <c r="P579" s="365"/>
      <c r="Q579" s="186"/>
      <c r="R579" s="18"/>
      <c r="S579" s="374"/>
      <c r="T579" s="372"/>
      <c r="U579" s="186"/>
      <c r="V579" s="18"/>
      <c r="W579" s="374"/>
      <c r="X579" s="372"/>
      <c r="Y579" s="186"/>
      <c r="Z579" s="18"/>
      <c r="AA579" s="374"/>
      <c r="AB579" s="372"/>
      <c r="AC579" s="186"/>
      <c r="AD579" s="18"/>
      <c r="AE579" s="374"/>
      <c r="AF579" s="372"/>
      <c r="AG579" s="188"/>
      <c r="AH579" s="188"/>
      <c r="AI579" s="188"/>
      <c r="AJ579" s="188"/>
      <c r="AK579" s="365"/>
      <c r="AL579" s="365"/>
      <c r="AM579" s="365"/>
      <c r="AN579" s="365"/>
      <c r="AO579" s="365"/>
      <c r="AP579" s="365"/>
    </row>
    <row r="580">
      <c r="A580" s="302"/>
      <c r="B580" s="303"/>
      <c r="C580" s="304"/>
      <c r="D580" s="365"/>
      <c r="E580" s="302"/>
      <c r="F580" s="303"/>
      <c r="G580" s="304"/>
      <c r="H580" s="365"/>
      <c r="I580" s="302"/>
      <c r="J580" s="303"/>
      <c r="K580" s="304"/>
      <c r="L580" s="365"/>
      <c r="M580" s="302"/>
      <c r="N580" s="303"/>
      <c r="O580" s="304"/>
      <c r="P580" s="365"/>
      <c r="Q580" s="186"/>
      <c r="R580" s="18"/>
      <c r="S580" s="374"/>
      <c r="T580" s="372"/>
      <c r="U580" s="186"/>
      <c r="V580" s="18"/>
      <c r="W580" s="374"/>
      <c r="X580" s="372"/>
      <c r="Y580" s="186"/>
      <c r="Z580" s="18"/>
      <c r="AA580" s="374"/>
      <c r="AB580" s="372"/>
      <c r="AC580" s="186"/>
      <c r="AD580" s="18"/>
      <c r="AE580" s="374"/>
      <c r="AF580" s="372"/>
      <c r="AG580" s="188"/>
      <c r="AH580" s="188"/>
      <c r="AI580" s="188"/>
      <c r="AJ580" s="188"/>
      <c r="AK580" s="365"/>
      <c r="AL580" s="365"/>
      <c r="AM580" s="365"/>
      <c r="AN580" s="365"/>
      <c r="AO580" s="365"/>
      <c r="AP580" s="365"/>
    </row>
    <row r="581">
      <c r="A581" s="302"/>
      <c r="B581" s="303"/>
      <c r="C581" s="304"/>
      <c r="D581" s="365"/>
      <c r="E581" s="302"/>
      <c r="F581" s="303"/>
      <c r="G581" s="304"/>
      <c r="H581" s="365"/>
      <c r="I581" s="302"/>
      <c r="J581" s="303"/>
      <c r="K581" s="304"/>
      <c r="L581" s="365"/>
      <c r="M581" s="302"/>
      <c r="N581" s="303"/>
      <c r="O581" s="304"/>
      <c r="P581" s="365"/>
      <c r="Q581" s="186"/>
      <c r="R581" s="18"/>
      <c r="S581" s="374"/>
      <c r="T581" s="372"/>
      <c r="U581" s="186"/>
      <c r="V581" s="18"/>
      <c r="W581" s="374"/>
      <c r="X581" s="372"/>
      <c r="Y581" s="186"/>
      <c r="Z581" s="18"/>
      <c r="AA581" s="374"/>
      <c r="AB581" s="372"/>
      <c r="AC581" s="186"/>
      <c r="AD581" s="18"/>
      <c r="AE581" s="374"/>
      <c r="AF581" s="372"/>
      <c r="AG581" s="188"/>
      <c r="AH581" s="188"/>
      <c r="AI581" s="188"/>
      <c r="AJ581" s="188"/>
      <c r="AK581" s="365"/>
      <c r="AL581" s="365"/>
      <c r="AM581" s="365"/>
      <c r="AN581" s="365"/>
      <c r="AO581" s="365"/>
      <c r="AP581" s="365"/>
    </row>
    <row r="582">
      <c r="A582" s="302"/>
      <c r="B582" s="303"/>
      <c r="C582" s="304"/>
      <c r="D582" s="365"/>
      <c r="E582" s="302"/>
      <c r="F582" s="303"/>
      <c r="G582" s="304"/>
      <c r="H582" s="365"/>
      <c r="I582" s="302"/>
      <c r="J582" s="303"/>
      <c r="K582" s="304"/>
      <c r="L582" s="365"/>
      <c r="M582" s="302"/>
      <c r="N582" s="303"/>
      <c r="O582" s="304"/>
      <c r="P582" s="365"/>
      <c r="Q582" s="186"/>
      <c r="R582" s="18"/>
      <c r="S582" s="374"/>
      <c r="T582" s="372"/>
      <c r="U582" s="186"/>
      <c r="V582" s="18"/>
      <c r="W582" s="374"/>
      <c r="X582" s="372"/>
      <c r="Y582" s="186"/>
      <c r="Z582" s="18"/>
      <c r="AA582" s="374"/>
      <c r="AB582" s="372"/>
      <c r="AC582" s="186"/>
      <c r="AD582" s="18"/>
      <c r="AE582" s="374"/>
      <c r="AF582" s="372"/>
      <c r="AG582" s="188"/>
      <c r="AH582" s="188"/>
      <c r="AI582" s="188"/>
      <c r="AJ582" s="188"/>
      <c r="AK582" s="365"/>
      <c r="AL582" s="365"/>
      <c r="AM582" s="365"/>
      <c r="AN582" s="365"/>
      <c r="AO582" s="365"/>
      <c r="AP582" s="365"/>
    </row>
    <row r="583">
      <c r="A583" s="302"/>
      <c r="B583" s="303"/>
      <c r="C583" s="304"/>
      <c r="D583" s="365"/>
      <c r="E583" s="302"/>
      <c r="F583" s="303"/>
      <c r="G583" s="304"/>
      <c r="H583" s="365"/>
      <c r="I583" s="302"/>
      <c r="J583" s="303"/>
      <c r="K583" s="304"/>
      <c r="L583" s="365"/>
      <c r="M583" s="302"/>
      <c r="N583" s="303"/>
      <c r="O583" s="304"/>
      <c r="P583" s="365"/>
      <c r="Q583" s="186"/>
      <c r="R583" s="18"/>
      <c r="S583" s="374"/>
      <c r="T583" s="372"/>
      <c r="U583" s="186"/>
      <c r="V583" s="18"/>
      <c r="W583" s="374"/>
      <c r="X583" s="372"/>
      <c r="Y583" s="186"/>
      <c r="Z583" s="18"/>
      <c r="AA583" s="374"/>
      <c r="AB583" s="372"/>
      <c r="AC583" s="186"/>
      <c r="AD583" s="18"/>
      <c r="AE583" s="374"/>
      <c r="AF583" s="372"/>
      <c r="AG583" s="188"/>
      <c r="AH583" s="188"/>
      <c r="AI583" s="188"/>
      <c r="AJ583" s="188"/>
      <c r="AK583" s="365"/>
      <c r="AL583" s="365"/>
      <c r="AM583" s="365"/>
      <c r="AN583" s="365"/>
      <c r="AO583" s="365"/>
      <c r="AP583" s="365"/>
    </row>
    <row r="584">
      <c r="A584" s="302"/>
      <c r="B584" s="303"/>
      <c r="C584" s="304"/>
      <c r="D584" s="365"/>
      <c r="E584" s="302"/>
      <c r="F584" s="303"/>
      <c r="G584" s="304"/>
      <c r="H584" s="365"/>
      <c r="I584" s="302"/>
      <c r="J584" s="303"/>
      <c r="K584" s="304"/>
      <c r="L584" s="365"/>
      <c r="M584" s="302"/>
      <c r="N584" s="303"/>
      <c r="O584" s="304"/>
      <c r="P584" s="365"/>
      <c r="Q584" s="186"/>
      <c r="R584" s="18"/>
      <c r="S584" s="374"/>
      <c r="T584" s="372"/>
      <c r="U584" s="186"/>
      <c r="V584" s="18"/>
      <c r="W584" s="374"/>
      <c r="X584" s="372"/>
      <c r="Y584" s="186"/>
      <c r="Z584" s="18"/>
      <c r="AA584" s="374"/>
      <c r="AB584" s="372"/>
      <c r="AC584" s="186"/>
      <c r="AD584" s="18"/>
      <c r="AE584" s="374"/>
      <c r="AF584" s="372"/>
      <c r="AG584" s="188"/>
      <c r="AH584" s="188"/>
      <c r="AI584" s="188"/>
      <c r="AJ584" s="188"/>
      <c r="AK584" s="365"/>
      <c r="AL584" s="365"/>
      <c r="AM584" s="365"/>
      <c r="AN584" s="365"/>
      <c r="AO584" s="365"/>
      <c r="AP584" s="365"/>
    </row>
    <row r="585">
      <c r="A585" s="302"/>
      <c r="B585" s="303"/>
      <c r="C585" s="304"/>
      <c r="D585" s="365"/>
      <c r="E585" s="302"/>
      <c r="F585" s="303"/>
      <c r="G585" s="304"/>
      <c r="H585" s="365"/>
      <c r="I585" s="302"/>
      <c r="J585" s="303"/>
      <c r="K585" s="304"/>
      <c r="L585" s="365"/>
      <c r="M585" s="302"/>
      <c r="N585" s="303"/>
      <c r="O585" s="304"/>
      <c r="P585" s="365"/>
      <c r="Q585" s="186"/>
      <c r="R585" s="18"/>
      <c r="S585" s="374"/>
      <c r="T585" s="372"/>
      <c r="U585" s="186"/>
      <c r="V585" s="18"/>
      <c r="W585" s="374"/>
      <c r="X585" s="372"/>
      <c r="Y585" s="186"/>
      <c r="Z585" s="18"/>
      <c r="AA585" s="374"/>
      <c r="AB585" s="372"/>
      <c r="AC585" s="186"/>
      <c r="AD585" s="18"/>
      <c r="AE585" s="374"/>
      <c r="AF585" s="372"/>
      <c r="AG585" s="188"/>
      <c r="AH585" s="188"/>
      <c r="AI585" s="188"/>
      <c r="AJ585" s="188"/>
      <c r="AK585" s="365"/>
      <c r="AL585" s="365"/>
      <c r="AM585" s="365"/>
      <c r="AN585" s="365"/>
      <c r="AO585" s="365"/>
      <c r="AP585" s="365"/>
    </row>
    <row r="586">
      <c r="A586" s="302"/>
      <c r="B586" s="303"/>
      <c r="C586" s="304"/>
      <c r="D586" s="365"/>
      <c r="E586" s="302"/>
      <c r="F586" s="303"/>
      <c r="G586" s="304"/>
      <c r="H586" s="365"/>
      <c r="I586" s="302"/>
      <c r="J586" s="303"/>
      <c r="K586" s="304"/>
      <c r="L586" s="365"/>
      <c r="M586" s="302"/>
      <c r="N586" s="303"/>
      <c r="O586" s="304"/>
      <c r="P586" s="365"/>
      <c r="Q586" s="186"/>
      <c r="R586" s="18"/>
      <c r="S586" s="374"/>
      <c r="T586" s="372"/>
      <c r="U586" s="186"/>
      <c r="V586" s="18"/>
      <c r="W586" s="374"/>
      <c r="X586" s="372"/>
      <c r="Y586" s="186"/>
      <c r="Z586" s="18"/>
      <c r="AA586" s="374"/>
      <c r="AB586" s="372"/>
      <c r="AC586" s="186"/>
      <c r="AD586" s="18"/>
      <c r="AE586" s="374"/>
      <c r="AF586" s="372"/>
      <c r="AG586" s="188"/>
      <c r="AH586" s="188"/>
      <c r="AI586" s="188"/>
      <c r="AJ586" s="188"/>
      <c r="AK586" s="365"/>
      <c r="AL586" s="365"/>
      <c r="AM586" s="365"/>
      <c r="AN586" s="365"/>
      <c r="AO586" s="365"/>
      <c r="AP586" s="365"/>
    </row>
    <row r="587">
      <c r="A587" s="302"/>
      <c r="B587" s="303"/>
      <c r="C587" s="304"/>
      <c r="D587" s="365"/>
      <c r="E587" s="302"/>
      <c r="F587" s="303"/>
      <c r="G587" s="304"/>
      <c r="H587" s="365"/>
      <c r="I587" s="302"/>
      <c r="J587" s="303"/>
      <c r="K587" s="304"/>
      <c r="L587" s="365"/>
      <c r="M587" s="302"/>
      <c r="N587" s="303"/>
      <c r="O587" s="304"/>
      <c r="P587" s="365"/>
      <c r="Q587" s="186"/>
      <c r="R587" s="18"/>
      <c r="S587" s="374"/>
      <c r="T587" s="372"/>
      <c r="U587" s="186"/>
      <c r="V587" s="18"/>
      <c r="W587" s="374"/>
      <c r="X587" s="372"/>
      <c r="Y587" s="186"/>
      <c r="Z587" s="18"/>
      <c r="AA587" s="374"/>
      <c r="AB587" s="372"/>
      <c r="AC587" s="186"/>
      <c r="AD587" s="18"/>
      <c r="AE587" s="374"/>
      <c r="AF587" s="372"/>
      <c r="AG587" s="188"/>
      <c r="AH587" s="188"/>
      <c r="AI587" s="188"/>
      <c r="AJ587" s="188"/>
      <c r="AK587" s="365"/>
      <c r="AL587" s="365"/>
      <c r="AM587" s="365"/>
      <c r="AN587" s="365"/>
      <c r="AO587" s="365"/>
      <c r="AP587" s="365"/>
    </row>
    <row r="588">
      <c r="A588" s="302"/>
      <c r="B588" s="303"/>
      <c r="C588" s="304"/>
      <c r="D588" s="365"/>
      <c r="E588" s="302"/>
      <c r="F588" s="303"/>
      <c r="G588" s="304"/>
      <c r="H588" s="365"/>
      <c r="I588" s="302"/>
      <c r="J588" s="303"/>
      <c r="K588" s="304"/>
      <c r="L588" s="365"/>
      <c r="M588" s="302"/>
      <c r="N588" s="303"/>
      <c r="O588" s="304"/>
      <c r="P588" s="365"/>
      <c r="Q588" s="186"/>
      <c r="R588" s="18"/>
      <c r="S588" s="374"/>
      <c r="T588" s="372"/>
      <c r="U588" s="186"/>
      <c r="V588" s="18"/>
      <c r="W588" s="374"/>
      <c r="X588" s="372"/>
      <c r="Y588" s="186"/>
      <c r="Z588" s="18"/>
      <c r="AA588" s="374"/>
      <c r="AB588" s="372"/>
      <c r="AC588" s="186"/>
      <c r="AD588" s="18"/>
      <c r="AE588" s="374"/>
      <c r="AF588" s="372"/>
      <c r="AG588" s="188"/>
      <c r="AH588" s="188"/>
      <c r="AI588" s="188"/>
      <c r="AJ588" s="188"/>
      <c r="AK588" s="365"/>
      <c r="AL588" s="365"/>
      <c r="AM588" s="365"/>
      <c r="AN588" s="365"/>
      <c r="AO588" s="365"/>
      <c r="AP588" s="365"/>
    </row>
    <row r="589">
      <c r="A589" s="302"/>
      <c r="B589" s="303"/>
      <c r="C589" s="304"/>
      <c r="D589" s="365"/>
      <c r="E589" s="302"/>
      <c r="F589" s="303"/>
      <c r="G589" s="304"/>
      <c r="H589" s="365"/>
      <c r="I589" s="302"/>
      <c r="J589" s="303"/>
      <c r="K589" s="304"/>
      <c r="L589" s="365"/>
      <c r="M589" s="302"/>
      <c r="N589" s="303"/>
      <c r="O589" s="304"/>
      <c r="P589" s="365"/>
      <c r="Q589" s="186"/>
      <c r="R589" s="18"/>
      <c r="S589" s="374"/>
      <c r="T589" s="372"/>
      <c r="U589" s="186"/>
      <c r="V589" s="18"/>
      <c r="W589" s="374"/>
      <c r="X589" s="372"/>
      <c r="Y589" s="186"/>
      <c r="Z589" s="18"/>
      <c r="AA589" s="374"/>
      <c r="AB589" s="372"/>
      <c r="AC589" s="186"/>
      <c r="AD589" s="18"/>
      <c r="AE589" s="374"/>
      <c r="AF589" s="372"/>
      <c r="AG589" s="188"/>
      <c r="AH589" s="188"/>
      <c r="AI589" s="188"/>
      <c r="AJ589" s="188"/>
      <c r="AK589" s="365"/>
      <c r="AL589" s="365"/>
      <c r="AM589" s="365"/>
      <c r="AN589" s="365"/>
      <c r="AO589" s="365"/>
      <c r="AP589" s="365"/>
    </row>
    <row r="590">
      <c r="A590" s="302"/>
      <c r="B590" s="303"/>
      <c r="C590" s="304"/>
      <c r="D590" s="365"/>
      <c r="E590" s="302"/>
      <c r="F590" s="303"/>
      <c r="G590" s="304"/>
      <c r="H590" s="365"/>
      <c r="I590" s="302"/>
      <c r="J590" s="303"/>
      <c r="K590" s="304"/>
      <c r="L590" s="365"/>
      <c r="M590" s="302"/>
      <c r="N590" s="303"/>
      <c r="O590" s="304"/>
      <c r="P590" s="365"/>
      <c r="Q590" s="186"/>
      <c r="R590" s="18"/>
      <c r="S590" s="374"/>
      <c r="T590" s="372"/>
      <c r="U590" s="186"/>
      <c r="V590" s="18"/>
      <c r="W590" s="374"/>
      <c r="X590" s="372"/>
      <c r="Y590" s="186"/>
      <c r="Z590" s="18"/>
      <c r="AA590" s="374"/>
      <c r="AB590" s="372"/>
      <c r="AC590" s="186"/>
      <c r="AD590" s="18"/>
      <c r="AE590" s="374"/>
      <c r="AF590" s="372"/>
      <c r="AG590" s="188"/>
      <c r="AH590" s="188"/>
      <c r="AI590" s="188"/>
      <c r="AJ590" s="188"/>
      <c r="AK590" s="365"/>
      <c r="AL590" s="365"/>
      <c r="AM590" s="365"/>
      <c r="AN590" s="365"/>
      <c r="AO590" s="365"/>
      <c r="AP590" s="365"/>
    </row>
    <row r="591">
      <c r="A591" s="302"/>
      <c r="B591" s="303"/>
      <c r="C591" s="304"/>
      <c r="D591" s="365"/>
      <c r="E591" s="302"/>
      <c r="F591" s="303"/>
      <c r="G591" s="304"/>
      <c r="H591" s="365"/>
      <c r="I591" s="302"/>
      <c r="J591" s="303"/>
      <c r="K591" s="304"/>
      <c r="L591" s="365"/>
      <c r="M591" s="302"/>
      <c r="N591" s="303"/>
      <c r="O591" s="304"/>
      <c r="P591" s="365"/>
      <c r="Q591" s="186"/>
      <c r="R591" s="18"/>
      <c r="S591" s="374"/>
      <c r="T591" s="372"/>
      <c r="U591" s="186"/>
      <c r="V591" s="18"/>
      <c r="W591" s="374"/>
      <c r="X591" s="372"/>
      <c r="Y591" s="186"/>
      <c r="Z591" s="18"/>
      <c r="AA591" s="374"/>
      <c r="AB591" s="372"/>
      <c r="AC591" s="186"/>
      <c r="AD591" s="18"/>
      <c r="AE591" s="374"/>
      <c r="AF591" s="372"/>
      <c r="AG591" s="188"/>
      <c r="AH591" s="188"/>
      <c r="AI591" s="188"/>
      <c r="AJ591" s="188"/>
      <c r="AK591" s="365"/>
      <c r="AL591" s="365"/>
      <c r="AM591" s="365"/>
      <c r="AN591" s="365"/>
      <c r="AO591" s="365"/>
      <c r="AP591" s="365"/>
    </row>
    <row r="592">
      <c r="A592" s="302"/>
      <c r="B592" s="303"/>
      <c r="C592" s="304"/>
      <c r="D592" s="365"/>
      <c r="E592" s="302"/>
      <c r="F592" s="303"/>
      <c r="G592" s="304"/>
      <c r="H592" s="365"/>
      <c r="I592" s="302"/>
      <c r="J592" s="303"/>
      <c r="K592" s="304"/>
      <c r="L592" s="365"/>
      <c r="M592" s="302"/>
      <c r="N592" s="303"/>
      <c r="O592" s="304"/>
      <c r="P592" s="365"/>
      <c r="Q592" s="186"/>
      <c r="R592" s="18"/>
      <c r="S592" s="374"/>
      <c r="T592" s="372"/>
      <c r="U592" s="186"/>
      <c r="V592" s="18"/>
      <c r="W592" s="374"/>
      <c r="X592" s="372"/>
      <c r="Y592" s="186"/>
      <c r="Z592" s="18"/>
      <c r="AA592" s="374"/>
      <c r="AB592" s="372"/>
      <c r="AC592" s="186"/>
      <c r="AD592" s="18"/>
      <c r="AE592" s="374"/>
      <c r="AF592" s="372"/>
      <c r="AG592" s="188"/>
      <c r="AH592" s="188"/>
      <c r="AI592" s="188"/>
      <c r="AJ592" s="188"/>
      <c r="AK592" s="365"/>
      <c r="AL592" s="365"/>
      <c r="AM592" s="365"/>
      <c r="AN592" s="365"/>
      <c r="AO592" s="365"/>
      <c r="AP592" s="365"/>
    </row>
    <row r="593">
      <c r="A593" s="302"/>
      <c r="B593" s="303"/>
      <c r="C593" s="304"/>
      <c r="D593" s="365"/>
      <c r="E593" s="302"/>
      <c r="F593" s="303"/>
      <c r="G593" s="304"/>
      <c r="H593" s="365"/>
      <c r="I593" s="302"/>
      <c r="J593" s="303"/>
      <c r="K593" s="304"/>
      <c r="L593" s="365"/>
      <c r="M593" s="302"/>
      <c r="N593" s="303"/>
      <c r="O593" s="304"/>
      <c r="P593" s="365"/>
      <c r="Q593" s="186"/>
      <c r="R593" s="18"/>
      <c r="S593" s="374"/>
      <c r="T593" s="372"/>
      <c r="U593" s="186"/>
      <c r="V593" s="18"/>
      <c r="W593" s="374"/>
      <c r="X593" s="372"/>
      <c r="Y593" s="186"/>
      <c r="Z593" s="18"/>
      <c r="AA593" s="374"/>
      <c r="AB593" s="372"/>
      <c r="AC593" s="186"/>
      <c r="AD593" s="18"/>
      <c r="AE593" s="374"/>
      <c r="AF593" s="372"/>
      <c r="AG593" s="188"/>
      <c r="AH593" s="188"/>
      <c r="AI593" s="188"/>
      <c r="AJ593" s="188"/>
      <c r="AK593" s="365"/>
      <c r="AL593" s="365"/>
      <c r="AM593" s="365"/>
      <c r="AN593" s="365"/>
      <c r="AO593" s="365"/>
      <c r="AP593" s="365"/>
    </row>
    <row r="594">
      <c r="A594" s="302"/>
      <c r="B594" s="303"/>
      <c r="C594" s="304"/>
      <c r="D594" s="365"/>
      <c r="E594" s="302"/>
      <c r="F594" s="303"/>
      <c r="G594" s="304"/>
      <c r="H594" s="365"/>
      <c r="I594" s="302"/>
      <c r="J594" s="303"/>
      <c r="K594" s="304"/>
      <c r="L594" s="365"/>
      <c r="M594" s="302"/>
      <c r="N594" s="303"/>
      <c r="O594" s="304"/>
      <c r="P594" s="365"/>
      <c r="Q594" s="186"/>
      <c r="R594" s="18"/>
      <c r="S594" s="374"/>
      <c r="T594" s="372"/>
      <c r="U594" s="186"/>
      <c r="V594" s="18"/>
      <c r="W594" s="374"/>
      <c r="X594" s="372"/>
      <c r="Y594" s="186"/>
      <c r="Z594" s="18"/>
      <c r="AA594" s="374"/>
      <c r="AB594" s="372"/>
      <c r="AC594" s="186"/>
      <c r="AD594" s="18"/>
      <c r="AE594" s="374"/>
      <c r="AF594" s="372"/>
      <c r="AG594" s="188"/>
      <c r="AH594" s="188"/>
      <c r="AI594" s="188"/>
      <c r="AJ594" s="188"/>
      <c r="AK594" s="365"/>
      <c r="AL594" s="365"/>
      <c r="AM594" s="365"/>
      <c r="AN594" s="365"/>
      <c r="AO594" s="365"/>
      <c r="AP594" s="365"/>
    </row>
    <row r="595">
      <c r="A595" s="302"/>
      <c r="B595" s="303"/>
      <c r="C595" s="304"/>
      <c r="D595" s="365"/>
      <c r="E595" s="302"/>
      <c r="F595" s="303"/>
      <c r="G595" s="304"/>
      <c r="H595" s="365"/>
      <c r="I595" s="302"/>
      <c r="J595" s="303"/>
      <c r="K595" s="304"/>
      <c r="L595" s="365"/>
      <c r="M595" s="302"/>
      <c r="N595" s="303"/>
      <c r="O595" s="304"/>
      <c r="P595" s="365"/>
      <c r="Q595" s="186"/>
      <c r="R595" s="18"/>
      <c r="S595" s="374"/>
      <c r="T595" s="372"/>
      <c r="U595" s="186"/>
      <c r="V595" s="18"/>
      <c r="W595" s="374"/>
      <c r="X595" s="372"/>
      <c r="Y595" s="186"/>
      <c r="Z595" s="18"/>
      <c r="AA595" s="374"/>
      <c r="AB595" s="372"/>
      <c r="AC595" s="186"/>
      <c r="AD595" s="18"/>
      <c r="AE595" s="374"/>
      <c r="AF595" s="372"/>
      <c r="AG595" s="188"/>
      <c r="AH595" s="188"/>
      <c r="AI595" s="188"/>
      <c r="AJ595" s="188"/>
      <c r="AK595" s="365"/>
      <c r="AL595" s="365"/>
      <c r="AM595" s="365"/>
      <c r="AN595" s="365"/>
      <c r="AO595" s="365"/>
      <c r="AP595" s="365"/>
    </row>
    <row r="596">
      <c r="A596" s="302"/>
      <c r="B596" s="303"/>
      <c r="C596" s="304"/>
      <c r="D596" s="365"/>
      <c r="E596" s="302"/>
      <c r="F596" s="303"/>
      <c r="G596" s="304"/>
      <c r="H596" s="365"/>
      <c r="I596" s="302"/>
      <c r="J596" s="303"/>
      <c r="K596" s="304"/>
      <c r="L596" s="365"/>
      <c r="M596" s="302"/>
      <c r="N596" s="303"/>
      <c r="O596" s="304"/>
      <c r="P596" s="365"/>
      <c r="Q596" s="186"/>
      <c r="R596" s="18"/>
      <c r="S596" s="374"/>
      <c r="T596" s="372"/>
      <c r="U596" s="186"/>
      <c r="V596" s="18"/>
      <c r="W596" s="374"/>
      <c r="X596" s="372"/>
      <c r="Y596" s="186"/>
      <c r="Z596" s="18"/>
      <c r="AA596" s="374"/>
      <c r="AB596" s="372"/>
      <c r="AC596" s="186"/>
      <c r="AD596" s="18"/>
      <c r="AE596" s="374"/>
      <c r="AF596" s="372"/>
      <c r="AG596" s="188"/>
      <c r="AH596" s="188"/>
      <c r="AI596" s="188"/>
      <c r="AJ596" s="188"/>
      <c r="AK596" s="365"/>
      <c r="AL596" s="365"/>
      <c r="AM596" s="365"/>
      <c r="AN596" s="365"/>
      <c r="AO596" s="365"/>
      <c r="AP596" s="365"/>
    </row>
    <row r="597">
      <c r="A597" s="302"/>
      <c r="B597" s="303"/>
      <c r="C597" s="304"/>
      <c r="D597" s="365"/>
      <c r="E597" s="302"/>
      <c r="F597" s="303"/>
      <c r="G597" s="304"/>
      <c r="H597" s="365"/>
      <c r="I597" s="302"/>
      <c r="J597" s="303"/>
      <c r="K597" s="304"/>
      <c r="L597" s="365"/>
      <c r="M597" s="302"/>
      <c r="N597" s="303"/>
      <c r="O597" s="304"/>
      <c r="P597" s="365"/>
      <c r="Q597" s="186"/>
      <c r="R597" s="18"/>
      <c r="S597" s="374"/>
      <c r="T597" s="372"/>
      <c r="U597" s="186"/>
      <c r="V597" s="18"/>
      <c r="W597" s="374"/>
      <c r="X597" s="372"/>
      <c r="Y597" s="186"/>
      <c r="Z597" s="18"/>
      <c r="AA597" s="374"/>
      <c r="AB597" s="372"/>
      <c r="AC597" s="186"/>
      <c r="AD597" s="18"/>
      <c r="AE597" s="374"/>
      <c r="AF597" s="372"/>
      <c r="AG597" s="188"/>
      <c r="AH597" s="188"/>
      <c r="AI597" s="188"/>
      <c r="AJ597" s="188"/>
      <c r="AK597" s="365"/>
      <c r="AL597" s="365"/>
      <c r="AM597" s="365"/>
      <c r="AN597" s="365"/>
      <c r="AO597" s="365"/>
      <c r="AP597" s="365"/>
    </row>
    <row r="598">
      <c r="A598" s="302"/>
      <c r="B598" s="303"/>
      <c r="C598" s="304"/>
      <c r="D598" s="365"/>
      <c r="E598" s="302"/>
      <c r="F598" s="303"/>
      <c r="G598" s="304"/>
      <c r="H598" s="365"/>
      <c r="I598" s="302"/>
      <c r="J598" s="303"/>
      <c r="K598" s="304"/>
      <c r="L598" s="365"/>
      <c r="M598" s="302"/>
      <c r="N598" s="303"/>
      <c r="O598" s="304"/>
      <c r="P598" s="365"/>
      <c r="Q598" s="186"/>
      <c r="R598" s="18"/>
      <c r="S598" s="374"/>
      <c r="T598" s="372"/>
      <c r="U598" s="186"/>
      <c r="V598" s="18"/>
      <c r="W598" s="374"/>
      <c r="X598" s="372"/>
      <c r="Y598" s="186"/>
      <c r="Z598" s="18"/>
      <c r="AA598" s="374"/>
      <c r="AB598" s="372"/>
      <c r="AC598" s="186"/>
      <c r="AD598" s="18"/>
      <c r="AE598" s="374"/>
      <c r="AF598" s="372"/>
      <c r="AG598" s="188"/>
      <c r="AH598" s="188"/>
      <c r="AI598" s="188"/>
      <c r="AJ598" s="188"/>
      <c r="AK598" s="365"/>
      <c r="AL598" s="365"/>
      <c r="AM598" s="365"/>
      <c r="AN598" s="365"/>
      <c r="AO598" s="365"/>
      <c r="AP598" s="365"/>
    </row>
    <row r="599">
      <c r="A599" s="302"/>
      <c r="B599" s="303"/>
      <c r="C599" s="304"/>
      <c r="D599" s="365"/>
      <c r="E599" s="302"/>
      <c r="F599" s="303"/>
      <c r="G599" s="304"/>
      <c r="H599" s="365"/>
      <c r="I599" s="302"/>
      <c r="J599" s="303"/>
      <c r="K599" s="304"/>
      <c r="L599" s="365"/>
      <c r="M599" s="302"/>
      <c r="N599" s="303"/>
      <c r="O599" s="304"/>
      <c r="P599" s="365"/>
      <c r="Q599" s="186"/>
      <c r="R599" s="18"/>
      <c r="S599" s="374"/>
      <c r="T599" s="372"/>
      <c r="U599" s="186"/>
      <c r="V599" s="18"/>
      <c r="W599" s="374"/>
      <c r="X599" s="372"/>
      <c r="Y599" s="186"/>
      <c r="Z599" s="18"/>
      <c r="AA599" s="374"/>
      <c r="AB599" s="372"/>
      <c r="AC599" s="186"/>
      <c r="AD599" s="18"/>
      <c r="AE599" s="374"/>
      <c r="AF599" s="372"/>
      <c r="AG599" s="188"/>
      <c r="AH599" s="188"/>
      <c r="AI599" s="188"/>
      <c r="AJ599" s="188"/>
      <c r="AK599" s="365"/>
      <c r="AL599" s="365"/>
      <c r="AM599" s="365"/>
      <c r="AN599" s="365"/>
      <c r="AO599" s="365"/>
      <c r="AP599" s="365"/>
    </row>
    <row r="600">
      <c r="A600" s="302"/>
      <c r="B600" s="303"/>
      <c r="C600" s="304"/>
      <c r="D600" s="365"/>
      <c r="E600" s="302"/>
      <c r="F600" s="303"/>
      <c r="G600" s="304"/>
      <c r="H600" s="365"/>
      <c r="I600" s="302"/>
      <c r="J600" s="303"/>
      <c r="K600" s="304"/>
      <c r="L600" s="365"/>
      <c r="M600" s="302"/>
      <c r="N600" s="303"/>
      <c r="O600" s="304"/>
      <c r="P600" s="365"/>
      <c r="Q600" s="186"/>
      <c r="R600" s="18"/>
      <c r="S600" s="374"/>
      <c r="T600" s="372"/>
      <c r="U600" s="186"/>
      <c r="V600" s="18"/>
      <c r="W600" s="374"/>
      <c r="X600" s="372"/>
      <c r="Y600" s="186"/>
      <c r="Z600" s="18"/>
      <c r="AA600" s="374"/>
      <c r="AB600" s="372"/>
      <c r="AC600" s="186"/>
      <c r="AD600" s="18"/>
      <c r="AE600" s="374"/>
      <c r="AF600" s="372"/>
      <c r="AG600" s="188"/>
      <c r="AH600" s="188"/>
      <c r="AI600" s="188"/>
      <c r="AJ600" s="188"/>
      <c r="AK600" s="365"/>
      <c r="AL600" s="365"/>
      <c r="AM600" s="365"/>
      <c r="AN600" s="365"/>
      <c r="AO600" s="365"/>
      <c r="AP600" s="365"/>
    </row>
    <row r="601">
      <c r="A601" s="302"/>
      <c r="B601" s="303"/>
      <c r="C601" s="304"/>
      <c r="D601" s="365"/>
      <c r="E601" s="302"/>
      <c r="F601" s="303"/>
      <c r="G601" s="304"/>
      <c r="H601" s="365"/>
      <c r="I601" s="302"/>
      <c r="J601" s="303"/>
      <c r="K601" s="304"/>
      <c r="L601" s="365"/>
      <c r="M601" s="302"/>
      <c r="N601" s="303"/>
      <c r="O601" s="304"/>
      <c r="P601" s="365"/>
      <c r="Q601" s="186"/>
      <c r="R601" s="18"/>
      <c r="S601" s="374"/>
      <c r="T601" s="372"/>
      <c r="U601" s="186"/>
      <c r="V601" s="18"/>
      <c r="W601" s="374"/>
      <c r="X601" s="372"/>
      <c r="Y601" s="186"/>
      <c r="Z601" s="18"/>
      <c r="AA601" s="374"/>
      <c r="AB601" s="372"/>
      <c r="AC601" s="186"/>
      <c r="AD601" s="18"/>
      <c r="AE601" s="374"/>
      <c r="AF601" s="372"/>
      <c r="AG601" s="188"/>
      <c r="AH601" s="188"/>
      <c r="AI601" s="188"/>
      <c r="AJ601" s="188"/>
      <c r="AK601" s="365"/>
      <c r="AL601" s="365"/>
      <c r="AM601" s="365"/>
      <c r="AN601" s="365"/>
      <c r="AO601" s="365"/>
      <c r="AP601" s="365"/>
    </row>
    <row r="602">
      <c r="A602" s="302"/>
      <c r="B602" s="303"/>
      <c r="C602" s="304"/>
      <c r="D602" s="365"/>
      <c r="E602" s="302"/>
      <c r="F602" s="303"/>
      <c r="G602" s="304"/>
      <c r="H602" s="365"/>
      <c r="I602" s="302"/>
      <c r="J602" s="303"/>
      <c r="K602" s="304"/>
      <c r="L602" s="365"/>
      <c r="M602" s="302"/>
      <c r="N602" s="303"/>
      <c r="O602" s="304"/>
      <c r="P602" s="365"/>
      <c r="Q602" s="186"/>
      <c r="R602" s="18"/>
      <c r="S602" s="374"/>
      <c r="T602" s="372"/>
      <c r="U602" s="186"/>
      <c r="V602" s="18"/>
      <c r="W602" s="374"/>
      <c r="X602" s="372"/>
      <c r="Y602" s="186"/>
      <c r="Z602" s="18"/>
      <c r="AA602" s="374"/>
      <c r="AB602" s="372"/>
      <c r="AC602" s="186"/>
      <c r="AD602" s="18"/>
      <c r="AE602" s="374"/>
      <c r="AF602" s="372"/>
      <c r="AG602" s="188"/>
      <c r="AH602" s="188"/>
      <c r="AI602" s="188"/>
      <c r="AJ602" s="188"/>
      <c r="AK602" s="365"/>
      <c r="AL602" s="365"/>
      <c r="AM602" s="365"/>
      <c r="AN602" s="365"/>
      <c r="AO602" s="365"/>
      <c r="AP602" s="365"/>
    </row>
    <row r="603">
      <c r="A603" s="302"/>
      <c r="B603" s="303"/>
      <c r="C603" s="304"/>
      <c r="D603" s="365"/>
      <c r="E603" s="302"/>
      <c r="F603" s="303"/>
      <c r="G603" s="304"/>
      <c r="H603" s="365"/>
      <c r="I603" s="302"/>
      <c r="J603" s="303"/>
      <c r="K603" s="304"/>
      <c r="L603" s="365"/>
      <c r="M603" s="302"/>
      <c r="N603" s="303"/>
      <c r="O603" s="304"/>
      <c r="P603" s="365"/>
      <c r="Q603" s="186"/>
      <c r="R603" s="18"/>
      <c r="S603" s="374"/>
      <c r="T603" s="372"/>
      <c r="U603" s="186"/>
      <c r="V603" s="18"/>
      <c r="W603" s="374"/>
      <c r="X603" s="372"/>
      <c r="Y603" s="186"/>
      <c r="Z603" s="18"/>
      <c r="AA603" s="374"/>
      <c r="AB603" s="372"/>
      <c r="AC603" s="186"/>
      <c r="AD603" s="18"/>
      <c r="AE603" s="374"/>
      <c r="AF603" s="372"/>
      <c r="AG603" s="188"/>
      <c r="AH603" s="188"/>
      <c r="AI603" s="188"/>
      <c r="AJ603" s="188"/>
      <c r="AK603" s="365"/>
      <c r="AL603" s="365"/>
      <c r="AM603" s="365"/>
      <c r="AN603" s="365"/>
      <c r="AO603" s="365"/>
      <c r="AP603" s="365"/>
    </row>
    <row r="604">
      <c r="A604" s="302"/>
      <c r="B604" s="303"/>
      <c r="C604" s="304"/>
      <c r="D604" s="365"/>
      <c r="E604" s="302"/>
      <c r="F604" s="303"/>
      <c r="G604" s="304"/>
      <c r="H604" s="365"/>
      <c r="I604" s="302"/>
      <c r="J604" s="303"/>
      <c r="K604" s="304"/>
      <c r="L604" s="365"/>
      <c r="M604" s="302"/>
      <c r="N604" s="303"/>
      <c r="O604" s="304"/>
      <c r="P604" s="365"/>
      <c r="Q604" s="186"/>
      <c r="R604" s="18"/>
      <c r="S604" s="374"/>
      <c r="T604" s="372"/>
      <c r="U604" s="186"/>
      <c r="V604" s="18"/>
      <c r="W604" s="374"/>
      <c r="X604" s="372"/>
      <c r="Y604" s="186"/>
      <c r="Z604" s="18"/>
      <c r="AA604" s="374"/>
      <c r="AB604" s="372"/>
      <c r="AC604" s="186"/>
      <c r="AD604" s="18"/>
      <c r="AE604" s="374"/>
      <c r="AF604" s="372"/>
      <c r="AG604" s="188"/>
      <c r="AH604" s="188"/>
      <c r="AI604" s="188"/>
      <c r="AJ604" s="188"/>
      <c r="AK604" s="365"/>
      <c r="AL604" s="365"/>
      <c r="AM604" s="365"/>
      <c r="AN604" s="365"/>
      <c r="AO604" s="365"/>
      <c r="AP604" s="365"/>
    </row>
    <row r="605">
      <c r="A605" s="302"/>
      <c r="B605" s="303"/>
      <c r="C605" s="304"/>
      <c r="D605" s="365"/>
      <c r="E605" s="302"/>
      <c r="F605" s="303"/>
      <c r="G605" s="304"/>
      <c r="H605" s="365"/>
      <c r="I605" s="302"/>
      <c r="J605" s="303"/>
      <c r="K605" s="304"/>
      <c r="L605" s="365"/>
      <c r="M605" s="302"/>
      <c r="N605" s="303"/>
      <c r="O605" s="304"/>
      <c r="P605" s="365"/>
      <c r="Q605" s="186"/>
      <c r="R605" s="18"/>
      <c r="S605" s="374"/>
      <c r="T605" s="372"/>
      <c r="U605" s="186"/>
      <c r="V605" s="18"/>
      <c r="W605" s="374"/>
      <c r="X605" s="372"/>
      <c r="Y605" s="186"/>
      <c r="Z605" s="18"/>
      <c r="AA605" s="374"/>
      <c r="AB605" s="372"/>
      <c r="AC605" s="186"/>
      <c r="AD605" s="18"/>
      <c r="AE605" s="374"/>
      <c r="AF605" s="372"/>
      <c r="AG605" s="188"/>
      <c r="AH605" s="188"/>
      <c r="AI605" s="188"/>
      <c r="AJ605" s="188"/>
      <c r="AK605" s="365"/>
      <c r="AL605" s="365"/>
      <c r="AM605" s="365"/>
      <c r="AN605" s="365"/>
      <c r="AO605" s="365"/>
      <c r="AP605" s="365"/>
    </row>
    <row r="606">
      <c r="A606" s="302"/>
      <c r="B606" s="303"/>
      <c r="C606" s="304"/>
      <c r="D606" s="365"/>
      <c r="E606" s="302"/>
      <c r="F606" s="303"/>
      <c r="G606" s="304"/>
      <c r="H606" s="365"/>
      <c r="I606" s="302"/>
      <c r="J606" s="303"/>
      <c r="K606" s="304"/>
      <c r="L606" s="365"/>
      <c r="M606" s="302"/>
      <c r="N606" s="303"/>
      <c r="O606" s="304"/>
      <c r="P606" s="365"/>
      <c r="Q606" s="186"/>
      <c r="R606" s="18"/>
      <c r="S606" s="374"/>
      <c r="T606" s="372"/>
      <c r="U606" s="186"/>
      <c r="V606" s="18"/>
      <c r="W606" s="374"/>
      <c r="X606" s="372"/>
      <c r="Y606" s="186"/>
      <c r="Z606" s="18"/>
      <c r="AA606" s="374"/>
      <c r="AB606" s="372"/>
      <c r="AC606" s="186"/>
      <c r="AD606" s="18"/>
      <c r="AE606" s="374"/>
      <c r="AF606" s="372"/>
      <c r="AG606" s="188"/>
      <c r="AH606" s="188"/>
      <c r="AI606" s="188"/>
      <c r="AJ606" s="188"/>
      <c r="AK606" s="365"/>
      <c r="AL606" s="365"/>
      <c r="AM606" s="365"/>
      <c r="AN606" s="365"/>
      <c r="AO606" s="365"/>
      <c r="AP606" s="365"/>
    </row>
    <row r="607">
      <c r="A607" s="302"/>
      <c r="B607" s="303"/>
      <c r="C607" s="304"/>
      <c r="D607" s="365"/>
      <c r="E607" s="302"/>
      <c r="F607" s="303"/>
      <c r="G607" s="304"/>
      <c r="H607" s="365"/>
      <c r="I607" s="302"/>
      <c r="J607" s="303"/>
      <c r="K607" s="304"/>
      <c r="L607" s="365"/>
      <c r="M607" s="302"/>
      <c r="N607" s="303"/>
      <c r="O607" s="304"/>
      <c r="P607" s="365"/>
      <c r="Q607" s="186"/>
      <c r="R607" s="18"/>
      <c r="S607" s="374"/>
      <c r="T607" s="372"/>
      <c r="U607" s="186"/>
      <c r="V607" s="18"/>
      <c r="W607" s="374"/>
      <c r="X607" s="372"/>
      <c r="Y607" s="186"/>
      <c r="Z607" s="18"/>
      <c r="AA607" s="374"/>
      <c r="AB607" s="372"/>
      <c r="AC607" s="186"/>
      <c r="AD607" s="18"/>
      <c r="AE607" s="374"/>
      <c r="AF607" s="372"/>
      <c r="AG607" s="188"/>
      <c r="AH607" s="188"/>
      <c r="AI607" s="188"/>
      <c r="AJ607" s="188"/>
      <c r="AK607" s="365"/>
      <c r="AL607" s="365"/>
      <c r="AM607" s="365"/>
      <c r="AN607" s="365"/>
      <c r="AO607" s="365"/>
      <c r="AP607" s="365"/>
    </row>
    <row r="608">
      <c r="A608" s="302"/>
      <c r="B608" s="303"/>
      <c r="C608" s="304"/>
      <c r="D608" s="365"/>
      <c r="E608" s="302"/>
      <c r="F608" s="303"/>
      <c r="G608" s="304"/>
      <c r="H608" s="365"/>
      <c r="I608" s="302"/>
      <c r="J608" s="303"/>
      <c r="K608" s="304"/>
      <c r="L608" s="365"/>
      <c r="M608" s="302"/>
      <c r="N608" s="303"/>
      <c r="O608" s="304"/>
      <c r="P608" s="365"/>
      <c r="Q608" s="186"/>
      <c r="R608" s="18"/>
      <c r="S608" s="374"/>
      <c r="T608" s="372"/>
      <c r="U608" s="186"/>
      <c r="V608" s="18"/>
      <c r="W608" s="374"/>
      <c r="X608" s="372"/>
      <c r="Y608" s="186"/>
      <c r="Z608" s="18"/>
      <c r="AA608" s="374"/>
      <c r="AB608" s="372"/>
      <c r="AC608" s="186"/>
      <c r="AD608" s="18"/>
      <c r="AE608" s="374"/>
      <c r="AF608" s="372"/>
      <c r="AG608" s="188"/>
      <c r="AH608" s="188"/>
      <c r="AI608" s="188"/>
      <c r="AJ608" s="188"/>
      <c r="AK608" s="365"/>
      <c r="AL608" s="365"/>
      <c r="AM608" s="365"/>
      <c r="AN608" s="365"/>
      <c r="AO608" s="365"/>
      <c r="AP608" s="365"/>
    </row>
    <row r="609">
      <c r="A609" s="302"/>
      <c r="B609" s="303"/>
      <c r="C609" s="304"/>
      <c r="D609" s="365"/>
      <c r="E609" s="302"/>
      <c r="F609" s="303"/>
      <c r="G609" s="304"/>
      <c r="H609" s="365"/>
      <c r="I609" s="302"/>
      <c r="J609" s="303"/>
      <c r="K609" s="304"/>
      <c r="L609" s="365"/>
      <c r="M609" s="302"/>
      <c r="N609" s="303"/>
      <c r="O609" s="304"/>
      <c r="P609" s="365"/>
      <c r="Q609" s="186"/>
      <c r="R609" s="18"/>
      <c r="S609" s="374"/>
      <c r="T609" s="372"/>
      <c r="U609" s="186"/>
      <c r="V609" s="18"/>
      <c r="W609" s="374"/>
      <c r="X609" s="372"/>
      <c r="Y609" s="186"/>
      <c r="Z609" s="18"/>
      <c r="AA609" s="374"/>
      <c r="AB609" s="372"/>
      <c r="AC609" s="186"/>
      <c r="AD609" s="18"/>
      <c r="AE609" s="374"/>
      <c r="AF609" s="372"/>
      <c r="AG609" s="188"/>
      <c r="AH609" s="188"/>
      <c r="AI609" s="188"/>
      <c r="AJ609" s="188"/>
      <c r="AK609" s="365"/>
      <c r="AL609" s="365"/>
      <c r="AM609" s="365"/>
      <c r="AN609" s="365"/>
      <c r="AO609" s="365"/>
      <c r="AP609" s="365"/>
    </row>
    <row r="610">
      <c r="A610" s="302"/>
      <c r="B610" s="303"/>
      <c r="C610" s="304"/>
      <c r="D610" s="365"/>
      <c r="E610" s="302"/>
      <c r="F610" s="303"/>
      <c r="G610" s="304"/>
      <c r="H610" s="365"/>
      <c r="I610" s="302"/>
      <c r="J610" s="303"/>
      <c r="K610" s="304"/>
      <c r="L610" s="365"/>
      <c r="M610" s="302"/>
      <c r="N610" s="303"/>
      <c r="O610" s="304"/>
      <c r="P610" s="365"/>
      <c r="Q610" s="186"/>
      <c r="R610" s="18"/>
      <c r="S610" s="374"/>
      <c r="T610" s="372"/>
      <c r="U610" s="186"/>
      <c r="V610" s="18"/>
      <c r="W610" s="374"/>
      <c r="X610" s="372"/>
      <c r="Y610" s="186"/>
      <c r="Z610" s="18"/>
      <c r="AA610" s="374"/>
      <c r="AB610" s="372"/>
      <c r="AC610" s="186"/>
      <c r="AD610" s="18"/>
      <c r="AE610" s="374"/>
      <c r="AF610" s="372"/>
      <c r="AG610" s="188"/>
      <c r="AH610" s="188"/>
      <c r="AI610" s="188"/>
      <c r="AJ610" s="188"/>
      <c r="AK610" s="365"/>
      <c r="AL610" s="365"/>
      <c r="AM610" s="365"/>
      <c r="AN610" s="365"/>
      <c r="AO610" s="365"/>
      <c r="AP610" s="365"/>
    </row>
    <row r="611">
      <c r="A611" s="302"/>
      <c r="B611" s="303"/>
      <c r="C611" s="304"/>
      <c r="D611" s="365"/>
      <c r="E611" s="302"/>
      <c r="F611" s="303"/>
      <c r="G611" s="304"/>
      <c r="H611" s="365"/>
      <c r="I611" s="302"/>
      <c r="J611" s="303"/>
      <c r="K611" s="304"/>
      <c r="L611" s="365"/>
      <c r="M611" s="302"/>
      <c r="N611" s="303"/>
      <c r="O611" s="304"/>
      <c r="P611" s="365"/>
      <c r="Q611" s="186"/>
      <c r="R611" s="18"/>
      <c r="S611" s="374"/>
      <c r="T611" s="372"/>
      <c r="U611" s="186"/>
      <c r="V611" s="18"/>
      <c r="W611" s="374"/>
      <c r="X611" s="372"/>
      <c r="Y611" s="186"/>
      <c r="Z611" s="18"/>
      <c r="AA611" s="374"/>
      <c r="AB611" s="372"/>
      <c r="AC611" s="186"/>
      <c r="AD611" s="18"/>
      <c r="AE611" s="374"/>
      <c r="AF611" s="372"/>
      <c r="AG611" s="188"/>
      <c r="AH611" s="188"/>
      <c r="AI611" s="188"/>
      <c r="AJ611" s="188"/>
      <c r="AK611" s="365"/>
      <c r="AL611" s="365"/>
      <c r="AM611" s="365"/>
      <c r="AN611" s="365"/>
      <c r="AO611" s="365"/>
      <c r="AP611" s="365"/>
    </row>
    <row r="612">
      <c r="A612" s="302"/>
      <c r="B612" s="303"/>
      <c r="C612" s="304"/>
      <c r="D612" s="365"/>
      <c r="E612" s="302"/>
      <c r="F612" s="303"/>
      <c r="G612" s="304"/>
      <c r="H612" s="365"/>
      <c r="I612" s="302"/>
      <c r="J612" s="303"/>
      <c r="K612" s="304"/>
      <c r="L612" s="365"/>
      <c r="M612" s="302"/>
      <c r="N612" s="303"/>
      <c r="O612" s="304"/>
      <c r="P612" s="365"/>
      <c r="Q612" s="186"/>
      <c r="R612" s="18"/>
      <c r="S612" s="374"/>
      <c r="T612" s="372"/>
      <c r="U612" s="186"/>
      <c r="V612" s="18"/>
      <c r="W612" s="374"/>
      <c r="X612" s="372"/>
      <c r="Y612" s="186"/>
      <c r="Z612" s="18"/>
      <c r="AA612" s="374"/>
      <c r="AB612" s="372"/>
      <c r="AC612" s="186"/>
      <c r="AD612" s="18"/>
      <c r="AE612" s="374"/>
      <c r="AF612" s="372"/>
      <c r="AG612" s="188"/>
      <c r="AH612" s="188"/>
      <c r="AI612" s="188"/>
      <c r="AJ612" s="188"/>
      <c r="AK612" s="365"/>
      <c r="AL612" s="365"/>
      <c r="AM612" s="365"/>
      <c r="AN612" s="365"/>
      <c r="AO612" s="365"/>
      <c r="AP612" s="365"/>
    </row>
    <row r="613">
      <c r="A613" s="302"/>
      <c r="B613" s="303"/>
      <c r="C613" s="304"/>
      <c r="D613" s="365"/>
      <c r="E613" s="302"/>
      <c r="F613" s="303"/>
      <c r="G613" s="304"/>
      <c r="H613" s="365"/>
      <c r="I613" s="302"/>
      <c r="J613" s="303"/>
      <c r="K613" s="304"/>
      <c r="L613" s="365"/>
      <c r="M613" s="302"/>
      <c r="N613" s="303"/>
      <c r="O613" s="304"/>
      <c r="P613" s="365"/>
      <c r="Q613" s="186"/>
      <c r="R613" s="18"/>
      <c r="S613" s="374"/>
      <c r="T613" s="372"/>
      <c r="U613" s="186"/>
      <c r="V613" s="18"/>
      <c r="W613" s="374"/>
      <c r="X613" s="372"/>
      <c r="Y613" s="186"/>
      <c r="Z613" s="18"/>
      <c r="AA613" s="374"/>
      <c r="AB613" s="372"/>
      <c r="AC613" s="186"/>
      <c r="AD613" s="18"/>
      <c r="AE613" s="374"/>
      <c r="AF613" s="372"/>
      <c r="AG613" s="188"/>
      <c r="AH613" s="188"/>
      <c r="AI613" s="188"/>
      <c r="AJ613" s="188"/>
      <c r="AK613" s="365"/>
      <c r="AL613" s="365"/>
      <c r="AM613" s="365"/>
      <c r="AN613" s="365"/>
      <c r="AO613" s="365"/>
      <c r="AP613" s="365"/>
    </row>
    <row r="614">
      <c r="A614" s="302"/>
      <c r="B614" s="303"/>
      <c r="C614" s="304"/>
      <c r="D614" s="365"/>
      <c r="E614" s="302"/>
      <c r="F614" s="303"/>
      <c r="G614" s="304"/>
      <c r="H614" s="365"/>
      <c r="I614" s="302"/>
      <c r="J614" s="303"/>
      <c r="K614" s="304"/>
      <c r="L614" s="365"/>
      <c r="M614" s="302"/>
      <c r="N614" s="303"/>
      <c r="O614" s="304"/>
      <c r="P614" s="365"/>
      <c r="Q614" s="186"/>
      <c r="R614" s="18"/>
      <c r="S614" s="374"/>
      <c r="T614" s="372"/>
      <c r="U614" s="186"/>
      <c r="V614" s="18"/>
      <c r="W614" s="374"/>
      <c r="X614" s="372"/>
      <c r="Y614" s="186"/>
      <c r="Z614" s="18"/>
      <c r="AA614" s="374"/>
      <c r="AB614" s="372"/>
      <c r="AC614" s="186"/>
      <c r="AD614" s="18"/>
      <c r="AE614" s="374"/>
      <c r="AF614" s="372"/>
      <c r="AG614" s="188"/>
      <c r="AH614" s="188"/>
      <c r="AI614" s="188"/>
      <c r="AJ614" s="188"/>
      <c r="AK614" s="365"/>
      <c r="AL614" s="365"/>
      <c r="AM614" s="365"/>
      <c r="AN614" s="365"/>
      <c r="AO614" s="365"/>
      <c r="AP614" s="365"/>
    </row>
    <row r="615">
      <c r="A615" s="302"/>
      <c r="B615" s="303"/>
      <c r="C615" s="304"/>
      <c r="D615" s="365"/>
      <c r="E615" s="302"/>
      <c r="F615" s="303"/>
      <c r="G615" s="304"/>
      <c r="H615" s="365"/>
      <c r="I615" s="302"/>
      <c r="J615" s="303"/>
      <c r="K615" s="304"/>
      <c r="L615" s="365"/>
      <c r="M615" s="302"/>
      <c r="N615" s="303"/>
      <c r="O615" s="304"/>
      <c r="P615" s="365"/>
      <c r="Q615" s="186"/>
      <c r="R615" s="18"/>
      <c r="S615" s="374"/>
      <c r="T615" s="372"/>
      <c r="U615" s="186"/>
      <c r="V615" s="18"/>
      <c r="W615" s="374"/>
      <c r="X615" s="372"/>
      <c r="Y615" s="186"/>
      <c r="Z615" s="18"/>
      <c r="AA615" s="374"/>
      <c r="AB615" s="372"/>
      <c r="AC615" s="186"/>
      <c r="AD615" s="18"/>
      <c r="AE615" s="374"/>
      <c r="AF615" s="372"/>
      <c r="AG615" s="188"/>
      <c r="AH615" s="188"/>
      <c r="AI615" s="188"/>
      <c r="AJ615" s="188"/>
      <c r="AK615" s="365"/>
      <c r="AL615" s="365"/>
      <c r="AM615" s="365"/>
      <c r="AN615" s="365"/>
      <c r="AO615" s="365"/>
      <c r="AP615" s="365"/>
    </row>
    <row r="616">
      <c r="A616" s="302"/>
      <c r="B616" s="303"/>
      <c r="C616" s="304"/>
      <c r="D616" s="365"/>
      <c r="E616" s="302"/>
      <c r="F616" s="303"/>
      <c r="G616" s="304"/>
      <c r="H616" s="365"/>
      <c r="I616" s="302"/>
      <c r="J616" s="303"/>
      <c r="K616" s="304"/>
      <c r="L616" s="365"/>
      <c r="M616" s="302"/>
      <c r="N616" s="303"/>
      <c r="O616" s="304"/>
      <c r="P616" s="365"/>
      <c r="Q616" s="186"/>
      <c r="R616" s="18"/>
      <c r="S616" s="374"/>
      <c r="T616" s="372"/>
      <c r="U616" s="186"/>
      <c r="V616" s="18"/>
      <c r="W616" s="374"/>
      <c r="X616" s="372"/>
      <c r="Y616" s="186"/>
      <c r="Z616" s="18"/>
      <c r="AA616" s="374"/>
      <c r="AB616" s="372"/>
      <c r="AC616" s="186"/>
      <c r="AD616" s="18"/>
      <c r="AE616" s="374"/>
      <c r="AF616" s="372"/>
      <c r="AG616" s="188"/>
      <c r="AH616" s="188"/>
      <c r="AI616" s="188"/>
      <c r="AJ616" s="188"/>
      <c r="AK616" s="365"/>
      <c r="AL616" s="365"/>
      <c r="AM616" s="365"/>
      <c r="AN616" s="365"/>
      <c r="AO616" s="365"/>
      <c r="AP616" s="365"/>
    </row>
    <row r="617">
      <c r="A617" s="302"/>
      <c r="B617" s="303"/>
      <c r="C617" s="304"/>
      <c r="D617" s="365"/>
      <c r="E617" s="302"/>
      <c r="F617" s="303"/>
      <c r="G617" s="304"/>
      <c r="H617" s="365"/>
      <c r="I617" s="302"/>
      <c r="J617" s="303"/>
      <c r="K617" s="304"/>
      <c r="L617" s="365"/>
      <c r="M617" s="302"/>
      <c r="N617" s="303"/>
      <c r="O617" s="304"/>
      <c r="P617" s="365"/>
      <c r="Q617" s="186"/>
      <c r="R617" s="18"/>
      <c r="S617" s="374"/>
      <c r="T617" s="372"/>
      <c r="U617" s="186"/>
      <c r="V617" s="18"/>
      <c r="W617" s="374"/>
      <c r="X617" s="372"/>
      <c r="Y617" s="186"/>
      <c r="Z617" s="18"/>
      <c r="AA617" s="374"/>
      <c r="AB617" s="372"/>
      <c r="AC617" s="186"/>
      <c r="AD617" s="18"/>
      <c r="AE617" s="374"/>
      <c r="AF617" s="372"/>
      <c r="AG617" s="188"/>
      <c r="AH617" s="188"/>
      <c r="AI617" s="188"/>
      <c r="AJ617" s="188"/>
      <c r="AK617" s="365"/>
      <c r="AL617" s="365"/>
      <c r="AM617" s="365"/>
      <c r="AN617" s="365"/>
      <c r="AO617" s="365"/>
      <c r="AP617" s="365"/>
    </row>
    <row r="618">
      <c r="A618" s="302"/>
      <c r="B618" s="303"/>
      <c r="C618" s="304"/>
      <c r="D618" s="365"/>
      <c r="E618" s="302"/>
      <c r="F618" s="303"/>
      <c r="G618" s="304"/>
      <c r="H618" s="365"/>
      <c r="I618" s="302"/>
      <c r="J618" s="303"/>
      <c r="K618" s="304"/>
      <c r="L618" s="365"/>
      <c r="M618" s="302"/>
      <c r="N618" s="303"/>
      <c r="O618" s="304"/>
      <c r="P618" s="365"/>
      <c r="Q618" s="186"/>
      <c r="R618" s="18"/>
      <c r="S618" s="374"/>
      <c r="T618" s="372"/>
      <c r="U618" s="186"/>
      <c r="V618" s="18"/>
      <c r="W618" s="374"/>
      <c r="X618" s="372"/>
      <c r="Y618" s="186"/>
      <c r="Z618" s="18"/>
      <c r="AA618" s="374"/>
      <c r="AB618" s="372"/>
      <c r="AC618" s="186"/>
      <c r="AD618" s="18"/>
      <c r="AE618" s="374"/>
      <c r="AF618" s="372"/>
      <c r="AG618" s="188"/>
      <c r="AH618" s="188"/>
      <c r="AI618" s="188"/>
      <c r="AJ618" s="188"/>
      <c r="AK618" s="365"/>
      <c r="AL618" s="365"/>
      <c r="AM618" s="365"/>
      <c r="AN618" s="365"/>
      <c r="AO618" s="365"/>
      <c r="AP618" s="365"/>
    </row>
    <row r="619">
      <c r="A619" s="302"/>
      <c r="B619" s="303"/>
      <c r="C619" s="304"/>
      <c r="D619" s="365"/>
      <c r="E619" s="302"/>
      <c r="F619" s="303"/>
      <c r="G619" s="304"/>
      <c r="H619" s="365"/>
      <c r="I619" s="302"/>
      <c r="J619" s="303"/>
      <c r="K619" s="304"/>
      <c r="L619" s="365"/>
      <c r="M619" s="302"/>
      <c r="N619" s="303"/>
      <c r="O619" s="304"/>
      <c r="P619" s="365"/>
      <c r="Q619" s="186"/>
      <c r="R619" s="18"/>
      <c r="S619" s="374"/>
      <c r="T619" s="372"/>
      <c r="U619" s="186"/>
      <c r="V619" s="18"/>
      <c r="W619" s="374"/>
      <c r="X619" s="372"/>
      <c r="Y619" s="186"/>
      <c r="Z619" s="18"/>
      <c r="AA619" s="374"/>
      <c r="AB619" s="372"/>
      <c r="AC619" s="186"/>
      <c r="AD619" s="18"/>
      <c r="AE619" s="374"/>
      <c r="AF619" s="372"/>
      <c r="AG619" s="188"/>
      <c r="AH619" s="188"/>
      <c r="AI619" s="188"/>
      <c r="AJ619" s="188"/>
      <c r="AK619" s="365"/>
      <c r="AL619" s="365"/>
      <c r="AM619" s="365"/>
      <c r="AN619" s="365"/>
      <c r="AO619" s="365"/>
      <c r="AP619" s="365"/>
    </row>
    <row r="620">
      <c r="A620" s="302"/>
      <c r="B620" s="303"/>
      <c r="C620" s="304"/>
      <c r="D620" s="365"/>
      <c r="E620" s="302"/>
      <c r="F620" s="303"/>
      <c r="G620" s="304"/>
      <c r="H620" s="365"/>
      <c r="I620" s="302"/>
      <c r="J620" s="303"/>
      <c r="K620" s="304"/>
      <c r="L620" s="365"/>
      <c r="M620" s="302"/>
      <c r="N620" s="303"/>
      <c r="O620" s="304"/>
      <c r="P620" s="365"/>
      <c r="Q620" s="186"/>
      <c r="R620" s="18"/>
      <c r="S620" s="374"/>
      <c r="T620" s="372"/>
      <c r="U620" s="186"/>
      <c r="V620" s="18"/>
      <c r="W620" s="374"/>
      <c r="X620" s="372"/>
      <c r="Y620" s="186"/>
      <c r="Z620" s="18"/>
      <c r="AA620" s="374"/>
      <c r="AB620" s="372"/>
      <c r="AC620" s="186"/>
      <c r="AD620" s="18"/>
      <c r="AE620" s="374"/>
      <c r="AF620" s="372"/>
      <c r="AG620" s="188"/>
      <c r="AH620" s="188"/>
      <c r="AI620" s="188"/>
      <c r="AJ620" s="188"/>
      <c r="AK620" s="365"/>
      <c r="AL620" s="365"/>
      <c r="AM620" s="365"/>
      <c r="AN620" s="365"/>
      <c r="AO620" s="365"/>
      <c r="AP620" s="365"/>
    </row>
    <row r="621">
      <c r="A621" s="302"/>
      <c r="B621" s="303"/>
      <c r="C621" s="304"/>
      <c r="D621" s="365"/>
      <c r="E621" s="302"/>
      <c r="F621" s="303"/>
      <c r="G621" s="304"/>
      <c r="H621" s="365"/>
      <c r="I621" s="302"/>
      <c r="J621" s="303"/>
      <c r="K621" s="304"/>
      <c r="L621" s="365"/>
      <c r="M621" s="302"/>
      <c r="N621" s="303"/>
      <c r="O621" s="304"/>
      <c r="P621" s="365"/>
      <c r="Q621" s="186"/>
      <c r="R621" s="18"/>
      <c r="S621" s="374"/>
      <c r="T621" s="372"/>
      <c r="U621" s="186"/>
      <c r="V621" s="18"/>
      <c r="W621" s="374"/>
      <c r="X621" s="372"/>
      <c r="Y621" s="186"/>
      <c r="Z621" s="18"/>
      <c r="AA621" s="374"/>
      <c r="AB621" s="372"/>
      <c r="AC621" s="186"/>
      <c r="AD621" s="18"/>
      <c r="AE621" s="374"/>
      <c r="AF621" s="372"/>
      <c r="AG621" s="188"/>
      <c r="AH621" s="188"/>
      <c r="AI621" s="188"/>
      <c r="AJ621" s="188"/>
      <c r="AK621" s="365"/>
      <c r="AL621" s="365"/>
      <c r="AM621" s="365"/>
      <c r="AN621" s="365"/>
      <c r="AO621" s="365"/>
      <c r="AP621" s="365"/>
    </row>
    <row r="622">
      <c r="A622" s="302"/>
      <c r="B622" s="303"/>
      <c r="C622" s="304"/>
      <c r="D622" s="365"/>
      <c r="E622" s="302"/>
      <c r="F622" s="303"/>
      <c r="G622" s="304"/>
      <c r="H622" s="365"/>
      <c r="I622" s="302"/>
      <c r="J622" s="303"/>
      <c r="K622" s="304"/>
      <c r="L622" s="365"/>
      <c r="M622" s="302"/>
      <c r="N622" s="303"/>
      <c r="O622" s="304"/>
      <c r="P622" s="365"/>
      <c r="Q622" s="186"/>
      <c r="R622" s="18"/>
      <c r="S622" s="374"/>
      <c r="T622" s="372"/>
      <c r="U622" s="186"/>
      <c r="V622" s="18"/>
      <c r="W622" s="374"/>
      <c r="X622" s="372"/>
      <c r="Y622" s="186"/>
      <c r="Z622" s="18"/>
      <c r="AA622" s="374"/>
      <c r="AB622" s="372"/>
      <c r="AC622" s="186"/>
      <c r="AD622" s="18"/>
      <c r="AE622" s="374"/>
      <c r="AF622" s="372"/>
      <c r="AG622" s="188"/>
      <c r="AH622" s="188"/>
      <c r="AI622" s="188"/>
      <c r="AJ622" s="188"/>
      <c r="AK622" s="365"/>
      <c r="AL622" s="365"/>
      <c r="AM622" s="365"/>
      <c r="AN622" s="365"/>
      <c r="AO622" s="365"/>
      <c r="AP622" s="365"/>
    </row>
    <row r="623">
      <c r="A623" s="302"/>
      <c r="B623" s="303"/>
      <c r="C623" s="304"/>
      <c r="D623" s="365"/>
      <c r="E623" s="302"/>
      <c r="F623" s="303"/>
      <c r="G623" s="304"/>
      <c r="H623" s="365"/>
      <c r="I623" s="302"/>
      <c r="J623" s="303"/>
      <c r="K623" s="304"/>
      <c r="L623" s="365"/>
      <c r="M623" s="302"/>
      <c r="N623" s="303"/>
      <c r="O623" s="304"/>
      <c r="P623" s="365"/>
      <c r="Q623" s="186"/>
      <c r="R623" s="18"/>
      <c r="S623" s="374"/>
      <c r="T623" s="372"/>
      <c r="U623" s="186"/>
      <c r="V623" s="18"/>
      <c r="W623" s="374"/>
      <c r="X623" s="372"/>
      <c r="Y623" s="186"/>
      <c r="Z623" s="18"/>
      <c r="AA623" s="374"/>
      <c r="AB623" s="372"/>
      <c r="AC623" s="186"/>
      <c r="AD623" s="18"/>
      <c r="AE623" s="374"/>
      <c r="AF623" s="372"/>
      <c r="AG623" s="188"/>
      <c r="AH623" s="188"/>
      <c r="AI623" s="188"/>
      <c r="AJ623" s="188"/>
      <c r="AK623" s="365"/>
      <c r="AL623" s="365"/>
      <c r="AM623" s="365"/>
      <c r="AN623" s="365"/>
      <c r="AO623" s="365"/>
      <c r="AP623" s="365"/>
    </row>
    <row r="624">
      <c r="A624" s="302"/>
      <c r="B624" s="303"/>
      <c r="C624" s="304"/>
      <c r="D624" s="365"/>
      <c r="E624" s="302"/>
      <c r="F624" s="303"/>
      <c r="G624" s="304"/>
      <c r="H624" s="365"/>
      <c r="I624" s="302"/>
      <c r="J624" s="303"/>
      <c r="K624" s="304"/>
      <c r="L624" s="365"/>
      <c r="M624" s="302"/>
      <c r="N624" s="303"/>
      <c r="O624" s="304"/>
      <c r="P624" s="365"/>
      <c r="Q624" s="186"/>
      <c r="R624" s="18"/>
      <c r="S624" s="374"/>
      <c r="T624" s="372"/>
      <c r="U624" s="186"/>
      <c r="V624" s="18"/>
      <c r="W624" s="374"/>
      <c r="X624" s="372"/>
      <c r="Y624" s="186"/>
      <c r="Z624" s="18"/>
      <c r="AA624" s="374"/>
      <c r="AB624" s="372"/>
      <c r="AC624" s="186"/>
      <c r="AD624" s="18"/>
      <c r="AE624" s="374"/>
      <c r="AF624" s="372"/>
      <c r="AG624" s="188"/>
      <c r="AH624" s="188"/>
      <c r="AI624" s="188"/>
      <c r="AJ624" s="188"/>
      <c r="AK624" s="365"/>
      <c r="AL624" s="365"/>
      <c r="AM624" s="365"/>
      <c r="AN624" s="365"/>
      <c r="AO624" s="365"/>
      <c r="AP624" s="365"/>
    </row>
    <row r="625">
      <c r="A625" s="302"/>
      <c r="B625" s="303"/>
      <c r="C625" s="304"/>
      <c r="D625" s="365"/>
      <c r="E625" s="302"/>
      <c r="F625" s="303"/>
      <c r="G625" s="304"/>
      <c r="H625" s="365"/>
      <c r="I625" s="302"/>
      <c r="J625" s="303"/>
      <c r="K625" s="304"/>
      <c r="L625" s="365"/>
      <c r="M625" s="302"/>
      <c r="N625" s="303"/>
      <c r="O625" s="304"/>
      <c r="P625" s="365"/>
      <c r="Q625" s="186"/>
      <c r="R625" s="18"/>
      <c r="S625" s="374"/>
      <c r="T625" s="372"/>
      <c r="U625" s="186"/>
      <c r="V625" s="18"/>
      <c r="W625" s="374"/>
      <c r="X625" s="372"/>
      <c r="Y625" s="186"/>
      <c r="Z625" s="18"/>
      <c r="AA625" s="374"/>
      <c r="AB625" s="372"/>
      <c r="AC625" s="186"/>
      <c r="AD625" s="18"/>
      <c r="AE625" s="374"/>
      <c r="AF625" s="372"/>
      <c r="AG625" s="188"/>
      <c r="AH625" s="188"/>
      <c r="AI625" s="188"/>
      <c r="AJ625" s="188"/>
      <c r="AK625" s="365"/>
      <c r="AL625" s="365"/>
      <c r="AM625" s="365"/>
      <c r="AN625" s="365"/>
      <c r="AO625" s="365"/>
      <c r="AP625" s="365"/>
    </row>
    <row r="626">
      <c r="A626" s="302"/>
      <c r="B626" s="303"/>
      <c r="C626" s="304"/>
      <c r="D626" s="365"/>
      <c r="E626" s="302"/>
      <c r="F626" s="303"/>
      <c r="G626" s="304"/>
      <c r="H626" s="365"/>
      <c r="I626" s="302"/>
      <c r="J626" s="303"/>
      <c r="K626" s="304"/>
      <c r="L626" s="365"/>
      <c r="M626" s="302"/>
      <c r="N626" s="303"/>
      <c r="O626" s="304"/>
      <c r="P626" s="365"/>
      <c r="Q626" s="186"/>
      <c r="R626" s="18"/>
      <c r="S626" s="374"/>
      <c r="T626" s="372"/>
      <c r="U626" s="186"/>
      <c r="V626" s="18"/>
      <c r="W626" s="374"/>
      <c r="X626" s="372"/>
      <c r="Y626" s="186"/>
      <c r="Z626" s="18"/>
      <c r="AA626" s="374"/>
      <c r="AB626" s="372"/>
      <c r="AC626" s="186"/>
      <c r="AD626" s="18"/>
      <c r="AE626" s="374"/>
      <c r="AF626" s="372"/>
      <c r="AG626" s="188"/>
      <c r="AH626" s="188"/>
      <c r="AI626" s="188"/>
      <c r="AJ626" s="188"/>
      <c r="AK626" s="365"/>
      <c r="AL626" s="365"/>
      <c r="AM626" s="365"/>
      <c r="AN626" s="365"/>
      <c r="AO626" s="365"/>
      <c r="AP626" s="365"/>
    </row>
    <row r="627">
      <c r="A627" s="302"/>
      <c r="B627" s="303"/>
      <c r="C627" s="304"/>
      <c r="D627" s="365"/>
      <c r="E627" s="302"/>
      <c r="F627" s="303"/>
      <c r="G627" s="304"/>
      <c r="H627" s="365"/>
      <c r="I627" s="302"/>
      <c r="J627" s="303"/>
      <c r="K627" s="304"/>
      <c r="L627" s="365"/>
      <c r="M627" s="302"/>
      <c r="N627" s="303"/>
      <c r="O627" s="304"/>
      <c r="P627" s="365"/>
      <c r="Q627" s="186"/>
      <c r="R627" s="18"/>
      <c r="S627" s="374"/>
      <c r="T627" s="372"/>
      <c r="U627" s="186"/>
      <c r="V627" s="18"/>
      <c r="W627" s="374"/>
      <c r="X627" s="372"/>
      <c r="Y627" s="186"/>
      <c r="Z627" s="18"/>
      <c r="AA627" s="374"/>
      <c r="AB627" s="372"/>
      <c r="AC627" s="186"/>
      <c r="AD627" s="18"/>
      <c r="AE627" s="374"/>
      <c r="AF627" s="372"/>
      <c r="AG627" s="188"/>
      <c r="AH627" s="188"/>
      <c r="AI627" s="188"/>
      <c r="AJ627" s="188"/>
      <c r="AK627" s="365"/>
      <c r="AL627" s="365"/>
      <c r="AM627" s="365"/>
      <c r="AN627" s="365"/>
      <c r="AO627" s="365"/>
      <c r="AP627" s="365"/>
    </row>
    <row r="628">
      <c r="A628" s="302"/>
      <c r="B628" s="303"/>
      <c r="C628" s="304"/>
      <c r="D628" s="365"/>
      <c r="E628" s="302"/>
      <c r="F628" s="303"/>
      <c r="G628" s="304"/>
      <c r="H628" s="365"/>
      <c r="I628" s="302"/>
      <c r="J628" s="303"/>
      <c r="K628" s="304"/>
      <c r="L628" s="365"/>
      <c r="M628" s="302"/>
      <c r="N628" s="303"/>
      <c r="O628" s="304"/>
      <c r="P628" s="365"/>
      <c r="Q628" s="186"/>
      <c r="R628" s="18"/>
      <c r="S628" s="374"/>
      <c r="T628" s="372"/>
      <c r="U628" s="186"/>
      <c r="V628" s="18"/>
      <c r="W628" s="374"/>
      <c r="X628" s="372"/>
      <c r="Y628" s="186"/>
      <c r="Z628" s="18"/>
      <c r="AA628" s="374"/>
      <c r="AB628" s="372"/>
      <c r="AC628" s="186"/>
      <c r="AD628" s="18"/>
      <c r="AE628" s="374"/>
      <c r="AF628" s="372"/>
      <c r="AG628" s="188"/>
      <c r="AH628" s="188"/>
      <c r="AI628" s="188"/>
      <c r="AJ628" s="188"/>
      <c r="AK628" s="365"/>
      <c r="AL628" s="365"/>
      <c r="AM628" s="365"/>
      <c r="AN628" s="365"/>
      <c r="AO628" s="365"/>
      <c r="AP628" s="365"/>
    </row>
    <row r="629">
      <c r="A629" s="302"/>
      <c r="B629" s="303"/>
      <c r="C629" s="304"/>
      <c r="D629" s="365"/>
      <c r="E629" s="302"/>
      <c r="F629" s="303"/>
      <c r="G629" s="304"/>
      <c r="H629" s="365"/>
      <c r="I629" s="302"/>
      <c r="J629" s="303"/>
      <c r="K629" s="304"/>
      <c r="L629" s="365"/>
      <c r="M629" s="302"/>
      <c r="N629" s="303"/>
      <c r="O629" s="304"/>
      <c r="P629" s="365"/>
      <c r="Q629" s="186"/>
      <c r="R629" s="18"/>
      <c r="S629" s="374"/>
      <c r="T629" s="372"/>
      <c r="U629" s="186"/>
      <c r="V629" s="18"/>
      <c r="W629" s="374"/>
      <c r="X629" s="372"/>
      <c r="Y629" s="186"/>
      <c r="Z629" s="18"/>
      <c r="AA629" s="374"/>
      <c r="AB629" s="372"/>
      <c r="AC629" s="186"/>
      <c r="AD629" s="18"/>
      <c r="AE629" s="374"/>
      <c r="AF629" s="372"/>
      <c r="AG629" s="188"/>
      <c r="AH629" s="188"/>
      <c r="AI629" s="188"/>
      <c r="AJ629" s="188"/>
      <c r="AK629" s="365"/>
      <c r="AL629" s="365"/>
      <c r="AM629" s="365"/>
      <c r="AN629" s="365"/>
      <c r="AO629" s="365"/>
      <c r="AP629" s="365"/>
    </row>
    <row r="630">
      <c r="A630" s="302"/>
      <c r="B630" s="303"/>
      <c r="C630" s="304"/>
      <c r="D630" s="365"/>
      <c r="E630" s="302"/>
      <c r="F630" s="303"/>
      <c r="G630" s="304"/>
      <c r="H630" s="365"/>
      <c r="I630" s="302"/>
      <c r="J630" s="303"/>
      <c r="K630" s="304"/>
      <c r="L630" s="365"/>
      <c r="M630" s="302"/>
      <c r="N630" s="303"/>
      <c r="O630" s="304"/>
      <c r="P630" s="365"/>
      <c r="Q630" s="186"/>
      <c r="R630" s="18"/>
      <c r="S630" s="374"/>
      <c r="T630" s="372"/>
      <c r="U630" s="186"/>
      <c r="V630" s="18"/>
      <c r="W630" s="374"/>
      <c r="X630" s="372"/>
      <c r="Y630" s="186"/>
      <c r="Z630" s="18"/>
      <c r="AA630" s="374"/>
      <c r="AB630" s="372"/>
      <c r="AC630" s="186"/>
      <c r="AD630" s="18"/>
      <c r="AE630" s="374"/>
      <c r="AF630" s="372"/>
      <c r="AG630" s="188"/>
      <c r="AH630" s="188"/>
      <c r="AI630" s="188"/>
      <c r="AJ630" s="188"/>
      <c r="AK630" s="365"/>
      <c r="AL630" s="365"/>
      <c r="AM630" s="365"/>
      <c r="AN630" s="365"/>
      <c r="AO630" s="365"/>
      <c r="AP630" s="365"/>
    </row>
    <row r="631">
      <c r="A631" s="302"/>
      <c r="B631" s="303"/>
      <c r="C631" s="304"/>
      <c r="D631" s="365"/>
      <c r="E631" s="302"/>
      <c r="F631" s="303"/>
      <c r="G631" s="304"/>
      <c r="H631" s="365"/>
      <c r="I631" s="302"/>
      <c r="J631" s="303"/>
      <c r="K631" s="304"/>
      <c r="L631" s="365"/>
      <c r="M631" s="302"/>
      <c r="N631" s="303"/>
      <c r="O631" s="304"/>
      <c r="P631" s="365"/>
      <c r="Q631" s="186"/>
      <c r="R631" s="18"/>
      <c r="S631" s="374"/>
      <c r="T631" s="372"/>
      <c r="U631" s="186"/>
      <c r="V631" s="18"/>
      <c r="W631" s="374"/>
      <c r="X631" s="372"/>
      <c r="Y631" s="186"/>
      <c r="Z631" s="18"/>
      <c r="AA631" s="374"/>
      <c r="AB631" s="372"/>
      <c r="AC631" s="186"/>
      <c r="AD631" s="18"/>
      <c r="AE631" s="374"/>
      <c r="AF631" s="372"/>
      <c r="AG631" s="188"/>
      <c r="AH631" s="188"/>
      <c r="AI631" s="188"/>
      <c r="AJ631" s="188"/>
      <c r="AK631" s="365"/>
      <c r="AL631" s="365"/>
      <c r="AM631" s="365"/>
      <c r="AN631" s="365"/>
      <c r="AO631" s="365"/>
      <c r="AP631" s="365"/>
    </row>
    <row r="632">
      <c r="A632" s="302"/>
      <c r="B632" s="303"/>
      <c r="C632" s="304"/>
      <c r="D632" s="365"/>
      <c r="E632" s="302"/>
      <c r="F632" s="303"/>
      <c r="G632" s="304"/>
      <c r="H632" s="365"/>
      <c r="I632" s="302"/>
      <c r="J632" s="303"/>
      <c r="K632" s="304"/>
      <c r="L632" s="365"/>
      <c r="M632" s="302"/>
      <c r="N632" s="303"/>
      <c r="O632" s="304"/>
      <c r="P632" s="365"/>
      <c r="Q632" s="186"/>
      <c r="R632" s="18"/>
      <c r="S632" s="374"/>
      <c r="T632" s="372"/>
      <c r="U632" s="186"/>
      <c r="V632" s="18"/>
      <c r="W632" s="374"/>
      <c r="X632" s="372"/>
      <c r="Y632" s="186"/>
      <c r="Z632" s="18"/>
      <c r="AA632" s="374"/>
      <c r="AB632" s="372"/>
      <c r="AC632" s="186"/>
      <c r="AD632" s="18"/>
      <c r="AE632" s="374"/>
      <c r="AF632" s="372"/>
      <c r="AG632" s="188"/>
      <c r="AH632" s="188"/>
      <c r="AI632" s="188"/>
      <c r="AJ632" s="188"/>
      <c r="AK632" s="365"/>
      <c r="AL632" s="365"/>
      <c r="AM632" s="365"/>
      <c r="AN632" s="365"/>
      <c r="AO632" s="365"/>
      <c r="AP632" s="365"/>
    </row>
    <row r="633">
      <c r="A633" s="302"/>
      <c r="B633" s="303"/>
      <c r="C633" s="304"/>
      <c r="D633" s="365"/>
      <c r="E633" s="302"/>
      <c r="F633" s="303"/>
      <c r="G633" s="304"/>
      <c r="H633" s="365"/>
      <c r="I633" s="302"/>
      <c r="J633" s="303"/>
      <c r="K633" s="304"/>
      <c r="L633" s="365"/>
      <c r="M633" s="302"/>
      <c r="N633" s="303"/>
      <c r="O633" s="304"/>
      <c r="P633" s="365"/>
      <c r="Q633" s="186"/>
      <c r="R633" s="18"/>
      <c r="S633" s="374"/>
      <c r="T633" s="372"/>
      <c r="U633" s="186"/>
      <c r="V633" s="18"/>
      <c r="W633" s="374"/>
      <c r="X633" s="372"/>
      <c r="Y633" s="186"/>
      <c r="Z633" s="18"/>
      <c r="AA633" s="374"/>
      <c r="AB633" s="372"/>
      <c r="AC633" s="186"/>
      <c r="AD633" s="18"/>
      <c r="AE633" s="374"/>
      <c r="AF633" s="372"/>
      <c r="AG633" s="188"/>
      <c r="AH633" s="188"/>
      <c r="AI633" s="188"/>
      <c r="AJ633" s="188"/>
      <c r="AK633" s="365"/>
      <c r="AL633" s="365"/>
      <c r="AM633" s="365"/>
      <c r="AN633" s="365"/>
      <c r="AO633" s="365"/>
      <c r="AP633" s="365"/>
    </row>
    <row r="634">
      <c r="A634" s="302"/>
      <c r="B634" s="303"/>
      <c r="C634" s="304"/>
      <c r="D634" s="365"/>
      <c r="E634" s="302"/>
      <c r="F634" s="303"/>
      <c r="G634" s="304"/>
      <c r="H634" s="365"/>
      <c r="I634" s="302"/>
      <c r="J634" s="303"/>
      <c r="K634" s="304"/>
      <c r="L634" s="365"/>
      <c r="M634" s="302"/>
      <c r="N634" s="303"/>
      <c r="O634" s="304"/>
      <c r="P634" s="365"/>
      <c r="Q634" s="186"/>
      <c r="R634" s="18"/>
      <c r="S634" s="374"/>
      <c r="T634" s="372"/>
      <c r="U634" s="186"/>
      <c r="V634" s="18"/>
      <c r="W634" s="374"/>
      <c r="X634" s="372"/>
      <c r="Y634" s="186"/>
      <c r="Z634" s="18"/>
      <c r="AA634" s="374"/>
      <c r="AB634" s="372"/>
      <c r="AC634" s="186"/>
      <c r="AD634" s="18"/>
      <c r="AE634" s="374"/>
      <c r="AF634" s="372"/>
      <c r="AG634" s="188"/>
      <c r="AH634" s="188"/>
      <c r="AI634" s="188"/>
      <c r="AJ634" s="188"/>
      <c r="AK634" s="365"/>
      <c r="AL634" s="365"/>
      <c r="AM634" s="365"/>
      <c r="AN634" s="365"/>
      <c r="AO634" s="365"/>
      <c r="AP634" s="365"/>
    </row>
    <row r="635">
      <c r="A635" s="302"/>
      <c r="B635" s="303"/>
      <c r="C635" s="304"/>
      <c r="D635" s="365"/>
      <c r="E635" s="302"/>
      <c r="F635" s="303"/>
      <c r="G635" s="304"/>
      <c r="H635" s="365"/>
      <c r="I635" s="302"/>
      <c r="J635" s="303"/>
      <c r="K635" s="304"/>
      <c r="L635" s="365"/>
      <c r="M635" s="302"/>
      <c r="N635" s="303"/>
      <c r="O635" s="304"/>
      <c r="P635" s="365"/>
      <c r="Q635" s="186"/>
      <c r="R635" s="18"/>
      <c r="S635" s="374"/>
      <c r="T635" s="372"/>
      <c r="U635" s="186"/>
      <c r="V635" s="18"/>
      <c r="W635" s="374"/>
      <c r="X635" s="372"/>
      <c r="Y635" s="186"/>
      <c r="Z635" s="18"/>
      <c r="AA635" s="374"/>
      <c r="AB635" s="372"/>
      <c r="AC635" s="186"/>
      <c r="AD635" s="18"/>
      <c r="AE635" s="374"/>
      <c r="AF635" s="372"/>
      <c r="AG635" s="188"/>
      <c r="AH635" s="188"/>
      <c r="AI635" s="188"/>
      <c r="AJ635" s="188"/>
      <c r="AK635" s="365"/>
      <c r="AL635" s="365"/>
      <c r="AM635" s="365"/>
      <c r="AN635" s="365"/>
      <c r="AO635" s="365"/>
      <c r="AP635" s="365"/>
    </row>
    <row r="636">
      <c r="A636" s="302"/>
      <c r="B636" s="303"/>
      <c r="C636" s="304"/>
      <c r="D636" s="365"/>
      <c r="E636" s="302"/>
      <c r="F636" s="303"/>
      <c r="G636" s="304"/>
      <c r="H636" s="365"/>
      <c r="I636" s="302"/>
      <c r="J636" s="303"/>
      <c r="K636" s="304"/>
      <c r="L636" s="365"/>
      <c r="M636" s="302"/>
      <c r="N636" s="303"/>
      <c r="O636" s="304"/>
      <c r="P636" s="365"/>
      <c r="Q636" s="186"/>
      <c r="R636" s="18"/>
      <c r="S636" s="374"/>
      <c r="T636" s="372"/>
      <c r="U636" s="186"/>
      <c r="V636" s="18"/>
      <c r="W636" s="374"/>
      <c r="X636" s="372"/>
      <c r="Y636" s="186"/>
      <c r="Z636" s="18"/>
      <c r="AA636" s="374"/>
      <c r="AB636" s="372"/>
      <c r="AC636" s="186"/>
      <c r="AD636" s="18"/>
      <c r="AE636" s="374"/>
      <c r="AF636" s="372"/>
      <c r="AG636" s="188"/>
      <c r="AH636" s="188"/>
      <c r="AI636" s="188"/>
      <c r="AJ636" s="188"/>
      <c r="AK636" s="365"/>
      <c r="AL636" s="365"/>
      <c r="AM636" s="365"/>
      <c r="AN636" s="365"/>
      <c r="AO636" s="365"/>
      <c r="AP636" s="365"/>
    </row>
    <row r="637">
      <c r="A637" s="302"/>
      <c r="B637" s="303"/>
      <c r="C637" s="304"/>
      <c r="D637" s="365"/>
      <c r="E637" s="302"/>
      <c r="F637" s="303"/>
      <c r="G637" s="304"/>
      <c r="H637" s="365"/>
      <c r="I637" s="302"/>
      <c r="J637" s="303"/>
      <c r="K637" s="304"/>
      <c r="L637" s="365"/>
      <c r="M637" s="302"/>
      <c r="N637" s="303"/>
      <c r="O637" s="304"/>
      <c r="P637" s="365"/>
      <c r="Q637" s="186"/>
      <c r="R637" s="18"/>
      <c r="S637" s="374"/>
      <c r="T637" s="372"/>
      <c r="U637" s="186"/>
      <c r="V637" s="18"/>
      <c r="W637" s="374"/>
      <c r="X637" s="372"/>
      <c r="Y637" s="186"/>
      <c r="Z637" s="18"/>
      <c r="AA637" s="374"/>
      <c r="AB637" s="372"/>
      <c r="AC637" s="186"/>
      <c r="AD637" s="18"/>
      <c r="AE637" s="374"/>
      <c r="AF637" s="372"/>
      <c r="AG637" s="188"/>
      <c r="AH637" s="188"/>
      <c r="AI637" s="188"/>
      <c r="AJ637" s="188"/>
      <c r="AK637" s="365"/>
      <c r="AL637" s="365"/>
      <c r="AM637" s="365"/>
      <c r="AN637" s="365"/>
      <c r="AO637" s="365"/>
      <c r="AP637" s="365"/>
    </row>
    <row r="638">
      <c r="A638" s="302"/>
      <c r="B638" s="303"/>
      <c r="C638" s="304"/>
      <c r="D638" s="365"/>
      <c r="E638" s="302"/>
      <c r="F638" s="303"/>
      <c r="G638" s="304"/>
      <c r="H638" s="365"/>
      <c r="I638" s="302"/>
      <c r="J638" s="303"/>
      <c r="K638" s="304"/>
      <c r="L638" s="365"/>
      <c r="M638" s="302"/>
      <c r="N638" s="303"/>
      <c r="O638" s="304"/>
      <c r="P638" s="365"/>
      <c r="Q638" s="186"/>
      <c r="R638" s="18"/>
      <c r="S638" s="374"/>
      <c r="T638" s="372"/>
      <c r="U638" s="186"/>
      <c r="V638" s="18"/>
      <c r="W638" s="374"/>
      <c r="X638" s="372"/>
      <c r="Y638" s="186"/>
      <c r="Z638" s="18"/>
      <c r="AA638" s="374"/>
      <c r="AB638" s="372"/>
      <c r="AC638" s="186"/>
      <c r="AD638" s="18"/>
      <c r="AE638" s="374"/>
      <c r="AF638" s="372"/>
      <c r="AG638" s="188"/>
      <c r="AH638" s="188"/>
      <c r="AI638" s="188"/>
      <c r="AJ638" s="188"/>
      <c r="AK638" s="365"/>
      <c r="AL638" s="365"/>
      <c r="AM638" s="365"/>
      <c r="AN638" s="365"/>
      <c r="AO638" s="365"/>
      <c r="AP638" s="365"/>
    </row>
    <row r="639">
      <c r="A639" s="302"/>
      <c r="B639" s="303"/>
      <c r="C639" s="304"/>
      <c r="D639" s="365"/>
      <c r="E639" s="302"/>
      <c r="F639" s="303"/>
      <c r="G639" s="304"/>
      <c r="H639" s="365"/>
      <c r="I639" s="302"/>
      <c r="J639" s="303"/>
      <c r="K639" s="304"/>
      <c r="L639" s="365"/>
      <c r="M639" s="302"/>
      <c r="N639" s="303"/>
      <c r="O639" s="304"/>
      <c r="P639" s="365"/>
      <c r="Q639" s="186"/>
      <c r="R639" s="18"/>
      <c r="S639" s="374"/>
      <c r="T639" s="372"/>
      <c r="U639" s="186"/>
      <c r="V639" s="18"/>
      <c r="W639" s="374"/>
      <c r="X639" s="372"/>
      <c r="Y639" s="186"/>
      <c r="Z639" s="18"/>
      <c r="AA639" s="374"/>
      <c r="AB639" s="372"/>
      <c r="AC639" s="186"/>
      <c r="AD639" s="18"/>
      <c r="AE639" s="374"/>
      <c r="AF639" s="372"/>
      <c r="AG639" s="188"/>
      <c r="AH639" s="188"/>
      <c r="AI639" s="188"/>
      <c r="AJ639" s="188"/>
      <c r="AK639" s="365"/>
      <c r="AL639" s="365"/>
      <c r="AM639" s="365"/>
      <c r="AN639" s="365"/>
      <c r="AO639" s="365"/>
      <c r="AP639" s="365"/>
    </row>
    <row r="640">
      <c r="A640" s="302"/>
      <c r="B640" s="303"/>
      <c r="C640" s="304"/>
      <c r="D640" s="365"/>
      <c r="E640" s="302"/>
      <c r="F640" s="303"/>
      <c r="G640" s="304"/>
      <c r="H640" s="365"/>
      <c r="I640" s="302"/>
      <c r="J640" s="303"/>
      <c r="K640" s="304"/>
      <c r="L640" s="365"/>
      <c r="M640" s="302"/>
      <c r="N640" s="303"/>
      <c r="O640" s="304"/>
      <c r="P640" s="365"/>
      <c r="Q640" s="186"/>
      <c r="R640" s="18"/>
      <c r="S640" s="374"/>
      <c r="T640" s="372"/>
      <c r="U640" s="186"/>
      <c r="V640" s="18"/>
      <c r="W640" s="374"/>
      <c r="X640" s="372"/>
      <c r="Y640" s="186"/>
      <c r="Z640" s="18"/>
      <c r="AA640" s="374"/>
      <c r="AB640" s="372"/>
      <c r="AC640" s="186"/>
      <c r="AD640" s="18"/>
      <c r="AE640" s="374"/>
      <c r="AF640" s="372"/>
      <c r="AG640" s="188"/>
      <c r="AH640" s="188"/>
      <c r="AI640" s="188"/>
      <c r="AJ640" s="188"/>
      <c r="AK640" s="365"/>
      <c r="AL640" s="365"/>
      <c r="AM640" s="365"/>
      <c r="AN640" s="365"/>
      <c r="AO640" s="365"/>
      <c r="AP640" s="365"/>
    </row>
    <row r="641">
      <c r="A641" s="302"/>
      <c r="B641" s="303"/>
      <c r="C641" s="304"/>
      <c r="D641" s="365"/>
      <c r="E641" s="302"/>
      <c r="F641" s="303"/>
      <c r="G641" s="304"/>
      <c r="H641" s="365"/>
      <c r="I641" s="302"/>
      <c r="J641" s="303"/>
      <c r="K641" s="304"/>
      <c r="L641" s="365"/>
      <c r="M641" s="302"/>
      <c r="N641" s="303"/>
      <c r="O641" s="304"/>
      <c r="P641" s="365"/>
      <c r="Q641" s="186"/>
      <c r="R641" s="18"/>
      <c r="S641" s="374"/>
      <c r="T641" s="372"/>
      <c r="U641" s="186"/>
      <c r="V641" s="18"/>
      <c r="W641" s="374"/>
      <c r="X641" s="372"/>
      <c r="Y641" s="186"/>
      <c r="Z641" s="18"/>
      <c r="AA641" s="374"/>
      <c r="AB641" s="372"/>
      <c r="AC641" s="186"/>
      <c r="AD641" s="18"/>
      <c r="AE641" s="374"/>
      <c r="AF641" s="372"/>
      <c r="AG641" s="188"/>
      <c r="AH641" s="188"/>
      <c r="AI641" s="188"/>
      <c r="AJ641" s="188"/>
      <c r="AK641" s="365"/>
      <c r="AL641" s="365"/>
      <c r="AM641" s="365"/>
      <c r="AN641" s="365"/>
      <c r="AO641" s="365"/>
      <c r="AP641" s="365"/>
    </row>
    <row r="642">
      <c r="A642" s="302"/>
      <c r="B642" s="303"/>
      <c r="C642" s="304"/>
      <c r="D642" s="365"/>
      <c r="E642" s="302"/>
      <c r="F642" s="303"/>
      <c r="G642" s="304"/>
      <c r="H642" s="365"/>
      <c r="I642" s="302"/>
      <c r="J642" s="303"/>
      <c r="K642" s="304"/>
      <c r="L642" s="365"/>
      <c r="M642" s="302"/>
      <c r="N642" s="303"/>
      <c r="O642" s="304"/>
      <c r="P642" s="365"/>
      <c r="Q642" s="186"/>
      <c r="R642" s="18"/>
      <c r="S642" s="374"/>
      <c r="T642" s="372"/>
      <c r="U642" s="186"/>
      <c r="V642" s="18"/>
      <c r="W642" s="374"/>
      <c r="X642" s="372"/>
      <c r="Y642" s="186"/>
      <c r="Z642" s="18"/>
      <c r="AA642" s="374"/>
      <c r="AB642" s="372"/>
      <c r="AC642" s="186"/>
      <c r="AD642" s="18"/>
      <c r="AE642" s="374"/>
      <c r="AF642" s="372"/>
      <c r="AG642" s="188"/>
      <c r="AH642" s="188"/>
      <c r="AI642" s="188"/>
      <c r="AJ642" s="188"/>
      <c r="AK642" s="365"/>
      <c r="AL642" s="365"/>
      <c r="AM642" s="365"/>
      <c r="AN642" s="365"/>
      <c r="AO642" s="365"/>
      <c r="AP642" s="365"/>
    </row>
    <row r="643">
      <c r="A643" s="302"/>
      <c r="B643" s="303"/>
      <c r="C643" s="304"/>
      <c r="D643" s="365"/>
      <c r="E643" s="302"/>
      <c r="F643" s="303"/>
      <c r="G643" s="304"/>
      <c r="H643" s="365"/>
      <c r="I643" s="302"/>
      <c r="J643" s="303"/>
      <c r="K643" s="304"/>
      <c r="L643" s="365"/>
      <c r="M643" s="302"/>
      <c r="N643" s="303"/>
      <c r="O643" s="304"/>
      <c r="P643" s="365"/>
      <c r="Q643" s="186"/>
      <c r="R643" s="18"/>
      <c r="S643" s="374"/>
      <c r="T643" s="372"/>
      <c r="U643" s="186"/>
      <c r="V643" s="18"/>
      <c r="W643" s="374"/>
      <c r="X643" s="372"/>
      <c r="Y643" s="186"/>
      <c r="Z643" s="18"/>
      <c r="AA643" s="374"/>
      <c r="AB643" s="372"/>
      <c r="AC643" s="186"/>
      <c r="AD643" s="18"/>
      <c r="AE643" s="374"/>
      <c r="AF643" s="372"/>
      <c r="AG643" s="188"/>
      <c r="AH643" s="188"/>
      <c r="AI643" s="188"/>
      <c r="AJ643" s="188"/>
      <c r="AK643" s="365"/>
      <c r="AL643" s="365"/>
      <c r="AM643" s="365"/>
      <c r="AN643" s="365"/>
      <c r="AO643" s="365"/>
      <c r="AP643" s="365"/>
    </row>
    <row r="644">
      <c r="A644" s="302"/>
      <c r="B644" s="303"/>
      <c r="C644" s="304"/>
      <c r="D644" s="365"/>
      <c r="E644" s="302"/>
      <c r="F644" s="303"/>
      <c r="G644" s="304"/>
      <c r="H644" s="365"/>
      <c r="I644" s="302"/>
      <c r="J644" s="303"/>
      <c r="K644" s="304"/>
      <c r="L644" s="365"/>
      <c r="M644" s="302"/>
      <c r="N644" s="303"/>
      <c r="O644" s="304"/>
      <c r="P644" s="365"/>
      <c r="Q644" s="186"/>
      <c r="R644" s="18"/>
      <c r="S644" s="374"/>
      <c r="T644" s="372"/>
      <c r="U644" s="186"/>
      <c r="V644" s="18"/>
      <c r="W644" s="374"/>
      <c r="X644" s="372"/>
      <c r="Y644" s="186"/>
      <c r="Z644" s="18"/>
      <c r="AA644" s="374"/>
      <c r="AB644" s="372"/>
      <c r="AC644" s="186"/>
      <c r="AD644" s="18"/>
      <c r="AE644" s="374"/>
      <c r="AF644" s="372"/>
      <c r="AG644" s="188"/>
      <c r="AH644" s="188"/>
      <c r="AI644" s="188"/>
      <c r="AJ644" s="188"/>
      <c r="AK644" s="365"/>
      <c r="AL644" s="365"/>
      <c r="AM644" s="365"/>
      <c r="AN644" s="365"/>
      <c r="AO644" s="365"/>
      <c r="AP644" s="365"/>
    </row>
    <row r="645">
      <c r="A645" s="302"/>
      <c r="B645" s="303"/>
      <c r="C645" s="304"/>
      <c r="D645" s="365"/>
      <c r="E645" s="302"/>
      <c r="F645" s="303"/>
      <c r="G645" s="304"/>
      <c r="H645" s="365"/>
      <c r="I645" s="302"/>
      <c r="J645" s="303"/>
      <c r="K645" s="304"/>
      <c r="L645" s="365"/>
      <c r="M645" s="302"/>
      <c r="N645" s="303"/>
      <c r="O645" s="304"/>
      <c r="P645" s="365"/>
      <c r="Q645" s="186"/>
      <c r="R645" s="18"/>
      <c r="S645" s="374"/>
      <c r="T645" s="372"/>
      <c r="U645" s="186"/>
      <c r="V645" s="18"/>
      <c r="W645" s="374"/>
      <c r="X645" s="372"/>
      <c r="Y645" s="186"/>
      <c r="Z645" s="18"/>
      <c r="AA645" s="374"/>
      <c r="AB645" s="372"/>
      <c r="AC645" s="186"/>
      <c r="AD645" s="18"/>
      <c r="AE645" s="374"/>
      <c r="AF645" s="372"/>
      <c r="AG645" s="188"/>
      <c r="AH645" s="188"/>
      <c r="AI645" s="188"/>
      <c r="AJ645" s="188"/>
      <c r="AK645" s="365"/>
      <c r="AL645" s="365"/>
      <c r="AM645" s="365"/>
      <c r="AN645" s="365"/>
      <c r="AO645" s="365"/>
      <c r="AP645" s="365"/>
    </row>
    <row r="646">
      <c r="A646" s="302"/>
      <c r="B646" s="303"/>
      <c r="C646" s="304"/>
      <c r="D646" s="365"/>
      <c r="E646" s="302"/>
      <c r="F646" s="303"/>
      <c r="G646" s="304"/>
      <c r="H646" s="365"/>
      <c r="I646" s="302"/>
      <c r="J646" s="303"/>
      <c r="K646" s="304"/>
      <c r="L646" s="365"/>
      <c r="M646" s="302"/>
      <c r="N646" s="303"/>
      <c r="O646" s="304"/>
      <c r="P646" s="365"/>
      <c r="Q646" s="186"/>
      <c r="R646" s="18"/>
      <c r="S646" s="374"/>
      <c r="T646" s="372"/>
      <c r="U646" s="186"/>
      <c r="V646" s="18"/>
      <c r="W646" s="374"/>
      <c r="X646" s="372"/>
      <c r="Y646" s="186"/>
      <c r="Z646" s="18"/>
      <c r="AA646" s="374"/>
      <c r="AB646" s="372"/>
      <c r="AC646" s="186"/>
      <c r="AD646" s="18"/>
      <c r="AE646" s="374"/>
      <c r="AF646" s="372"/>
      <c r="AG646" s="188"/>
      <c r="AH646" s="188"/>
      <c r="AI646" s="188"/>
      <c r="AJ646" s="188"/>
      <c r="AK646" s="365"/>
      <c r="AL646" s="365"/>
      <c r="AM646" s="365"/>
      <c r="AN646" s="365"/>
      <c r="AO646" s="365"/>
      <c r="AP646" s="365"/>
    </row>
    <row r="647">
      <c r="A647" s="302"/>
      <c r="B647" s="303"/>
      <c r="C647" s="304"/>
      <c r="D647" s="365"/>
      <c r="E647" s="302"/>
      <c r="F647" s="303"/>
      <c r="G647" s="304"/>
      <c r="H647" s="365"/>
      <c r="I647" s="302"/>
      <c r="J647" s="303"/>
      <c r="K647" s="304"/>
      <c r="L647" s="365"/>
      <c r="M647" s="302"/>
      <c r="N647" s="303"/>
      <c r="O647" s="304"/>
      <c r="P647" s="365"/>
      <c r="Q647" s="186"/>
      <c r="R647" s="18"/>
      <c r="S647" s="374"/>
      <c r="T647" s="372"/>
      <c r="U647" s="186"/>
      <c r="V647" s="18"/>
      <c r="W647" s="374"/>
      <c r="X647" s="372"/>
      <c r="Y647" s="186"/>
      <c r="Z647" s="18"/>
      <c r="AA647" s="374"/>
      <c r="AB647" s="372"/>
      <c r="AC647" s="186"/>
      <c r="AD647" s="18"/>
      <c r="AE647" s="374"/>
      <c r="AF647" s="372"/>
      <c r="AG647" s="188"/>
      <c r="AH647" s="188"/>
      <c r="AI647" s="188"/>
      <c r="AJ647" s="188"/>
      <c r="AK647" s="365"/>
      <c r="AL647" s="365"/>
      <c r="AM647" s="365"/>
      <c r="AN647" s="365"/>
      <c r="AO647" s="365"/>
      <c r="AP647" s="365"/>
    </row>
    <row r="648">
      <c r="A648" s="302"/>
      <c r="B648" s="303"/>
      <c r="C648" s="304"/>
      <c r="D648" s="365"/>
      <c r="E648" s="302"/>
      <c r="F648" s="303"/>
      <c r="G648" s="304"/>
      <c r="H648" s="365"/>
      <c r="I648" s="302"/>
      <c r="J648" s="303"/>
      <c r="K648" s="304"/>
      <c r="L648" s="365"/>
      <c r="M648" s="302"/>
      <c r="N648" s="303"/>
      <c r="O648" s="304"/>
      <c r="P648" s="365"/>
      <c r="Q648" s="186"/>
      <c r="R648" s="18"/>
      <c r="S648" s="374"/>
      <c r="T648" s="372"/>
      <c r="U648" s="186"/>
      <c r="V648" s="18"/>
      <c r="W648" s="374"/>
      <c r="X648" s="372"/>
      <c r="Y648" s="186"/>
      <c r="Z648" s="18"/>
      <c r="AA648" s="374"/>
      <c r="AB648" s="372"/>
      <c r="AC648" s="186"/>
      <c r="AD648" s="18"/>
      <c r="AE648" s="374"/>
      <c r="AF648" s="372"/>
      <c r="AG648" s="188"/>
      <c r="AH648" s="188"/>
      <c r="AI648" s="188"/>
      <c r="AJ648" s="188"/>
      <c r="AK648" s="365"/>
      <c r="AL648" s="365"/>
      <c r="AM648" s="365"/>
      <c r="AN648" s="365"/>
      <c r="AO648" s="365"/>
      <c r="AP648" s="365"/>
    </row>
    <row r="649">
      <c r="A649" s="302"/>
      <c r="B649" s="303"/>
      <c r="C649" s="304"/>
      <c r="D649" s="365"/>
      <c r="E649" s="302"/>
      <c r="F649" s="303"/>
      <c r="G649" s="304"/>
      <c r="H649" s="365"/>
      <c r="I649" s="302"/>
      <c r="J649" s="303"/>
      <c r="K649" s="304"/>
      <c r="L649" s="365"/>
      <c r="M649" s="302"/>
      <c r="N649" s="303"/>
      <c r="O649" s="304"/>
      <c r="P649" s="365"/>
      <c r="Q649" s="186"/>
      <c r="R649" s="18"/>
      <c r="S649" s="374"/>
      <c r="T649" s="372"/>
      <c r="U649" s="186"/>
      <c r="V649" s="18"/>
      <c r="W649" s="374"/>
      <c r="X649" s="372"/>
      <c r="Y649" s="186"/>
      <c r="Z649" s="18"/>
      <c r="AA649" s="374"/>
      <c r="AB649" s="372"/>
      <c r="AC649" s="186"/>
      <c r="AD649" s="18"/>
      <c r="AE649" s="374"/>
      <c r="AF649" s="372"/>
      <c r="AG649" s="188"/>
      <c r="AH649" s="188"/>
      <c r="AI649" s="188"/>
      <c r="AJ649" s="188"/>
      <c r="AK649" s="365"/>
      <c r="AL649" s="365"/>
      <c r="AM649" s="365"/>
      <c r="AN649" s="365"/>
      <c r="AO649" s="365"/>
      <c r="AP649" s="365"/>
    </row>
    <row r="650">
      <c r="A650" s="302"/>
      <c r="B650" s="303"/>
      <c r="C650" s="304"/>
      <c r="D650" s="365"/>
      <c r="E650" s="302"/>
      <c r="F650" s="303"/>
      <c r="G650" s="304"/>
      <c r="H650" s="365"/>
      <c r="I650" s="302"/>
      <c r="J650" s="303"/>
      <c r="K650" s="304"/>
      <c r="L650" s="365"/>
      <c r="M650" s="302"/>
      <c r="N650" s="303"/>
      <c r="O650" s="304"/>
      <c r="P650" s="365"/>
      <c r="Q650" s="186"/>
      <c r="R650" s="18"/>
      <c r="S650" s="374"/>
      <c r="T650" s="372"/>
      <c r="U650" s="186"/>
      <c r="V650" s="18"/>
      <c r="W650" s="374"/>
      <c r="X650" s="372"/>
      <c r="Y650" s="186"/>
      <c r="Z650" s="18"/>
      <c r="AA650" s="374"/>
      <c r="AB650" s="372"/>
      <c r="AC650" s="186"/>
      <c r="AD650" s="18"/>
      <c r="AE650" s="374"/>
      <c r="AF650" s="372"/>
      <c r="AG650" s="188"/>
      <c r="AH650" s="188"/>
      <c r="AI650" s="188"/>
      <c r="AJ650" s="188"/>
      <c r="AK650" s="365"/>
      <c r="AL650" s="365"/>
      <c r="AM650" s="365"/>
      <c r="AN650" s="365"/>
      <c r="AO650" s="365"/>
      <c r="AP650" s="365"/>
    </row>
    <row r="651">
      <c r="A651" s="302"/>
      <c r="B651" s="303"/>
      <c r="C651" s="304"/>
      <c r="D651" s="365"/>
      <c r="E651" s="302"/>
      <c r="F651" s="303"/>
      <c r="G651" s="304"/>
      <c r="H651" s="365"/>
      <c r="I651" s="302"/>
      <c r="J651" s="303"/>
      <c r="K651" s="304"/>
      <c r="L651" s="365"/>
      <c r="M651" s="302"/>
      <c r="N651" s="303"/>
      <c r="O651" s="304"/>
      <c r="P651" s="365"/>
      <c r="Q651" s="186"/>
      <c r="R651" s="18"/>
      <c r="S651" s="374"/>
      <c r="T651" s="372"/>
      <c r="U651" s="186"/>
      <c r="V651" s="18"/>
      <c r="W651" s="374"/>
      <c r="X651" s="372"/>
      <c r="Y651" s="186"/>
      <c r="Z651" s="18"/>
      <c r="AA651" s="374"/>
      <c r="AB651" s="372"/>
      <c r="AC651" s="186"/>
      <c r="AD651" s="18"/>
      <c r="AE651" s="374"/>
      <c r="AF651" s="372"/>
      <c r="AG651" s="188"/>
      <c r="AH651" s="188"/>
      <c r="AI651" s="188"/>
      <c r="AJ651" s="188"/>
      <c r="AK651" s="365"/>
      <c r="AL651" s="365"/>
      <c r="AM651" s="365"/>
      <c r="AN651" s="365"/>
      <c r="AO651" s="365"/>
      <c r="AP651" s="365"/>
    </row>
    <row r="652">
      <c r="A652" s="302"/>
      <c r="B652" s="303"/>
      <c r="C652" s="304"/>
      <c r="D652" s="365"/>
      <c r="E652" s="302"/>
      <c r="F652" s="303"/>
      <c r="G652" s="304"/>
      <c r="H652" s="365"/>
      <c r="I652" s="302"/>
      <c r="J652" s="303"/>
      <c r="K652" s="304"/>
      <c r="L652" s="365"/>
      <c r="M652" s="302"/>
      <c r="N652" s="303"/>
      <c r="O652" s="304"/>
      <c r="P652" s="365"/>
      <c r="Q652" s="186"/>
      <c r="R652" s="18"/>
      <c r="S652" s="374"/>
      <c r="T652" s="372"/>
      <c r="U652" s="186"/>
      <c r="V652" s="18"/>
      <c r="W652" s="374"/>
      <c r="X652" s="372"/>
      <c r="Y652" s="186"/>
      <c r="Z652" s="18"/>
      <c r="AA652" s="374"/>
      <c r="AB652" s="372"/>
      <c r="AC652" s="186"/>
      <c r="AD652" s="18"/>
      <c r="AE652" s="374"/>
      <c r="AF652" s="372"/>
      <c r="AG652" s="188"/>
      <c r="AH652" s="188"/>
      <c r="AI652" s="188"/>
      <c r="AJ652" s="188"/>
      <c r="AK652" s="365"/>
      <c r="AL652" s="365"/>
      <c r="AM652" s="365"/>
      <c r="AN652" s="365"/>
      <c r="AO652" s="365"/>
      <c r="AP652" s="365"/>
    </row>
    <row r="653">
      <c r="A653" s="302"/>
      <c r="B653" s="303"/>
      <c r="C653" s="304"/>
      <c r="D653" s="365"/>
      <c r="E653" s="302"/>
      <c r="F653" s="303"/>
      <c r="G653" s="304"/>
      <c r="H653" s="365"/>
      <c r="I653" s="302"/>
      <c r="J653" s="303"/>
      <c r="K653" s="304"/>
      <c r="L653" s="365"/>
      <c r="M653" s="302"/>
      <c r="N653" s="303"/>
      <c r="O653" s="304"/>
      <c r="P653" s="365"/>
      <c r="Q653" s="186"/>
      <c r="R653" s="18"/>
      <c r="S653" s="374"/>
      <c r="T653" s="372"/>
      <c r="U653" s="186"/>
      <c r="V653" s="18"/>
      <c r="W653" s="374"/>
      <c r="X653" s="372"/>
      <c r="Y653" s="186"/>
      <c r="Z653" s="18"/>
      <c r="AA653" s="374"/>
      <c r="AB653" s="372"/>
      <c r="AC653" s="186"/>
      <c r="AD653" s="18"/>
      <c r="AE653" s="374"/>
      <c r="AF653" s="372"/>
      <c r="AG653" s="188"/>
      <c r="AH653" s="188"/>
      <c r="AI653" s="188"/>
      <c r="AJ653" s="188"/>
      <c r="AK653" s="365"/>
      <c r="AL653" s="365"/>
      <c r="AM653" s="365"/>
      <c r="AN653" s="365"/>
      <c r="AO653" s="365"/>
      <c r="AP653" s="365"/>
    </row>
    <row r="654">
      <c r="A654" s="302"/>
      <c r="B654" s="303"/>
      <c r="C654" s="304"/>
      <c r="D654" s="365"/>
      <c r="E654" s="302"/>
      <c r="F654" s="303"/>
      <c r="G654" s="304"/>
      <c r="H654" s="365"/>
      <c r="I654" s="302"/>
      <c r="J654" s="303"/>
      <c r="K654" s="304"/>
      <c r="L654" s="365"/>
      <c r="M654" s="302"/>
      <c r="N654" s="303"/>
      <c r="O654" s="304"/>
      <c r="P654" s="365"/>
      <c r="Q654" s="186"/>
      <c r="R654" s="18"/>
      <c r="S654" s="374"/>
      <c r="T654" s="372"/>
      <c r="U654" s="186"/>
      <c r="V654" s="18"/>
      <c r="W654" s="374"/>
      <c r="X654" s="372"/>
      <c r="Y654" s="186"/>
      <c r="Z654" s="18"/>
      <c r="AA654" s="374"/>
      <c r="AB654" s="372"/>
      <c r="AC654" s="186"/>
      <c r="AD654" s="18"/>
      <c r="AE654" s="374"/>
      <c r="AF654" s="372"/>
      <c r="AG654" s="188"/>
      <c r="AH654" s="188"/>
      <c r="AI654" s="188"/>
      <c r="AJ654" s="188"/>
      <c r="AK654" s="365"/>
      <c r="AL654" s="365"/>
      <c r="AM654" s="365"/>
      <c r="AN654" s="365"/>
      <c r="AO654" s="365"/>
      <c r="AP654" s="365"/>
    </row>
    <row r="655">
      <c r="A655" s="302"/>
      <c r="B655" s="303"/>
      <c r="C655" s="304"/>
      <c r="D655" s="365"/>
      <c r="E655" s="302"/>
      <c r="F655" s="303"/>
      <c r="G655" s="304"/>
      <c r="H655" s="365"/>
      <c r="I655" s="302"/>
      <c r="J655" s="303"/>
      <c r="K655" s="304"/>
      <c r="L655" s="365"/>
      <c r="M655" s="302"/>
      <c r="N655" s="303"/>
      <c r="O655" s="304"/>
      <c r="P655" s="365"/>
      <c r="Q655" s="186"/>
      <c r="R655" s="18"/>
      <c r="S655" s="374"/>
      <c r="T655" s="372"/>
      <c r="U655" s="186"/>
      <c r="V655" s="18"/>
      <c r="W655" s="374"/>
      <c r="X655" s="372"/>
      <c r="Y655" s="186"/>
      <c r="Z655" s="18"/>
      <c r="AA655" s="374"/>
      <c r="AB655" s="372"/>
      <c r="AC655" s="186"/>
      <c r="AD655" s="18"/>
      <c r="AE655" s="374"/>
      <c r="AF655" s="372"/>
      <c r="AG655" s="188"/>
      <c r="AH655" s="188"/>
      <c r="AI655" s="188"/>
      <c r="AJ655" s="188"/>
      <c r="AK655" s="365"/>
      <c r="AL655" s="365"/>
      <c r="AM655" s="365"/>
      <c r="AN655" s="365"/>
      <c r="AO655" s="365"/>
      <c r="AP655" s="365"/>
    </row>
    <row r="656">
      <c r="A656" s="302"/>
      <c r="B656" s="303"/>
      <c r="C656" s="304"/>
      <c r="D656" s="365"/>
      <c r="E656" s="302"/>
      <c r="F656" s="303"/>
      <c r="G656" s="304"/>
      <c r="H656" s="365"/>
      <c r="I656" s="302"/>
      <c r="J656" s="303"/>
      <c r="K656" s="304"/>
      <c r="L656" s="365"/>
      <c r="M656" s="302"/>
      <c r="N656" s="303"/>
      <c r="O656" s="304"/>
      <c r="P656" s="365"/>
      <c r="Q656" s="186"/>
      <c r="R656" s="18"/>
      <c r="S656" s="374"/>
      <c r="T656" s="372"/>
      <c r="U656" s="186"/>
      <c r="V656" s="18"/>
      <c r="W656" s="374"/>
      <c r="X656" s="372"/>
      <c r="Y656" s="186"/>
      <c r="Z656" s="18"/>
      <c r="AA656" s="374"/>
      <c r="AB656" s="372"/>
      <c r="AC656" s="186"/>
      <c r="AD656" s="18"/>
      <c r="AE656" s="374"/>
      <c r="AF656" s="372"/>
      <c r="AG656" s="188"/>
      <c r="AH656" s="188"/>
      <c r="AI656" s="188"/>
      <c r="AJ656" s="188"/>
      <c r="AK656" s="365"/>
      <c r="AL656" s="365"/>
      <c r="AM656" s="365"/>
      <c r="AN656" s="365"/>
      <c r="AO656" s="365"/>
      <c r="AP656" s="365"/>
    </row>
    <row r="657">
      <c r="A657" s="302"/>
      <c r="B657" s="303"/>
      <c r="C657" s="304"/>
      <c r="D657" s="365"/>
      <c r="E657" s="302"/>
      <c r="F657" s="303"/>
      <c r="G657" s="304"/>
      <c r="H657" s="365"/>
      <c r="I657" s="302"/>
      <c r="J657" s="303"/>
      <c r="K657" s="304"/>
      <c r="L657" s="365"/>
      <c r="M657" s="302"/>
      <c r="N657" s="303"/>
      <c r="O657" s="304"/>
      <c r="P657" s="365"/>
      <c r="Q657" s="186"/>
      <c r="R657" s="18"/>
      <c r="S657" s="374"/>
      <c r="T657" s="372"/>
      <c r="U657" s="186"/>
      <c r="V657" s="18"/>
      <c r="W657" s="374"/>
      <c r="X657" s="372"/>
      <c r="Y657" s="186"/>
      <c r="Z657" s="18"/>
      <c r="AA657" s="374"/>
      <c r="AB657" s="372"/>
      <c r="AC657" s="186"/>
      <c r="AD657" s="18"/>
      <c r="AE657" s="374"/>
      <c r="AF657" s="372"/>
      <c r="AG657" s="188"/>
      <c r="AH657" s="188"/>
      <c r="AI657" s="188"/>
      <c r="AJ657" s="188"/>
      <c r="AK657" s="365"/>
      <c r="AL657" s="365"/>
      <c r="AM657" s="365"/>
      <c r="AN657" s="365"/>
      <c r="AO657" s="365"/>
      <c r="AP657" s="365"/>
    </row>
    <row r="658">
      <c r="A658" s="302"/>
      <c r="B658" s="303"/>
      <c r="C658" s="304"/>
      <c r="D658" s="365"/>
      <c r="E658" s="302"/>
      <c r="F658" s="303"/>
      <c r="G658" s="304"/>
      <c r="H658" s="365"/>
      <c r="I658" s="302"/>
      <c r="J658" s="303"/>
      <c r="K658" s="304"/>
      <c r="L658" s="365"/>
      <c r="M658" s="302"/>
      <c r="N658" s="303"/>
      <c r="O658" s="304"/>
      <c r="P658" s="365"/>
      <c r="Q658" s="186"/>
      <c r="R658" s="18"/>
      <c r="S658" s="374"/>
      <c r="T658" s="372"/>
      <c r="U658" s="186"/>
      <c r="V658" s="18"/>
      <c r="W658" s="374"/>
      <c r="X658" s="372"/>
      <c r="Y658" s="186"/>
      <c r="Z658" s="18"/>
      <c r="AA658" s="374"/>
      <c r="AB658" s="372"/>
      <c r="AC658" s="186"/>
      <c r="AD658" s="18"/>
      <c r="AE658" s="374"/>
      <c r="AF658" s="372"/>
      <c r="AG658" s="188"/>
      <c r="AH658" s="188"/>
      <c r="AI658" s="188"/>
      <c r="AJ658" s="188"/>
      <c r="AK658" s="365"/>
      <c r="AL658" s="365"/>
      <c r="AM658" s="365"/>
      <c r="AN658" s="365"/>
      <c r="AO658" s="365"/>
      <c r="AP658" s="365"/>
    </row>
    <row r="659">
      <c r="A659" s="302"/>
      <c r="B659" s="303"/>
      <c r="C659" s="304"/>
      <c r="D659" s="365"/>
      <c r="E659" s="302"/>
      <c r="F659" s="303"/>
      <c r="G659" s="304"/>
      <c r="H659" s="365"/>
      <c r="I659" s="302"/>
      <c r="J659" s="303"/>
      <c r="K659" s="304"/>
      <c r="L659" s="365"/>
      <c r="M659" s="302"/>
      <c r="N659" s="303"/>
      <c r="O659" s="304"/>
      <c r="P659" s="365"/>
      <c r="Q659" s="186"/>
      <c r="R659" s="18"/>
      <c r="S659" s="374"/>
      <c r="T659" s="372"/>
      <c r="U659" s="186"/>
      <c r="V659" s="18"/>
      <c r="W659" s="374"/>
      <c r="X659" s="372"/>
      <c r="Y659" s="186"/>
      <c r="Z659" s="18"/>
      <c r="AA659" s="374"/>
      <c r="AB659" s="372"/>
      <c r="AC659" s="186"/>
      <c r="AD659" s="18"/>
      <c r="AE659" s="374"/>
      <c r="AF659" s="372"/>
      <c r="AG659" s="188"/>
      <c r="AH659" s="188"/>
      <c r="AI659" s="188"/>
      <c r="AJ659" s="188"/>
      <c r="AK659" s="365"/>
      <c r="AL659" s="365"/>
      <c r="AM659" s="365"/>
      <c r="AN659" s="365"/>
      <c r="AO659" s="365"/>
      <c r="AP659" s="365"/>
    </row>
    <row r="660">
      <c r="A660" s="302"/>
      <c r="B660" s="303"/>
      <c r="C660" s="304"/>
      <c r="D660" s="365"/>
      <c r="E660" s="302"/>
      <c r="F660" s="303"/>
      <c r="G660" s="304"/>
      <c r="H660" s="365"/>
      <c r="I660" s="302"/>
      <c r="J660" s="303"/>
      <c r="K660" s="304"/>
      <c r="L660" s="365"/>
      <c r="M660" s="302"/>
      <c r="N660" s="303"/>
      <c r="O660" s="304"/>
      <c r="P660" s="365"/>
      <c r="Q660" s="186"/>
      <c r="R660" s="18"/>
      <c r="S660" s="374"/>
      <c r="T660" s="372"/>
      <c r="U660" s="186"/>
      <c r="V660" s="18"/>
      <c r="W660" s="374"/>
      <c r="X660" s="372"/>
      <c r="Y660" s="186"/>
      <c r="Z660" s="18"/>
      <c r="AA660" s="374"/>
      <c r="AB660" s="372"/>
      <c r="AC660" s="186"/>
      <c r="AD660" s="18"/>
      <c r="AE660" s="374"/>
      <c r="AF660" s="372"/>
      <c r="AG660" s="188"/>
      <c r="AH660" s="188"/>
      <c r="AI660" s="188"/>
      <c r="AJ660" s="188"/>
      <c r="AK660" s="365"/>
      <c r="AL660" s="365"/>
      <c r="AM660" s="365"/>
      <c r="AN660" s="365"/>
      <c r="AO660" s="365"/>
      <c r="AP660" s="365"/>
    </row>
    <row r="661">
      <c r="A661" s="302"/>
      <c r="B661" s="303"/>
      <c r="C661" s="304"/>
      <c r="D661" s="365"/>
      <c r="E661" s="302"/>
      <c r="F661" s="303"/>
      <c r="G661" s="304"/>
      <c r="H661" s="365"/>
      <c r="I661" s="302"/>
      <c r="J661" s="303"/>
      <c r="K661" s="304"/>
      <c r="L661" s="365"/>
      <c r="M661" s="302"/>
      <c r="N661" s="303"/>
      <c r="O661" s="304"/>
      <c r="P661" s="365"/>
      <c r="Q661" s="186"/>
      <c r="R661" s="18"/>
      <c r="S661" s="374"/>
      <c r="T661" s="372"/>
      <c r="U661" s="186"/>
      <c r="V661" s="18"/>
      <c r="W661" s="374"/>
      <c r="X661" s="372"/>
      <c r="Y661" s="186"/>
      <c r="Z661" s="18"/>
      <c r="AA661" s="374"/>
      <c r="AB661" s="372"/>
      <c r="AC661" s="186"/>
      <c r="AD661" s="18"/>
      <c r="AE661" s="374"/>
      <c r="AF661" s="372"/>
      <c r="AG661" s="188"/>
      <c r="AH661" s="188"/>
      <c r="AI661" s="188"/>
      <c r="AJ661" s="188"/>
      <c r="AK661" s="365"/>
      <c r="AL661" s="365"/>
      <c r="AM661" s="365"/>
      <c r="AN661" s="365"/>
      <c r="AO661" s="365"/>
      <c r="AP661" s="365"/>
    </row>
    <row r="662">
      <c r="A662" s="302"/>
      <c r="B662" s="303"/>
      <c r="C662" s="304"/>
      <c r="D662" s="365"/>
      <c r="E662" s="302"/>
      <c r="F662" s="303"/>
      <c r="G662" s="304"/>
      <c r="H662" s="365"/>
      <c r="I662" s="302"/>
      <c r="J662" s="303"/>
      <c r="K662" s="304"/>
      <c r="L662" s="365"/>
      <c r="M662" s="302"/>
      <c r="N662" s="303"/>
      <c r="O662" s="304"/>
      <c r="P662" s="365"/>
      <c r="Q662" s="186"/>
      <c r="R662" s="18"/>
      <c r="S662" s="374"/>
      <c r="T662" s="372"/>
      <c r="U662" s="186"/>
      <c r="V662" s="18"/>
      <c r="W662" s="374"/>
      <c r="X662" s="372"/>
      <c r="Y662" s="186"/>
      <c r="Z662" s="18"/>
      <c r="AA662" s="374"/>
      <c r="AB662" s="372"/>
      <c r="AC662" s="186"/>
      <c r="AD662" s="18"/>
      <c r="AE662" s="374"/>
      <c r="AF662" s="372"/>
      <c r="AG662" s="188"/>
      <c r="AH662" s="188"/>
      <c r="AI662" s="188"/>
      <c r="AJ662" s="188"/>
      <c r="AK662" s="365"/>
      <c r="AL662" s="365"/>
      <c r="AM662" s="365"/>
      <c r="AN662" s="365"/>
      <c r="AO662" s="365"/>
      <c r="AP662" s="365"/>
    </row>
    <row r="663">
      <c r="A663" s="302"/>
      <c r="B663" s="303"/>
      <c r="C663" s="304"/>
      <c r="D663" s="365"/>
      <c r="E663" s="302"/>
      <c r="F663" s="303"/>
      <c r="G663" s="304"/>
      <c r="H663" s="365"/>
      <c r="I663" s="302"/>
      <c r="J663" s="303"/>
      <c r="K663" s="304"/>
      <c r="L663" s="365"/>
      <c r="M663" s="302"/>
      <c r="N663" s="303"/>
      <c r="O663" s="304"/>
      <c r="P663" s="365"/>
      <c r="Q663" s="186"/>
      <c r="R663" s="18"/>
      <c r="S663" s="374"/>
      <c r="T663" s="372"/>
      <c r="U663" s="186"/>
      <c r="V663" s="18"/>
      <c r="W663" s="374"/>
      <c r="X663" s="372"/>
      <c r="Y663" s="186"/>
      <c r="Z663" s="18"/>
      <c r="AA663" s="374"/>
      <c r="AB663" s="372"/>
      <c r="AC663" s="186"/>
      <c r="AD663" s="18"/>
      <c r="AE663" s="374"/>
      <c r="AF663" s="372"/>
      <c r="AG663" s="188"/>
      <c r="AH663" s="188"/>
      <c r="AI663" s="188"/>
      <c r="AJ663" s="188"/>
      <c r="AK663" s="365"/>
      <c r="AL663" s="365"/>
      <c r="AM663" s="365"/>
      <c r="AN663" s="365"/>
      <c r="AO663" s="365"/>
      <c r="AP663" s="365"/>
    </row>
    <row r="664">
      <c r="A664" s="302"/>
      <c r="B664" s="303"/>
      <c r="C664" s="304"/>
      <c r="D664" s="365"/>
      <c r="E664" s="302"/>
      <c r="F664" s="303"/>
      <c r="G664" s="304"/>
      <c r="H664" s="365"/>
      <c r="I664" s="302"/>
      <c r="J664" s="303"/>
      <c r="K664" s="304"/>
      <c r="L664" s="365"/>
      <c r="M664" s="302"/>
      <c r="N664" s="303"/>
      <c r="O664" s="304"/>
      <c r="P664" s="365"/>
      <c r="Q664" s="186"/>
      <c r="R664" s="18"/>
      <c r="S664" s="374"/>
      <c r="T664" s="372"/>
      <c r="U664" s="186"/>
      <c r="V664" s="18"/>
      <c r="W664" s="374"/>
      <c r="X664" s="372"/>
      <c r="Y664" s="186"/>
      <c r="Z664" s="18"/>
      <c r="AA664" s="374"/>
      <c r="AB664" s="372"/>
      <c r="AC664" s="186"/>
      <c r="AD664" s="18"/>
      <c r="AE664" s="374"/>
      <c r="AF664" s="372"/>
      <c r="AG664" s="188"/>
      <c r="AH664" s="188"/>
      <c r="AI664" s="188"/>
      <c r="AJ664" s="188"/>
      <c r="AK664" s="365"/>
      <c r="AL664" s="365"/>
      <c r="AM664" s="365"/>
      <c r="AN664" s="365"/>
      <c r="AO664" s="365"/>
      <c r="AP664" s="365"/>
    </row>
    <row r="665">
      <c r="A665" s="302"/>
      <c r="B665" s="303"/>
      <c r="C665" s="304"/>
      <c r="D665" s="365"/>
      <c r="E665" s="302"/>
      <c r="F665" s="303"/>
      <c r="G665" s="304"/>
      <c r="H665" s="365"/>
      <c r="I665" s="302"/>
      <c r="J665" s="303"/>
      <c r="K665" s="304"/>
      <c r="L665" s="365"/>
      <c r="M665" s="302"/>
      <c r="N665" s="303"/>
      <c r="O665" s="304"/>
      <c r="P665" s="365"/>
      <c r="Q665" s="186"/>
      <c r="R665" s="18"/>
      <c r="S665" s="374"/>
      <c r="T665" s="372"/>
      <c r="U665" s="186"/>
      <c r="V665" s="18"/>
      <c r="W665" s="374"/>
      <c r="X665" s="372"/>
      <c r="Y665" s="186"/>
      <c r="Z665" s="18"/>
      <c r="AA665" s="374"/>
      <c r="AB665" s="372"/>
      <c r="AC665" s="186"/>
      <c r="AD665" s="18"/>
      <c r="AE665" s="374"/>
      <c r="AF665" s="372"/>
      <c r="AG665" s="188"/>
      <c r="AH665" s="188"/>
      <c r="AI665" s="188"/>
      <c r="AJ665" s="188"/>
      <c r="AK665" s="365"/>
      <c r="AL665" s="365"/>
      <c r="AM665" s="365"/>
      <c r="AN665" s="365"/>
      <c r="AO665" s="365"/>
      <c r="AP665" s="365"/>
    </row>
    <row r="666">
      <c r="A666" s="302"/>
      <c r="B666" s="303"/>
      <c r="C666" s="304"/>
      <c r="D666" s="365"/>
      <c r="E666" s="302"/>
      <c r="F666" s="303"/>
      <c r="G666" s="304"/>
      <c r="H666" s="365"/>
      <c r="I666" s="302"/>
      <c r="J666" s="303"/>
      <c r="K666" s="304"/>
      <c r="L666" s="365"/>
      <c r="M666" s="302"/>
      <c r="N666" s="303"/>
      <c r="O666" s="304"/>
      <c r="P666" s="365"/>
      <c r="Q666" s="186"/>
      <c r="R666" s="18"/>
      <c r="S666" s="374"/>
      <c r="T666" s="372"/>
      <c r="U666" s="186"/>
      <c r="V666" s="18"/>
      <c r="W666" s="374"/>
      <c r="X666" s="372"/>
      <c r="Y666" s="186"/>
      <c r="Z666" s="18"/>
      <c r="AA666" s="374"/>
      <c r="AB666" s="372"/>
      <c r="AC666" s="186"/>
      <c r="AD666" s="18"/>
      <c r="AE666" s="374"/>
      <c r="AF666" s="372"/>
      <c r="AG666" s="188"/>
      <c r="AH666" s="188"/>
      <c r="AI666" s="188"/>
      <c r="AJ666" s="188"/>
      <c r="AK666" s="365"/>
      <c r="AL666" s="365"/>
      <c r="AM666" s="365"/>
      <c r="AN666" s="365"/>
      <c r="AO666" s="365"/>
      <c r="AP666" s="365"/>
    </row>
    <row r="667">
      <c r="A667" s="302"/>
      <c r="B667" s="303"/>
      <c r="C667" s="304"/>
      <c r="D667" s="365"/>
      <c r="E667" s="302"/>
      <c r="F667" s="303"/>
      <c r="G667" s="304"/>
      <c r="H667" s="365"/>
      <c r="I667" s="302"/>
      <c r="J667" s="303"/>
      <c r="K667" s="304"/>
      <c r="L667" s="365"/>
      <c r="M667" s="302"/>
      <c r="N667" s="303"/>
      <c r="O667" s="304"/>
      <c r="P667" s="365"/>
      <c r="Q667" s="186"/>
      <c r="R667" s="18"/>
      <c r="S667" s="374"/>
      <c r="T667" s="372"/>
      <c r="U667" s="186"/>
      <c r="V667" s="18"/>
      <c r="W667" s="374"/>
      <c r="X667" s="372"/>
      <c r="Y667" s="186"/>
      <c r="Z667" s="18"/>
      <c r="AA667" s="374"/>
      <c r="AB667" s="372"/>
      <c r="AC667" s="186"/>
      <c r="AD667" s="18"/>
      <c r="AE667" s="374"/>
      <c r="AF667" s="372"/>
      <c r="AG667" s="188"/>
      <c r="AH667" s="188"/>
      <c r="AI667" s="188"/>
      <c r="AJ667" s="188"/>
      <c r="AK667" s="365"/>
      <c r="AL667" s="365"/>
      <c r="AM667" s="365"/>
      <c r="AN667" s="365"/>
      <c r="AO667" s="365"/>
      <c r="AP667" s="365"/>
    </row>
    <row r="668">
      <c r="A668" s="302"/>
      <c r="B668" s="303"/>
      <c r="C668" s="304"/>
      <c r="D668" s="365"/>
      <c r="E668" s="302"/>
      <c r="F668" s="303"/>
      <c r="G668" s="304"/>
      <c r="H668" s="365"/>
      <c r="I668" s="302"/>
      <c r="J668" s="303"/>
      <c r="K668" s="304"/>
      <c r="L668" s="365"/>
      <c r="M668" s="302"/>
      <c r="N668" s="303"/>
      <c r="O668" s="304"/>
      <c r="P668" s="365"/>
      <c r="Q668" s="186"/>
      <c r="R668" s="18"/>
      <c r="S668" s="374"/>
      <c r="T668" s="372"/>
      <c r="U668" s="186"/>
      <c r="V668" s="18"/>
      <c r="W668" s="374"/>
      <c r="X668" s="372"/>
      <c r="Y668" s="186"/>
      <c r="Z668" s="18"/>
      <c r="AA668" s="374"/>
      <c r="AB668" s="372"/>
      <c r="AC668" s="186"/>
      <c r="AD668" s="18"/>
      <c r="AE668" s="374"/>
      <c r="AF668" s="372"/>
      <c r="AG668" s="188"/>
      <c r="AH668" s="188"/>
      <c r="AI668" s="188"/>
      <c r="AJ668" s="188"/>
      <c r="AK668" s="365"/>
      <c r="AL668" s="365"/>
      <c r="AM668" s="365"/>
      <c r="AN668" s="365"/>
      <c r="AO668" s="365"/>
      <c r="AP668" s="365"/>
    </row>
    <row r="669">
      <c r="A669" s="302"/>
      <c r="B669" s="303"/>
      <c r="C669" s="304"/>
      <c r="D669" s="365"/>
      <c r="E669" s="302"/>
      <c r="F669" s="303"/>
      <c r="G669" s="304"/>
      <c r="H669" s="365"/>
      <c r="I669" s="302"/>
      <c r="J669" s="303"/>
      <c r="K669" s="304"/>
      <c r="L669" s="365"/>
      <c r="M669" s="302"/>
      <c r="N669" s="303"/>
      <c r="O669" s="304"/>
      <c r="P669" s="365"/>
      <c r="Q669" s="186"/>
      <c r="R669" s="18"/>
      <c r="S669" s="374"/>
      <c r="T669" s="372"/>
      <c r="U669" s="186"/>
      <c r="V669" s="18"/>
      <c r="W669" s="374"/>
      <c r="X669" s="372"/>
      <c r="Y669" s="186"/>
      <c r="Z669" s="18"/>
      <c r="AA669" s="374"/>
      <c r="AB669" s="372"/>
      <c r="AC669" s="186"/>
      <c r="AD669" s="18"/>
      <c r="AE669" s="374"/>
      <c r="AF669" s="372"/>
      <c r="AG669" s="188"/>
      <c r="AH669" s="188"/>
      <c r="AI669" s="188"/>
      <c r="AJ669" s="188"/>
      <c r="AK669" s="365"/>
      <c r="AL669" s="365"/>
      <c r="AM669" s="365"/>
      <c r="AN669" s="365"/>
      <c r="AO669" s="365"/>
      <c r="AP669" s="365"/>
    </row>
    <row r="670">
      <c r="A670" s="302"/>
      <c r="B670" s="303"/>
      <c r="C670" s="304"/>
      <c r="D670" s="365"/>
      <c r="E670" s="302"/>
      <c r="F670" s="303"/>
      <c r="G670" s="304"/>
      <c r="H670" s="365"/>
      <c r="I670" s="302"/>
      <c r="J670" s="303"/>
      <c r="K670" s="304"/>
      <c r="L670" s="365"/>
      <c r="M670" s="302"/>
      <c r="N670" s="303"/>
      <c r="O670" s="304"/>
      <c r="P670" s="365"/>
      <c r="Q670" s="186"/>
      <c r="R670" s="18"/>
      <c r="S670" s="374"/>
      <c r="T670" s="372"/>
      <c r="U670" s="186"/>
      <c r="V670" s="18"/>
      <c r="W670" s="374"/>
      <c r="X670" s="372"/>
      <c r="Y670" s="186"/>
      <c r="Z670" s="18"/>
      <c r="AA670" s="374"/>
      <c r="AB670" s="372"/>
      <c r="AC670" s="186"/>
      <c r="AD670" s="18"/>
      <c r="AE670" s="374"/>
      <c r="AF670" s="372"/>
      <c r="AG670" s="188"/>
      <c r="AH670" s="188"/>
      <c r="AI670" s="188"/>
      <c r="AJ670" s="188"/>
      <c r="AK670" s="365"/>
      <c r="AL670" s="365"/>
      <c r="AM670" s="365"/>
      <c r="AN670" s="365"/>
      <c r="AO670" s="365"/>
      <c r="AP670" s="365"/>
    </row>
    <row r="671">
      <c r="A671" s="302"/>
      <c r="B671" s="303"/>
      <c r="C671" s="304"/>
      <c r="D671" s="365"/>
      <c r="E671" s="302"/>
      <c r="F671" s="303"/>
      <c r="G671" s="304"/>
      <c r="H671" s="365"/>
      <c r="I671" s="302"/>
      <c r="J671" s="303"/>
      <c r="K671" s="304"/>
      <c r="L671" s="365"/>
      <c r="M671" s="302"/>
      <c r="N671" s="303"/>
      <c r="O671" s="304"/>
      <c r="P671" s="365"/>
      <c r="Q671" s="186"/>
      <c r="R671" s="18"/>
      <c r="S671" s="374"/>
      <c r="T671" s="372"/>
      <c r="U671" s="186"/>
      <c r="V671" s="18"/>
      <c r="W671" s="374"/>
      <c r="X671" s="372"/>
      <c r="Y671" s="186"/>
      <c r="Z671" s="18"/>
      <c r="AA671" s="374"/>
      <c r="AB671" s="372"/>
      <c r="AC671" s="186"/>
      <c r="AD671" s="18"/>
      <c r="AE671" s="374"/>
      <c r="AF671" s="372"/>
      <c r="AG671" s="188"/>
      <c r="AH671" s="188"/>
      <c r="AI671" s="188"/>
      <c r="AJ671" s="188"/>
      <c r="AK671" s="365"/>
      <c r="AL671" s="365"/>
      <c r="AM671" s="365"/>
      <c r="AN671" s="365"/>
      <c r="AO671" s="365"/>
      <c r="AP671" s="365"/>
    </row>
    <row r="672">
      <c r="A672" s="302"/>
      <c r="B672" s="303"/>
      <c r="C672" s="304"/>
      <c r="D672" s="365"/>
      <c r="E672" s="302"/>
      <c r="F672" s="303"/>
      <c r="G672" s="304"/>
      <c r="H672" s="365"/>
      <c r="I672" s="302"/>
      <c r="J672" s="303"/>
      <c r="K672" s="304"/>
      <c r="L672" s="365"/>
      <c r="M672" s="302"/>
      <c r="N672" s="303"/>
      <c r="O672" s="304"/>
      <c r="P672" s="365"/>
      <c r="Q672" s="186"/>
      <c r="R672" s="18"/>
      <c r="S672" s="374"/>
      <c r="T672" s="372"/>
      <c r="U672" s="186"/>
      <c r="V672" s="18"/>
      <c r="W672" s="374"/>
      <c r="X672" s="372"/>
      <c r="Y672" s="186"/>
      <c r="Z672" s="18"/>
      <c r="AA672" s="374"/>
      <c r="AB672" s="372"/>
      <c r="AC672" s="186"/>
      <c r="AD672" s="18"/>
      <c r="AE672" s="374"/>
      <c r="AF672" s="372"/>
      <c r="AG672" s="188"/>
      <c r="AH672" s="188"/>
      <c r="AI672" s="188"/>
      <c r="AJ672" s="188"/>
      <c r="AK672" s="365"/>
      <c r="AL672" s="365"/>
      <c r="AM672" s="365"/>
      <c r="AN672" s="365"/>
      <c r="AO672" s="365"/>
      <c r="AP672" s="365"/>
    </row>
    <row r="673">
      <c r="A673" s="302"/>
      <c r="B673" s="303"/>
      <c r="C673" s="304"/>
      <c r="D673" s="365"/>
      <c r="E673" s="302"/>
      <c r="F673" s="303"/>
      <c r="G673" s="304"/>
      <c r="H673" s="365"/>
      <c r="I673" s="302"/>
      <c r="J673" s="303"/>
      <c r="K673" s="304"/>
      <c r="L673" s="365"/>
      <c r="M673" s="302"/>
      <c r="N673" s="303"/>
      <c r="O673" s="304"/>
      <c r="P673" s="365"/>
      <c r="Q673" s="186"/>
      <c r="R673" s="18"/>
      <c r="S673" s="374"/>
      <c r="T673" s="372"/>
      <c r="U673" s="186"/>
      <c r="V673" s="18"/>
      <c r="W673" s="374"/>
      <c r="X673" s="372"/>
      <c r="Y673" s="186"/>
      <c r="Z673" s="18"/>
      <c r="AA673" s="374"/>
      <c r="AB673" s="372"/>
      <c r="AC673" s="186"/>
      <c r="AD673" s="18"/>
      <c r="AE673" s="374"/>
      <c r="AF673" s="372"/>
      <c r="AG673" s="188"/>
      <c r="AH673" s="188"/>
      <c r="AI673" s="188"/>
      <c r="AJ673" s="188"/>
      <c r="AK673" s="365"/>
      <c r="AL673" s="365"/>
      <c r="AM673" s="365"/>
      <c r="AN673" s="365"/>
      <c r="AO673" s="365"/>
      <c r="AP673" s="365"/>
    </row>
    <row r="674">
      <c r="A674" s="302"/>
      <c r="B674" s="303"/>
      <c r="C674" s="304"/>
      <c r="D674" s="365"/>
      <c r="E674" s="302"/>
      <c r="F674" s="303"/>
      <c r="G674" s="304"/>
      <c r="H674" s="365"/>
      <c r="I674" s="302"/>
      <c r="J674" s="303"/>
      <c r="K674" s="304"/>
      <c r="L674" s="365"/>
      <c r="M674" s="302"/>
      <c r="N674" s="303"/>
      <c r="O674" s="304"/>
      <c r="P674" s="365"/>
      <c r="Q674" s="186"/>
      <c r="R674" s="18"/>
      <c r="S674" s="374"/>
      <c r="T674" s="372"/>
      <c r="U674" s="186"/>
      <c r="V674" s="18"/>
      <c r="W674" s="374"/>
      <c r="X674" s="372"/>
      <c r="Y674" s="186"/>
      <c r="Z674" s="18"/>
      <c r="AA674" s="374"/>
      <c r="AB674" s="372"/>
      <c r="AC674" s="186"/>
      <c r="AD674" s="18"/>
      <c r="AE674" s="374"/>
      <c r="AF674" s="372"/>
      <c r="AG674" s="188"/>
      <c r="AH674" s="188"/>
      <c r="AI674" s="188"/>
      <c r="AJ674" s="188"/>
      <c r="AK674" s="365"/>
      <c r="AL674" s="365"/>
      <c r="AM674" s="365"/>
      <c r="AN674" s="365"/>
      <c r="AO674" s="365"/>
      <c r="AP674" s="365"/>
    </row>
    <row r="675">
      <c r="A675" s="302"/>
      <c r="B675" s="303"/>
      <c r="C675" s="304"/>
      <c r="D675" s="365"/>
      <c r="E675" s="302"/>
      <c r="F675" s="303"/>
      <c r="G675" s="304"/>
      <c r="H675" s="365"/>
      <c r="I675" s="302"/>
      <c r="J675" s="303"/>
      <c r="K675" s="304"/>
      <c r="L675" s="365"/>
      <c r="M675" s="302"/>
      <c r="N675" s="303"/>
      <c r="O675" s="304"/>
      <c r="P675" s="365"/>
      <c r="Q675" s="186"/>
      <c r="R675" s="18"/>
      <c r="S675" s="374"/>
      <c r="T675" s="372"/>
      <c r="U675" s="186"/>
      <c r="V675" s="18"/>
      <c r="W675" s="374"/>
      <c r="X675" s="372"/>
      <c r="Y675" s="186"/>
      <c r="Z675" s="18"/>
      <c r="AA675" s="374"/>
      <c r="AB675" s="372"/>
      <c r="AC675" s="186"/>
      <c r="AD675" s="18"/>
      <c r="AE675" s="374"/>
      <c r="AF675" s="372"/>
      <c r="AG675" s="188"/>
      <c r="AH675" s="188"/>
      <c r="AI675" s="188"/>
      <c r="AJ675" s="188"/>
      <c r="AK675" s="365"/>
      <c r="AL675" s="365"/>
      <c r="AM675" s="365"/>
      <c r="AN675" s="365"/>
      <c r="AO675" s="365"/>
      <c r="AP675" s="365"/>
    </row>
    <row r="676">
      <c r="A676" s="302"/>
      <c r="B676" s="303"/>
      <c r="C676" s="304"/>
      <c r="D676" s="365"/>
      <c r="E676" s="302"/>
      <c r="F676" s="303"/>
      <c r="G676" s="304"/>
      <c r="H676" s="365"/>
      <c r="I676" s="302"/>
      <c r="J676" s="303"/>
      <c r="K676" s="304"/>
      <c r="L676" s="365"/>
      <c r="M676" s="302"/>
      <c r="N676" s="303"/>
      <c r="O676" s="304"/>
      <c r="P676" s="365"/>
      <c r="Q676" s="186"/>
      <c r="R676" s="18"/>
      <c r="S676" s="374"/>
      <c r="T676" s="372"/>
      <c r="U676" s="186"/>
      <c r="V676" s="18"/>
      <c r="W676" s="374"/>
      <c r="X676" s="372"/>
      <c r="Y676" s="186"/>
      <c r="Z676" s="18"/>
      <c r="AA676" s="374"/>
      <c r="AB676" s="372"/>
      <c r="AC676" s="186"/>
      <c r="AD676" s="18"/>
      <c r="AE676" s="374"/>
      <c r="AF676" s="372"/>
      <c r="AG676" s="188"/>
      <c r="AH676" s="188"/>
      <c r="AI676" s="188"/>
      <c r="AJ676" s="188"/>
      <c r="AK676" s="365"/>
      <c r="AL676" s="365"/>
      <c r="AM676" s="365"/>
      <c r="AN676" s="365"/>
      <c r="AO676" s="365"/>
      <c r="AP676" s="365"/>
    </row>
    <row r="677">
      <c r="A677" s="302"/>
      <c r="B677" s="303"/>
      <c r="C677" s="304"/>
      <c r="D677" s="365"/>
      <c r="E677" s="302"/>
      <c r="F677" s="303"/>
      <c r="G677" s="304"/>
      <c r="H677" s="365"/>
      <c r="I677" s="302"/>
      <c r="J677" s="303"/>
      <c r="K677" s="304"/>
      <c r="L677" s="365"/>
      <c r="M677" s="302"/>
      <c r="N677" s="303"/>
      <c r="O677" s="304"/>
      <c r="P677" s="365"/>
      <c r="Q677" s="186"/>
      <c r="R677" s="18"/>
      <c r="S677" s="374"/>
      <c r="T677" s="372"/>
      <c r="U677" s="186"/>
      <c r="V677" s="18"/>
      <c r="W677" s="374"/>
      <c r="X677" s="372"/>
      <c r="Y677" s="186"/>
      <c r="Z677" s="18"/>
      <c r="AA677" s="374"/>
      <c r="AB677" s="372"/>
      <c r="AC677" s="186"/>
      <c r="AD677" s="18"/>
      <c r="AE677" s="374"/>
      <c r="AF677" s="372"/>
      <c r="AG677" s="188"/>
      <c r="AH677" s="188"/>
      <c r="AI677" s="188"/>
      <c r="AJ677" s="188"/>
      <c r="AK677" s="365"/>
      <c r="AL677" s="365"/>
      <c r="AM677" s="365"/>
      <c r="AN677" s="365"/>
      <c r="AO677" s="365"/>
      <c r="AP677" s="365"/>
    </row>
    <row r="678">
      <c r="A678" s="302"/>
      <c r="B678" s="303"/>
      <c r="C678" s="304"/>
      <c r="D678" s="365"/>
      <c r="E678" s="302"/>
      <c r="F678" s="303"/>
      <c r="G678" s="304"/>
      <c r="H678" s="365"/>
      <c r="I678" s="302"/>
      <c r="J678" s="303"/>
      <c r="K678" s="304"/>
      <c r="L678" s="365"/>
      <c r="M678" s="302"/>
      <c r="N678" s="303"/>
      <c r="O678" s="304"/>
      <c r="P678" s="365"/>
      <c r="Q678" s="186"/>
      <c r="R678" s="18"/>
      <c r="S678" s="374"/>
      <c r="T678" s="372"/>
      <c r="U678" s="186"/>
      <c r="V678" s="18"/>
      <c r="W678" s="374"/>
      <c r="X678" s="372"/>
      <c r="Y678" s="186"/>
      <c r="Z678" s="18"/>
      <c r="AA678" s="374"/>
      <c r="AB678" s="372"/>
      <c r="AC678" s="186"/>
      <c r="AD678" s="18"/>
      <c r="AE678" s="374"/>
      <c r="AF678" s="372"/>
      <c r="AG678" s="188"/>
      <c r="AH678" s="188"/>
      <c r="AI678" s="188"/>
      <c r="AJ678" s="188"/>
      <c r="AK678" s="365"/>
      <c r="AL678" s="365"/>
      <c r="AM678" s="365"/>
      <c r="AN678" s="365"/>
      <c r="AO678" s="365"/>
      <c r="AP678" s="365"/>
    </row>
    <row r="679">
      <c r="A679" s="302"/>
      <c r="B679" s="303"/>
      <c r="C679" s="304"/>
      <c r="D679" s="365"/>
      <c r="E679" s="302"/>
      <c r="F679" s="303"/>
      <c r="G679" s="304"/>
      <c r="H679" s="365"/>
      <c r="I679" s="302"/>
      <c r="J679" s="303"/>
      <c r="K679" s="304"/>
      <c r="L679" s="365"/>
      <c r="M679" s="302"/>
      <c r="N679" s="303"/>
      <c r="O679" s="304"/>
      <c r="P679" s="365"/>
      <c r="Q679" s="186"/>
      <c r="R679" s="18"/>
      <c r="S679" s="374"/>
      <c r="T679" s="372"/>
      <c r="U679" s="186"/>
      <c r="V679" s="18"/>
      <c r="W679" s="374"/>
      <c r="X679" s="372"/>
      <c r="Y679" s="186"/>
      <c r="Z679" s="18"/>
      <c r="AA679" s="374"/>
      <c r="AB679" s="372"/>
      <c r="AC679" s="186"/>
      <c r="AD679" s="18"/>
      <c r="AE679" s="374"/>
      <c r="AF679" s="372"/>
      <c r="AG679" s="188"/>
      <c r="AH679" s="188"/>
      <c r="AI679" s="188"/>
      <c r="AJ679" s="188"/>
      <c r="AK679" s="365"/>
      <c r="AL679" s="365"/>
      <c r="AM679" s="365"/>
      <c r="AN679" s="365"/>
      <c r="AO679" s="365"/>
      <c r="AP679" s="365"/>
    </row>
    <row r="680">
      <c r="A680" s="302"/>
      <c r="B680" s="303"/>
      <c r="C680" s="304"/>
      <c r="D680" s="365"/>
      <c r="E680" s="302"/>
      <c r="F680" s="303"/>
      <c r="G680" s="304"/>
      <c r="H680" s="365"/>
      <c r="I680" s="302"/>
      <c r="J680" s="303"/>
      <c r="K680" s="304"/>
      <c r="L680" s="365"/>
      <c r="M680" s="302"/>
      <c r="N680" s="303"/>
      <c r="O680" s="304"/>
      <c r="P680" s="365"/>
      <c r="Q680" s="186"/>
      <c r="R680" s="18"/>
      <c r="S680" s="374"/>
      <c r="T680" s="372"/>
      <c r="U680" s="186"/>
      <c r="V680" s="18"/>
      <c r="W680" s="374"/>
      <c r="X680" s="372"/>
      <c r="Y680" s="186"/>
      <c r="Z680" s="18"/>
      <c r="AA680" s="374"/>
      <c r="AB680" s="372"/>
      <c r="AC680" s="186"/>
      <c r="AD680" s="18"/>
      <c r="AE680" s="374"/>
      <c r="AF680" s="372"/>
      <c r="AG680" s="188"/>
      <c r="AH680" s="188"/>
      <c r="AI680" s="188"/>
      <c r="AJ680" s="188"/>
      <c r="AK680" s="365"/>
      <c r="AL680" s="365"/>
      <c r="AM680" s="365"/>
      <c r="AN680" s="365"/>
      <c r="AO680" s="365"/>
      <c r="AP680" s="365"/>
    </row>
    <row r="681">
      <c r="A681" s="302"/>
      <c r="B681" s="303"/>
      <c r="C681" s="304"/>
      <c r="D681" s="365"/>
      <c r="E681" s="302"/>
      <c r="F681" s="303"/>
      <c r="G681" s="304"/>
      <c r="H681" s="365"/>
      <c r="I681" s="302"/>
      <c r="J681" s="303"/>
      <c r="K681" s="304"/>
      <c r="L681" s="365"/>
      <c r="M681" s="302"/>
      <c r="N681" s="303"/>
      <c r="O681" s="304"/>
      <c r="P681" s="365"/>
      <c r="Q681" s="186"/>
      <c r="R681" s="18"/>
      <c r="S681" s="374"/>
      <c r="T681" s="372"/>
      <c r="U681" s="186"/>
      <c r="V681" s="18"/>
      <c r="W681" s="374"/>
      <c r="X681" s="372"/>
      <c r="Y681" s="186"/>
      <c r="Z681" s="18"/>
      <c r="AA681" s="374"/>
      <c r="AB681" s="372"/>
      <c r="AC681" s="186"/>
      <c r="AD681" s="18"/>
      <c r="AE681" s="374"/>
      <c r="AF681" s="372"/>
      <c r="AG681" s="188"/>
      <c r="AH681" s="188"/>
      <c r="AI681" s="188"/>
      <c r="AJ681" s="188"/>
      <c r="AK681" s="365"/>
      <c r="AL681" s="365"/>
      <c r="AM681" s="365"/>
      <c r="AN681" s="365"/>
      <c r="AO681" s="365"/>
      <c r="AP681" s="365"/>
    </row>
    <row r="682">
      <c r="A682" s="302"/>
      <c r="B682" s="303"/>
      <c r="C682" s="304"/>
      <c r="D682" s="365"/>
      <c r="E682" s="302"/>
      <c r="F682" s="303"/>
      <c r="G682" s="304"/>
      <c r="H682" s="365"/>
      <c r="I682" s="302"/>
      <c r="J682" s="303"/>
      <c r="K682" s="304"/>
      <c r="L682" s="365"/>
      <c r="M682" s="302"/>
      <c r="N682" s="303"/>
      <c r="O682" s="304"/>
      <c r="P682" s="365"/>
      <c r="Q682" s="186"/>
      <c r="R682" s="18"/>
      <c r="S682" s="374"/>
      <c r="T682" s="372"/>
      <c r="U682" s="186"/>
      <c r="V682" s="18"/>
      <c r="W682" s="374"/>
      <c r="X682" s="372"/>
      <c r="Y682" s="186"/>
      <c r="Z682" s="18"/>
      <c r="AA682" s="374"/>
      <c r="AB682" s="372"/>
      <c r="AC682" s="186"/>
      <c r="AD682" s="18"/>
      <c r="AE682" s="374"/>
      <c r="AF682" s="372"/>
      <c r="AG682" s="188"/>
      <c r="AH682" s="188"/>
      <c r="AI682" s="188"/>
      <c r="AJ682" s="188"/>
      <c r="AK682" s="365"/>
      <c r="AL682" s="365"/>
      <c r="AM682" s="365"/>
      <c r="AN682" s="365"/>
      <c r="AO682" s="365"/>
      <c r="AP682" s="365"/>
    </row>
    <row r="683">
      <c r="A683" s="302"/>
      <c r="B683" s="303"/>
      <c r="C683" s="304"/>
      <c r="D683" s="365"/>
      <c r="E683" s="302"/>
      <c r="F683" s="303"/>
      <c r="G683" s="304"/>
      <c r="H683" s="365"/>
      <c r="I683" s="302"/>
      <c r="J683" s="303"/>
      <c r="K683" s="304"/>
      <c r="L683" s="365"/>
      <c r="M683" s="302"/>
      <c r="N683" s="303"/>
      <c r="O683" s="304"/>
      <c r="P683" s="365"/>
      <c r="Q683" s="186"/>
      <c r="R683" s="18"/>
      <c r="S683" s="374"/>
      <c r="T683" s="372"/>
      <c r="U683" s="186"/>
      <c r="V683" s="18"/>
      <c r="W683" s="374"/>
      <c r="X683" s="372"/>
      <c r="Y683" s="186"/>
      <c r="Z683" s="18"/>
      <c r="AA683" s="374"/>
      <c r="AB683" s="372"/>
      <c r="AC683" s="186"/>
      <c r="AD683" s="18"/>
      <c r="AE683" s="374"/>
      <c r="AF683" s="372"/>
      <c r="AG683" s="188"/>
      <c r="AH683" s="188"/>
      <c r="AI683" s="188"/>
      <c r="AJ683" s="188"/>
      <c r="AK683" s="365"/>
      <c r="AL683" s="365"/>
      <c r="AM683" s="365"/>
      <c r="AN683" s="365"/>
      <c r="AO683" s="365"/>
      <c r="AP683" s="365"/>
    </row>
    <row r="684">
      <c r="A684" s="302"/>
      <c r="B684" s="303"/>
      <c r="C684" s="304"/>
      <c r="D684" s="365"/>
      <c r="E684" s="302"/>
      <c r="F684" s="303"/>
      <c r="G684" s="304"/>
      <c r="H684" s="365"/>
      <c r="I684" s="302"/>
      <c r="J684" s="303"/>
      <c r="K684" s="304"/>
      <c r="L684" s="365"/>
      <c r="M684" s="302"/>
      <c r="N684" s="303"/>
      <c r="O684" s="304"/>
      <c r="P684" s="365"/>
      <c r="Q684" s="186"/>
      <c r="R684" s="18"/>
      <c r="S684" s="374"/>
      <c r="T684" s="372"/>
      <c r="U684" s="186"/>
      <c r="V684" s="18"/>
      <c r="W684" s="374"/>
      <c r="X684" s="372"/>
      <c r="Y684" s="186"/>
      <c r="Z684" s="18"/>
      <c r="AA684" s="374"/>
      <c r="AB684" s="372"/>
      <c r="AC684" s="186"/>
      <c r="AD684" s="18"/>
      <c r="AE684" s="374"/>
      <c r="AF684" s="372"/>
      <c r="AG684" s="188"/>
      <c r="AH684" s="188"/>
      <c r="AI684" s="188"/>
      <c r="AJ684" s="188"/>
      <c r="AK684" s="365"/>
      <c r="AL684" s="365"/>
      <c r="AM684" s="365"/>
      <c r="AN684" s="365"/>
      <c r="AO684" s="365"/>
      <c r="AP684" s="365"/>
    </row>
    <row r="685">
      <c r="A685" s="302"/>
      <c r="B685" s="303"/>
      <c r="C685" s="304"/>
      <c r="D685" s="365"/>
      <c r="E685" s="302"/>
      <c r="F685" s="303"/>
      <c r="G685" s="304"/>
      <c r="H685" s="365"/>
      <c r="I685" s="302"/>
      <c r="J685" s="303"/>
      <c r="K685" s="304"/>
      <c r="L685" s="365"/>
      <c r="M685" s="302"/>
      <c r="N685" s="303"/>
      <c r="O685" s="304"/>
      <c r="P685" s="365"/>
      <c r="Q685" s="186"/>
      <c r="R685" s="18"/>
      <c r="S685" s="374"/>
      <c r="T685" s="372"/>
      <c r="U685" s="186"/>
      <c r="V685" s="18"/>
      <c r="W685" s="374"/>
      <c r="X685" s="372"/>
      <c r="Y685" s="186"/>
      <c r="Z685" s="18"/>
      <c r="AA685" s="374"/>
      <c r="AB685" s="372"/>
      <c r="AC685" s="186"/>
      <c r="AD685" s="18"/>
      <c r="AE685" s="374"/>
      <c r="AF685" s="372"/>
      <c r="AG685" s="188"/>
      <c r="AH685" s="188"/>
      <c r="AI685" s="188"/>
      <c r="AJ685" s="188"/>
      <c r="AK685" s="365"/>
      <c r="AL685" s="365"/>
      <c r="AM685" s="365"/>
      <c r="AN685" s="365"/>
      <c r="AO685" s="365"/>
      <c r="AP685" s="365"/>
    </row>
    <row r="686">
      <c r="A686" s="302"/>
      <c r="B686" s="303"/>
      <c r="C686" s="304"/>
      <c r="D686" s="365"/>
      <c r="E686" s="302"/>
      <c r="F686" s="303"/>
      <c r="G686" s="304"/>
      <c r="H686" s="365"/>
      <c r="I686" s="302"/>
      <c r="J686" s="303"/>
      <c r="K686" s="304"/>
      <c r="L686" s="365"/>
      <c r="M686" s="302"/>
      <c r="N686" s="303"/>
      <c r="O686" s="304"/>
      <c r="P686" s="365"/>
      <c r="Q686" s="186"/>
      <c r="R686" s="18"/>
      <c r="S686" s="374"/>
      <c r="T686" s="372"/>
      <c r="U686" s="186"/>
      <c r="V686" s="18"/>
      <c r="W686" s="374"/>
      <c r="X686" s="372"/>
      <c r="Y686" s="186"/>
      <c r="Z686" s="18"/>
      <c r="AA686" s="374"/>
      <c r="AB686" s="372"/>
      <c r="AC686" s="186"/>
      <c r="AD686" s="18"/>
      <c r="AE686" s="374"/>
      <c r="AF686" s="372"/>
      <c r="AG686" s="188"/>
      <c r="AH686" s="188"/>
      <c r="AI686" s="188"/>
      <c r="AJ686" s="188"/>
      <c r="AK686" s="365"/>
      <c r="AL686" s="365"/>
      <c r="AM686" s="365"/>
      <c r="AN686" s="365"/>
      <c r="AO686" s="365"/>
      <c r="AP686" s="365"/>
    </row>
    <row r="687">
      <c r="A687" s="302"/>
      <c r="B687" s="303"/>
      <c r="C687" s="304"/>
      <c r="D687" s="365"/>
      <c r="E687" s="302"/>
      <c r="F687" s="303"/>
      <c r="G687" s="304"/>
      <c r="H687" s="365"/>
      <c r="I687" s="302"/>
      <c r="J687" s="303"/>
      <c r="K687" s="304"/>
      <c r="L687" s="365"/>
      <c r="M687" s="302"/>
      <c r="N687" s="303"/>
      <c r="O687" s="304"/>
      <c r="P687" s="365"/>
      <c r="Q687" s="186"/>
      <c r="R687" s="18"/>
      <c r="S687" s="374"/>
      <c r="T687" s="372"/>
      <c r="U687" s="186"/>
      <c r="V687" s="18"/>
      <c r="W687" s="374"/>
      <c r="X687" s="372"/>
      <c r="Y687" s="186"/>
      <c r="Z687" s="18"/>
      <c r="AA687" s="374"/>
      <c r="AB687" s="372"/>
      <c r="AC687" s="186"/>
      <c r="AD687" s="18"/>
      <c r="AE687" s="374"/>
      <c r="AF687" s="372"/>
      <c r="AG687" s="188"/>
      <c r="AH687" s="188"/>
      <c r="AI687" s="188"/>
      <c r="AJ687" s="188"/>
      <c r="AK687" s="365"/>
      <c r="AL687" s="365"/>
      <c r="AM687" s="365"/>
      <c r="AN687" s="365"/>
      <c r="AO687" s="365"/>
      <c r="AP687" s="365"/>
    </row>
    <row r="688">
      <c r="A688" s="302"/>
      <c r="B688" s="303"/>
      <c r="C688" s="304"/>
      <c r="D688" s="365"/>
      <c r="E688" s="302"/>
      <c r="F688" s="303"/>
      <c r="G688" s="304"/>
      <c r="H688" s="365"/>
      <c r="I688" s="302"/>
      <c r="J688" s="303"/>
      <c r="K688" s="304"/>
      <c r="L688" s="365"/>
      <c r="M688" s="302"/>
      <c r="N688" s="303"/>
      <c r="O688" s="304"/>
      <c r="P688" s="365"/>
      <c r="Q688" s="186"/>
      <c r="R688" s="18"/>
      <c r="S688" s="374"/>
      <c r="T688" s="372"/>
      <c r="U688" s="186"/>
      <c r="V688" s="18"/>
      <c r="W688" s="374"/>
      <c r="X688" s="372"/>
      <c r="Y688" s="186"/>
      <c r="Z688" s="18"/>
      <c r="AA688" s="374"/>
      <c r="AB688" s="372"/>
      <c r="AC688" s="186"/>
      <c r="AD688" s="18"/>
      <c r="AE688" s="374"/>
      <c r="AF688" s="372"/>
      <c r="AG688" s="188"/>
      <c r="AH688" s="188"/>
      <c r="AI688" s="188"/>
      <c r="AJ688" s="188"/>
      <c r="AK688" s="365"/>
      <c r="AL688" s="365"/>
      <c r="AM688" s="365"/>
      <c r="AN688" s="365"/>
      <c r="AO688" s="365"/>
      <c r="AP688" s="365"/>
    </row>
    <row r="689">
      <c r="A689" s="302"/>
      <c r="B689" s="303"/>
      <c r="C689" s="304"/>
      <c r="D689" s="365"/>
      <c r="E689" s="302"/>
      <c r="F689" s="303"/>
      <c r="G689" s="304"/>
      <c r="H689" s="365"/>
      <c r="I689" s="302"/>
      <c r="J689" s="303"/>
      <c r="K689" s="304"/>
      <c r="L689" s="365"/>
      <c r="M689" s="302"/>
      <c r="N689" s="303"/>
      <c r="O689" s="304"/>
      <c r="P689" s="365"/>
      <c r="Q689" s="186"/>
      <c r="R689" s="18"/>
      <c r="S689" s="374"/>
      <c r="T689" s="372"/>
      <c r="U689" s="186"/>
      <c r="V689" s="18"/>
      <c r="W689" s="374"/>
      <c r="X689" s="372"/>
      <c r="Y689" s="186"/>
      <c r="Z689" s="18"/>
      <c r="AA689" s="374"/>
      <c r="AB689" s="372"/>
      <c r="AC689" s="186"/>
      <c r="AD689" s="18"/>
      <c r="AE689" s="374"/>
      <c r="AF689" s="372"/>
      <c r="AG689" s="188"/>
      <c r="AH689" s="188"/>
      <c r="AI689" s="188"/>
      <c r="AJ689" s="188"/>
      <c r="AK689" s="365"/>
      <c r="AL689" s="365"/>
      <c r="AM689" s="365"/>
      <c r="AN689" s="365"/>
      <c r="AO689" s="365"/>
      <c r="AP689" s="365"/>
    </row>
    <row r="690">
      <c r="A690" s="302"/>
      <c r="B690" s="303"/>
      <c r="C690" s="304"/>
      <c r="D690" s="365"/>
      <c r="E690" s="302"/>
      <c r="F690" s="303"/>
      <c r="G690" s="304"/>
      <c r="H690" s="365"/>
      <c r="I690" s="302"/>
      <c r="J690" s="303"/>
      <c r="K690" s="304"/>
      <c r="L690" s="365"/>
      <c r="M690" s="302"/>
      <c r="N690" s="303"/>
      <c r="O690" s="304"/>
      <c r="P690" s="365"/>
      <c r="Q690" s="186"/>
      <c r="R690" s="18"/>
      <c r="S690" s="374"/>
      <c r="T690" s="372"/>
      <c r="U690" s="186"/>
      <c r="V690" s="18"/>
      <c r="W690" s="374"/>
      <c r="X690" s="372"/>
      <c r="Y690" s="186"/>
      <c r="Z690" s="18"/>
      <c r="AA690" s="374"/>
      <c r="AB690" s="372"/>
      <c r="AC690" s="186"/>
      <c r="AD690" s="18"/>
      <c r="AE690" s="374"/>
      <c r="AF690" s="372"/>
      <c r="AG690" s="188"/>
      <c r="AH690" s="188"/>
      <c r="AI690" s="188"/>
      <c r="AJ690" s="188"/>
      <c r="AK690" s="365"/>
      <c r="AL690" s="365"/>
      <c r="AM690" s="365"/>
      <c r="AN690" s="365"/>
      <c r="AO690" s="365"/>
      <c r="AP690" s="365"/>
    </row>
    <row r="691">
      <c r="A691" s="302"/>
      <c r="B691" s="303"/>
      <c r="C691" s="304"/>
      <c r="D691" s="365"/>
      <c r="E691" s="302"/>
      <c r="F691" s="303"/>
      <c r="G691" s="304"/>
      <c r="H691" s="365"/>
      <c r="I691" s="302"/>
      <c r="J691" s="303"/>
      <c r="K691" s="304"/>
      <c r="L691" s="365"/>
      <c r="M691" s="302"/>
      <c r="N691" s="303"/>
      <c r="O691" s="304"/>
      <c r="P691" s="365"/>
      <c r="Q691" s="186"/>
      <c r="R691" s="18"/>
      <c r="S691" s="374"/>
      <c r="T691" s="372"/>
      <c r="U691" s="186"/>
      <c r="V691" s="18"/>
      <c r="W691" s="374"/>
      <c r="X691" s="372"/>
      <c r="Y691" s="186"/>
      <c r="Z691" s="18"/>
      <c r="AA691" s="374"/>
      <c r="AB691" s="372"/>
      <c r="AC691" s="186"/>
      <c r="AD691" s="18"/>
      <c r="AE691" s="374"/>
      <c r="AF691" s="372"/>
      <c r="AG691" s="188"/>
      <c r="AH691" s="188"/>
      <c r="AI691" s="188"/>
      <c r="AJ691" s="188"/>
      <c r="AK691" s="365"/>
      <c r="AL691" s="365"/>
      <c r="AM691" s="365"/>
      <c r="AN691" s="365"/>
      <c r="AO691" s="365"/>
      <c r="AP691" s="365"/>
    </row>
    <row r="692">
      <c r="A692" s="302"/>
      <c r="B692" s="303"/>
      <c r="C692" s="304"/>
      <c r="D692" s="365"/>
      <c r="E692" s="302"/>
      <c r="F692" s="303"/>
      <c r="G692" s="304"/>
      <c r="H692" s="365"/>
      <c r="I692" s="302"/>
      <c r="J692" s="303"/>
      <c r="K692" s="304"/>
      <c r="L692" s="365"/>
      <c r="M692" s="302"/>
      <c r="N692" s="303"/>
      <c r="O692" s="304"/>
      <c r="P692" s="365"/>
      <c r="Q692" s="186"/>
      <c r="R692" s="18"/>
      <c r="S692" s="374"/>
      <c r="T692" s="372"/>
      <c r="U692" s="186"/>
      <c r="V692" s="18"/>
      <c r="W692" s="374"/>
      <c r="X692" s="372"/>
      <c r="Y692" s="186"/>
      <c r="Z692" s="18"/>
      <c r="AA692" s="374"/>
      <c r="AB692" s="372"/>
      <c r="AC692" s="186"/>
      <c r="AD692" s="18"/>
      <c r="AE692" s="374"/>
      <c r="AF692" s="372"/>
      <c r="AG692" s="188"/>
      <c r="AH692" s="188"/>
      <c r="AI692" s="188"/>
      <c r="AJ692" s="188"/>
      <c r="AK692" s="365"/>
      <c r="AL692" s="365"/>
      <c r="AM692" s="365"/>
      <c r="AN692" s="365"/>
      <c r="AO692" s="365"/>
      <c r="AP692" s="365"/>
    </row>
    <row r="693">
      <c r="A693" s="302"/>
      <c r="B693" s="303"/>
      <c r="C693" s="304"/>
      <c r="D693" s="365"/>
      <c r="E693" s="302"/>
      <c r="F693" s="303"/>
      <c r="G693" s="304"/>
      <c r="H693" s="365"/>
      <c r="I693" s="302"/>
      <c r="J693" s="303"/>
      <c r="K693" s="304"/>
      <c r="L693" s="365"/>
      <c r="M693" s="302"/>
      <c r="N693" s="303"/>
      <c r="O693" s="304"/>
      <c r="P693" s="365"/>
      <c r="Q693" s="186"/>
      <c r="R693" s="18"/>
      <c r="S693" s="374"/>
      <c r="T693" s="372"/>
      <c r="U693" s="186"/>
      <c r="V693" s="18"/>
      <c r="W693" s="374"/>
      <c r="X693" s="372"/>
      <c r="Y693" s="186"/>
      <c r="Z693" s="18"/>
      <c r="AA693" s="374"/>
      <c r="AB693" s="372"/>
      <c r="AC693" s="186"/>
      <c r="AD693" s="18"/>
      <c r="AE693" s="374"/>
      <c r="AF693" s="372"/>
      <c r="AG693" s="188"/>
      <c r="AH693" s="188"/>
      <c r="AI693" s="188"/>
      <c r="AJ693" s="188"/>
      <c r="AK693" s="365"/>
      <c r="AL693" s="365"/>
      <c r="AM693" s="365"/>
      <c r="AN693" s="365"/>
      <c r="AO693" s="365"/>
      <c r="AP693" s="365"/>
    </row>
    <row r="694">
      <c r="A694" s="302"/>
      <c r="B694" s="303"/>
      <c r="C694" s="304"/>
      <c r="D694" s="365"/>
      <c r="E694" s="302"/>
      <c r="F694" s="303"/>
      <c r="G694" s="304"/>
      <c r="H694" s="365"/>
      <c r="I694" s="302"/>
      <c r="J694" s="303"/>
      <c r="K694" s="304"/>
      <c r="L694" s="365"/>
      <c r="M694" s="302"/>
      <c r="N694" s="303"/>
      <c r="O694" s="304"/>
      <c r="P694" s="365"/>
      <c r="Q694" s="186"/>
      <c r="R694" s="18"/>
      <c r="S694" s="374"/>
      <c r="T694" s="372"/>
      <c r="U694" s="186"/>
      <c r="V694" s="18"/>
      <c r="W694" s="374"/>
      <c r="X694" s="372"/>
      <c r="Y694" s="186"/>
      <c r="Z694" s="18"/>
      <c r="AA694" s="374"/>
      <c r="AB694" s="372"/>
      <c r="AC694" s="186"/>
      <c r="AD694" s="18"/>
      <c r="AE694" s="374"/>
      <c r="AF694" s="372"/>
      <c r="AG694" s="188"/>
      <c r="AH694" s="188"/>
      <c r="AI694" s="188"/>
      <c r="AJ694" s="188"/>
      <c r="AK694" s="365"/>
      <c r="AL694" s="365"/>
      <c r="AM694" s="365"/>
      <c r="AN694" s="365"/>
      <c r="AO694" s="365"/>
      <c r="AP694" s="365"/>
    </row>
    <row r="695">
      <c r="A695" s="302"/>
      <c r="B695" s="303"/>
      <c r="C695" s="304"/>
      <c r="D695" s="365"/>
      <c r="E695" s="302"/>
      <c r="F695" s="303"/>
      <c r="G695" s="304"/>
      <c r="H695" s="365"/>
      <c r="I695" s="302"/>
      <c r="J695" s="303"/>
      <c r="K695" s="304"/>
      <c r="L695" s="365"/>
      <c r="M695" s="302"/>
      <c r="N695" s="303"/>
      <c r="O695" s="304"/>
      <c r="P695" s="365"/>
      <c r="Q695" s="186"/>
      <c r="R695" s="18"/>
      <c r="S695" s="374"/>
      <c r="T695" s="372"/>
      <c r="U695" s="186"/>
      <c r="V695" s="18"/>
      <c r="W695" s="374"/>
      <c r="X695" s="372"/>
      <c r="Y695" s="186"/>
      <c r="Z695" s="18"/>
      <c r="AA695" s="374"/>
      <c r="AB695" s="372"/>
      <c r="AC695" s="186"/>
      <c r="AD695" s="18"/>
      <c r="AE695" s="374"/>
      <c r="AF695" s="372"/>
      <c r="AG695" s="188"/>
      <c r="AH695" s="188"/>
      <c r="AI695" s="188"/>
      <c r="AJ695" s="188"/>
      <c r="AK695" s="365"/>
      <c r="AL695" s="365"/>
      <c r="AM695" s="365"/>
      <c r="AN695" s="365"/>
      <c r="AO695" s="365"/>
      <c r="AP695" s="365"/>
    </row>
    <row r="696">
      <c r="A696" s="302"/>
      <c r="B696" s="303"/>
      <c r="C696" s="304"/>
      <c r="D696" s="365"/>
      <c r="E696" s="302"/>
      <c r="F696" s="303"/>
      <c r="G696" s="304"/>
      <c r="H696" s="365"/>
      <c r="I696" s="302"/>
      <c r="J696" s="303"/>
      <c r="K696" s="304"/>
      <c r="L696" s="365"/>
      <c r="M696" s="302"/>
      <c r="N696" s="303"/>
      <c r="O696" s="304"/>
      <c r="P696" s="365"/>
      <c r="Q696" s="186"/>
      <c r="R696" s="18"/>
      <c r="S696" s="374"/>
      <c r="T696" s="372"/>
      <c r="U696" s="186"/>
      <c r="V696" s="18"/>
      <c r="W696" s="374"/>
      <c r="X696" s="372"/>
      <c r="Y696" s="186"/>
      <c r="Z696" s="18"/>
      <c r="AA696" s="374"/>
      <c r="AB696" s="372"/>
      <c r="AC696" s="186"/>
      <c r="AD696" s="18"/>
      <c r="AE696" s="374"/>
      <c r="AF696" s="372"/>
      <c r="AG696" s="188"/>
      <c r="AH696" s="188"/>
      <c r="AI696" s="188"/>
      <c r="AJ696" s="188"/>
      <c r="AK696" s="365"/>
      <c r="AL696" s="365"/>
      <c r="AM696" s="365"/>
      <c r="AN696" s="365"/>
      <c r="AO696" s="365"/>
      <c r="AP696" s="365"/>
    </row>
    <row r="697">
      <c r="A697" s="302"/>
      <c r="B697" s="303"/>
      <c r="C697" s="304"/>
      <c r="D697" s="365"/>
      <c r="E697" s="302"/>
      <c r="F697" s="303"/>
      <c r="G697" s="304"/>
      <c r="H697" s="365"/>
      <c r="I697" s="302"/>
      <c r="J697" s="303"/>
      <c r="K697" s="304"/>
      <c r="L697" s="365"/>
      <c r="M697" s="302"/>
      <c r="N697" s="303"/>
      <c r="O697" s="304"/>
      <c r="P697" s="365"/>
      <c r="Q697" s="186"/>
      <c r="R697" s="18"/>
      <c r="S697" s="374"/>
      <c r="T697" s="372"/>
      <c r="U697" s="186"/>
      <c r="V697" s="18"/>
      <c r="W697" s="374"/>
      <c r="X697" s="372"/>
      <c r="Y697" s="186"/>
      <c r="Z697" s="18"/>
      <c r="AA697" s="374"/>
      <c r="AB697" s="372"/>
      <c r="AC697" s="186"/>
      <c r="AD697" s="18"/>
      <c r="AE697" s="374"/>
      <c r="AF697" s="372"/>
      <c r="AG697" s="188"/>
      <c r="AH697" s="188"/>
      <c r="AI697" s="188"/>
      <c r="AJ697" s="188"/>
      <c r="AK697" s="365"/>
      <c r="AL697" s="365"/>
      <c r="AM697" s="365"/>
      <c r="AN697" s="365"/>
      <c r="AO697" s="365"/>
      <c r="AP697" s="365"/>
    </row>
    <row r="698">
      <c r="A698" s="302"/>
      <c r="B698" s="303"/>
      <c r="C698" s="304"/>
      <c r="D698" s="365"/>
      <c r="E698" s="302"/>
      <c r="F698" s="303"/>
      <c r="G698" s="304"/>
      <c r="H698" s="365"/>
      <c r="I698" s="302"/>
      <c r="J698" s="303"/>
      <c r="K698" s="304"/>
      <c r="L698" s="365"/>
      <c r="M698" s="302"/>
      <c r="N698" s="303"/>
      <c r="O698" s="304"/>
      <c r="P698" s="365"/>
      <c r="Q698" s="186"/>
      <c r="R698" s="18"/>
      <c r="S698" s="374"/>
      <c r="T698" s="372"/>
      <c r="U698" s="186"/>
      <c r="V698" s="18"/>
      <c r="W698" s="374"/>
      <c r="X698" s="372"/>
      <c r="Y698" s="186"/>
      <c r="Z698" s="18"/>
      <c r="AA698" s="374"/>
      <c r="AB698" s="372"/>
      <c r="AC698" s="186"/>
      <c r="AD698" s="18"/>
      <c r="AE698" s="374"/>
      <c r="AF698" s="372"/>
      <c r="AG698" s="188"/>
      <c r="AH698" s="188"/>
      <c r="AI698" s="188"/>
      <c r="AJ698" s="188"/>
      <c r="AK698" s="365"/>
      <c r="AL698" s="365"/>
      <c r="AM698" s="365"/>
      <c r="AN698" s="365"/>
      <c r="AO698" s="365"/>
      <c r="AP698" s="365"/>
    </row>
    <row r="699">
      <c r="A699" s="302"/>
      <c r="B699" s="303"/>
      <c r="C699" s="304"/>
      <c r="D699" s="365"/>
      <c r="E699" s="302"/>
      <c r="F699" s="303"/>
      <c r="G699" s="304"/>
      <c r="H699" s="365"/>
      <c r="I699" s="302"/>
      <c r="J699" s="303"/>
      <c r="K699" s="304"/>
      <c r="L699" s="365"/>
      <c r="M699" s="302"/>
      <c r="N699" s="303"/>
      <c r="O699" s="304"/>
      <c r="P699" s="365"/>
      <c r="Q699" s="186"/>
      <c r="R699" s="18"/>
      <c r="S699" s="374"/>
      <c r="T699" s="372"/>
      <c r="U699" s="186"/>
      <c r="V699" s="18"/>
      <c r="W699" s="374"/>
      <c r="X699" s="372"/>
      <c r="Y699" s="186"/>
      <c r="Z699" s="18"/>
      <c r="AA699" s="374"/>
      <c r="AB699" s="372"/>
      <c r="AC699" s="186"/>
      <c r="AD699" s="18"/>
      <c r="AE699" s="374"/>
      <c r="AF699" s="372"/>
      <c r="AG699" s="188"/>
      <c r="AH699" s="188"/>
      <c r="AI699" s="188"/>
      <c r="AJ699" s="188"/>
      <c r="AK699" s="365"/>
      <c r="AL699" s="365"/>
      <c r="AM699" s="365"/>
      <c r="AN699" s="365"/>
      <c r="AO699" s="365"/>
      <c r="AP699" s="365"/>
    </row>
    <row r="700">
      <c r="A700" s="302"/>
      <c r="B700" s="303"/>
      <c r="C700" s="304"/>
      <c r="D700" s="365"/>
      <c r="E700" s="302"/>
      <c r="F700" s="303"/>
      <c r="G700" s="304"/>
      <c r="H700" s="365"/>
      <c r="I700" s="302"/>
      <c r="J700" s="303"/>
      <c r="K700" s="304"/>
      <c r="L700" s="365"/>
      <c r="M700" s="302"/>
      <c r="N700" s="303"/>
      <c r="O700" s="304"/>
      <c r="P700" s="365"/>
      <c r="Q700" s="186"/>
      <c r="R700" s="18"/>
      <c r="S700" s="374"/>
      <c r="T700" s="372"/>
      <c r="U700" s="186"/>
      <c r="V700" s="18"/>
      <c r="W700" s="374"/>
      <c r="X700" s="372"/>
      <c r="Y700" s="186"/>
      <c r="Z700" s="18"/>
      <c r="AA700" s="374"/>
      <c r="AB700" s="372"/>
      <c r="AC700" s="186"/>
      <c r="AD700" s="18"/>
      <c r="AE700" s="374"/>
      <c r="AF700" s="372"/>
      <c r="AG700" s="188"/>
      <c r="AH700" s="188"/>
      <c r="AI700" s="188"/>
      <c r="AJ700" s="188"/>
      <c r="AK700" s="365"/>
      <c r="AL700" s="365"/>
      <c r="AM700" s="365"/>
      <c r="AN700" s="365"/>
      <c r="AO700" s="365"/>
      <c r="AP700" s="365"/>
    </row>
    <row r="701">
      <c r="A701" s="302"/>
      <c r="B701" s="303"/>
      <c r="C701" s="304"/>
      <c r="D701" s="365"/>
      <c r="E701" s="302"/>
      <c r="F701" s="303"/>
      <c r="G701" s="304"/>
      <c r="H701" s="365"/>
      <c r="I701" s="302"/>
      <c r="J701" s="303"/>
      <c r="K701" s="304"/>
      <c r="L701" s="365"/>
      <c r="M701" s="302"/>
      <c r="N701" s="303"/>
      <c r="O701" s="304"/>
      <c r="P701" s="365"/>
      <c r="Q701" s="186"/>
      <c r="R701" s="18"/>
      <c r="S701" s="374"/>
      <c r="T701" s="372"/>
      <c r="U701" s="186"/>
      <c r="V701" s="18"/>
      <c r="W701" s="374"/>
      <c r="X701" s="372"/>
      <c r="Y701" s="186"/>
      <c r="Z701" s="18"/>
      <c r="AA701" s="374"/>
      <c r="AB701" s="372"/>
      <c r="AC701" s="186"/>
      <c r="AD701" s="18"/>
      <c r="AE701" s="374"/>
      <c r="AF701" s="372"/>
      <c r="AG701" s="188"/>
      <c r="AH701" s="188"/>
      <c r="AI701" s="188"/>
      <c r="AJ701" s="188"/>
      <c r="AK701" s="365"/>
      <c r="AL701" s="365"/>
      <c r="AM701" s="365"/>
      <c r="AN701" s="365"/>
      <c r="AO701" s="365"/>
      <c r="AP701" s="365"/>
    </row>
    <row r="702">
      <c r="A702" s="302"/>
      <c r="B702" s="303"/>
      <c r="C702" s="304"/>
      <c r="D702" s="365"/>
      <c r="E702" s="302"/>
      <c r="F702" s="303"/>
      <c r="G702" s="304"/>
      <c r="H702" s="365"/>
      <c r="I702" s="302"/>
      <c r="J702" s="303"/>
      <c r="K702" s="304"/>
      <c r="L702" s="365"/>
      <c r="M702" s="302"/>
      <c r="N702" s="303"/>
      <c r="O702" s="304"/>
      <c r="P702" s="365"/>
      <c r="Q702" s="186"/>
      <c r="R702" s="18"/>
      <c r="S702" s="374"/>
      <c r="T702" s="372"/>
      <c r="U702" s="186"/>
      <c r="V702" s="18"/>
      <c r="W702" s="374"/>
      <c r="X702" s="372"/>
      <c r="Y702" s="186"/>
      <c r="Z702" s="18"/>
      <c r="AA702" s="374"/>
      <c r="AB702" s="372"/>
      <c r="AC702" s="186"/>
      <c r="AD702" s="18"/>
      <c r="AE702" s="374"/>
      <c r="AF702" s="372"/>
      <c r="AG702" s="188"/>
      <c r="AH702" s="188"/>
      <c r="AI702" s="188"/>
      <c r="AJ702" s="188"/>
      <c r="AK702" s="365"/>
      <c r="AL702" s="365"/>
      <c r="AM702" s="365"/>
      <c r="AN702" s="365"/>
      <c r="AO702" s="365"/>
      <c r="AP702" s="365"/>
    </row>
    <row r="703">
      <c r="A703" s="302"/>
      <c r="B703" s="303"/>
      <c r="C703" s="304"/>
      <c r="D703" s="365"/>
      <c r="E703" s="302"/>
      <c r="F703" s="303"/>
      <c r="G703" s="304"/>
      <c r="H703" s="365"/>
      <c r="I703" s="302"/>
      <c r="J703" s="303"/>
      <c r="K703" s="304"/>
      <c r="L703" s="365"/>
      <c r="M703" s="302"/>
      <c r="N703" s="303"/>
      <c r="O703" s="304"/>
      <c r="P703" s="365"/>
      <c r="Q703" s="186"/>
      <c r="R703" s="18"/>
      <c r="S703" s="374"/>
      <c r="T703" s="372"/>
      <c r="U703" s="186"/>
      <c r="V703" s="18"/>
      <c r="W703" s="374"/>
      <c r="X703" s="372"/>
      <c r="Y703" s="186"/>
      <c r="Z703" s="18"/>
      <c r="AA703" s="374"/>
      <c r="AB703" s="372"/>
      <c r="AC703" s="186"/>
      <c r="AD703" s="18"/>
      <c r="AE703" s="374"/>
      <c r="AF703" s="372"/>
      <c r="AG703" s="188"/>
      <c r="AH703" s="188"/>
      <c r="AI703" s="188"/>
      <c r="AJ703" s="188"/>
      <c r="AK703" s="365"/>
      <c r="AL703" s="365"/>
      <c r="AM703" s="365"/>
      <c r="AN703" s="365"/>
      <c r="AO703" s="365"/>
      <c r="AP703" s="365"/>
    </row>
    <row r="704">
      <c r="A704" s="302"/>
      <c r="B704" s="303"/>
      <c r="C704" s="304"/>
      <c r="D704" s="365"/>
      <c r="E704" s="302"/>
      <c r="F704" s="303"/>
      <c r="G704" s="304"/>
      <c r="H704" s="365"/>
      <c r="I704" s="302"/>
      <c r="J704" s="303"/>
      <c r="K704" s="304"/>
      <c r="L704" s="365"/>
      <c r="M704" s="302"/>
      <c r="N704" s="303"/>
      <c r="O704" s="304"/>
      <c r="P704" s="365"/>
      <c r="Q704" s="186"/>
      <c r="R704" s="18"/>
      <c r="S704" s="374"/>
      <c r="T704" s="372"/>
      <c r="U704" s="186"/>
      <c r="V704" s="18"/>
      <c r="W704" s="374"/>
      <c r="X704" s="372"/>
      <c r="Y704" s="186"/>
      <c r="Z704" s="18"/>
      <c r="AA704" s="374"/>
      <c r="AB704" s="372"/>
      <c r="AC704" s="186"/>
      <c r="AD704" s="18"/>
      <c r="AE704" s="374"/>
      <c r="AF704" s="372"/>
      <c r="AG704" s="188"/>
      <c r="AH704" s="188"/>
      <c r="AI704" s="188"/>
      <c r="AJ704" s="188"/>
      <c r="AK704" s="365"/>
      <c r="AL704" s="365"/>
      <c r="AM704" s="365"/>
      <c r="AN704" s="365"/>
      <c r="AO704" s="365"/>
      <c r="AP704" s="365"/>
    </row>
    <row r="705">
      <c r="A705" s="302"/>
      <c r="B705" s="303"/>
      <c r="C705" s="304"/>
      <c r="D705" s="365"/>
      <c r="E705" s="302"/>
      <c r="F705" s="303"/>
      <c r="G705" s="304"/>
      <c r="H705" s="365"/>
      <c r="I705" s="302"/>
      <c r="J705" s="303"/>
      <c r="K705" s="304"/>
      <c r="L705" s="365"/>
      <c r="M705" s="302"/>
      <c r="N705" s="303"/>
      <c r="O705" s="304"/>
      <c r="P705" s="365"/>
      <c r="Q705" s="186"/>
      <c r="R705" s="18"/>
      <c r="S705" s="374"/>
      <c r="T705" s="372"/>
      <c r="U705" s="186"/>
      <c r="V705" s="18"/>
      <c r="W705" s="374"/>
      <c r="X705" s="372"/>
      <c r="Y705" s="186"/>
      <c r="Z705" s="18"/>
      <c r="AA705" s="374"/>
      <c r="AB705" s="372"/>
      <c r="AC705" s="186"/>
      <c r="AD705" s="18"/>
      <c r="AE705" s="374"/>
      <c r="AF705" s="372"/>
      <c r="AG705" s="188"/>
      <c r="AH705" s="188"/>
      <c r="AI705" s="188"/>
      <c r="AJ705" s="188"/>
      <c r="AK705" s="365"/>
      <c r="AL705" s="365"/>
      <c r="AM705" s="365"/>
      <c r="AN705" s="365"/>
      <c r="AO705" s="365"/>
      <c r="AP705" s="365"/>
    </row>
    <row r="706">
      <c r="A706" s="302"/>
      <c r="B706" s="303"/>
      <c r="C706" s="304"/>
      <c r="D706" s="365"/>
      <c r="E706" s="302"/>
      <c r="F706" s="303"/>
      <c r="G706" s="304"/>
      <c r="H706" s="365"/>
      <c r="I706" s="302"/>
      <c r="J706" s="303"/>
      <c r="K706" s="304"/>
      <c r="L706" s="365"/>
      <c r="M706" s="302"/>
      <c r="N706" s="303"/>
      <c r="O706" s="304"/>
      <c r="P706" s="365"/>
      <c r="Q706" s="186"/>
      <c r="R706" s="18"/>
      <c r="S706" s="374"/>
      <c r="T706" s="372"/>
      <c r="U706" s="186"/>
      <c r="V706" s="18"/>
      <c r="W706" s="374"/>
      <c r="X706" s="372"/>
      <c r="Y706" s="186"/>
      <c r="Z706" s="18"/>
      <c r="AA706" s="374"/>
      <c r="AB706" s="372"/>
      <c r="AC706" s="186"/>
      <c r="AD706" s="18"/>
      <c r="AE706" s="374"/>
      <c r="AF706" s="372"/>
      <c r="AG706" s="188"/>
      <c r="AH706" s="188"/>
      <c r="AI706" s="188"/>
      <c r="AJ706" s="188"/>
      <c r="AK706" s="365"/>
      <c r="AL706" s="365"/>
      <c r="AM706" s="365"/>
      <c r="AN706" s="365"/>
      <c r="AO706" s="365"/>
      <c r="AP706" s="365"/>
    </row>
    <row r="707">
      <c r="A707" s="302"/>
      <c r="B707" s="303"/>
      <c r="C707" s="304"/>
      <c r="D707" s="365"/>
      <c r="E707" s="302"/>
      <c r="F707" s="303"/>
      <c r="G707" s="304"/>
      <c r="H707" s="365"/>
      <c r="I707" s="302"/>
      <c r="J707" s="303"/>
      <c r="K707" s="304"/>
      <c r="L707" s="365"/>
      <c r="M707" s="302"/>
      <c r="N707" s="303"/>
      <c r="O707" s="304"/>
      <c r="P707" s="365"/>
      <c r="Q707" s="186"/>
      <c r="R707" s="18"/>
      <c r="S707" s="374"/>
      <c r="T707" s="372"/>
      <c r="U707" s="186"/>
      <c r="V707" s="18"/>
      <c r="W707" s="374"/>
      <c r="X707" s="372"/>
      <c r="Y707" s="186"/>
      <c r="Z707" s="18"/>
      <c r="AA707" s="374"/>
      <c r="AB707" s="372"/>
      <c r="AC707" s="186"/>
      <c r="AD707" s="18"/>
      <c r="AE707" s="374"/>
      <c r="AF707" s="372"/>
      <c r="AG707" s="188"/>
      <c r="AH707" s="188"/>
      <c r="AI707" s="188"/>
      <c r="AJ707" s="188"/>
      <c r="AK707" s="365"/>
      <c r="AL707" s="365"/>
      <c r="AM707" s="365"/>
      <c r="AN707" s="365"/>
      <c r="AO707" s="365"/>
      <c r="AP707" s="365"/>
    </row>
    <row r="708">
      <c r="A708" s="302"/>
      <c r="B708" s="303"/>
      <c r="C708" s="304"/>
      <c r="D708" s="365"/>
      <c r="E708" s="302"/>
      <c r="F708" s="303"/>
      <c r="G708" s="304"/>
      <c r="H708" s="365"/>
      <c r="I708" s="302"/>
      <c r="J708" s="303"/>
      <c r="K708" s="304"/>
      <c r="L708" s="365"/>
      <c r="M708" s="302"/>
      <c r="N708" s="303"/>
      <c r="O708" s="304"/>
      <c r="P708" s="365"/>
      <c r="Q708" s="186"/>
      <c r="R708" s="18"/>
      <c r="S708" s="374"/>
      <c r="T708" s="372"/>
      <c r="U708" s="186"/>
      <c r="V708" s="18"/>
      <c r="W708" s="374"/>
      <c r="X708" s="372"/>
      <c r="Y708" s="186"/>
      <c r="Z708" s="18"/>
      <c r="AA708" s="374"/>
      <c r="AB708" s="372"/>
      <c r="AC708" s="186"/>
      <c r="AD708" s="18"/>
      <c r="AE708" s="374"/>
      <c r="AF708" s="372"/>
      <c r="AG708" s="188"/>
      <c r="AH708" s="188"/>
      <c r="AI708" s="188"/>
      <c r="AJ708" s="188"/>
      <c r="AK708" s="365"/>
      <c r="AL708" s="365"/>
      <c r="AM708" s="365"/>
      <c r="AN708" s="365"/>
      <c r="AO708" s="365"/>
      <c r="AP708" s="365"/>
    </row>
    <row r="709">
      <c r="A709" s="302"/>
      <c r="B709" s="303"/>
      <c r="C709" s="304"/>
      <c r="D709" s="365"/>
      <c r="E709" s="302"/>
      <c r="F709" s="303"/>
      <c r="G709" s="304"/>
      <c r="H709" s="365"/>
      <c r="I709" s="302"/>
      <c r="J709" s="303"/>
      <c r="K709" s="304"/>
      <c r="L709" s="365"/>
      <c r="M709" s="302"/>
      <c r="N709" s="303"/>
      <c r="O709" s="304"/>
      <c r="P709" s="365"/>
      <c r="Q709" s="186"/>
      <c r="R709" s="18"/>
      <c r="S709" s="374"/>
      <c r="T709" s="372"/>
      <c r="U709" s="186"/>
      <c r="V709" s="18"/>
      <c r="W709" s="374"/>
      <c r="X709" s="372"/>
      <c r="Y709" s="186"/>
      <c r="Z709" s="18"/>
      <c r="AA709" s="374"/>
      <c r="AB709" s="372"/>
      <c r="AC709" s="186"/>
      <c r="AD709" s="18"/>
      <c r="AE709" s="374"/>
      <c r="AF709" s="372"/>
      <c r="AG709" s="188"/>
      <c r="AH709" s="188"/>
      <c r="AI709" s="188"/>
      <c r="AJ709" s="188"/>
      <c r="AK709" s="365"/>
      <c r="AL709" s="365"/>
      <c r="AM709" s="365"/>
      <c r="AN709" s="365"/>
      <c r="AO709" s="365"/>
      <c r="AP709" s="365"/>
    </row>
    <row r="710">
      <c r="A710" s="302"/>
      <c r="B710" s="303"/>
      <c r="C710" s="304"/>
      <c r="D710" s="365"/>
      <c r="E710" s="302"/>
      <c r="F710" s="303"/>
      <c r="G710" s="304"/>
      <c r="H710" s="365"/>
      <c r="I710" s="302"/>
      <c r="J710" s="303"/>
      <c r="K710" s="304"/>
      <c r="L710" s="365"/>
      <c r="M710" s="302"/>
      <c r="N710" s="303"/>
      <c r="O710" s="304"/>
      <c r="P710" s="365"/>
      <c r="Q710" s="186"/>
      <c r="R710" s="18"/>
      <c r="S710" s="374"/>
      <c r="T710" s="372"/>
      <c r="U710" s="186"/>
      <c r="V710" s="18"/>
      <c r="W710" s="374"/>
      <c r="X710" s="372"/>
      <c r="Y710" s="186"/>
      <c r="Z710" s="18"/>
      <c r="AA710" s="374"/>
      <c r="AB710" s="372"/>
      <c r="AC710" s="186"/>
      <c r="AD710" s="18"/>
      <c r="AE710" s="374"/>
      <c r="AF710" s="372"/>
      <c r="AG710" s="188"/>
      <c r="AH710" s="188"/>
      <c r="AI710" s="188"/>
      <c r="AJ710" s="188"/>
      <c r="AK710" s="365"/>
      <c r="AL710" s="365"/>
      <c r="AM710" s="365"/>
      <c r="AN710" s="365"/>
      <c r="AO710" s="365"/>
      <c r="AP710" s="365"/>
    </row>
    <row r="711">
      <c r="A711" s="302"/>
      <c r="B711" s="303"/>
      <c r="C711" s="304"/>
      <c r="D711" s="365"/>
      <c r="E711" s="302"/>
      <c r="F711" s="303"/>
      <c r="G711" s="304"/>
      <c r="H711" s="365"/>
      <c r="I711" s="302"/>
      <c r="J711" s="303"/>
      <c r="K711" s="304"/>
      <c r="L711" s="365"/>
      <c r="M711" s="302"/>
      <c r="N711" s="303"/>
      <c r="O711" s="304"/>
      <c r="P711" s="365"/>
      <c r="Q711" s="186"/>
      <c r="R711" s="18"/>
      <c r="S711" s="374"/>
      <c r="T711" s="372"/>
      <c r="U711" s="186"/>
      <c r="V711" s="18"/>
      <c r="W711" s="374"/>
      <c r="X711" s="372"/>
      <c r="Y711" s="186"/>
      <c r="Z711" s="18"/>
      <c r="AA711" s="374"/>
      <c r="AB711" s="372"/>
      <c r="AC711" s="186"/>
      <c r="AD711" s="18"/>
      <c r="AE711" s="374"/>
      <c r="AF711" s="372"/>
      <c r="AG711" s="188"/>
      <c r="AH711" s="188"/>
      <c r="AI711" s="188"/>
      <c r="AJ711" s="188"/>
      <c r="AK711" s="365"/>
      <c r="AL711" s="365"/>
      <c r="AM711" s="365"/>
      <c r="AN711" s="365"/>
      <c r="AO711" s="365"/>
      <c r="AP711" s="365"/>
    </row>
    <row r="712">
      <c r="A712" s="302"/>
      <c r="B712" s="303"/>
      <c r="C712" s="304"/>
      <c r="D712" s="365"/>
      <c r="E712" s="302"/>
      <c r="F712" s="303"/>
      <c r="G712" s="304"/>
      <c r="H712" s="365"/>
      <c r="I712" s="302"/>
      <c r="J712" s="303"/>
      <c r="K712" s="304"/>
      <c r="L712" s="365"/>
      <c r="M712" s="302"/>
      <c r="N712" s="303"/>
      <c r="O712" s="304"/>
      <c r="P712" s="365"/>
      <c r="Q712" s="186"/>
      <c r="R712" s="18"/>
      <c r="S712" s="374"/>
      <c r="T712" s="372"/>
      <c r="U712" s="186"/>
      <c r="V712" s="18"/>
      <c r="W712" s="374"/>
      <c r="X712" s="372"/>
      <c r="Y712" s="186"/>
      <c r="Z712" s="18"/>
      <c r="AA712" s="374"/>
      <c r="AB712" s="372"/>
      <c r="AC712" s="186"/>
      <c r="AD712" s="18"/>
      <c r="AE712" s="374"/>
      <c r="AF712" s="372"/>
      <c r="AG712" s="188"/>
      <c r="AH712" s="188"/>
      <c r="AI712" s="188"/>
      <c r="AJ712" s="188"/>
      <c r="AK712" s="365"/>
      <c r="AL712" s="365"/>
      <c r="AM712" s="365"/>
      <c r="AN712" s="365"/>
      <c r="AO712" s="365"/>
      <c r="AP712" s="365"/>
    </row>
    <row r="713">
      <c r="A713" s="302"/>
      <c r="B713" s="303"/>
      <c r="C713" s="304"/>
      <c r="D713" s="365"/>
      <c r="E713" s="302"/>
      <c r="F713" s="303"/>
      <c r="G713" s="304"/>
      <c r="H713" s="365"/>
      <c r="I713" s="302"/>
      <c r="J713" s="303"/>
      <c r="K713" s="304"/>
      <c r="L713" s="365"/>
      <c r="M713" s="302"/>
      <c r="N713" s="303"/>
      <c r="O713" s="304"/>
      <c r="P713" s="365"/>
      <c r="Q713" s="186"/>
      <c r="R713" s="18"/>
      <c r="S713" s="374"/>
      <c r="T713" s="372"/>
      <c r="U713" s="186"/>
      <c r="V713" s="18"/>
      <c r="W713" s="374"/>
      <c r="X713" s="372"/>
      <c r="Y713" s="186"/>
      <c r="Z713" s="18"/>
      <c r="AA713" s="374"/>
      <c r="AB713" s="372"/>
      <c r="AC713" s="186"/>
      <c r="AD713" s="18"/>
      <c r="AE713" s="374"/>
      <c r="AF713" s="372"/>
      <c r="AG713" s="188"/>
      <c r="AH713" s="188"/>
      <c r="AI713" s="188"/>
      <c r="AJ713" s="188"/>
      <c r="AK713" s="365"/>
      <c r="AL713" s="365"/>
      <c r="AM713" s="365"/>
      <c r="AN713" s="365"/>
      <c r="AO713" s="365"/>
      <c r="AP713" s="365"/>
    </row>
    <row r="714">
      <c r="A714" s="302"/>
      <c r="B714" s="303"/>
      <c r="C714" s="304"/>
      <c r="D714" s="365"/>
      <c r="E714" s="302"/>
      <c r="F714" s="303"/>
      <c r="G714" s="304"/>
      <c r="H714" s="365"/>
      <c r="I714" s="302"/>
      <c r="J714" s="303"/>
      <c r="K714" s="304"/>
      <c r="L714" s="365"/>
      <c r="M714" s="302"/>
      <c r="N714" s="303"/>
      <c r="O714" s="304"/>
      <c r="P714" s="365"/>
      <c r="Q714" s="186"/>
      <c r="R714" s="18"/>
      <c r="S714" s="374"/>
      <c r="T714" s="372"/>
      <c r="U714" s="186"/>
      <c r="V714" s="18"/>
      <c r="W714" s="374"/>
      <c r="X714" s="372"/>
      <c r="Y714" s="186"/>
      <c r="Z714" s="18"/>
      <c r="AA714" s="374"/>
      <c r="AB714" s="372"/>
      <c r="AC714" s="186"/>
      <c r="AD714" s="18"/>
      <c r="AE714" s="374"/>
      <c r="AF714" s="372"/>
      <c r="AG714" s="188"/>
      <c r="AH714" s="188"/>
      <c r="AI714" s="188"/>
      <c r="AJ714" s="188"/>
      <c r="AK714" s="365"/>
      <c r="AL714" s="365"/>
      <c r="AM714" s="365"/>
      <c r="AN714" s="365"/>
      <c r="AO714" s="365"/>
      <c r="AP714" s="365"/>
    </row>
    <row r="715">
      <c r="A715" s="302"/>
      <c r="B715" s="303"/>
      <c r="C715" s="304"/>
      <c r="D715" s="365"/>
      <c r="E715" s="302"/>
      <c r="F715" s="303"/>
      <c r="G715" s="304"/>
      <c r="H715" s="365"/>
      <c r="I715" s="302"/>
      <c r="J715" s="303"/>
      <c r="K715" s="304"/>
      <c r="L715" s="365"/>
      <c r="M715" s="302"/>
      <c r="N715" s="303"/>
      <c r="O715" s="304"/>
      <c r="P715" s="365"/>
      <c r="Q715" s="186"/>
      <c r="R715" s="18"/>
      <c r="S715" s="374"/>
      <c r="T715" s="372"/>
      <c r="U715" s="186"/>
      <c r="V715" s="18"/>
      <c r="W715" s="374"/>
      <c r="X715" s="372"/>
      <c r="Y715" s="186"/>
      <c r="Z715" s="18"/>
      <c r="AA715" s="374"/>
      <c r="AB715" s="372"/>
      <c r="AC715" s="186"/>
      <c r="AD715" s="18"/>
      <c r="AE715" s="374"/>
      <c r="AF715" s="372"/>
      <c r="AG715" s="188"/>
      <c r="AH715" s="188"/>
      <c r="AI715" s="188"/>
      <c r="AJ715" s="188"/>
      <c r="AK715" s="365"/>
      <c r="AL715" s="365"/>
      <c r="AM715" s="365"/>
      <c r="AN715" s="365"/>
      <c r="AO715" s="365"/>
      <c r="AP715" s="365"/>
    </row>
    <row r="716">
      <c r="A716" s="302"/>
      <c r="B716" s="303"/>
      <c r="C716" s="304"/>
      <c r="D716" s="365"/>
      <c r="E716" s="302"/>
      <c r="F716" s="303"/>
      <c r="G716" s="304"/>
      <c r="H716" s="365"/>
      <c r="I716" s="302"/>
      <c r="J716" s="303"/>
      <c r="K716" s="304"/>
      <c r="L716" s="365"/>
      <c r="M716" s="302"/>
      <c r="N716" s="303"/>
      <c r="O716" s="304"/>
      <c r="P716" s="365"/>
      <c r="Q716" s="186"/>
      <c r="R716" s="18"/>
      <c r="S716" s="374"/>
      <c r="T716" s="372"/>
      <c r="U716" s="186"/>
      <c r="V716" s="18"/>
      <c r="W716" s="374"/>
      <c r="X716" s="372"/>
      <c r="Y716" s="186"/>
      <c r="Z716" s="18"/>
      <c r="AA716" s="374"/>
      <c r="AB716" s="372"/>
      <c r="AC716" s="186"/>
      <c r="AD716" s="18"/>
      <c r="AE716" s="374"/>
      <c r="AF716" s="372"/>
      <c r="AG716" s="188"/>
      <c r="AH716" s="188"/>
      <c r="AI716" s="188"/>
      <c r="AJ716" s="188"/>
      <c r="AK716" s="365"/>
      <c r="AL716" s="365"/>
      <c r="AM716" s="365"/>
      <c r="AN716" s="365"/>
      <c r="AO716" s="365"/>
      <c r="AP716" s="365"/>
    </row>
    <row r="717">
      <c r="A717" s="302"/>
      <c r="B717" s="303"/>
      <c r="C717" s="304"/>
      <c r="D717" s="365"/>
      <c r="E717" s="302"/>
      <c r="F717" s="303"/>
      <c r="G717" s="304"/>
      <c r="H717" s="365"/>
      <c r="I717" s="302"/>
      <c r="J717" s="303"/>
      <c r="K717" s="304"/>
      <c r="L717" s="365"/>
      <c r="M717" s="302"/>
      <c r="N717" s="303"/>
      <c r="O717" s="304"/>
      <c r="P717" s="365"/>
      <c r="Q717" s="186"/>
      <c r="R717" s="18"/>
      <c r="S717" s="374"/>
      <c r="T717" s="372"/>
      <c r="U717" s="186"/>
      <c r="V717" s="18"/>
      <c r="W717" s="374"/>
      <c r="X717" s="372"/>
      <c r="Y717" s="186"/>
      <c r="Z717" s="18"/>
      <c r="AA717" s="374"/>
      <c r="AB717" s="372"/>
      <c r="AC717" s="186"/>
      <c r="AD717" s="18"/>
      <c r="AE717" s="374"/>
      <c r="AF717" s="372"/>
      <c r="AG717" s="188"/>
      <c r="AH717" s="188"/>
      <c r="AI717" s="188"/>
      <c r="AJ717" s="188"/>
      <c r="AK717" s="365"/>
      <c r="AL717" s="365"/>
      <c r="AM717" s="365"/>
      <c r="AN717" s="365"/>
      <c r="AO717" s="365"/>
      <c r="AP717" s="365"/>
    </row>
    <row r="718">
      <c r="A718" s="302"/>
      <c r="B718" s="303"/>
      <c r="C718" s="304"/>
      <c r="D718" s="365"/>
      <c r="E718" s="302"/>
      <c r="F718" s="303"/>
      <c r="G718" s="304"/>
      <c r="H718" s="365"/>
      <c r="I718" s="302"/>
      <c r="J718" s="303"/>
      <c r="K718" s="304"/>
      <c r="L718" s="365"/>
      <c r="M718" s="302"/>
      <c r="N718" s="303"/>
      <c r="O718" s="304"/>
      <c r="P718" s="365"/>
      <c r="Q718" s="186"/>
      <c r="R718" s="18"/>
      <c r="S718" s="374"/>
      <c r="T718" s="372"/>
      <c r="U718" s="186"/>
      <c r="V718" s="18"/>
      <c r="W718" s="374"/>
      <c r="X718" s="372"/>
      <c r="Y718" s="186"/>
      <c r="Z718" s="18"/>
      <c r="AA718" s="374"/>
      <c r="AB718" s="372"/>
      <c r="AC718" s="186"/>
      <c r="AD718" s="18"/>
      <c r="AE718" s="374"/>
      <c r="AF718" s="372"/>
      <c r="AG718" s="188"/>
      <c r="AH718" s="188"/>
      <c r="AI718" s="188"/>
      <c r="AJ718" s="188"/>
      <c r="AK718" s="365"/>
      <c r="AL718" s="365"/>
      <c r="AM718" s="365"/>
      <c r="AN718" s="365"/>
      <c r="AO718" s="365"/>
      <c r="AP718" s="365"/>
    </row>
    <row r="719">
      <c r="A719" s="302"/>
      <c r="B719" s="303"/>
      <c r="C719" s="304"/>
      <c r="D719" s="365"/>
      <c r="E719" s="302"/>
      <c r="F719" s="303"/>
      <c r="G719" s="304"/>
      <c r="H719" s="365"/>
      <c r="I719" s="302"/>
      <c r="J719" s="303"/>
      <c r="K719" s="304"/>
      <c r="L719" s="365"/>
      <c r="M719" s="302"/>
      <c r="N719" s="303"/>
      <c r="O719" s="304"/>
      <c r="P719" s="365"/>
      <c r="Q719" s="186"/>
      <c r="R719" s="18"/>
      <c r="S719" s="374"/>
      <c r="T719" s="372"/>
      <c r="U719" s="186"/>
      <c r="V719" s="18"/>
      <c r="W719" s="374"/>
      <c r="X719" s="372"/>
      <c r="Y719" s="186"/>
      <c r="Z719" s="18"/>
      <c r="AA719" s="374"/>
      <c r="AB719" s="372"/>
      <c r="AC719" s="186"/>
      <c r="AD719" s="18"/>
      <c r="AE719" s="374"/>
      <c r="AF719" s="372"/>
      <c r="AG719" s="188"/>
      <c r="AH719" s="188"/>
      <c r="AI719" s="188"/>
      <c r="AJ719" s="188"/>
      <c r="AK719" s="365"/>
      <c r="AL719" s="365"/>
      <c r="AM719" s="365"/>
      <c r="AN719" s="365"/>
      <c r="AO719" s="365"/>
      <c r="AP719" s="365"/>
    </row>
    <row r="720">
      <c r="A720" s="302"/>
      <c r="B720" s="303"/>
      <c r="C720" s="304"/>
      <c r="D720" s="365"/>
      <c r="E720" s="302"/>
      <c r="F720" s="303"/>
      <c r="G720" s="304"/>
      <c r="H720" s="365"/>
      <c r="I720" s="302"/>
      <c r="J720" s="303"/>
      <c r="K720" s="304"/>
      <c r="L720" s="365"/>
      <c r="M720" s="302"/>
      <c r="N720" s="303"/>
      <c r="O720" s="304"/>
      <c r="P720" s="365"/>
      <c r="Q720" s="186"/>
      <c r="R720" s="18"/>
      <c r="S720" s="374"/>
      <c r="T720" s="372"/>
      <c r="U720" s="186"/>
      <c r="V720" s="18"/>
      <c r="W720" s="374"/>
      <c r="X720" s="372"/>
      <c r="Y720" s="186"/>
      <c r="Z720" s="18"/>
      <c r="AA720" s="374"/>
      <c r="AB720" s="372"/>
      <c r="AC720" s="186"/>
      <c r="AD720" s="18"/>
      <c r="AE720" s="374"/>
      <c r="AF720" s="372"/>
      <c r="AG720" s="188"/>
      <c r="AH720" s="188"/>
      <c r="AI720" s="188"/>
      <c r="AJ720" s="188"/>
      <c r="AK720" s="365"/>
      <c r="AL720" s="365"/>
      <c r="AM720" s="365"/>
      <c r="AN720" s="365"/>
      <c r="AO720" s="365"/>
      <c r="AP720" s="365"/>
    </row>
    <row r="721">
      <c r="A721" s="302"/>
      <c r="B721" s="303"/>
      <c r="C721" s="304"/>
      <c r="D721" s="365"/>
      <c r="E721" s="302"/>
      <c r="F721" s="303"/>
      <c r="G721" s="304"/>
      <c r="H721" s="365"/>
      <c r="I721" s="302"/>
      <c r="J721" s="303"/>
      <c r="K721" s="304"/>
      <c r="L721" s="365"/>
      <c r="M721" s="302"/>
      <c r="N721" s="303"/>
      <c r="O721" s="304"/>
      <c r="P721" s="365"/>
      <c r="Q721" s="186"/>
      <c r="R721" s="18"/>
      <c r="S721" s="374"/>
      <c r="T721" s="372"/>
      <c r="U721" s="186"/>
      <c r="V721" s="18"/>
      <c r="W721" s="374"/>
      <c r="X721" s="372"/>
      <c r="Y721" s="186"/>
      <c r="Z721" s="18"/>
      <c r="AA721" s="374"/>
      <c r="AB721" s="372"/>
      <c r="AC721" s="186"/>
      <c r="AD721" s="18"/>
      <c r="AE721" s="374"/>
      <c r="AF721" s="372"/>
      <c r="AG721" s="188"/>
      <c r="AH721" s="188"/>
      <c r="AI721" s="188"/>
      <c r="AJ721" s="188"/>
      <c r="AK721" s="365"/>
      <c r="AL721" s="365"/>
      <c r="AM721" s="365"/>
      <c r="AN721" s="365"/>
      <c r="AO721" s="365"/>
      <c r="AP721" s="365"/>
    </row>
    <row r="722">
      <c r="A722" s="302"/>
      <c r="B722" s="303"/>
      <c r="C722" s="304"/>
      <c r="D722" s="365"/>
      <c r="E722" s="302"/>
      <c r="F722" s="303"/>
      <c r="G722" s="304"/>
      <c r="H722" s="365"/>
      <c r="I722" s="302"/>
      <c r="J722" s="303"/>
      <c r="K722" s="304"/>
      <c r="L722" s="365"/>
      <c r="M722" s="302"/>
      <c r="N722" s="303"/>
      <c r="O722" s="304"/>
      <c r="P722" s="365"/>
      <c r="Q722" s="186"/>
      <c r="R722" s="18"/>
      <c r="S722" s="374"/>
      <c r="T722" s="372"/>
      <c r="U722" s="186"/>
      <c r="V722" s="18"/>
      <c r="W722" s="374"/>
      <c r="X722" s="372"/>
      <c r="Y722" s="186"/>
      <c r="Z722" s="18"/>
      <c r="AA722" s="374"/>
      <c r="AB722" s="372"/>
      <c r="AC722" s="186"/>
      <c r="AD722" s="18"/>
      <c r="AE722" s="374"/>
      <c r="AF722" s="372"/>
      <c r="AG722" s="188"/>
      <c r="AH722" s="188"/>
      <c r="AI722" s="188"/>
      <c r="AJ722" s="188"/>
      <c r="AK722" s="365"/>
      <c r="AL722" s="365"/>
      <c r="AM722" s="365"/>
      <c r="AN722" s="365"/>
      <c r="AO722" s="365"/>
      <c r="AP722" s="365"/>
    </row>
    <row r="723">
      <c r="A723" s="302"/>
      <c r="B723" s="303"/>
      <c r="C723" s="304"/>
      <c r="D723" s="365"/>
      <c r="E723" s="302"/>
      <c r="F723" s="303"/>
      <c r="G723" s="304"/>
      <c r="H723" s="365"/>
      <c r="I723" s="302"/>
      <c r="J723" s="303"/>
      <c r="K723" s="304"/>
      <c r="L723" s="365"/>
      <c r="M723" s="302"/>
      <c r="N723" s="303"/>
      <c r="O723" s="304"/>
      <c r="P723" s="365"/>
      <c r="Q723" s="186"/>
      <c r="R723" s="18"/>
      <c r="S723" s="374"/>
      <c r="T723" s="372"/>
      <c r="U723" s="186"/>
      <c r="V723" s="18"/>
      <c r="W723" s="374"/>
      <c r="X723" s="372"/>
      <c r="Y723" s="186"/>
      <c r="Z723" s="18"/>
      <c r="AA723" s="374"/>
      <c r="AB723" s="372"/>
      <c r="AC723" s="186"/>
      <c r="AD723" s="18"/>
      <c r="AE723" s="374"/>
      <c r="AF723" s="372"/>
      <c r="AG723" s="188"/>
      <c r="AH723" s="188"/>
      <c r="AI723" s="188"/>
      <c r="AJ723" s="188"/>
      <c r="AK723" s="365"/>
      <c r="AL723" s="365"/>
      <c r="AM723" s="365"/>
      <c r="AN723" s="365"/>
      <c r="AO723" s="365"/>
      <c r="AP723" s="365"/>
    </row>
    <row r="724">
      <c r="A724" s="302"/>
      <c r="B724" s="303"/>
      <c r="C724" s="304"/>
      <c r="D724" s="365"/>
      <c r="E724" s="302"/>
      <c r="F724" s="303"/>
      <c r="G724" s="304"/>
      <c r="H724" s="365"/>
      <c r="I724" s="302"/>
      <c r="J724" s="303"/>
      <c r="K724" s="304"/>
      <c r="L724" s="365"/>
      <c r="M724" s="302"/>
      <c r="N724" s="303"/>
      <c r="O724" s="304"/>
      <c r="P724" s="365"/>
      <c r="Q724" s="186"/>
      <c r="R724" s="18"/>
      <c r="S724" s="374"/>
      <c r="T724" s="372"/>
      <c r="U724" s="186"/>
      <c r="V724" s="18"/>
      <c r="W724" s="374"/>
      <c r="X724" s="372"/>
      <c r="Y724" s="186"/>
      <c r="Z724" s="18"/>
      <c r="AA724" s="374"/>
      <c r="AB724" s="372"/>
      <c r="AC724" s="186"/>
      <c r="AD724" s="18"/>
      <c r="AE724" s="374"/>
      <c r="AF724" s="372"/>
      <c r="AG724" s="188"/>
      <c r="AH724" s="188"/>
      <c r="AI724" s="188"/>
      <c r="AJ724" s="188"/>
      <c r="AK724" s="365"/>
      <c r="AL724" s="365"/>
      <c r="AM724" s="365"/>
      <c r="AN724" s="365"/>
      <c r="AO724" s="365"/>
      <c r="AP724" s="365"/>
    </row>
    <row r="725">
      <c r="A725" s="302"/>
      <c r="B725" s="303"/>
      <c r="C725" s="304"/>
      <c r="D725" s="365"/>
      <c r="E725" s="302"/>
      <c r="F725" s="303"/>
      <c r="G725" s="304"/>
      <c r="H725" s="365"/>
      <c r="I725" s="302"/>
      <c r="J725" s="303"/>
      <c r="K725" s="304"/>
      <c r="L725" s="365"/>
      <c r="M725" s="302"/>
      <c r="N725" s="303"/>
      <c r="O725" s="304"/>
      <c r="P725" s="365"/>
      <c r="Q725" s="186"/>
      <c r="R725" s="18"/>
      <c r="S725" s="374"/>
      <c r="T725" s="372"/>
      <c r="U725" s="186"/>
      <c r="V725" s="18"/>
      <c r="W725" s="374"/>
      <c r="X725" s="372"/>
      <c r="Y725" s="186"/>
      <c r="Z725" s="18"/>
      <c r="AA725" s="374"/>
      <c r="AB725" s="372"/>
      <c r="AC725" s="186"/>
      <c r="AD725" s="18"/>
      <c r="AE725" s="374"/>
      <c r="AF725" s="372"/>
      <c r="AG725" s="188"/>
      <c r="AH725" s="188"/>
      <c r="AI725" s="188"/>
      <c r="AJ725" s="188"/>
      <c r="AK725" s="365"/>
      <c r="AL725" s="365"/>
      <c r="AM725" s="365"/>
      <c r="AN725" s="365"/>
      <c r="AO725" s="365"/>
      <c r="AP725" s="365"/>
    </row>
    <row r="726">
      <c r="A726" s="302"/>
      <c r="B726" s="303"/>
      <c r="C726" s="304"/>
      <c r="D726" s="365"/>
      <c r="E726" s="302"/>
      <c r="F726" s="303"/>
      <c r="G726" s="304"/>
      <c r="H726" s="365"/>
      <c r="I726" s="302"/>
      <c r="J726" s="303"/>
      <c r="K726" s="304"/>
      <c r="L726" s="365"/>
      <c r="M726" s="302"/>
      <c r="N726" s="303"/>
      <c r="O726" s="304"/>
      <c r="P726" s="365"/>
      <c r="Q726" s="186"/>
      <c r="R726" s="18"/>
      <c r="S726" s="374"/>
      <c r="T726" s="372"/>
      <c r="U726" s="186"/>
      <c r="V726" s="18"/>
      <c r="W726" s="374"/>
      <c r="X726" s="372"/>
      <c r="Y726" s="186"/>
      <c r="Z726" s="18"/>
      <c r="AA726" s="374"/>
      <c r="AB726" s="372"/>
      <c r="AC726" s="186"/>
      <c r="AD726" s="18"/>
      <c r="AE726" s="374"/>
      <c r="AF726" s="372"/>
      <c r="AG726" s="188"/>
      <c r="AH726" s="188"/>
      <c r="AI726" s="188"/>
      <c r="AJ726" s="188"/>
      <c r="AK726" s="365"/>
      <c r="AL726" s="365"/>
      <c r="AM726" s="365"/>
      <c r="AN726" s="365"/>
      <c r="AO726" s="365"/>
      <c r="AP726" s="365"/>
    </row>
    <row r="727">
      <c r="A727" s="302"/>
      <c r="B727" s="303"/>
      <c r="C727" s="304"/>
      <c r="D727" s="365"/>
      <c r="E727" s="302"/>
      <c r="F727" s="303"/>
      <c r="G727" s="304"/>
      <c r="H727" s="365"/>
      <c r="I727" s="302"/>
      <c r="J727" s="303"/>
      <c r="K727" s="304"/>
      <c r="L727" s="365"/>
      <c r="M727" s="302"/>
      <c r="N727" s="303"/>
      <c r="O727" s="304"/>
      <c r="P727" s="365"/>
      <c r="Q727" s="186"/>
      <c r="R727" s="18"/>
      <c r="S727" s="374"/>
      <c r="T727" s="372"/>
      <c r="U727" s="186"/>
      <c r="V727" s="18"/>
      <c r="W727" s="374"/>
      <c r="X727" s="372"/>
      <c r="Y727" s="186"/>
      <c r="Z727" s="18"/>
      <c r="AA727" s="374"/>
      <c r="AB727" s="372"/>
      <c r="AC727" s="186"/>
      <c r="AD727" s="18"/>
      <c r="AE727" s="374"/>
      <c r="AF727" s="372"/>
      <c r="AG727" s="188"/>
      <c r="AH727" s="188"/>
      <c r="AI727" s="188"/>
      <c r="AJ727" s="188"/>
      <c r="AK727" s="365"/>
      <c r="AL727" s="365"/>
      <c r="AM727" s="365"/>
      <c r="AN727" s="365"/>
      <c r="AO727" s="365"/>
      <c r="AP727" s="365"/>
    </row>
    <row r="728">
      <c r="A728" s="302"/>
      <c r="B728" s="303"/>
      <c r="C728" s="304"/>
      <c r="D728" s="365"/>
      <c r="E728" s="302"/>
      <c r="F728" s="303"/>
      <c r="G728" s="304"/>
      <c r="H728" s="365"/>
      <c r="I728" s="302"/>
      <c r="J728" s="303"/>
      <c r="K728" s="304"/>
      <c r="L728" s="365"/>
      <c r="M728" s="302"/>
      <c r="N728" s="303"/>
      <c r="O728" s="304"/>
      <c r="P728" s="365"/>
      <c r="Q728" s="186"/>
      <c r="R728" s="18"/>
      <c r="S728" s="374"/>
      <c r="T728" s="372"/>
      <c r="U728" s="186"/>
      <c r="V728" s="18"/>
      <c r="W728" s="374"/>
      <c r="X728" s="372"/>
      <c r="Y728" s="186"/>
      <c r="Z728" s="18"/>
      <c r="AA728" s="374"/>
      <c r="AB728" s="372"/>
      <c r="AC728" s="186"/>
      <c r="AD728" s="18"/>
      <c r="AE728" s="374"/>
      <c r="AF728" s="372"/>
      <c r="AG728" s="188"/>
      <c r="AH728" s="188"/>
      <c r="AI728" s="188"/>
      <c r="AJ728" s="188"/>
      <c r="AK728" s="365"/>
      <c r="AL728" s="365"/>
      <c r="AM728" s="365"/>
      <c r="AN728" s="365"/>
      <c r="AO728" s="365"/>
      <c r="AP728" s="365"/>
    </row>
    <row r="729">
      <c r="A729" s="302"/>
      <c r="B729" s="303"/>
      <c r="C729" s="304"/>
      <c r="D729" s="365"/>
      <c r="E729" s="302"/>
      <c r="F729" s="303"/>
      <c r="G729" s="304"/>
      <c r="H729" s="365"/>
      <c r="I729" s="302"/>
      <c r="J729" s="303"/>
      <c r="K729" s="304"/>
      <c r="L729" s="365"/>
      <c r="M729" s="302"/>
      <c r="N729" s="303"/>
      <c r="O729" s="304"/>
      <c r="P729" s="365"/>
      <c r="Q729" s="186"/>
      <c r="R729" s="18"/>
      <c r="S729" s="374"/>
      <c r="T729" s="372"/>
      <c r="U729" s="186"/>
      <c r="V729" s="18"/>
      <c r="W729" s="374"/>
      <c r="X729" s="372"/>
      <c r="Y729" s="186"/>
      <c r="Z729" s="18"/>
      <c r="AA729" s="374"/>
      <c r="AB729" s="372"/>
      <c r="AC729" s="186"/>
      <c r="AD729" s="18"/>
      <c r="AE729" s="374"/>
      <c r="AF729" s="372"/>
      <c r="AG729" s="188"/>
      <c r="AH729" s="188"/>
      <c r="AI729" s="188"/>
      <c r="AJ729" s="188"/>
      <c r="AK729" s="365"/>
      <c r="AL729" s="365"/>
      <c r="AM729" s="365"/>
      <c r="AN729" s="365"/>
      <c r="AO729" s="365"/>
      <c r="AP729" s="365"/>
    </row>
    <row r="730">
      <c r="A730" s="302"/>
      <c r="B730" s="303"/>
      <c r="C730" s="304"/>
      <c r="D730" s="365"/>
      <c r="E730" s="302"/>
      <c r="F730" s="303"/>
      <c r="G730" s="304"/>
      <c r="H730" s="365"/>
      <c r="I730" s="302"/>
      <c r="J730" s="303"/>
      <c r="K730" s="304"/>
      <c r="L730" s="365"/>
      <c r="M730" s="302"/>
      <c r="N730" s="303"/>
      <c r="O730" s="304"/>
      <c r="P730" s="365"/>
      <c r="Q730" s="186"/>
      <c r="R730" s="18"/>
      <c r="S730" s="374"/>
      <c r="T730" s="372"/>
      <c r="U730" s="186"/>
      <c r="V730" s="18"/>
      <c r="W730" s="374"/>
      <c r="X730" s="372"/>
      <c r="Y730" s="186"/>
      <c r="Z730" s="18"/>
      <c r="AA730" s="374"/>
      <c r="AB730" s="372"/>
      <c r="AC730" s="186"/>
      <c r="AD730" s="18"/>
      <c r="AE730" s="374"/>
      <c r="AF730" s="372"/>
      <c r="AG730" s="188"/>
      <c r="AH730" s="188"/>
      <c r="AI730" s="188"/>
      <c r="AJ730" s="188"/>
      <c r="AK730" s="365"/>
      <c r="AL730" s="365"/>
      <c r="AM730" s="365"/>
      <c r="AN730" s="365"/>
      <c r="AO730" s="365"/>
      <c r="AP730" s="365"/>
    </row>
    <row r="731">
      <c r="A731" s="302"/>
      <c r="B731" s="303"/>
      <c r="C731" s="304"/>
      <c r="D731" s="365"/>
      <c r="E731" s="302"/>
      <c r="F731" s="303"/>
      <c r="G731" s="304"/>
      <c r="H731" s="365"/>
      <c r="I731" s="302"/>
      <c r="J731" s="303"/>
      <c r="K731" s="304"/>
      <c r="L731" s="365"/>
      <c r="M731" s="302"/>
      <c r="N731" s="303"/>
      <c r="O731" s="304"/>
      <c r="P731" s="365"/>
      <c r="Q731" s="186"/>
      <c r="R731" s="18"/>
      <c r="S731" s="374"/>
      <c r="T731" s="372"/>
      <c r="U731" s="186"/>
      <c r="V731" s="18"/>
      <c r="W731" s="374"/>
      <c r="X731" s="372"/>
      <c r="Y731" s="186"/>
      <c r="Z731" s="18"/>
      <c r="AA731" s="374"/>
      <c r="AB731" s="372"/>
      <c r="AC731" s="186"/>
      <c r="AD731" s="18"/>
      <c r="AE731" s="374"/>
      <c r="AF731" s="372"/>
      <c r="AG731" s="188"/>
      <c r="AH731" s="188"/>
      <c r="AI731" s="188"/>
      <c r="AJ731" s="188"/>
      <c r="AK731" s="365"/>
      <c r="AL731" s="365"/>
      <c r="AM731" s="365"/>
      <c r="AN731" s="365"/>
      <c r="AO731" s="365"/>
      <c r="AP731" s="365"/>
    </row>
    <row r="732">
      <c r="A732" s="302"/>
      <c r="B732" s="303"/>
      <c r="C732" s="304"/>
      <c r="D732" s="365"/>
      <c r="E732" s="302"/>
      <c r="F732" s="303"/>
      <c r="G732" s="304"/>
      <c r="H732" s="365"/>
      <c r="I732" s="302"/>
      <c r="J732" s="303"/>
      <c r="K732" s="304"/>
      <c r="L732" s="365"/>
      <c r="M732" s="302"/>
      <c r="N732" s="303"/>
      <c r="O732" s="304"/>
      <c r="P732" s="365"/>
      <c r="Q732" s="186"/>
      <c r="R732" s="18"/>
      <c r="S732" s="374"/>
      <c r="T732" s="372"/>
      <c r="U732" s="186"/>
      <c r="V732" s="18"/>
      <c r="W732" s="374"/>
      <c r="X732" s="372"/>
      <c r="Y732" s="186"/>
      <c r="Z732" s="18"/>
      <c r="AA732" s="374"/>
      <c r="AB732" s="372"/>
      <c r="AC732" s="186"/>
      <c r="AD732" s="18"/>
      <c r="AE732" s="374"/>
      <c r="AF732" s="372"/>
      <c r="AG732" s="188"/>
      <c r="AH732" s="188"/>
      <c r="AI732" s="188"/>
      <c r="AJ732" s="188"/>
      <c r="AK732" s="365"/>
      <c r="AL732" s="365"/>
      <c r="AM732" s="365"/>
      <c r="AN732" s="365"/>
      <c r="AO732" s="365"/>
      <c r="AP732" s="365"/>
    </row>
    <row r="733">
      <c r="A733" s="302"/>
      <c r="B733" s="303"/>
      <c r="C733" s="304"/>
      <c r="D733" s="365"/>
      <c r="E733" s="302"/>
      <c r="F733" s="303"/>
      <c r="G733" s="304"/>
      <c r="H733" s="365"/>
      <c r="I733" s="302"/>
      <c r="J733" s="303"/>
      <c r="K733" s="304"/>
      <c r="L733" s="365"/>
      <c r="M733" s="302"/>
      <c r="N733" s="303"/>
      <c r="O733" s="304"/>
      <c r="P733" s="365"/>
      <c r="Q733" s="186"/>
      <c r="R733" s="18"/>
      <c r="S733" s="374"/>
      <c r="T733" s="372"/>
      <c r="U733" s="186"/>
      <c r="V733" s="18"/>
      <c r="W733" s="374"/>
      <c r="X733" s="372"/>
      <c r="Y733" s="186"/>
      <c r="Z733" s="18"/>
      <c r="AA733" s="374"/>
      <c r="AB733" s="372"/>
      <c r="AC733" s="186"/>
      <c r="AD733" s="18"/>
      <c r="AE733" s="374"/>
      <c r="AF733" s="372"/>
      <c r="AG733" s="188"/>
      <c r="AH733" s="188"/>
      <c r="AI733" s="188"/>
      <c r="AJ733" s="188"/>
      <c r="AK733" s="365"/>
      <c r="AL733" s="365"/>
      <c r="AM733" s="365"/>
      <c r="AN733" s="365"/>
      <c r="AO733" s="365"/>
      <c r="AP733" s="365"/>
    </row>
    <row r="734">
      <c r="A734" s="302"/>
      <c r="B734" s="303"/>
      <c r="C734" s="304"/>
      <c r="D734" s="365"/>
      <c r="E734" s="302"/>
      <c r="F734" s="303"/>
      <c r="G734" s="304"/>
      <c r="H734" s="365"/>
      <c r="I734" s="302"/>
      <c r="J734" s="303"/>
      <c r="K734" s="304"/>
      <c r="L734" s="365"/>
      <c r="M734" s="302"/>
      <c r="N734" s="303"/>
      <c r="O734" s="304"/>
      <c r="P734" s="365"/>
      <c r="Q734" s="186"/>
      <c r="R734" s="18"/>
      <c r="S734" s="374"/>
      <c r="T734" s="372"/>
      <c r="U734" s="186"/>
      <c r="V734" s="18"/>
      <c r="W734" s="374"/>
      <c r="X734" s="372"/>
      <c r="Y734" s="186"/>
      <c r="Z734" s="18"/>
      <c r="AA734" s="374"/>
      <c r="AB734" s="372"/>
      <c r="AC734" s="186"/>
      <c r="AD734" s="18"/>
      <c r="AE734" s="374"/>
      <c r="AF734" s="372"/>
      <c r="AG734" s="188"/>
      <c r="AH734" s="188"/>
      <c r="AI734" s="188"/>
      <c r="AJ734" s="188"/>
      <c r="AK734" s="365"/>
      <c r="AL734" s="365"/>
      <c r="AM734" s="365"/>
      <c r="AN734" s="365"/>
      <c r="AO734" s="365"/>
      <c r="AP734" s="365"/>
    </row>
    <row r="735">
      <c r="A735" s="302"/>
      <c r="B735" s="303"/>
      <c r="C735" s="304"/>
      <c r="D735" s="365"/>
      <c r="E735" s="302"/>
      <c r="F735" s="303"/>
      <c r="G735" s="304"/>
      <c r="H735" s="365"/>
      <c r="I735" s="302"/>
      <c r="J735" s="303"/>
      <c r="K735" s="304"/>
      <c r="L735" s="365"/>
      <c r="M735" s="302"/>
      <c r="N735" s="303"/>
      <c r="O735" s="304"/>
      <c r="P735" s="365"/>
      <c r="Q735" s="186"/>
      <c r="R735" s="18"/>
      <c r="S735" s="374"/>
      <c r="T735" s="372"/>
      <c r="U735" s="186"/>
      <c r="V735" s="18"/>
      <c r="W735" s="374"/>
      <c r="X735" s="372"/>
      <c r="Y735" s="186"/>
      <c r="Z735" s="18"/>
      <c r="AA735" s="374"/>
      <c r="AB735" s="372"/>
      <c r="AC735" s="186"/>
      <c r="AD735" s="18"/>
      <c r="AE735" s="374"/>
      <c r="AF735" s="372"/>
      <c r="AG735" s="188"/>
      <c r="AH735" s="188"/>
      <c r="AI735" s="188"/>
      <c r="AJ735" s="188"/>
      <c r="AK735" s="365"/>
      <c r="AL735" s="365"/>
      <c r="AM735" s="365"/>
      <c r="AN735" s="365"/>
      <c r="AO735" s="365"/>
      <c r="AP735" s="365"/>
    </row>
    <row r="736">
      <c r="A736" s="302"/>
      <c r="B736" s="303"/>
      <c r="C736" s="304"/>
      <c r="D736" s="365"/>
      <c r="E736" s="302"/>
      <c r="F736" s="303"/>
      <c r="G736" s="304"/>
      <c r="H736" s="365"/>
      <c r="I736" s="302"/>
      <c r="J736" s="303"/>
      <c r="K736" s="304"/>
      <c r="L736" s="365"/>
      <c r="M736" s="302"/>
      <c r="N736" s="303"/>
      <c r="O736" s="304"/>
      <c r="P736" s="365"/>
      <c r="Q736" s="186"/>
      <c r="R736" s="18"/>
      <c r="S736" s="374"/>
      <c r="T736" s="372"/>
      <c r="U736" s="186"/>
      <c r="V736" s="18"/>
      <c r="W736" s="374"/>
      <c r="X736" s="372"/>
      <c r="Y736" s="186"/>
      <c r="Z736" s="18"/>
      <c r="AA736" s="374"/>
      <c r="AB736" s="372"/>
      <c r="AC736" s="186"/>
      <c r="AD736" s="18"/>
      <c r="AE736" s="374"/>
      <c r="AF736" s="372"/>
      <c r="AG736" s="188"/>
      <c r="AH736" s="188"/>
      <c r="AI736" s="188"/>
      <c r="AJ736" s="188"/>
      <c r="AK736" s="365"/>
      <c r="AL736" s="365"/>
      <c r="AM736" s="365"/>
      <c r="AN736" s="365"/>
      <c r="AO736" s="365"/>
      <c r="AP736" s="365"/>
    </row>
    <row r="737">
      <c r="A737" s="302"/>
      <c r="B737" s="303"/>
      <c r="C737" s="304"/>
      <c r="D737" s="365"/>
      <c r="E737" s="302"/>
      <c r="F737" s="303"/>
      <c r="G737" s="304"/>
      <c r="H737" s="365"/>
      <c r="I737" s="302"/>
      <c r="J737" s="303"/>
      <c r="K737" s="304"/>
      <c r="L737" s="365"/>
      <c r="M737" s="302"/>
      <c r="N737" s="303"/>
      <c r="O737" s="304"/>
      <c r="P737" s="365"/>
      <c r="Q737" s="186"/>
      <c r="R737" s="18"/>
      <c r="S737" s="374"/>
      <c r="T737" s="372"/>
      <c r="U737" s="186"/>
      <c r="V737" s="18"/>
      <c r="W737" s="374"/>
      <c r="X737" s="372"/>
      <c r="Y737" s="186"/>
      <c r="Z737" s="18"/>
      <c r="AA737" s="374"/>
      <c r="AB737" s="372"/>
      <c r="AC737" s="186"/>
      <c r="AD737" s="18"/>
      <c r="AE737" s="374"/>
      <c r="AF737" s="372"/>
      <c r="AG737" s="188"/>
      <c r="AH737" s="188"/>
      <c r="AI737" s="188"/>
      <c r="AJ737" s="188"/>
      <c r="AK737" s="365"/>
      <c r="AL737" s="365"/>
      <c r="AM737" s="365"/>
      <c r="AN737" s="365"/>
      <c r="AO737" s="365"/>
      <c r="AP737" s="365"/>
    </row>
    <row r="738">
      <c r="A738" s="302"/>
      <c r="B738" s="303"/>
      <c r="C738" s="304"/>
      <c r="D738" s="365"/>
      <c r="E738" s="302"/>
      <c r="F738" s="303"/>
      <c r="G738" s="304"/>
      <c r="H738" s="365"/>
      <c r="I738" s="302"/>
      <c r="J738" s="303"/>
      <c r="K738" s="304"/>
      <c r="L738" s="365"/>
      <c r="M738" s="302"/>
      <c r="N738" s="303"/>
      <c r="O738" s="304"/>
      <c r="P738" s="365"/>
      <c r="Q738" s="186"/>
      <c r="R738" s="18"/>
      <c r="S738" s="374"/>
      <c r="T738" s="372"/>
      <c r="U738" s="186"/>
      <c r="V738" s="18"/>
      <c r="W738" s="374"/>
      <c r="X738" s="372"/>
      <c r="Y738" s="186"/>
      <c r="Z738" s="18"/>
      <c r="AA738" s="374"/>
      <c r="AB738" s="372"/>
      <c r="AC738" s="186"/>
      <c r="AD738" s="18"/>
      <c r="AE738" s="374"/>
      <c r="AF738" s="372"/>
      <c r="AG738" s="188"/>
      <c r="AH738" s="188"/>
      <c r="AI738" s="188"/>
      <c r="AJ738" s="188"/>
      <c r="AK738" s="365"/>
      <c r="AL738" s="365"/>
      <c r="AM738" s="365"/>
      <c r="AN738" s="365"/>
      <c r="AO738" s="365"/>
      <c r="AP738" s="365"/>
    </row>
    <row r="739">
      <c r="A739" s="302"/>
      <c r="B739" s="303"/>
      <c r="C739" s="304"/>
      <c r="D739" s="365"/>
      <c r="E739" s="302"/>
      <c r="F739" s="303"/>
      <c r="G739" s="304"/>
      <c r="H739" s="365"/>
      <c r="I739" s="302"/>
      <c r="J739" s="303"/>
      <c r="K739" s="304"/>
      <c r="L739" s="365"/>
      <c r="M739" s="302"/>
      <c r="N739" s="303"/>
      <c r="O739" s="304"/>
      <c r="P739" s="365"/>
      <c r="Q739" s="186"/>
      <c r="R739" s="18"/>
      <c r="S739" s="374"/>
      <c r="T739" s="372"/>
      <c r="U739" s="186"/>
      <c r="V739" s="18"/>
      <c r="W739" s="374"/>
      <c r="X739" s="372"/>
      <c r="Y739" s="186"/>
      <c r="Z739" s="18"/>
      <c r="AA739" s="374"/>
      <c r="AB739" s="372"/>
      <c r="AC739" s="186"/>
      <c r="AD739" s="18"/>
      <c r="AE739" s="374"/>
      <c r="AF739" s="372"/>
      <c r="AG739" s="188"/>
      <c r="AH739" s="188"/>
      <c r="AI739" s="188"/>
      <c r="AJ739" s="188"/>
      <c r="AK739" s="365"/>
      <c r="AL739" s="365"/>
      <c r="AM739" s="365"/>
      <c r="AN739" s="365"/>
      <c r="AO739" s="365"/>
      <c r="AP739" s="365"/>
    </row>
    <row r="740">
      <c r="A740" s="302"/>
      <c r="B740" s="303"/>
      <c r="C740" s="304"/>
      <c r="D740" s="365"/>
      <c r="E740" s="302"/>
      <c r="F740" s="303"/>
      <c r="G740" s="304"/>
      <c r="H740" s="365"/>
      <c r="I740" s="302"/>
      <c r="J740" s="303"/>
      <c r="K740" s="304"/>
      <c r="L740" s="365"/>
      <c r="M740" s="302"/>
      <c r="N740" s="303"/>
      <c r="O740" s="304"/>
      <c r="P740" s="365"/>
      <c r="Q740" s="186"/>
      <c r="R740" s="18"/>
      <c r="S740" s="374"/>
      <c r="T740" s="372"/>
      <c r="U740" s="186"/>
      <c r="V740" s="18"/>
      <c r="W740" s="374"/>
      <c r="X740" s="372"/>
      <c r="Y740" s="186"/>
      <c r="Z740" s="18"/>
      <c r="AA740" s="374"/>
      <c r="AB740" s="372"/>
      <c r="AC740" s="186"/>
      <c r="AD740" s="18"/>
      <c r="AE740" s="374"/>
      <c r="AF740" s="372"/>
      <c r="AG740" s="188"/>
      <c r="AH740" s="188"/>
      <c r="AI740" s="188"/>
      <c r="AJ740" s="188"/>
      <c r="AK740" s="365"/>
      <c r="AL740" s="365"/>
      <c r="AM740" s="365"/>
      <c r="AN740" s="365"/>
      <c r="AO740" s="365"/>
      <c r="AP740" s="365"/>
    </row>
    <row r="741">
      <c r="A741" s="302"/>
      <c r="B741" s="303"/>
      <c r="C741" s="304"/>
      <c r="D741" s="365"/>
      <c r="E741" s="302"/>
      <c r="F741" s="303"/>
      <c r="G741" s="304"/>
      <c r="H741" s="365"/>
      <c r="I741" s="302"/>
      <c r="J741" s="303"/>
      <c r="K741" s="304"/>
      <c r="L741" s="365"/>
      <c r="M741" s="302"/>
      <c r="N741" s="303"/>
      <c r="O741" s="304"/>
      <c r="P741" s="365"/>
      <c r="Q741" s="186"/>
      <c r="R741" s="18"/>
      <c r="S741" s="374"/>
      <c r="T741" s="372"/>
      <c r="U741" s="186"/>
      <c r="V741" s="18"/>
      <c r="W741" s="374"/>
      <c r="X741" s="372"/>
      <c r="Y741" s="186"/>
      <c r="Z741" s="18"/>
      <c r="AA741" s="374"/>
      <c r="AB741" s="372"/>
      <c r="AC741" s="186"/>
      <c r="AD741" s="18"/>
      <c r="AE741" s="374"/>
      <c r="AF741" s="372"/>
      <c r="AG741" s="188"/>
      <c r="AH741" s="188"/>
      <c r="AI741" s="188"/>
      <c r="AJ741" s="188"/>
      <c r="AK741" s="365"/>
      <c r="AL741" s="365"/>
      <c r="AM741" s="365"/>
      <c r="AN741" s="365"/>
      <c r="AO741" s="365"/>
      <c r="AP741" s="365"/>
    </row>
    <row r="742">
      <c r="A742" s="302"/>
      <c r="B742" s="303"/>
      <c r="C742" s="304"/>
      <c r="D742" s="365"/>
      <c r="E742" s="302"/>
      <c r="F742" s="303"/>
      <c r="G742" s="304"/>
      <c r="H742" s="365"/>
      <c r="I742" s="302"/>
      <c r="J742" s="303"/>
      <c r="K742" s="304"/>
      <c r="L742" s="365"/>
      <c r="M742" s="302"/>
      <c r="N742" s="303"/>
      <c r="O742" s="304"/>
      <c r="P742" s="365"/>
      <c r="Q742" s="186"/>
      <c r="R742" s="18"/>
      <c r="S742" s="374"/>
      <c r="T742" s="372"/>
      <c r="U742" s="186"/>
      <c r="V742" s="18"/>
      <c r="W742" s="374"/>
      <c r="X742" s="372"/>
      <c r="Y742" s="186"/>
      <c r="Z742" s="18"/>
      <c r="AA742" s="374"/>
      <c r="AB742" s="372"/>
      <c r="AC742" s="186"/>
      <c r="AD742" s="18"/>
      <c r="AE742" s="374"/>
      <c r="AF742" s="372"/>
      <c r="AG742" s="188"/>
      <c r="AH742" s="188"/>
      <c r="AI742" s="188"/>
      <c r="AJ742" s="188"/>
      <c r="AK742" s="365"/>
      <c r="AL742" s="365"/>
      <c r="AM742" s="365"/>
      <c r="AN742" s="365"/>
      <c r="AO742" s="365"/>
      <c r="AP742" s="365"/>
    </row>
    <row r="743">
      <c r="A743" s="302"/>
      <c r="B743" s="303"/>
      <c r="C743" s="304"/>
      <c r="D743" s="365"/>
      <c r="E743" s="302"/>
      <c r="F743" s="303"/>
      <c r="G743" s="304"/>
      <c r="H743" s="365"/>
      <c r="I743" s="302"/>
      <c r="J743" s="303"/>
      <c r="K743" s="304"/>
      <c r="L743" s="365"/>
      <c r="M743" s="302"/>
      <c r="N743" s="303"/>
      <c r="O743" s="304"/>
      <c r="P743" s="365"/>
      <c r="Q743" s="186"/>
      <c r="R743" s="18"/>
      <c r="S743" s="374"/>
      <c r="T743" s="372"/>
      <c r="U743" s="186"/>
      <c r="V743" s="18"/>
      <c r="W743" s="374"/>
      <c r="X743" s="372"/>
      <c r="Y743" s="186"/>
      <c r="Z743" s="18"/>
      <c r="AA743" s="374"/>
      <c r="AB743" s="372"/>
      <c r="AC743" s="186"/>
      <c r="AD743" s="18"/>
      <c r="AE743" s="374"/>
      <c r="AF743" s="372"/>
      <c r="AG743" s="188"/>
      <c r="AH743" s="188"/>
      <c r="AI743" s="188"/>
      <c r="AJ743" s="188"/>
      <c r="AK743" s="365"/>
      <c r="AL743" s="365"/>
      <c r="AM743" s="365"/>
      <c r="AN743" s="365"/>
      <c r="AO743" s="365"/>
      <c r="AP743" s="365"/>
    </row>
    <row r="744">
      <c r="A744" s="302"/>
      <c r="B744" s="303"/>
      <c r="C744" s="304"/>
      <c r="D744" s="365"/>
      <c r="E744" s="302"/>
      <c r="F744" s="303"/>
      <c r="G744" s="304"/>
      <c r="H744" s="365"/>
      <c r="I744" s="302"/>
      <c r="J744" s="303"/>
      <c r="K744" s="304"/>
      <c r="L744" s="365"/>
      <c r="M744" s="302"/>
      <c r="N744" s="303"/>
      <c r="O744" s="304"/>
      <c r="P744" s="365"/>
      <c r="Q744" s="186"/>
      <c r="R744" s="18"/>
      <c r="S744" s="374"/>
      <c r="T744" s="372"/>
      <c r="U744" s="186"/>
      <c r="V744" s="18"/>
      <c r="W744" s="374"/>
      <c r="X744" s="372"/>
      <c r="Y744" s="186"/>
      <c r="Z744" s="18"/>
      <c r="AA744" s="374"/>
      <c r="AB744" s="372"/>
      <c r="AC744" s="186"/>
      <c r="AD744" s="18"/>
      <c r="AE744" s="374"/>
      <c r="AF744" s="372"/>
      <c r="AG744" s="188"/>
      <c r="AH744" s="188"/>
      <c r="AI744" s="188"/>
      <c r="AJ744" s="188"/>
      <c r="AK744" s="365"/>
      <c r="AL744" s="365"/>
      <c r="AM744" s="365"/>
      <c r="AN744" s="365"/>
      <c r="AO744" s="365"/>
      <c r="AP744" s="365"/>
    </row>
    <row r="745">
      <c r="A745" s="302"/>
      <c r="B745" s="303"/>
      <c r="C745" s="304"/>
      <c r="D745" s="365"/>
      <c r="E745" s="302"/>
      <c r="F745" s="303"/>
      <c r="G745" s="304"/>
      <c r="H745" s="365"/>
      <c r="I745" s="302"/>
      <c r="J745" s="303"/>
      <c r="K745" s="304"/>
      <c r="L745" s="365"/>
      <c r="M745" s="302"/>
      <c r="N745" s="303"/>
      <c r="O745" s="304"/>
      <c r="P745" s="365"/>
      <c r="Q745" s="186"/>
      <c r="R745" s="18"/>
      <c r="S745" s="374"/>
      <c r="T745" s="372"/>
      <c r="U745" s="186"/>
      <c r="V745" s="18"/>
      <c r="W745" s="374"/>
      <c r="X745" s="372"/>
      <c r="Y745" s="186"/>
      <c r="Z745" s="18"/>
      <c r="AA745" s="374"/>
      <c r="AB745" s="372"/>
      <c r="AC745" s="186"/>
      <c r="AD745" s="18"/>
      <c r="AE745" s="374"/>
      <c r="AF745" s="372"/>
      <c r="AG745" s="188"/>
      <c r="AH745" s="188"/>
      <c r="AI745" s="188"/>
      <c r="AJ745" s="188"/>
      <c r="AK745" s="365"/>
      <c r="AL745" s="365"/>
      <c r="AM745" s="365"/>
      <c r="AN745" s="365"/>
      <c r="AO745" s="365"/>
      <c r="AP745" s="365"/>
    </row>
    <row r="746">
      <c r="A746" s="302"/>
      <c r="B746" s="303"/>
      <c r="C746" s="304"/>
      <c r="D746" s="365"/>
      <c r="E746" s="302"/>
      <c r="F746" s="303"/>
      <c r="G746" s="304"/>
      <c r="H746" s="365"/>
      <c r="I746" s="302"/>
      <c r="J746" s="303"/>
      <c r="K746" s="304"/>
      <c r="L746" s="365"/>
      <c r="M746" s="302"/>
      <c r="N746" s="303"/>
      <c r="O746" s="304"/>
      <c r="P746" s="365"/>
      <c r="Q746" s="186"/>
      <c r="R746" s="18"/>
      <c r="S746" s="374"/>
      <c r="T746" s="372"/>
      <c r="U746" s="186"/>
      <c r="V746" s="18"/>
      <c r="W746" s="374"/>
      <c r="X746" s="372"/>
      <c r="Y746" s="186"/>
      <c r="Z746" s="18"/>
      <c r="AA746" s="374"/>
      <c r="AB746" s="372"/>
      <c r="AC746" s="186"/>
      <c r="AD746" s="18"/>
      <c r="AE746" s="374"/>
      <c r="AF746" s="372"/>
      <c r="AG746" s="188"/>
      <c r="AH746" s="188"/>
      <c r="AI746" s="188"/>
      <c r="AJ746" s="188"/>
      <c r="AK746" s="365"/>
      <c r="AL746" s="365"/>
      <c r="AM746" s="365"/>
      <c r="AN746" s="365"/>
      <c r="AO746" s="365"/>
      <c r="AP746" s="365"/>
    </row>
    <row r="747">
      <c r="A747" s="302"/>
      <c r="B747" s="303"/>
      <c r="C747" s="304"/>
      <c r="D747" s="365"/>
      <c r="E747" s="302"/>
      <c r="F747" s="303"/>
      <c r="G747" s="304"/>
      <c r="H747" s="365"/>
      <c r="I747" s="302"/>
      <c r="J747" s="303"/>
      <c r="K747" s="304"/>
      <c r="L747" s="365"/>
      <c r="M747" s="302"/>
      <c r="N747" s="303"/>
      <c r="O747" s="304"/>
      <c r="P747" s="365"/>
      <c r="Q747" s="186"/>
      <c r="R747" s="18"/>
      <c r="S747" s="374"/>
      <c r="T747" s="372"/>
      <c r="U747" s="186"/>
      <c r="V747" s="18"/>
      <c r="W747" s="374"/>
      <c r="X747" s="372"/>
      <c r="Y747" s="186"/>
      <c r="Z747" s="18"/>
      <c r="AA747" s="374"/>
      <c r="AB747" s="372"/>
      <c r="AC747" s="186"/>
      <c r="AD747" s="18"/>
      <c r="AE747" s="374"/>
      <c r="AF747" s="372"/>
      <c r="AG747" s="188"/>
      <c r="AH747" s="188"/>
      <c r="AI747" s="188"/>
      <c r="AJ747" s="188"/>
      <c r="AK747" s="365"/>
      <c r="AL747" s="365"/>
      <c r="AM747" s="365"/>
      <c r="AN747" s="365"/>
      <c r="AO747" s="365"/>
      <c r="AP747" s="365"/>
    </row>
    <row r="748">
      <c r="A748" s="302"/>
      <c r="B748" s="303"/>
      <c r="C748" s="304"/>
      <c r="D748" s="365"/>
      <c r="E748" s="302"/>
      <c r="F748" s="303"/>
      <c r="G748" s="304"/>
      <c r="H748" s="365"/>
      <c r="I748" s="302"/>
      <c r="J748" s="303"/>
      <c r="K748" s="304"/>
      <c r="L748" s="365"/>
      <c r="M748" s="302"/>
      <c r="N748" s="303"/>
      <c r="O748" s="304"/>
      <c r="P748" s="365"/>
      <c r="Q748" s="186"/>
      <c r="R748" s="18"/>
      <c r="S748" s="374"/>
      <c r="T748" s="372"/>
      <c r="U748" s="186"/>
      <c r="V748" s="18"/>
      <c r="W748" s="374"/>
      <c r="X748" s="372"/>
      <c r="Y748" s="186"/>
      <c r="Z748" s="18"/>
      <c r="AA748" s="374"/>
      <c r="AB748" s="372"/>
      <c r="AC748" s="186"/>
      <c r="AD748" s="18"/>
      <c r="AE748" s="374"/>
      <c r="AF748" s="372"/>
      <c r="AG748" s="188"/>
      <c r="AH748" s="188"/>
      <c r="AI748" s="188"/>
      <c r="AJ748" s="188"/>
      <c r="AK748" s="365"/>
      <c r="AL748" s="365"/>
      <c r="AM748" s="365"/>
      <c r="AN748" s="365"/>
      <c r="AO748" s="365"/>
      <c r="AP748" s="365"/>
    </row>
    <row r="749">
      <c r="A749" s="302"/>
      <c r="B749" s="303"/>
      <c r="C749" s="304"/>
      <c r="D749" s="365"/>
      <c r="E749" s="302"/>
      <c r="F749" s="303"/>
      <c r="G749" s="304"/>
      <c r="H749" s="365"/>
      <c r="I749" s="302"/>
      <c r="J749" s="303"/>
      <c r="K749" s="304"/>
      <c r="L749" s="365"/>
      <c r="M749" s="302"/>
      <c r="N749" s="303"/>
      <c r="O749" s="304"/>
      <c r="P749" s="365"/>
      <c r="Q749" s="186"/>
      <c r="R749" s="18"/>
      <c r="S749" s="374"/>
      <c r="T749" s="372"/>
      <c r="U749" s="186"/>
      <c r="V749" s="18"/>
      <c r="W749" s="374"/>
      <c r="X749" s="372"/>
      <c r="Y749" s="186"/>
      <c r="Z749" s="18"/>
      <c r="AA749" s="374"/>
      <c r="AB749" s="372"/>
      <c r="AC749" s="186"/>
      <c r="AD749" s="18"/>
      <c r="AE749" s="374"/>
      <c r="AF749" s="372"/>
      <c r="AG749" s="188"/>
      <c r="AH749" s="188"/>
      <c r="AI749" s="188"/>
      <c r="AJ749" s="188"/>
      <c r="AK749" s="365"/>
      <c r="AL749" s="365"/>
      <c r="AM749" s="365"/>
      <c r="AN749" s="365"/>
      <c r="AO749" s="365"/>
      <c r="AP749" s="365"/>
    </row>
    <row r="750">
      <c r="A750" s="302"/>
      <c r="B750" s="303"/>
      <c r="C750" s="304"/>
      <c r="D750" s="365"/>
      <c r="E750" s="302"/>
      <c r="F750" s="303"/>
      <c r="G750" s="304"/>
      <c r="H750" s="365"/>
      <c r="I750" s="302"/>
      <c r="J750" s="303"/>
      <c r="K750" s="304"/>
      <c r="L750" s="365"/>
      <c r="M750" s="302"/>
      <c r="N750" s="303"/>
      <c r="O750" s="304"/>
      <c r="P750" s="365"/>
      <c r="Q750" s="186"/>
      <c r="R750" s="18"/>
      <c r="S750" s="374"/>
      <c r="T750" s="372"/>
      <c r="U750" s="186"/>
      <c r="V750" s="18"/>
      <c r="W750" s="374"/>
      <c r="X750" s="372"/>
      <c r="Y750" s="186"/>
      <c r="Z750" s="18"/>
      <c r="AA750" s="374"/>
      <c r="AB750" s="372"/>
      <c r="AC750" s="186"/>
      <c r="AD750" s="18"/>
      <c r="AE750" s="374"/>
      <c r="AF750" s="372"/>
      <c r="AG750" s="188"/>
      <c r="AH750" s="188"/>
      <c r="AI750" s="188"/>
      <c r="AJ750" s="188"/>
      <c r="AK750" s="365"/>
      <c r="AL750" s="365"/>
      <c r="AM750" s="365"/>
      <c r="AN750" s="365"/>
      <c r="AO750" s="365"/>
      <c r="AP750" s="365"/>
    </row>
    <row r="751">
      <c r="A751" s="302"/>
      <c r="B751" s="303"/>
      <c r="C751" s="304"/>
      <c r="D751" s="365"/>
      <c r="E751" s="302"/>
      <c r="F751" s="303"/>
      <c r="G751" s="304"/>
      <c r="H751" s="365"/>
      <c r="I751" s="302"/>
      <c r="J751" s="303"/>
      <c r="K751" s="304"/>
      <c r="L751" s="365"/>
      <c r="M751" s="302"/>
      <c r="N751" s="303"/>
      <c r="O751" s="304"/>
      <c r="P751" s="365"/>
      <c r="Q751" s="186"/>
      <c r="R751" s="18"/>
      <c r="S751" s="374"/>
      <c r="T751" s="372"/>
      <c r="U751" s="186"/>
      <c r="V751" s="18"/>
      <c r="W751" s="374"/>
      <c r="X751" s="372"/>
      <c r="Y751" s="186"/>
      <c r="Z751" s="18"/>
      <c r="AA751" s="374"/>
      <c r="AB751" s="372"/>
      <c r="AC751" s="186"/>
      <c r="AD751" s="18"/>
      <c r="AE751" s="374"/>
      <c r="AF751" s="372"/>
      <c r="AG751" s="188"/>
      <c r="AH751" s="188"/>
      <c r="AI751" s="188"/>
      <c r="AJ751" s="188"/>
      <c r="AK751" s="365"/>
      <c r="AL751" s="365"/>
      <c r="AM751" s="365"/>
      <c r="AN751" s="365"/>
      <c r="AO751" s="365"/>
      <c r="AP751" s="365"/>
    </row>
    <row r="752">
      <c r="A752" s="302"/>
      <c r="B752" s="303"/>
      <c r="C752" s="304"/>
      <c r="D752" s="365"/>
      <c r="E752" s="302"/>
      <c r="F752" s="303"/>
      <c r="G752" s="304"/>
      <c r="H752" s="365"/>
      <c r="I752" s="302"/>
      <c r="J752" s="303"/>
      <c r="K752" s="304"/>
      <c r="L752" s="365"/>
      <c r="M752" s="302"/>
      <c r="N752" s="303"/>
      <c r="O752" s="304"/>
      <c r="P752" s="365"/>
      <c r="Q752" s="186"/>
      <c r="R752" s="18"/>
      <c r="S752" s="374"/>
      <c r="T752" s="372"/>
      <c r="U752" s="186"/>
      <c r="V752" s="18"/>
      <c r="W752" s="374"/>
      <c r="X752" s="372"/>
      <c r="Y752" s="186"/>
      <c r="Z752" s="18"/>
      <c r="AA752" s="374"/>
      <c r="AB752" s="372"/>
      <c r="AC752" s="186"/>
      <c r="AD752" s="18"/>
      <c r="AE752" s="374"/>
      <c r="AF752" s="372"/>
      <c r="AG752" s="188"/>
      <c r="AH752" s="188"/>
      <c r="AI752" s="188"/>
      <c r="AJ752" s="188"/>
      <c r="AK752" s="365"/>
      <c r="AL752" s="365"/>
      <c r="AM752" s="365"/>
      <c r="AN752" s="365"/>
      <c r="AO752" s="365"/>
      <c r="AP752" s="365"/>
    </row>
    <row r="753">
      <c r="A753" s="302"/>
      <c r="B753" s="303"/>
      <c r="C753" s="304"/>
      <c r="D753" s="365"/>
      <c r="E753" s="302"/>
      <c r="F753" s="303"/>
      <c r="G753" s="304"/>
      <c r="H753" s="365"/>
      <c r="I753" s="302"/>
      <c r="J753" s="303"/>
      <c r="K753" s="304"/>
      <c r="L753" s="365"/>
      <c r="M753" s="302"/>
      <c r="N753" s="303"/>
      <c r="O753" s="304"/>
      <c r="P753" s="365"/>
      <c r="Q753" s="186"/>
      <c r="R753" s="18"/>
      <c r="S753" s="374"/>
      <c r="T753" s="372"/>
      <c r="U753" s="186"/>
      <c r="V753" s="18"/>
      <c r="W753" s="374"/>
      <c r="X753" s="372"/>
      <c r="Y753" s="186"/>
      <c r="Z753" s="18"/>
      <c r="AA753" s="374"/>
      <c r="AB753" s="372"/>
      <c r="AC753" s="186"/>
      <c r="AD753" s="18"/>
      <c r="AE753" s="374"/>
      <c r="AF753" s="372"/>
      <c r="AG753" s="188"/>
      <c r="AH753" s="188"/>
      <c r="AI753" s="188"/>
      <c r="AJ753" s="188"/>
      <c r="AK753" s="365"/>
      <c r="AL753" s="365"/>
      <c r="AM753" s="365"/>
      <c r="AN753" s="365"/>
      <c r="AO753" s="365"/>
      <c r="AP753" s="365"/>
    </row>
    <row r="754">
      <c r="A754" s="302"/>
      <c r="B754" s="303"/>
      <c r="C754" s="304"/>
      <c r="D754" s="365"/>
      <c r="E754" s="302"/>
      <c r="F754" s="303"/>
      <c r="G754" s="304"/>
      <c r="H754" s="365"/>
      <c r="I754" s="302"/>
      <c r="J754" s="303"/>
      <c r="K754" s="304"/>
      <c r="L754" s="365"/>
      <c r="M754" s="302"/>
      <c r="N754" s="303"/>
      <c r="O754" s="304"/>
      <c r="P754" s="365"/>
      <c r="Q754" s="186"/>
      <c r="R754" s="18"/>
      <c r="S754" s="374"/>
      <c r="T754" s="372"/>
      <c r="U754" s="186"/>
      <c r="V754" s="18"/>
      <c r="W754" s="374"/>
      <c r="X754" s="372"/>
      <c r="Y754" s="186"/>
      <c r="Z754" s="18"/>
      <c r="AA754" s="374"/>
      <c r="AB754" s="372"/>
      <c r="AC754" s="186"/>
      <c r="AD754" s="18"/>
      <c r="AE754" s="374"/>
      <c r="AF754" s="372"/>
      <c r="AG754" s="188"/>
      <c r="AH754" s="188"/>
      <c r="AI754" s="188"/>
      <c r="AJ754" s="188"/>
      <c r="AK754" s="365"/>
      <c r="AL754" s="365"/>
      <c r="AM754" s="365"/>
      <c r="AN754" s="365"/>
      <c r="AO754" s="365"/>
      <c r="AP754" s="365"/>
    </row>
    <row r="755">
      <c r="A755" s="302"/>
      <c r="B755" s="303"/>
      <c r="C755" s="304"/>
      <c r="D755" s="365"/>
      <c r="E755" s="302"/>
      <c r="F755" s="303"/>
      <c r="G755" s="304"/>
      <c r="H755" s="365"/>
      <c r="I755" s="302"/>
      <c r="J755" s="303"/>
      <c r="K755" s="304"/>
      <c r="L755" s="365"/>
      <c r="M755" s="302"/>
      <c r="N755" s="303"/>
      <c r="O755" s="304"/>
      <c r="P755" s="365"/>
      <c r="Q755" s="186"/>
      <c r="R755" s="18"/>
      <c r="S755" s="374"/>
      <c r="T755" s="372"/>
      <c r="U755" s="186"/>
      <c r="V755" s="18"/>
      <c r="W755" s="374"/>
      <c r="X755" s="372"/>
      <c r="Y755" s="186"/>
      <c r="Z755" s="18"/>
      <c r="AA755" s="374"/>
      <c r="AB755" s="372"/>
      <c r="AC755" s="186"/>
      <c r="AD755" s="18"/>
      <c r="AE755" s="374"/>
      <c r="AF755" s="372"/>
      <c r="AG755" s="188"/>
      <c r="AH755" s="188"/>
      <c r="AI755" s="188"/>
      <c r="AJ755" s="188"/>
      <c r="AK755" s="365"/>
      <c r="AL755" s="365"/>
      <c r="AM755" s="365"/>
      <c r="AN755" s="365"/>
      <c r="AO755" s="365"/>
      <c r="AP755" s="365"/>
    </row>
    <row r="756">
      <c r="A756" s="302"/>
      <c r="B756" s="303"/>
      <c r="C756" s="304"/>
      <c r="D756" s="365"/>
      <c r="E756" s="302"/>
      <c r="F756" s="303"/>
      <c r="G756" s="304"/>
      <c r="H756" s="365"/>
      <c r="I756" s="302"/>
      <c r="J756" s="303"/>
      <c r="K756" s="304"/>
      <c r="L756" s="365"/>
      <c r="M756" s="302"/>
      <c r="N756" s="303"/>
      <c r="O756" s="304"/>
      <c r="P756" s="365"/>
      <c r="Q756" s="186"/>
      <c r="R756" s="18"/>
      <c r="S756" s="374"/>
      <c r="T756" s="372"/>
      <c r="U756" s="186"/>
      <c r="V756" s="18"/>
      <c r="W756" s="374"/>
      <c r="X756" s="372"/>
      <c r="Y756" s="186"/>
      <c r="Z756" s="18"/>
      <c r="AA756" s="374"/>
      <c r="AB756" s="372"/>
      <c r="AC756" s="186"/>
      <c r="AD756" s="18"/>
      <c r="AE756" s="374"/>
      <c r="AF756" s="372"/>
      <c r="AG756" s="188"/>
      <c r="AH756" s="188"/>
      <c r="AI756" s="188"/>
      <c r="AJ756" s="188"/>
      <c r="AK756" s="365"/>
      <c r="AL756" s="365"/>
      <c r="AM756" s="365"/>
      <c r="AN756" s="365"/>
      <c r="AO756" s="365"/>
      <c r="AP756" s="365"/>
    </row>
    <row r="757">
      <c r="A757" s="302"/>
      <c r="B757" s="303"/>
      <c r="C757" s="304"/>
      <c r="D757" s="365"/>
      <c r="E757" s="302"/>
      <c r="F757" s="303"/>
      <c r="G757" s="304"/>
      <c r="H757" s="365"/>
      <c r="I757" s="302"/>
      <c r="J757" s="303"/>
      <c r="K757" s="304"/>
      <c r="L757" s="365"/>
      <c r="M757" s="302"/>
      <c r="N757" s="303"/>
      <c r="O757" s="304"/>
      <c r="P757" s="365"/>
      <c r="Q757" s="186"/>
      <c r="R757" s="18"/>
      <c r="S757" s="374"/>
      <c r="T757" s="372"/>
      <c r="U757" s="186"/>
      <c r="V757" s="18"/>
      <c r="W757" s="374"/>
      <c r="X757" s="372"/>
      <c r="Y757" s="186"/>
      <c r="Z757" s="18"/>
      <c r="AA757" s="374"/>
      <c r="AB757" s="372"/>
      <c r="AC757" s="186"/>
      <c r="AD757" s="18"/>
      <c r="AE757" s="374"/>
      <c r="AF757" s="372"/>
      <c r="AG757" s="188"/>
      <c r="AH757" s="188"/>
      <c r="AI757" s="188"/>
      <c r="AJ757" s="188"/>
      <c r="AK757" s="365"/>
      <c r="AL757" s="365"/>
      <c r="AM757" s="365"/>
      <c r="AN757" s="365"/>
      <c r="AO757" s="365"/>
      <c r="AP757" s="365"/>
    </row>
    <row r="758">
      <c r="A758" s="302"/>
      <c r="B758" s="303"/>
      <c r="C758" s="304"/>
      <c r="D758" s="365"/>
      <c r="E758" s="302"/>
      <c r="F758" s="303"/>
      <c r="G758" s="304"/>
      <c r="H758" s="365"/>
      <c r="I758" s="302"/>
      <c r="J758" s="303"/>
      <c r="K758" s="304"/>
      <c r="L758" s="365"/>
      <c r="M758" s="302"/>
      <c r="N758" s="303"/>
      <c r="O758" s="304"/>
      <c r="P758" s="365"/>
      <c r="Q758" s="186"/>
      <c r="R758" s="18"/>
      <c r="S758" s="374"/>
      <c r="T758" s="372"/>
      <c r="U758" s="186"/>
      <c r="V758" s="18"/>
      <c r="W758" s="374"/>
      <c r="X758" s="372"/>
      <c r="Y758" s="186"/>
      <c r="Z758" s="18"/>
      <c r="AA758" s="374"/>
      <c r="AB758" s="372"/>
      <c r="AC758" s="186"/>
      <c r="AD758" s="18"/>
      <c r="AE758" s="374"/>
      <c r="AF758" s="372"/>
      <c r="AG758" s="188"/>
      <c r="AH758" s="188"/>
      <c r="AI758" s="188"/>
      <c r="AJ758" s="188"/>
      <c r="AK758" s="365"/>
      <c r="AL758" s="365"/>
      <c r="AM758" s="365"/>
      <c r="AN758" s="365"/>
      <c r="AO758" s="365"/>
      <c r="AP758" s="365"/>
    </row>
    <row r="759">
      <c r="A759" s="302"/>
      <c r="B759" s="303"/>
      <c r="C759" s="304"/>
      <c r="D759" s="365"/>
      <c r="E759" s="302"/>
      <c r="F759" s="303"/>
      <c r="G759" s="304"/>
      <c r="H759" s="365"/>
      <c r="I759" s="302"/>
      <c r="J759" s="303"/>
      <c r="K759" s="304"/>
      <c r="L759" s="365"/>
      <c r="M759" s="302"/>
      <c r="N759" s="303"/>
      <c r="O759" s="304"/>
      <c r="P759" s="365"/>
      <c r="Q759" s="186"/>
      <c r="R759" s="18"/>
      <c r="S759" s="374"/>
      <c r="T759" s="372"/>
      <c r="U759" s="186"/>
      <c r="V759" s="18"/>
      <c r="W759" s="374"/>
      <c r="X759" s="372"/>
      <c r="Y759" s="186"/>
      <c r="Z759" s="18"/>
      <c r="AA759" s="374"/>
      <c r="AB759" s="372"/>
      <c r="AC759" s="186"/>
      <c r="AD759" s="18"/>
      <c r="AE759" s="374"/>
      <c r="AF759" s="372"/>
      <c r="AG759" s="188"/>
      <c r="AH759" s="188"/>
      <c r="AI759" s="188"/>
      <c r="AJ759" s="188"/>
      <c r="AK759" s="365"/>
      <c r="AL759" s="365"/>
      <c r="AM759" s="365"/>
      <c r="AN759" s="365"/>
      <c r="AO759" s="365"/>
      <c r="AP759" s="365"/>
    </row>
    <row r="760">
      <c r="A760" s="302"/>
      <c r="B760" s="303"/>
      <c r="C760" s="304"/>
      <c r="D760" s="365"/>
      <c r="E760" s="302"/>
      <c r="F760" s="303"/>
      <c r="G760" s="304"/>
      <c r="H760" s="365"/>
      <c r="I760" s="302"/>
      <c r="J760" s="303"/>
      <c r="K760" s="304"/>
      <c r="L760" s="365"/>
      <c r="M760" s="302"/>
      <c r="N760" s="303"/>
      <c r="O760" s="304"/>
      <c r="P760" s="365"/>
      <c r="Q760" s="186"/>
      <c r="R760" s="18"/>
      <c r="S760" s="374"/>
      <c r="T760" s="372"/>
      <c r="U760" s="186"/>
      <c r="V760" s="18"/>
      <c r="W760" s="374"/>
      <c r="X760" s="372"/>
      <c r="Y760" s="186"/>
      <c r="Z760" s="18"/>
      <c r="AA760" s="374"/>
      <c r="AB760" s="372"/>
      <c r="AC760" s="186"/>
      <c r="AD760" s="18"/>
      <c r="AE760" s="374"/>
      <c r="AF760" s="372"/>
      <c r="AG760" s="188"/>
      <c r="AH760" s="188"/>
      <c r="AI760" s="188"/>
      <c r="AJ760" s="188"/>
      <c r="AK760" s="365"/>
      <c r="AL760" s="365"/>
      <c r="AM760" s="365"/>
      <c r="AN760" s="365"/>
      <c r="AO760" s="365"/>
      <c r="AP760" s="365"/>
    </row>
    <row r="761">
      <c r="A761" s="302"/>
      <c r="B761" s="303"/>
      <c r="C761" s="304"/>
      <c r="D761" s="365"/>
      <c r="E761" s="302"/>
      <c r="F761" s="303"/>
      <c r="G761" s="304"/>
      <c r="H761" s="365"/>
      <c r="I761" s="302"/>
      <c r="J761" s="303"/>
      <c r="K761" s="304"/>
      <c r="L761" s="365"/>
      <c r="M761" s="302"/>
      <c r="N761" s="303"/>
      <c r="O761" s="304"/>
      <c r="P761" s="365"/>
      <c r="Q761" s="186"/>
      <c r="R761" s="18"/>
      <c r="S761" s="374"/>
      <c r="T761" s="372"/>
      <c r="U761" s="186"/>
      <c r="V761" s="18"/>
      <c r="W761" s="374"/>
      <c r="X761" s="372"/>
      <c r="Y761" s="186"/>
      <c r="Z761" s="18"/>
      <c r="AA761" s="374"/>
      <c r="AB761" s="372"/>
      <c r="AC761" s="186"/>
      <c r="AD761" s="18"/>
      <c r="AE761" s="374"/>
      <c r="AF761" s="372"/>
      <c r="AG761" s="188"/>
      <c r="AH761" s="188"/>
      <c r="AI761" s="188"/>
      <c r="AJ761" s="188"/>
      <c r="AK761" s="365"/>
      <c r="AL761" s="365"/>
      <c r="AM761" s="365"/>
      <c r="AN761" s="365"/>
      <c r="AO761" s="365"/>
      <c r="AP761" s="365"/>
    </row>
    <row r="762">
      <c r="A762" s="302"/>
      <c r="B762" s="303"/>
      <c r="C762" s="304"/>
      <c r="D762" s="365"/>
      <c r="E762" s="302"/>
      <c r="F762" s="303"/>
      <c r="G762" s="304"/>
      <c r="H762" s="365"/>
      <c r="I762" s="302"/>
      <c r="J762" s="303"/>
      <c r="K762" s="304"/>
      <c r="L762" s="365"/>
      <c r="M762" s="302"/>
      <c r="N762" s="303"/>
      <c r="O762" s="304"/>
      <c r="P762" s="365"/>
      <c r="Q762" s="186"/>
      <c r="R762" s="18"/>
      <c r="S762" s="374"/>
      <c r="T762" s="372"/>
      <c r="U762" s="186"/>
      <c r="V762" s="18"/>
      <c r="W762" s="374"/>
      <c r="X762" s="372"/>
      <c r="Y762" s="186"/>
      <c r="Z762" s="18"/>
      <c r="AA762" s="374"/>
      <c r="AB762" s="372"/>
      <c r="AC762" s="186"/>
      <c r="AD762" s="18"/>
      <c r="AE762" s="374"/>
      <c r="AF762" s="372"/>
      <c r="AG762" s="188"/>
      <c r="AH762" s="188"/>
      <c r="AI762" s="188"/>
      <c r="AJ762" s="188"/>
      <c r="AK762" s="365"/>
      <c r="AL762" s="365"/>
      <c r="AM762" s="365"/>
      <c r="AN762" s="365"/>
      <c r="AO762" s="365"/>
      <c r="AP762" s="365"/>
    </row>
    <row r="763">
      <c r="A763" s="302"/>
      <c r="B763" s="303"/>
      <c r="C763" s="304"/>
      <c r="D763" s="365"/>
      <c r="E763" s="302"/>
      <c r="F763" s="303"/>
      <c r="G763" s="304"/>
      <c r="H763" s="365"/>
      <c r="I763" s="302"/>
      <c r="J763" s="303"/>
      <c r="K763" s="304"/>
      <c r="L763" s="365"/>
      <c r="M763" s="302"/>
      <c r="N763" s="303"/>
      <c r="O763" s="304"/>
      <c r="P763" s="365"/>
      <c r="Q763" s="186"/>
      <c r="R763" s="18"/>
      <c r="S763" s="374"/>
      <c r="T763" s="372"/>
      <c r="U763" s="186"/>
      <c r="V763" s="18"/>
      <c r="W763" s="374"/>
      <c r="X763" s="372"/>
      <c r="Y763" s="186"/>
      <c r="Z763" s="18"/>
      <c r="AA763" s="374"/>
      <c r="AB763" s="372"/>
      <c r="AC763" s="186"/>
      <c r="AD763" s="18"/>
      <c r="AE763" s="374"/>
      <c r="AF763" s="372"/>
      <c r="AG763" s="188"/>
      <c r="AH763" s="188"/>
      <c r="AI763" s="188"/>
      <c r="AJ763" s="188"/>
      <c r="AK763" s="365"/>
      <c r="AL763" s="365"/>
      <c r="AM763" s="365"/>
      <c r="AN763" s="365"/>
      <c r="AO763" s="365"/>
      <c r="AP763" s="365"/>
    </row>
    <row r="764">
      <c r="A764" s="302"/>
      <c r="B764" s="303"/>
      <c r="C764" s="304"/>
      <c r="D764" s="365"/>
      <c r="E764" s="302"/>
      <c r="F764" s="303"/>
      <c r="G764" s="304"/>
      <c r="H764" s="365"/>
      <c r="I764" s="302"/>
      <c r="J764" s="303"/>
      <c r="K764" s="304"/>
      <c r="L764" s="365"/>
      <c r="M764" s="302"/>
      <c r="N764" s="303"/>
      <c r="O764" s="304"/>
      <c r="P764" s="365"/>
      <c r="Q764" s="186"/>
      <c r="R764" s="18"/>
      <c r="S764" s="374"/>
      <c r="T764" s="372"/>
      <c r="U764" s="186"/>
      <c r="V764" s="18"/>
      <c r="W764" s="374"/>
      <c r="X764" s="372"/>
      <c r="Y764" s="186"/>
      <c r="Z764" s="18"/>
      <c r="AA764" s="374"/>
      <c r="AB764" s="372"/>
      <c r="AC764" s="186"/>
      <c r="AD764" s="18"/>
      <c r="AE764" s="374"/>
      <c r="AF764" s="372"/>
      <c r="AG764" s="188"/>
      <c r="AH764" s="188"/>
      <c r="AI764" s="188"/>
      <c r="AJ764" s="188"/>
      <c r="AK764" s="365"/>
      <c r="AL764" s="365"/>
      <c r="AM764" s="365"/>
      <c r="AN764" s="365"/>
      <c r="AO764" s="365"/>
      <c r="AP764" s="365"/>
    </row>
    <row r="765">
      <c r="A765" s="302"/>
      <c r="B765" s="303"/>
      <c r="C765" s="304"/>
      <c r="D765" s="365"/>
      <c r="E765" s="302"/>
      <c r="F765" s="303"/>
      <c r="G765" s="304"/>
      <c r="H765" s="365"/>
      <c r="I765" s="302"/>
      <c r="J765" s="303"/>
      <c r="K765" s="304"/>
      <c r="L765" s="365"/>
      <c r="M765" s="302"/>
      <c r="N765" s="303"/>
      <c r="O765" s="304"/>
      <c r="P765" s="365"/>
      <c r="Q765" s="186"/>
      <c r="R765" s="18"/>
      <c r="S765" s="374"/>
      <c r="T765" s="372"/>
      <c r="U765" s="186"/>
      <c r="V765" s="18"/>
      <c r="W765" s="374"/>
      <c r="X765" s="372"/>
      <c r="Y765" s="186"/>
      <c r="Z765" s="18"/>
      <c r="AA765" s="374"/>
      <c r="AB765" s="372"/>
      <c r="AC765" s="186"/>
      <c r="AD765" s="18"/>
      <c r="AE765" s="374"/>
      <c r="AF765" s="372"/>
      <c r="AG765" s="188"/>
      <c r="AH765" s="188"/>
      <c r="AI765" s="188"/>
      <c r="AJ765" s="188"/>
      <c r="AK765" s="365"/>
      <c r="AL765" s="365"/>
      <c r="AM765" s="365"/>
      <c r="AN765" s="365"/>
      <c r="AO765" s="365"/>
      <c r="AP765" s="365"/>
    </row>
    <row r="766">
      <c r="A766" s="302"/>
      <c r="B766" s="303"/>
      <c r="C766" s="304"/>
      <c r="D766" s="365"/>
      <c r="E766" s="302"/>
      <c r="F766" s="303"/>
      <c r="G766" s="304"/>
      <c r="H766" s="365"/>
      <c r="I766" s="302"/>
      <c r="J766" s="303"/>
      <c r="K766" s="304"/>
      <c r="L766" s="365"/>
      <c r="M766" s="302"/>
      <c r="N766" s="303"/>
      <c r="O766" s="304"/>
      <c r="P766" s="365"/>
      <c r="Q766" s="186"/>
      <c r="R766" s="18"/>
      <c r="S766" s="374"/>
      <c r="T766" s="372"/>
      <c r="U766" s="186"/>
      <c r="V766" s="18"/>
      <c r="W766" s="374"/>
      <c r="X766" s="372"/>
      <c r="Y766" s="186"/>
      <c r="Z766" s="18"/>
      <c r="AA766" s="374"/>
      <c r="AB766" s="372"/>
      <c r="AC766" s="186"/>
      <c r="AD766" s="18"/>
      <c r="AE766" s="374"/>
      <c r="AF766" s="372"/>
      <c r="AG766" s="188"/>
      <c r="AH766" s="188"/>
      <c r="AI766" s="188"/>
      <c r="AJ766" s="188"/>
      <c r="AK766" s="365"/>
      <c r="AL766" s="365"/>
      <c r="AM766" s="365"/>
      <c r="AN766" s="365"/>
      <c r="AO766" s="365"/>
      <c r="AP766" s="365"/>
    </row>
    <row r="767">
      <c r="A767" s="302"/>
      <c r="B767" s="303"/>
      <c r="C767" s="304"/>
      <c r="D767" s="365"/>
      <c r="E767" s="302"/>
      <c r="F767" s="303"/>
      <c r="G767" s="304"/>
      <c r="H767" s="365"/>
      <c r="I767" s="302"/>
      <c r="J767" s="303"/>
      <c r="K767" s="304"/>
      <c r="L767" s="365"/>
      <c r="M767" s="302"/>
      <c r="N767" s="303"/>
      <c r="O767" s="304"/>
      <c r="P767" s="365"/>
      <c r="Q767" s="186"/>
      <c r="R767" s="18"/>
      <c r="S767" s="374"/>
      <c r="T767" s="372"/>
      <c r="U767" s="186"/>
      <c r="V767" s="18"/>
      <c r="W767" s="374"/>
      <c r="X767" s="372"/>
      <c r="Y767" s="186"/>
      <c r="Z767" s="18"/>
      <c r="AA767" s="374"/>
      <c r="AB767" s="372"/>
      <c r="AC767" s="186"/>
      <c r="AD767" s="18"/>
      <c r="AE767" s="374"/>
      <c r="AF767" s="372"/>
      <c r="AG767" s="188"/>
      <c r="AH767" s="188"/>
      <c r="AI767" s="188"/>
      <c r="AJ767" s="188"/>
      <c r="AK767" s="365"/>
      <c r="AL767" s="365"/>
      <c r="AM767" s="365"/>
      <c r="AN767" s="365"/>
      <c r="AO767" s="365"/>
      <c r="AP767" s="365"/>
    </row>
    <row r="768">
      <c r="A768" s="302"/>
      <c r="B768" s="303"/>
      <c r="C768" s="304"/>
      <c r="D768" s="365"/>
      <c r="E768" s="302"/>
      <c r="F768" s="303"/>
      <c r="G768" s="304"/>
      <c r="H768" s="365"/>
      <c r="I768" s="302"/>
      <c r="J768" s="303"/>
      <c r="K768" s="304"/>
      <c r="L768" s="365"/>
      <c r="M768" s="302"/>
      <c r="N768" s="303"/>
      <c r="O768" s="304"/>
      <c r="P768" s="365"/>
      <c r="Q768" s="186"/>
      <c r="R768" s="18"/>
      <c r="S768" s="374"/>
      <c r="T768" s="372"/>
      <c r="U768" s="186"/>
      <c r="V768" s="18"/>
      <c r="W768" s="374"/>
      <c r="X768" s="372"/>
      <c r="Y768" s="186"/>
      <c r="Z768" s="18"/>
      <c r="AA768" s="374"/>
      <c r="AB768" s="372"/>
      <c r="AC768" s="186"/>
      <c r="AD768" s="18"/>
      <c r="AE768" s="374"/>
      <c r="AF768" s="372"/>
      <c r="AG768" s="188"/>
      <c r="AH768" s="188"/>
      <c r="AI768" s="188"/>
      <c r="AJ768" s="188"/>
      <c r="AK768" s="365"/>
      <c r="AL768" s="365"/>
      <c r="AM768" s="365"/>
      <c r="AN768" s="365"/>
      <c r="AO768" s="365"/>
      <c r="AP768" s="365"/>
    </row>
    <row r="769">
      <c r="A769" s="302"/>
      <c r="B769" s="303"/>
      <c r="C769" s="304"/>
      <c r="D769" s="365"/>
      <c r="E769" s="302"/>
      <c r="F769" s="303"/>
      <c r="G769" s="304"/>
      <c r="H769" s="365"/>
      <c r="I769" s="302"/>
      <c r="J769" s="303"/>
      <c r="K769" s="304"/>
      <c r="L769" s="365"/>
      <c r="M769" s="302"/>
      <c r="N769" s="303"/>
      <c r="O769" s="304"/>
      <c r="P769" s="365"/>
      <c r="Q769" s="186"/>
      <c r="R769" s="18"/>
      <c r="S769" s="374"/>
      <c r="T769" s="372"/>
      <c r="U769" s="186"/>
      <c r="V769" s="18"/>
      <c r="W769" s="374"/>
      <c r="X769" s="372"/>
      <c r="Y769" s="186"/>
      <c r="Z769" s="18"/>
      <c r="AA769" s="374"/>
      <c r="AB769" s="372"/>
      <c r="AC769" s="186"/>
      <c r="AD769" s="18"/>
      <c r="AE769" s="374"/>
      <c r="AF769" s="372"/>
      <c r="AG769" s="188"/>
      <c r="AH769" s="188"/>
      <c r="AI769" s="188"/>
      <c r="AJ769" s="188"/>
      <c r="AK769" s="365"/>
      <c r="AL769" s="365"/>
      <c r="AM769" s="365"/>
      <c r="AN769" s="365"/>
      <c r="AO769" s="365"/>
      <c r="AP769" s="365"/>
    </row>
    <row r="770">
      <c r="A770" s="302"/>
      <c r="B770" s="303"/>
      <c r="C770" s="304"/>
      <c r="D770" s="365"/>
      <c r="E770" s="302"/>
      <c r="F770" s="303"/>
      <c r="G770" s="304"/>
      <c r="H770" s="365"/>
      <c r="I770" s="302"/>
      <c r="J770" s="303"/>
      <c r="K770" s="304"/>
      <c r="L770" s="365"/>
      <c r="M770" s="302"/>
      <c r="N770" s="303"/>
      <c r="O770" s="304"/>
      <c r="P770" s="365"/>
      <c r="Q770" s="186"/>
      <c r="R770" s="18"/>
      <c r="S770" s="374"/>
      <c r="T770" s="372"/>
      <c r="U770" s="186"/>
      <c r="V770" s="18"/>
      <c r="W770" s="374"/>
      <c r="X770" s="372"/>
      <c r="Y770" s="186"/>
      <c r="Z770" s="18"/>
      <c r="AA770" s="374"/>
      <c r="AB770" s="372"/>
      <c r="AC770" s="186"/>
      <c r="AD770" s="18"/>
      <c r="AE770" s="374"/>
      <c r="AF770" s="372"/>
      <c r="AG770" s="188"/>
      <c r="AH770" s="188"/>
      <c r="AI770" s="188"/>
      <c r="AJ770" s="188"/>
      <c r="AK770" s="365"/>
      <c r="AL770" s="365"/>
      <c r="AM770" s="365"/>
      <c r="AN770" s="365"/>
      <c r="AO770" s="365"/>
      <c r="AP770" s="365"/>
    </row>
    <row r="771">
      <c r="A771" s="302"/>
      <c r="B771" s="303"/>
      <c r="C771" s="304"/>
      <c r="D771" s="365"/>
      <c r="E771" s="302"/>
      <c r="F771" s="303"/>
      <c r="G771" s="304"/>
      <c r="H771" s="365"/>
      <c r="I771" s="302"/>
      <c r="J771" s="303"/>
      <c r="K771" s="304"/>
      <c r="L771" s="365"/>
      <c r="M771" s="302"/>
      <c r="N771" s="303"/>
      <c r="O771" s="304"/>
      <c r="P771" s="365"/>
      <c r="Q771" s="186"/>
      <c r="R771" s="18"/>
      <c r="S771" s="374"/>
      <c r="T771" s="372"/>
      <c r="U771" s="186"/>
      <c r="V771" s="18"/>
      <c r="W771" s="374"/>
      <c r="X771" s="372"/>
      <c r="Y771" s="186"/>
      <c r="Z771" s="18"/>
      <c r="AA771" s="374"/>
      <c r="AB771" s="372"/>
      <c r="AC771" s="186"/>
      <c r="AD771" s="18"/>
      <c r="AE771" s="374"/>
      <c r="AF771" s="372"/>
      <c r="AG771" s="188"/>
      <c r="AH771" s="188"/>
      <c r="AI771" s="188"/>
      <c r="AJ771" s="188"/>
      <c r="AK771" s="365"/>
      <c r="AL771" s="365"/>
      <c r="AM771" s="365"/>
      <c r="AN771" s="365"/>
      <c r="AO771" s="365"/>
      <c r="AP771" s="365"/>
    </row>
    <row r="772">
      <c r="A772" s="302"/>
      <c r="B772" s="303"/>
      <c r="C772" s="304"/>
      <c r="D772" s="365"/>
      <c r="E772" s="302"/>
      <c r="F772" s="303"/>
      <c r="G772" s="304"/>
      <c r="H772" s="365"/>
      <c r="I772" s="302"/>
      <c r="J772" s="303"/>
      <c r="K772" s="304"/>
      <c r="L772" s="365"/>
      <c r="M772" s="302"/>
      <c r="N772" s="303"/>
      <c r="O772" s="304"/>
      <c r="P772" s="365"/>
      <c r="Q772" s="186"/>
      <c r="R772" s="18"/>
      <c r="S772" s="374"/>
      <c r="T772" s="372"/>
      <c r="U772" s="186"/>
      <c r="V772" s="18"/>
      <c r="W772" s="374"/>
      <c r="X772" s="372"/>
      <c r="Y772" s="186"/>
      <c r="Z772" s="18"/>
      <c r="AA772" s="374"/>
      <c r="AB772" s="372"/>
      <c r="AC772" s="186"/>
      <c r="AD772" s="18"/>
      <c r="AE772" s="374"/>
      <c r="AF772" s="372"/>
      <c r="AG772" s="188"/>
      <c r="AH772" s="188"/>
      <c r="AI772" s="188"/>
      <c r="AJ772" s="188"/>
      <c r="AK772" s="365"/>
      <c r="AL772" s="365"/>
      <c r="AM772" s="365"/>
      <c r="AN772" s="365"/>
      <c r="AO772" s="365"/>
      <c r="AP772" s="365"/>
    </row>
    <row r="773">
      <c r="A773" s="302"/>
      <c r="B773" s="303"/>
      <c r="C773" s="304"/>
      <c r="D773" s="365"/>
      <c r="E773" s="302"/>
      <c r="F773" s="303"/>
      <c r="G773" s="304"/>
      <c r="H773" s="365"/>
      <c r="I773" s="302"/>
      <c r="J773" s="303"/>
      <c r="K773" s="304"/>
      <c r="L773" s="365"/>
      <c r="M773" s="302"/>
      <c r="N773" s="303"/>
      <c r="O773" s="304"/>
      <c r="P773" s="365"/>
      <c r="Q773" s="186"/>
      <c r="R773" s="18"/>
      <c r="S773" s="374"/>
      <c r="T773" s="372"/>
      <c r="U773" s="186"/>
      <c r="V773" s="18"/>
      <c r="W773" s="374"/>
      <c r="X773" s="372"/>
      <c r="Y773" s="186"/>
      <c r="Z773" s="18"/>
      <c r="AA773" s="374"/>
      <c r="AB773" s="372"/>
      <c r="AC773" s="186"/>
      <c r="AD773" s="18"/>
      <c r="AE773" s="374"/>
      <c r="AF773" s="372"/>
      <c r="AG773" s="188"/>
      <c r="AH773" s="188"/>
      <c r="AI773" s="188"/>
      <c r="AJ773" s="188"/>
      <c r="AK773" s="365"/>
      <c r="AL773" s="365"/>
      <c r="AM773" s="365"/>
      <c r="AN773" s="365"/>
      <c r="AO773" s="365"/>
      <c r="AP773" s="365"/>
    </row>
    <row r="774">
      <c r="A774" s="302"/>
      <c r="B774" s="303"/>
      <c r="C774" s="304"/>
      <c r="D774" s="365"/>
      <c r="E774" s="302"/>
      <c r="F774" s="303"/>
      <c r="G774" s="304"/>
      <c r="H774" s="365"/>
      <c r="I774" s="302"/>
      <c r="J774" s="303"/>
      <c r="K774" s="304"/>
      <c r="L774" s="365"/>
      <c r="M774" s="302"/>
      <c r="N774" s="303"/>
      <c r="O774" s="304"/>
      <c r="P774" s="365"/>
      <c r="Q774" s="186"/>
      <c r="R774" s="18"/>
      <c r="S774" s="374"/>
      <c r="T774" s="372"/>
      <c r="U774" s="186"/>
      <c r="V774" s="18"/>
      <c r="W774" s="374"/>
      <c r="X774" s="372"/>
      <c r="Y774" s="186"/>
      <c r="Z774" s="18"/>
      <c r="AA774" s="374"/>
      <c r="AB774" s="372"/>
      <c r="AC774" s="186"/>
      <c r="AD774" s="18"/>
      <c r="AE774" s="374"/>
      <c r="AF774" s="372"/>
      <c r="AG774" s="188"/>
      <c r="AH774" s="188"/>
      <c r="AI774" s="188"/>
      <c r="AJ774" s="188"/>
      <c r="AK774" s="365"/>
      <c r="AL774" s="365"/>
      <c r="AM774" s="365"/>
      <c r="AN774" s="365"/>
      <c r="AO774" s="365"/>
      <c r="AP774" s="365"/>
    </row>
    <row r="775">
      <c r="A775" s="302"/>
      <c r="B775" s="303"/>
      <c r="C775" s="304"/>
      <c r="D775" s="365"/>
      <c r="E775" s="302"/>
      <c r="F775" s="303"/>
      <c r="G775" s="304"/>
      <c r="H775" s="365"/>
      <c r="I775" s="302"/>
      <c r="J775" s="303"/>
      <c r="K775" s="304"/>
      <c r="L775" s="365"/>
      <c r="M775" s="302"/>
      <c r="N775" s="303"/>
      <c r="O775" s="304"/>
      <c r="P775" s="365"/>
      <c r="Q775" s="186"/>
      <c r="R775" s="18"/>
      <c r="S775" s="374"/>
      <c r="T775" s="372"/>
      <c r="U775" s="186"/>
      <c r="V775" s="18"/>
      <c r="W775" s="374"/>
      <c r="X775" s="372"/>
      <c r="Y775" s="186"/>
      <c r="Z775" s="18"/>
      <c r="AA775" s="374"/>
      <c r="AB775" s="372"/>
      <c r="AC775" s="186"/>
      <c r="AD775" s="18"/>
      <c r="AE775" s="374"/>
      <c r="AF775" s="372"/>
      <c r="AG775" s="188"/>
      <c r="AH775" s="188"/>
      <c r="AI775" s="188"/>
      <c r="AJ775" s="188"/>
      <c r="AK775" s="365"/>
      <c r="AL775" s="365"/>
      <c r="AM775" s="365"/>
      <c r="AN775" s="365"/>
      <c r="AO775" s="365"/>
      <c r="AP775" s="365"/>
    </row>
    <row r="776">
      <c r="A776" s="302"/>
      <c r="B776" s="303"/>
      <c r="C776" s="304"/>
      <c r="D776" s="365"/>
      <c r="E776" s="302"/>
      <c r="F776" s="303"/>
      <c r="G776" s="304"/>
      <c r="H776" s="365"/>
      <c r="I776" s="302"/>
      <c r="J776" s="303"/>
      <c r="K776" s="304"/>
      <c r="L776" s="365"/>
      <c r="M776" s="302"/>
      <c r="N776" s="303"/>
      <c r="O776" s="304"/>
      <c r="P776" s="365"/>
      <c r="Q776" s="186"/>
      <c r="R776" s="18"/>
      <c r="S776" s="374"/>
      <c r="T776" s="372"/>
      <c r="U776" s="186"/>
      <c r="V776" s="18"/>
      <c r="W776" s="374"/>
      <c r="X776" s="372"/>
      <c r="Y776" s="186"/>
      <c r="Z776" s="18"/>
      <c r="AA776" s="374"/>
      <c r="AB776" s="372"/>
      <c r="AC776" s="186"/>
      <c r="AD776" s="18"/>
      <c r="AE776" s="374"/>
      <c r="AF776" s="372"/>
      <c r="AG776" s="188"/>
      <c r="AH776" s="188"/>
      <c r="AI776" s="188"/>
      <c r="AJ776" s="188"/>
      <c r="AK776" s="365"/>
      <c r="AL776" s="365"/>
      <c r="AM776" s="365"/>
      <c r="AN776" s="365"/>
      <c r="AO776" s="365"/>
      <c r="AP776" s="365"/>
    </row>
    <row r="777">
      <c r="A777" s="302"/>
      <c r="B777" s="303"/>
      <c r="C777" s="304"/>
      <c r="D777" s="365"/>
      <c r="E777" s="302"/>
      <c r="F777" s="303"/>
      <c r="G777" s="304"/>
      <c r="H777" s="365"/>
      <c r="I777" s="302"/>
      <c r="J777" s="303"/>
      <c r="K777" s="304"/>
      <c r="L777" s="365"/>
      <c r="M777" s="302"/>
      <c r="N777" s="303"/>
      <c r="O777" s="304"/>
      <c r="P777" s="365"/>
      <c r="Q777" s="186"/>
      <c r="R777" s="18"/>
      <c r="S777" s="374"/>
      <c r="T777" s="372"/>
      <c r="U777" s="186"/>
      <c r="V777" s="18"/>
      <c r="W777" s="374"/>
      <c r="X777" s="372"/>
      <c r="Y777" s="186"/>
      <c r="Z777" s="18"/>
      <c r="AA777" s="374"/>
      <c r="AB777" s="372"/>
      <c r="AC777" s="186"/>
      <c r="AD777" s="18"/>
      <c r="AE777" s="374"/>
      <c r="AF777" s="372"/>
      <c r="AG777" s="188"/>
      <c r="AH777" s="188"/>
      <c r="AI777" s="188"/>
      <c r="AJ777" s="188"/>
      <c r="AK777" s="365"/>
      <c r="AL777" s="365"/>
      <c r="AM777" s="365"/>
      <c r="AN777" s="365"/>
      <c r="AO777" s="365"/>
      <c r="AP777" s="365"/>
    </row>
    <row r="778">
      <c r="A778" s="302"/>
      <c r="B778" s="303"/>
      <c r="C778" s="304"/>
      <c r="D778" s="365"/>
      <c r="E778" s="302"/>
      <c r="F778" s="303"/>
      <c r="G778" s="304"/>
      <c r="H778" s="365"/>
      <c r="I778" s="302"/>
      <c r="J778" s="303"/>
      <c r="K778" s="304"/>
      <c r="L778" s="365"/>
      <c r="M778" s="302"/>
      <c r="N778" s="303"/>
      <c r="O778" s="304"/>
      <c r="P778" s="365"/>
      <c r="Q778" s="186"/>
      <c r="R778" s="18"/>
      <c r="S778" s="374"/>
      <c r="T778" s="372"/>
      <c r="U778" s="186"/>
      <c r="V778" s="18"/>
      <c r="W778" s="374"/>
      <c r="X778" s="372"/>
      <c r="Y778" s="186"/>
      <c r="Z778" s="18"/>
      <c r="AA778" s="374"/>
      <c r="AB778" s="372"/>
      <c r="AC778" s="186"/>
      <c r="AD778" s="18"/>
      <c r="AE778" s="374"/>
      <c r="AF778" s="372"/>
      <c r="AG778" s="188"/>
      <c r="AH778" s="188"/>
      <c r="AI778" s="188"/>
      <c r="AJ778" s="188"/>
      <c r="AK778" s="365"/>
      <c r="AL778" s="365"/>
      <c r="AM778" s="365"/>
      <c r="AN778" s="365"/>
      <c r="AO778" s="365"/>
      <c r="AP778" s="365"/>
    </row>
    <row r="779">
      <c r="A779" s="302"/>
      <c r="B779" s="303"/>
      <c r="C779" s="304"/>
      <c r="D779" s="365"/>
      <c r="E779" s="302"/>
      <c r="F779" s="303"/>
      <c r="G779" s="304"/>
      <c r="H779" s="365"/>
      <c r="I779" s="302"/>
      <c r="J779" s="303"/>
      <c r="K779" s="304"/>
      <c r="L779" s="365"/>
      <c r="M779" s="302"/>
      <c r="N779" s="303"/>
      <c r="O779" s="304"/>
      <c r="P779" s="365"/>
      <c r="Q779" s="186"/>
      <c r="R779" s="18"/>
      <c r="S779" s="374"/>
      <c r="T779" s="372"/>
      <c r="U779" s="186"/>
      <c r="V779" s="18"/>
      <c r="W779" s="374"/>
      <c r="X779" s="372"/>
      <c r="Y779" s="186"/>
      <c r="Z779" s="18"/>
      <c r="AA779" s="374"/>
      <c r="AB779" s="372"/>
      <c r="AC779" s="186"/>
      <c r="AD779" s="18"/>
      <c r="AE779" s="374"/>
      <c r="AF779" s="372"/>
      <c r="AG779" s="188"/>
      <c r="AH779" s="188"/>
      <c r="AI779" s="188"/>
      <c r="AJ779" s="188"/>
      <c r="AK779" s="365"/>
      <c r="AL779" s="365"/>
      <c r="AM779" s="365"/>
      <c r="AN779" s="365"/>
      <c r="AO779" s="365"/>
      <c r="AP779" s="365"/>
    </row>
    <row r="780">
      <c r="A780" s="302"/>
      <c r="B780" s="303"/>
      <c r="C780" s="304"/>
      <c r="D780" s="365"/>
      <c r="E780" s="302"/>
      <c r="F780" s="303"/>
      <c r="G780" s="304"/>
      <c r="H780" s="365"/>
      <c r="I780" s="302"/>
      <c r="J780" s="303"/>
      <c r="K780" s="304"/>
      <c r="L780" s="365"/>
      <c r="M780" s="302"/>
      <c r="N780" s="303"/>
      <c r="O780" s="304"/>
      <c r="P780" s="365"/>
      <c r="Q780" s="186"/>
      <c r="R780" s="18"/>
      <c r="S780" s="374"/>
      <c r="T780" s="372"/>
      <c r="U780" s="186"/>
      <c r="V780" s="18"/>
      <c r="W780" s="374"/>
      <c r="X780" s="372"/>
      <c r="Y780" s="186"/>
      <c r="Z780" s="18"/>
      <c r="AA780" s="374"/>
      <c r="AB780" s="372"/>
      <c r="AC780" s="186"/>
      <c r="AD780" s="18"/>
      <c r="AE780" s="374"/>
      <c r="AF780" s="372"/>
      <c r="AG780" s="188"/>
      <c r="AH780" s="188"/>
      <c r="AI780" s="188"/>
      <c r="AJ780" s="188"/>
      <c r="AK780" s="365"/>
      <c r="AL780" s="365"/>
      <c r="AM780" s="365"/>
      <c r="AN780" s="365"/>
      <c r="AO780" s="365"/>
      <c r="AP780" s="365"/>
    </row>
    <row r="781">
      <c r="A781" s="302"/>
      <c r="B781" s="303"/>
      <c r="C781" s="304"/>
      <c r="D781" s="365"/>
      <c r="E781" s="302"/>
      <c r="F781" s="303"/>
      <c r="G781" s="304"/>
      <c r="H781" s="365"/>
      <c r="I781" s="302"/>
      <c r="J781" s="303"/>
      <c r="K781" s="304"/>
      <c r="L781" s="365"/>
      <c r="M781" s="302"/>
      <c r="N781" s="303"/>
      <c r="O781" s="304"/>
      <c r="P781" s="365"/>
      <c r="Q781" s="186"/>
      <c r="R781" s="18"/>
      <c r="S781" s="374"/>
      <c r="T781" s="372"/>
      <c r="U781" s="186"/>
      <c r="V781" s="18"/>
      <c r="W781" s="374"/>
      <c r="X781" s="372"/>
      <c r="Y781" s="186"/>
      <c r="Z781" s="18"/>
      <c r="AA781" s="374"/>
      <c r="AB781" s="372"/>
      <c r="AC781" s="186"/>
      <c r="AD781" s="18"/>
      <c r="AE781" s="374"/>
      <c r="AF781" s="372"/>
      <c r="AG781" s="188"/>
      <c r="AH781" s="188"/>
      <c r="AI781" s="188"/>
      <c r="AJ781" s="188"/>
      <c r="AK781" s="365"/>
      <c r="AL781" s="365"/>
      <c r="AM781" s="365"/>
      <c r="AN781" s="365"/>
      <c r="AO781" s="365"/>
      <c r="AP781" s="365"/>
    </row>
    <row r="782">
      <c r="A782" s="302"/>
      <c r="B782" s="303"/>
      <c r="C782" s="304"/>
      <c r="D782" s="365"/>
      <c r="E782" s="302"/>
      <c r="F782" s="303"/>
      <c r="G782" s="304"/>
      <c r="H782" s="365"/>
      <c r="I782" s="302"/>
      <c r="J782" s="303"/>
      <c r="K782" s="304"/>
      <c r="L782" s="365"/>
      <c r="M782" s="302"/>
      <c r="N782" s="303"/>
      <c r="O782" s="304"/>
      <c r="P782" s="365"/>
      <c r="Q782" s="186"/>
      <c r="R782" s="18"/>
      <c r="S782" s="374"/>
      <c r="T782" s="372"/>
      <c r="U782" s="186"/>
      <c r="V782" s="18"/>
      <c r="W782" s="374"/>
      <c r="X782" s="372"/>
      <c r="Y782" s="186"/>
      <c r="Z782" s="18"/>
      <c r="AA782" s="374"/>
      <c r="AB782" s="372"/>
      <c r="AC782" s="186"/>
      <c r="AD782" s="18"/>
      <c r="AE782" s="374"/>
      <c r="AF782" s="372"/>
      <c r="AG782" s="188"/>
      <c r="AH782" s="188"/>
      <c r="AI782" s="188"/>
      <c r="AJ782" s="188"/>
      <c r="AK782" s="365"/>
      <c r="AL782" s="365"/>
      <c r="AM782" s="365"/>
      <c r="AN782" s="365"/>
      <c r="AO782" s="365"/>
      <c r="AP782" s="365"/>
    </row>
    <row r="783">
      <c r="A783" s="302"/>
      <c r="B783" s="303"/>
      <c r="C783" s="304"/>
      <c r="D783" s="365"/>
      <c r="E783" s="302"/>
      <c r="F783" s="303"/>
      <c r="G783" s="304"/>
      <c r="H783" s="365"/>
      <c r="I783" s="302"/>
      <c r="J783" s="303"/>
      <c r="K783" s="304"/>
      <c r="L783" s="365"/>
      <c r="M783" s="302"/>
      <c r="N783" s="303"/>
      <c r="O783" s="304"/>
      <c r="P783" s="365"/>
      <c r="Q783" s="186"/>
      <c r="R783" s="18"/>
      <c r="S783" s="374"/>
      <c r="T783" s="372"/>
      <c r="U783" s="186"/>
      <c r="V783" s="18"/>
      <c r="W783" s="374"/>
      <c r="X783" s="372"/>
      <c r="Y783" s="186"/>
      <c r="Z783" s="18"/>
      <c r="AA783" s="374"/>
      <c r="AB783" s="372"/>
      <c r="AC783" s="186"/>
      <c r="AD783" s="18"/>
      <c r="AE783" s="374"/>
      <c r="AF783" s="372"/>
      <c r="AG783" s="188"/>
      <c r="AH783" s="188"/>
      <c r="AI783" s="188"/>
      <c r="AJ783" s="188"/>
      <c r="AK783" s="365"/>
      <c r="AL783" s="365"/>
      <c r="AM783" s="365"/>
      <c r="AN783" s="365"/>
      <c r="AO783" s="365"/>
      <c r="AP783" s="365"/>
    </row>
    <row r="784">
      <c r="A784" s="302"/>
      <c r="B784" s="303"/>
      <c r="C784" s="304"/>
      <c r="D784" s="365"/>
      <c r="E784" s="302"/>
      <c r="F784" s="303"/>
      <c r="G784" s="304"/>
      <c r="H784" s="365"/>
      <c r="I784" s="302"/>
      <c r="J784" s="303"/>
      <c r="K784" s="304"/>
      <c r="L784" s="365"/>
      <c r="M784" s="302"/>
      <c r="N784" s="303"/>
      <c r="O784" s="304"/>
      <c r="P784" s="365"/>
      <c r="Q784" s="186"/>
      <c r="R784" s="18"/>
      <c r="S784" s="374"/>
      <c r="T784" s="372"/>
      <c r="U784" s="186"/>
      <c r="V784" s="18"/>
      <c r="W784" s="374"/>
      <c r="X784" s="372"/>
      <c r="Y784" s="186"/>
      <c r="Z784" s="18"/>
      <c r="AA784" s="374"/>
      <c r="AB784" s="372"/>
      <c r="AC784" s="186"/>
      <c r="AD784" s="18"/>
      <c r="AE784" s="374"/>
      <c r="AF784" s="372"/>
      <c r="AG784" s="188"/>
      <c r="AH784" s="188"/>
      <c r="AI784" s="188"/>
      <c r="AJ784" s="188"/>
      <c r="AK784" s="365"/>
      <c r="AL784" s="365"/>
      <c r="AM784" s="365"/>
      <c r="AN784" s="365"/>
      <c r="AO784" s="365"/>
      <c r="AP784" s="365"/>
    </row>
    <row r="785">
      <c r="A785" s="302"/>
      <c r="B785" s="303"/>
      <c r="C785" s="304"/>
      <c r="D785" s="365"/>
      <c r="E785" s="302"/>
      <c r="F785" s="303"/>
      <c r="G785" s="304"/>
      <c r="H785" s="365"/>
      <c r="I785" s="302"/>
      <c r="J785" s="303"/>
      <c r="K785" s="304"/>
      <c r="L785" s="365"/>
      <c r="M785" s="302"/>
      <c r="N785" s="303"/>
      <c r="O785" s="304"/>
      <c r="P785" s="365"/>
      <c r="Q785" s="186"/>
      <c r="R785" s="18"/>
      <c r="S785" s="374"/>
      <c r="T785" s="372"/>
      <c r="U785" s="186"/>
      <c r="V785" s="18"/>
      <c r="W785" s="374"/>
      <c r="X785" s="372"/>
      <c r="Y785" s="186"/>
      <c r="Z785" s="18"/>
      <c r="AA785" s="374"/>
      <c r="AB785" s="372"/>
      <c r="AC785" s="186"/>
      <c r="AD785" s="18"/>
      <c r="AE785" s="374"/>
      <c r="AF785" s="372"/>
      <c r="AG785" s="188"/>
      <c r="AH785" s="188"/>
      <c r="AI785" s="188"/>
      <c r="AJ785" s="188"/>
      <c r="AK785" s="365"/>
      <c r="AL785" s="365"/>
      <c r="AM785" s="365"/>
      <c r="AN785" s="365"/>
      <c r="AO785" s="365"/>
      <c r="AP785" s="365"/>
    </row>
    <row r="786">
      <c r="A786" s="302"/>
      <c r="B786" s="303"/>
      <c r="C786" s="304"/>
      <c r="D786" s="365"/>
      <c r="E786" s="302"/>
      <c r="F786" s="303"/>
      <c r="G786" s="304"/>
      <c r="H786" s="365"/>
      <c r="I786" s="302"/>
      <c r="J786" s="303"/>
      <c r="K786" s="304"/>
      <c r="L786" s="365"/>
      <c r="M786" s="302"/>
      <c r="N786" s="303"/>
      <c r="O786" s="304"/>
      <c r="P786" s="365"/>
      <c r="Q786" s="186"/>
      <c r="R786" s="18"/>
      <c r="S786" s="374"/>
      <c r="T786" s="372"/>
      <c r="U786" s="186"/>
      <c r="V786" s="18"/>
      <c r="W786" s="374"/>
      <c r="X786" s="372"/>
      <c r="Y786" s="186"/>
      <c r="Z786" s="18"/>
      <c r="AA786" s="374"/>
      <c r="AB786" s="372"/>
      <c r="AC786" s="186"/>
      <c r="AD786" s="18"/>
      <c r="AE786" s="374"/>
      <c r="AF786" s="372"/>
      <c r="AG786" s="188"/>
      <c r="AH786" s="188"/>
      <c r="AI786" s="188"/>
      <c r="AJ786" s="188"/>
      <c r="AK786" s="365"/>
      <c r="AL786" s="365"/>
      <c r="AM786" s="365"/>
      <c r="AN786" s="365"/>
      <c r="AO786" s="365"/>
      <c r="AP786" s="365"/>
    </row>
    <row r="787">
      <c r="A787" s="302"/>
      <c r="B787" s="303"/>
      <c r="C787" s="304"/>
      <c r="D787" s="365"/>
      <c r="E787" s="302"/>
      <c r="F787" s="303"/>
      <c r="G787" s="304"/>
      <c r="H787" s="365"/>
      <c r="I787" s="302"/>
      <c r="J787" s="303"/>
      <c r="K787" s="304"/>
      <c r="L787" s="365"/>
      <c r="M787" s="302"/>
      <c r="N787" s="303"/>
      <c r="O787" s="304"/>
      <c r="P787" s="365"/>
      <c r="Q787" s="186"/>
      <c r="R787" s="18"/>
      <c r="S787" s="374"/>
      <c r="T787" s="372"/>
      <c r="U787" s="186"/>
      <c r="V787" s="18"/>
      <c r="W787" s="374"/>
      <c r="X787" s="372"/>
      <c r="Y787" s="186"/>
      <c r="Z787" s="18"/>
      <c r="AA787" s="374"/>
      <c r="AB787" s="372"/>
      <c r="AC787" s="186"/>
      <c r="AD787" s="18"/>
      <c r="AE787" s="374"/>
      <c r="AF787" s="372"/>
      <c r="AG787" s="188"/>
      <c r="AH787" s="188"/>
      <c r="AI787" s="188"/>
      <c r="AJ787" s="188"/>
      <c r="AK787" s="365"/>
      <c r="AL787" s="365"/>
      <c r="AM787" s="365"/>
      <c r="AN787" s="365"/>
      <c r="AO787" s="365"/>
      <c r="AP787" s="365"/>
    </row>
    <row r="788">
      <c r="A788" s="302"/>
      <c r="B788" s="303"/>
      <c r="C788" s="304"/>
      <c r="D788" s="365"/>
      <c r="E788" s="302"/>
      <c r="F788" s="303"/>
      <c r="G788" s="304"/>
      <c r="H788" s="365"/>
      <c r="I788" s="302"/>
      <c r="J788" s="303"/>
      <c r="K788" s="304"/>
      <c r="L788" s="365"/>
      <c r="M788" s="302"/>
      <c r="N788" s="303"/>
      <c r="O788" s="304"/>
      <c r="P788" s="365"/>
      <c r="Q788" s="186"/>
      <c r="R788" s="18"/>
      <c r="S788" s="374"/>
      <c r="T788" s="372"/>
      <c r="U788" s="186"/>
      <c r="V788" s="18"/>
      <c r="W788" s="374"/>
      <c r="X788" s="372"/>
      <c r="Y788" s="186"/>
      <c r="Z788" s="18"/>
      <c r="AA788" s="374"/>
      <c r="AB788" s="372"/>
      <c r="AC788" s="186"/>
      <c r="AD788" s="18"/>
      <c r="AE788" s="374"/>
      <c r="AF788" s="372"/>
      <c r="AG788" s="188"/>
      <c r="AH788" s="188"/>
      <c r="AI788" s="188"/>
      <c r="AJ788" s="188"/>
      <c r="AK788" s="365"/>
      <c r="AL788" s="365"/>
      <c r="AM788" s="365"/>
      <c r="AN788" s="365"/>
      <c r="AO788" s="365"/>
      <c r="AP788" s="365"/>
    </row>
    <row r="789">
      <c r="A789" s="302"/>
      <c r="B789" s="303"/>
      <c r="C789" s="304"/>
      <c r="D789" s="365"/>
      <c r="E789" s="302"/>
      <c r="F789" s="303"/>
      <c r="G789" s="304"/>
      <c r="H789" s="365"/>
      <c r="I789" s="302"/>
      <c r="J789" s="303"/>
      <c r="K789" s="304"/>
      <c r="L789" s="365"/>
      <c r="M789" s="302"/>
      <c r="N789" s="303"/>
      <c r="O789" s="304"/>
      <c r="P789" s="365"/>
      <c r="Q789" s="186"/>
      <c r="R789" s="18"/>
      <c r="S789" s="374"/>
      <c r="T789" s="372"/>
      <c r="U789" s="186"/>
      <c r="V789" s="18"/>
      <c r="W789" s="374"/>
      <c r="X789" s="372"/>
      <c r="Y789" s="186"/>
      <c r="Z789" s="18"/>
      <c r="AA789" s="374"/>
      <c r="AB789" s="372"/>
      <c r="AC789" s="186"/>
      <c r="AD789" s="18"/>
      <c r="AE789" s="374"/>
      <c r="AF789" s="372"/>
      <c r="AG789" s="188"/>
      <c r="AH789" s="188"/>
      <c r="AI789" s="188"/>
      <c r="AJ789" s="188"/>
      <c r="AK789" s="365"/>
      <c r="AL789" s="365"/>
      <c r="AM789" s="365"/>
      <c r="AN789" s="365"/>
      <c r="AO789" s="365"/>
      <c r="AP789" s="365"/>
    </row>
    <row r="790">
      <c r="A790" s="302"/>
      <c r="B790" s="303"/>
      <c r="C790" s="304"/>
      <c r="D790" s="365"/>
      <c r="E790" s="302"/>
      <c r="F790" s="303"/>
      <c r="G790" s="304"/>
      <c r="H790" s="365"/>
      <c r="I790" s="302"/>
      <c r="J790" s="303"/>
      <c r="K790" s="304"/>
      <c r="L790" s="365"/>
      <c r="M790" s="302"/>
      <c r="N790" s="303"/>
      <c r="O790" s="304"/>
      <c r="P790" s="365"/>
      <c r="Q790" s="186"/>
      <c r="R790" s="18"/>
      <c r="S790" s="374"/>
      <c r="T790" s="372"/>
      <c r="U790" s="186"/>
      <c r="V790" s="18"/>
      <c r="W790" s="374"/>
      <c r="X790" s="372"/>
      <c r="Y790" s="186"/>
      <c r="Z790" s="18"/>
      <c r="AA790" s="374"/>
      <c r="AB790" s="372"/>
      <c r="AC790" s="186"/>
      <c r="AD790" s="18"/>
      <c r="AE790" s="374"/>
      <c r="AF790" s="372"/>
      <c r="AG790" s="188"/>
      <c r="AH790" s="188"/>
      <c r="AI790" s="188"/>
      <c r="AJ790" s="188"/>
      <c r="AK790" s="365"/>
      <c r="AL790" s="365"/>
      <c r="AM790" s="365"/>
      <c r="AN790" s="365"/>
      <c r="AO790" s="365"/>
      <c r="AP790" s="365"/>
    </row>
    <row r="791">
      <c r="A791" s="302"/>
      <c r="B791" s="303"/>
      <c r="C791" s="304"/>
      <c r="D791" s="365"/>
      <c r="E791" s="302"/>
      <c r="F791" s="303"/>
      <c r="G791" s="304"/>
      <c r="H791" s="365"/>
      <c r="I791" s="302"/>
      <c r="J791" s="303"/>
      <c r="K791" s="304"/>
      <c r="L791" s="365"/>
      <c r="M791" s="302"/>
      <c r="N791" s="303"/>
      <c r="O791" s="304"/>
      <c r="P791" s="365"/>
      <c r="Q791" s="186"/>
      <c r="R791" s="18"/>
      <c r="S791" s="374"/>
      <c r="T791" s="372"/>
      <c r="U791" s="186"/>
      <c r="V791" s="18"/>
      <c r="W791" s="374"/>
      <c r="X791" s="372"/>
      <c r="Y791" s="186"/>
      <c r="Z791" s="18"/>
      <c r="AA791" s="374"/>
      <c r="AB791" s="372"/>
      <c r="AC791" s="186"/>
      <c r="AD791" s="18"/>
      <c r="AE791" s="374"/>
      <c r="AF791" s="372"/>
      <c r="AG791" s="188"/>
      <c r="AH791" s="188"/>
      <c r="AI791" s="188"/>
      <c r="AJ791" s="188"/>
      <c r="AK791" s="365"/>
      <c r="AL791" s="365"/>
      <c r="AM791" s="365"/>
      <c r="AN791" s="365"/>
      <c r="AO791" s="365"/>
      <c r="AP791" s="365"/>
    </row>
    <row r="792">
      <c r="A792" s="302"/>
      <c r="B792" s="303"/>
      <c r="C792" s="304"/>
      <c r="D792" s="365"/>
      <c r="E792" s="302"/>
      <c r="F792" s="303"/>
      <c r="G792" s="304"/>
      <c r="H792" s="365"/>
      <c r="I792" s="302"/>
      <c r="J792" s="303"/>
      <c r="K792" s="304"/>
      <c r="L792" s="365"/>
      <c r="M792" s="302"/>
      <c r="N792" s="303"/>
      <c r="O792" s="304"/>
      <c r="P792" s="365"/>
      <c r="Q792" s="186"/>
      <c r="R792" s="18"/>
      <c r="S792" s="374"/>
      <c r="T792" s="372"/>
      <c r="U792" s="186"/>
      <c r="V792" s="18"/>
      <c r="W792" s="374"/>
      <c r="X792" s="372"/>
      <c r="Y792" s="186"/>
      <c r="Z792" s="18"/>
      <c r="AA792" s="374"/>
      <c r="AB792" s="372"/>
      <c r="AC792" s="186"/>
      <c r="AD792" s="18"/>
      <c r="AE792" s="374"/>
      <c r="AF792" s="372"/>
      <c r="AG792" s="188"/>
      <c r="AH792" s="188"/>
      <c r="AI792" s="188"/>
      <c r="AJ792" s="188"/>
      <c r="AK792" s="365"/>
      <c r="AL792" s="365"/>
      <c r="AM792" s="365"/>
      <c r="AN792" s="365"/>
      <c r="AO792" s="365"/>
      <c r="AP792" s="365"/>
    </row>
    <row r="793">
      <c r="A793" s="302"/>
      <c r="B793" s="303"/>
      <c r="C793" s="304"/>
      <c r="D793" s="365"/>
      <c r="E793" s="302"/>
      <c r="F793" s="303"/>
      <c r="G793" s="304"/>
      <c r="H793" s="365"/>
      <c r="I793" s="302"/>
      <c r="J793" s="303"/>
      <c r="K793" s="304"/>
      <c r="L793" s="365"/>
      <c r="M793" s="302"/>
      <c r="N793" s="303"/>
      <c r="O793" s="304"/>
      <c r="P793" s="365"/>
      <c r="Q793" s="186"/>
      <c r="R793" s="18"/>
      <c r="S793" s="374"/>
      <c r="T793" s="372"/>
      <c r="U793" s="186"/>
      <c r="V793" s="18"/>
      <c r="W793" s="374"/>
      <c r="X793" s="372"/>
      <c r="Y793" s="186"/>
      <c r="Z793" s="18"/>
      <c r="AA793" s="374"/>
      <c r="AB793" s="372"/>
      <c r="AC793" s="186"/>
      <c r="AD793" s="18"/>
      <c r="AE793" s="374"/>
      <c r="AF793" s="372"/>
      <c r="AG793" s="188"/>
      <c r="AH793" s="188"/>
      <c r="AI793" s="188"/>
      <c r="AJ793" s="188"/>
      <c r="AK793" s="365"/>
      <c r="AL793" s="365"/>
      <c r="AM793" s="365"/>
      <c r="AN793" s="365"/>
      <c r="AO793" s="365"/>
      <c r="AP793" s="365"/>
    </row>
    <row r="794">
      <c r="A794" s="302"/>
      <c r="B794" s="303"/>
      <c r="C794" s="304"/>
      <c r="D794" s="365"/>
      <c r="E794" s="302"/>
      <c r="F794" s="303"/>
      <c r="G794" s="304"/>
      <c r="H794" s="365"/>
      <c r="I794" s="302"/>
      <c r="J794" s="303"/>
      <c r="K794" s="304"/>
      <c r="L794" s="365"/>
      <c r="M794" s="302"/>
      <c r="N794" s="303"/>
      <c r="O794" s="304"/>
      <c r="P794" s="365"/>
      <c r="Q794" s="186"/>
      <c r="R794" s="18"/>
      <c r="S794" s="374"/>
      <c r="T794" s="372"/>
      <c r="U794" s="186"/>
      <c r="V794" s="18"/>
      <c r="W794" s="374"/>
      <c r="X794" s="372"/>
      <c r="Y794" s="186"/>
      <c r="Z794" s="18"/>
      <c r="AA794" s="374"/>
      <c r="AB794" s="372"/>
      <c r="AC794" s="186"/>
      <c r="AD794" s="18"/>
      <c r="AE794" s="374"/>
      <c r="AF794" s="372"/>
      <c r="AG794" s="188"/>
      <c r="AH794" s="188"/>
      <c r="AI794" s="188"/>
      <c r="AJ794" s="188"/>
      <c r="AK794" s="365"/>
      <c r="AL794" s="365"/>
      <c r="AM794" s="365"/>
      <c r="AN794" s="365"/>
      <c r="AO794" s="365"/>
      <c r="AP794" s="365"/>
    </row>
    <row r="795">
      <c r="A795" s="302"/>
      <c r="B795" s="303"/>
      <c r="C795" s="304"/>
      <c r="D795" s="365"/>
      <c r="E795" s="302"/>
      <c r="F795" s="303"/>
      <c r="G795" s="304"/>
      <c r="H795" s="365"/>
      <c r="I795" s="302"/>
      <c r="J795" s="303"/>
      <c r="K795" s="304"/>
      <c r="L795" s="365"/>
      <c r="M795" s="302"/>
      <c r="N795" s="303"/>
      <c r="O795" s="304"/>
      <c r="P795" s="365"/>
      <c r="Q795" s="186"/>
      <c r="R795" s="18"/>
      <c r="S795" s="374"/>
      <c r="T795" s="372"/>
      <c r="U795" s="186"/>
      <c r="V795" s="18"/>
      <c r="W795" s="374"/>
      <c r="X795" s="372"/>
      <c r="Y795" s="186"/>
      <c r="Z795" s="18"/>
      <c r="AA795" s="374"/>
      <c r="AB795" s="372"/>
      <c r="AC795" s="186"/>
      <c r="AD795" s="18"/>
      <c r="AE795" s="374"/>
      <c r="AF795" s="372"/>
      <c r="AG795" s="188"/>
      <c r="AH795" s="188"/>
      <c r="AI795" s="188"/>
      <c r="AJ795" s="188"/>
      <c r="AK795" s="365"/>
      <c r="AL795" s="365"/>
      <c r="AM795" s="365"/>
      <c r="AN795" s="365"/>
      <c r="AO795" s="365"/>
      <c r="AP795" s="365"/>
    </row>
    <row r="796">
      <c r="A796" s="302"/>
      <c r="B796" s="303"/>
      <c r="C796" s="304"/>
      <c r="D796" s="365"/>
      <c r="E796" s="302"/>
      <c r="F796" s="303"/>
      <c r="G796" s="304"/>
      <c r="H796" s="365"/>
      <c r="I796" s="302"/>
      <c r="J796" s="303"/>
      <c r="K796" s="304"/>
      <c r="L796" s="365"/>
      <c r="M796" s="302"/>
      <c r="N796" s="303"/>
      <c r="O796" s="304"/>
      <c r="P796" s="365"/>
      <c r="Q796" s="186"/>
      <c r="R796" s="18"/>
      <c r="S796" s="374"/>
      <c r="T796" s="372"/>
      <c r="U796" s="186"/>
      <c r="V796" s="18"/>
      <c r="W796" s="374"/>
      <c r="X796" s="372"/>
      <c r="Y796" s="186"/>
      <c r="Z796" s="18"/>
      <c r="AA796" s="374"/>
      <c r="AB796" s="372"/>
      <c r="AC796" s="186"/>
      <c r="AD796" s="18"/>
      <c r="AE796" s="374"/>
      <c r="AF796" s="372"/>
      <c r="AG796" s="188"/>
      <c r="AH796" s="188"/>
      <c r="AI796" s="188"/>
      <c r="AJ796" s="188"/>
      <c r="AK796" s="365"/>
      <c r="AL796" s="365"/>
      <c r="AM796" s="365"/>
      <c r="AN796" s="365"/>
      <c r="AO796" s="365"/>
      <c r="AP796" s="365"/>
    </row>
    <row r="797">
      <c r="A797" s="302"/>
      <c r="B797" s="303"/>
      <c r="C797" s="304"/>
      <c r="D797" s="365"/>
      <c r="E797" s="302"/>
      <c r="F797" s="303"/>
      <c r="G797" s="304"/>
      <c r="H797" s="365"/>
      <c r="I797" s="302"/>
      <c r="J797" s="303"/>
      <c r="K797" s="304"/>
      <c r="L797" s="365"/>
      <c r="M797" s="302"/>
      <c r="N797" s="303"/>
      <c r="O797" s="304"/>
      <c r="P797" s="365"/>
      <c r="Q797" s="186"/>
      <c r="R797" s="18"/>
      <c r="S797" s="374"/>
      <c r="T797" s="372"/>
      <c r="U797" s="186"/>
      <c r="V797" s="18"/>
      <c r="W797" s="374"/>
      <c r="X797" s="372"/>
      <c r="Y797" s="186"/>
      <c r="Z797" s="18"/>
      <c r="AA797" s="374"/>
      <c r="AB797" s="372"/>
      <c r="AC797" s="186"/>
      <c r="AD797" s="18"/>
      <c r="AE797" s="374"/>
      <c r="AF797" s="372"/>
      <c r="AG797" s="188"/>
      <c r="AH797" s="188"/>
      <c r="AI797" s="188"/>
      <c r="AJ797" s="188"/>
      <c r="AK797" s="365"/>
      <c r="AL797" s="365"/>
      <c r="AM797" s="365"/>
      <c r="AN797" s="365"/>
      <c r="AO797" s="365"/>
      <c r="AP797" s="365"/>
    </row>
    <row r="798">
      <c r="A798" s="302"/>
      <c r="B798" s="303"/>
      <c r="C798" s="304"/>
      <c r="D798" s="365"/>
      <c r="E798" s="302"/>
      <c r="F798" s="303"/>
      <c r="G798" s="304"/>
      <c r="H798" s="365"/>
      <c r="I798" s="302"/>
      <c r="J798" s="303"/>
      <c r="K798" s="304"/>
      <c r="L798" s="365"/>
      <c r="M798" s="302"/>
      <c r="N798" s="303"/>
      <c r="O798" s="304"/>
      <c r="P798" s="365"/>
      <c r="Q798" s="186"/>
      <c r="R798" s="18"/>
      <c r="S798" s="374"/>
      <c r="T798" s="372"/>
      <c r="U798" s="186"/>
      <c r="V798" s="18"/>
      <c r="W798" s="374"/>
      <c r="X798" s="372"/>
      <c r="Y798" s="186"/>
      <c r="Z798" s="18"/>
      <c r="AA798" s="374"/>
      <c r="AB798" s="372"/>
      <c r="AC798" s="186"/>
      <c r="AD798" s="18"/>
      <c r="AE798" s="374"/>
      <c r="AF798" s="372"/>
      <c r="AG798" s="188"/>
      <c r="AH798" s="188"/>
      <c r="AI798" s="188"/>
      <c r="AJ798" s="188"/>
      <c r="AK798" s="365"/>
      <c r="AL798" s="365"/>
      <c r="AM798" s="365"/>
      <c r="AN798" s="365"/>
      <c r="AO798" s="365"/>
      <c r="AP798" s="365"/>
    </row>
    <row r="799">
      <c r="A799" s="302"/>
      <c r="B799" s="303"/>
      <c r="C799" s="304"/>
      <c r="D799" s="365"/>
      <c r="E799" s="302"/>
      <c r="F799" s="303"/>
      <c r="G799" s="304"/>
      <c r="H799" s="365"/>
      <c r="I799" s="302"/>
      <c r="J799" s="303"/>
      <c r="K799" s="304"/>
      <c r="L799" s="365"/>
      <c r="M799" s="302"/>
      <c r="N799" s="303"/>
      <c r="O799" s="304"/>
      <c r="P799" s="365"/>
      <c r="Q799" s="186"/>
      <c r="R799" s="18"/>
      <c r="S799" s="374"/>
      <c r="T799" s="372"/>
      <c r="U799" s="186"/>
      <c r="V799" s="18"/>
      <c r="W799" s="374"/>
      <c r="X799" s="372"/>
      <c r="Y799" s="186"/>
      <c r="Z799" s="18"/>
      <c r="AA799" s="374"/>
      <c r="AB799" s="372"/>
      <c r="AC799" s="186"/>
      <c r="AD799" s="18"/>
      <c r="AE799" s="374"/>
      <c r="AF799" s="372"/>
      <c r="AG799" s="188"/>
      <c r="AH799" s="188"/>
      <c r="AI799" s="188"/>
      <c r="AJ799" s="188"/>
      <c r="AK799" s="365"/>
      <c r="AL799" s="365"/>
      <c r="AM799" s="365"/>
      <c r="AN799" s="365"/>
      <c r="AO799" s="365"/>
      <c r="AP799" s="365"/>
    </row>
    <row r="800">
      <c r="A800" s="302"/>
      <c r="B800" s="303"/>
      <c r="C800" s="304"/>
      <c r="D800" s="365"/>
      <c r="E800" s="302"/>
      <c r="F800" s="303"/>
      <c r="G800" s="304"/>
      <c r="H800" s="365"/>
      <c r="I800" s="302"/>
      <c r="J800" s="303"/>
      <c r="K800" s="304"/>
      <c r="L800" s="365"/>
      <c r="M800" s="302"/>
      <c r="N800" s="303"/>
      <c r="O800" s="304"/>
      <c r="P800" s="365"/>
      <c r="Q800" s="186"/>
      <c r="R800" s="18"/>
      <c r="S800" s="374"/>
      <c r="T800" s="372"/>
      <c r="U800" s="186"/>
      <c r="V800" s="18"/>
      <c r="W800" s="374"/>
      <c r="X800" s="372"/>
      <c r="Y800" s="186"/>
      <c r="Z800" s="18"/>
      <c r="AA800" s="374"/>
      <c r="AB800" s="372"/>
      <c r="AC800" s="186"/>
      <c r="AD800" s="18"/>
      <c r="AE800" s="374"/>
      <c r="AF800" s="372"/>
      <c r="AG800" s="188"/>
      <c r="AH800" s="188"/>
      <c r="AI800" s="188"/>
      <c r="AJ800" s="188"/>
      <c r="AK800" s="365"/>
      <c r="AL800" s="365"/>
      <c r="AM800" s="365"/>
      <c r="AN800" s="365"/>
      <c r="AO800" s="365"/>
      <c r="AP800" s="365"/>
    </row>
    <row r="801">
      <c r="A801" s="302"/>
      <c r="B801" s="303"/>
      <c r="C801" s="304"/>
      <c r="D801" s="365"/>
      <c r="E801" s="302"/>
      <c r="F801" s="303"/>
      <c r="G801" s="304"/>
      <c r="H801" s="365"/>
      <c r="I801" s="302"/>
      <c r="J801" s="303"/>
      <c r="K801" s="304"/>
      <c r="L801" s="365"/>
      <c r="M801" s="302"/>
      <c r="N801" s="303"/>
      <c r="O801" s="304"/>
      <c r="P801" s="365"/>
      <c r="Q801" s="186"/>
      <c r="R801" s="18"/>
      <c r="S801" s="374"/>
      <c r="T801" s="372"/>
      <c r="U801" s="186"/>
      <c r="V801" s="18"/>
      <c r="W801" s="374"/>
      <c r="X801" s="372"/>
      <c r="Y801" s="186"/>
      <c r="Z801" s="18"/>
      <c r="AA801" s="374"/>
      <c r="AB801" s="372"/>
      <c r="AC801" s="186"/>
      <c r="AD801" s="18"/>
      <c r="AE801" s="374"/>
      <c r="AF801" s="372"/>
      <c r="AG801" s="188"/>
      <c r="AH801" s="188"/>
      <c r="AI801" s="188"/>
      <c r="AJ801" s="188"/>
      <c r="AK801" s="365"/>
      <c r="AL801" s="365"/>
      <c r="AM801" s="365"/>
      <c r="AN801" s="365"/>
      <c r="AO801" s="365"/>
      <c r="AP801" s="365"/>
    </row>
    <row r="802">
      <c r="A802" s="302"/>
      <c r="B802" s="303"/>
      <c r="C802" s="304"/>
      <c r="D802" s="365"/>
      <c r="E802" s="302"/>
      <c r="F802" s="303"/>
      <c r="G802" s="304"/>
      <c r="H802" s="365"/>
      <c r="I802" s="302"/>
      <c r="J802" s="303"/>
      <c r="K802" s="304"/>
      <c r="L802" s="365"/>
      <c r="M802" s="302"/>
      <c r="N802" s="303"/>
      <c r="O802" s="304"/>
      <c r="P802" s="365"/>
      <c r="Q802" s="186"/>
      <c r="R802" s="18"/>
      <c r="S802" s="374"/>
      <c r="T802" s="372"/>
      <c r="U802" s="186"/>
      <c r="V802" s="18"/>
      <c r="W802" s="374"/>
      <c r="X802" s="372"/>
      <c r="Y802" s="186"/>
      <c r="Z802" s="18"/>
      <c r="AA802" s="374"/>
      <c r="AB802" s="372"/>
      <c r="AC802" s="186"/>
      <c r="AD802" s="18"/>
      <c r="AE802" s="374"/>
      <c r="AF802" s="372"/>
      <c r="AG802" s="188"/>
      <c r="AH802" s="188"/>
      <c r="AI802" s="188"/>
      <c r="AJ802" s="188"/>
      <c r="AK802" s="365"/>
      <c r="AL802" s="365"/>
      <c r="AM802" s="365"/>
      <c r="AN802" s="365"/>
      <c r="AO802" s="365"/>
      <c r="AP802" s="365"/>
    </row>
    <row r="803">
      <c r="A803" s="302"/>
      <c r="B803" s="303"/>
      <c r="C803" s="304"/>
      <c r="D803" s="365"/>
      <c r="E803" s="302"/>
      <c r="F803" s="303"/>
      <c r="G803" s="304"/>
      <c r="H803" s="365"/>
      <c r="I803" s="302"/>
      <c r="J803" s="303"/>
      <c r="K803" s="304"/>
      <c r="L803" s="365"/>
      <c r="M803" s="302"/>
      <c r="N803" s="303"/>
      <c r="O803" s="304"/>
      <c r="P803" s="365"/>
      <c r="Q803" s="186"/>
      <c r="R803" s="18"/>
      <c r="S803" s="374"/>
      <c r="T803" s="372"/>
      <c r="U803" s="186"/>
      <c r="V803" s="18"/>
      <c r="W803" s="374"/>
      <c r="X803" s="372"/>
      <c r="Y803" s="186"/>
      <c r="Z803" s="18"/>
      <c r="AA803" s="374"/>
      <c r="AB803" s="372"/>
      <c r="AC803" s="186"/>
      <c r="AD803" s="18"/>
      <c r="AE803" s="374"/>
      <c r="AF803" s="372"/>
      <c r="AG803" s="188"/>
      <c r="AH803" s="188"/>
      <c r="AI803" s="188"/>
      <c r="AJ803" s="188"/>
      <c r="AK803" s="365"/>
      <c r="AL803" s="365"/>
      <c r="AM803" s="365"/>
      <c r="AN803" s="365"/>
      <c r="AO803" s="365"/>
      <c r="AP803" s="365"/>
    </row>
    <row r="804">
      <c r="A804" s="302"/>
      <c r="B804" s="303"/>
      <c r="C804" s="304"/>
      <c r="D804" s="365"/>
      <c r="E804" s="302"/>
      <c r="F804" s="303"/>
      <c r="G804" s="304"/>
      <c r="H804" s="365"/>
      <c r="I804" s="302"/>
      <c r="J804" s="303"/>
      <c r="K804" s="304"/>
      <c r="L804" s="365"/>
      <c r="M804" s="302"/>
      <c r="N804" s="303"/>
      <c r="O804" s="304"/>
      <c r="P804" s="365"/>
      <c r="Q804" s="186"/>
      <c r="R804" s="18"/>
      <c r="S804" s="374"/>
      <c r="T804" s="372"/>
      <c r="U804" s="186"/>
      <c r="V804" s="18"/>
      <c r="W804" s="374"/>
      <c r="X804" s="372"/>
      <c r="Y804" s="186"/>
      <c r="Z804" s="18"/>
      <c r="AA804" s="374"/>
      <c r="AB804" s="372"/>
      <c r="AC804" s="186"/>
      <c r="AD804" s="18"/>
      <c r="AE804" s="374"/>
      <c r="AF804" s="372"/>
      <c r="AG804" s="188"/>
      <c r="AH804" s="188"/>
      <c r="AI804" s="188"/>
      <c r="AJ804" s="188"/>
      <c r="AK804" s="365"/>
      <c r="AL804" s="365"/>
      <c r="AM804" s="365"/>
      <c r="AN804" s="365"/>
      <c r="AO804" s="365"/>
      <c r="AP804" s="365"/>
    </row>
    <row r="805">
      <c r="A805" s="302"/>
      <c r="B805" s="303"/>
      <c r="C805" s="304"/>
      <c r="D805" s="365"/>
      <c r="E805" s="302"/>
      <c r="F805" s="303"/>
      <c r="G805" s="304"/>
      <c r="H805" s="365"/>
      <c r="I805" s="302"/>
      <c r="J805" s="303"/>
      <c r="K805" s="304"/>
      <c r="L805" s="365"/>
      <c r="M805" s="302"/>
      <c r="N805" s="303"/>
      <c r="O805" s="304"/>
      <c r="P805" s="365"/>
      <c r="Q805" s="186"/>
      <c r="R805" s="18"/>
      <c r="S805" s="374"/>
      <c r="T805" s="372"/>
      <c r="U805" s="186"/>
      <c r="V805" s="18"/>
      <c r="W805" s="374"/>
      <c r="X805" s="372"/>
      <c r="Y805" s="186"/>
      <c r="Z805" s="18"/>
      <c r="AA805" s="374"/>
      <c r="AB805" s="372"/>
      <c r="AC805" s="186"/>
      <c r="AD805" s="18"/>
      <c r="AE805" s="374"/>
      <c r="AF805" s="372"/>
      <c r="AG805" s="188"/>
      <c r="AH805" s="188"/>
      <c r="AI805" s="188"/>
      <c r="AJ805" s="188"/>
      <c r="AK805" s="365"/>
      <c r="AL805" s="365"/>
      <c r="AM805" s="365"/>
      <c r="AN805" s="365"/>
      <c r="AO805" s="365"/>
      <c r="AP805" s="365"/>
    </row>
    <row r="806">
      <c r="A806" s="302"/>
      <c r="B806" s="303"/>
      <c r="C806" s="304"/>
      <c r="D806" s="365"/>
      <c r="E806" s="302"/>
      <c r="F806" s="303"/>
      <c r="G806" s="304"/>
      <c r="H806" s="365"/>
      <c r="I806" s="302"/>
      <c r="J806" s="303"/>
      <c r="K806" s="304"/>
      <c r="L806" s="365"/>
      <c r="M806" s="302"/>
      <c r="N806" s="303"/>
      <c r="O806" s="304"/>
      <c r="P806" s="365"/>
      <c r="Q806" s="186"/>
      <c r="R806" s="18"/>
      <c r="S806" s="374"/>
      <c r="T806" s="372"/>
      <c r="U806" s="186"/>
      <c r="V806" s="18"/>
      <c r="W806" s="374"/>
      <c r="X806" s="372"/>
      <c r="Y806" s="186"/>
      <c r="Z806" s="18"/>
      <c r="AA806" s="374"/>
      <c r="AB806" s="372"/>
      <c r="AC806" s="186"/>
      <c r="AD806" s="18"/>
      <c r="AE806" s="374"/>
      <c r="AF806" s="372"/>
      <c r="AG806" s="188"/>
      <c r="AH806" s="188"/>
      <c r="AI806" s="188"/>
      <c r="AJ806" s="188"/>
      <c r="AK806" s="365"/>
      <c r="AL806" s="365"/>
      <c r="AM806" s="365"/>
      <c r="AN806" s="365"/>
      <c r="AO806" s="365"/>
      <c r="AP806" s="365"/>
    </row>
    <row r="807">
      <c r="A807" s="302"/>
      <c r="B807" s="303"/>
      <c r="C807" s="304"/>
      <c r="D807" s="365"/>
      <c r="E807" s="302"/>
      <c r="F807" s="303"/>
      <c r="G807" s="304"/>
      <c r="H807" s="365"/>
      <c r="I807" s="302"/>
      <c r="J807" s="303"/>
      <c r="K807" s="304"/>
      <c r="L807" s="365"/>
      <c r="M807" s="302"/>
      <c r="N807" s="303"/>
      <c r="O807" s="304"/>
      <c r="P807" s="365"/>
      <c r="Q807" s="186"/>
      <c r="R807" s="18"/>
      <c r="S807" s="374"/>
      <c r="T807" s="372"/>
      <c r="U807" s="186"/>
      <c r="V807" s="18"/>
      <c r="W807" s="374"/>
      <c r="X807" s="372"/>
      <c r="Y807" s="186"/>
      <c r="Z807" s="18"/>
      <c r="AA807" s="374"/>
      <c r="AB807" s="372"/>
      <c r="AC807" s="186"/>
      <c r="AD807" s="18"/>
      <c r="AE807" s="374"/>
      <c r="AF807" s="372"/>
      <c r="AG807" s="188"/>
      <c r="AH807" s="188"/>
      <c r="AI807" s="188"/>
      <c r="AJ807" s="188"/>
      <c r="AK807" s="365"/>
      <c r="AL807" s="365"/>
      <c r="AM807" s="365"/>
      <c r="AN807" s="365"/>
      <c r="AO807" s="365"/>
      <c r="AP807" s="365"/>
    </row>
    <row r="808">
      <c r="A808" s="302"/>
      <c r="B808" s="303"/>
      <c r="C808" s="304"/>
      <c r="D808" s="365"/>
      <c r="E808" s="302"/>
      <c r="F808" s="303"/>
      <c r="G808" s="304"/>
      <c r="H808" s="365"/>
      <c r="I808" s="302"/>
      <c r="J808" s="303"/>
      <c r="K808" s="304"/>
      <c r="L808" s="365"/>
      <c r="M808" s="302"/>
      <c r="N808" s="303"/>
      <c r="O808" s="304"/>
      <c r="P808" s="365"/>
      <c r="Q808" s="186"/>
      <c r="R808" s="18"/>
      <c r="S808" s="374"/>
      <c r="T808" s="372"/>
      <c r="U808" s="186"/>
      <c r="V808" s="18"/>
      <c r="W808" s="374"/>
      <c r="X808" s="372"/>
      <c r="Y808" s="186"/>
      <c r="Z808" s="18"/>
      <c r="AA808" s="374"/>
      <c r="AB808" s="372"/>
      <c r="AC808" s="186"/>
      <c r="AD808" s="18"/>
      <c r="AE808" s="374"/>
      <c r="AF808" s="372"/>
      <c r="AG808" s="188"/>
      <c r="AH808" s="188"/>
      <c r="AI808" s="188"/>
      <c r="AJ808" s="188"/>
      <c r="AK808" s="365"/>
      <c r="AL808" s="365"/>
      <c r="AM808" s="365"/>
      <c r="AN808" s="365"/>
      <c r="AO808" s="365"/>
      <c r="AP808" s="365"/>
    </row>
    <row r="809">
      <c r="A809" s="302"/>
      <c r="B809" s="303"/>
      <c r="C809" s="304"/>
      <c r="D809" s="365"/>
      <c r="E809" s="302"/>
      <c r="F809" s="303"/>
      <c r="G809" s="304"/>
      <c r="H809" s="365"/>
      <c r="I809" s="302"/>
      <c r="J809" s="303"/>
      <c r="K809" s="304"/>
      <c r="L809" s="365"/>
      <c r="M809" s="302"/>
      <c r="N809" s="303"/>
      <c r="O809" s="304"/>
      <c r="P809" s="365"/>
      <c r="Q809" s="186"/>
      <c r="R809" s="18"/>
      <c r="S809" s="374"/>
      <c r="T809" s="372"/>
      <c r="U809" s="186"/>
      <c r="V809" s="18"/>
      <c r="W809" s="374"/>
      <c r="X809" s="372"/>
      <c r="Y809" s="186"/>
      <c r="Z809" s="18"/>
      <c r="AA809" s="374"/>
      <c r="AB809" s="372"/>
      <c r="AC809" s="186"/>
      <c r="AD809" s="18"/>
      <c r="AE809" s="374"/>
      <c r="AF809" s="372"/>
      <c r="AG809" s="188"/>
      <c r="AH809" s="188"/>
      <c r="AI809" s="188"/>
      <c r="AJ809" s="188"/>
      <c r="AK809" s="365"/>
      <c r="AL809" s="365"/>
      <c r="AM809" s="365"/>
      <c r="AN809" s="365"/>
      <c r="AO809" s="365"/>
      <c r="AP809" s="365"/>
    </row>
    <row r="810">
      <c r="A810" s="302"/>
      <c r="B810" s="303"/>
      <c r="C810" s="304"/>
      <c r="D810" s="365"/>
      <c r="E810" s="302"/>
      <c r="F810" s="303"/>
      <c r="G810" s="304"/>
      <c r="H810" s="365"/>
      <c r="I810" s="302"/>
      <c r="J810" s="303"/>
      <c r="K810" s="304"/>
      <c r="L810" s="365"/>
      <c r="M810" s="302"/>
      <c r="N810" s="303"/>
      <c r="O810" s="304"/>
      <c r="P810" s="365"/>
      <c r="Q810" s="186"/>
      <c r="R810" s="18"/>
      <c r="S810" s="374"/>
      <c r="T810" s="372"/>
      <c r="U810" s="186"/>
      <c r="V810" s="18"/>
      <c r="W810" s="374"/>
      <c r="X810" s="372"/>
      <c r="Y810" s="186"/>
      <c r="Z810" s="18"/>
      <c r="AA810" s="374"/>
      <c r="AB810" s="372"/>
      <c r="AC810" s="186"/>
      <c r="AD810" s="18"/>
      <c r="AE810" s="374"/>
      <c r="AF810" s="372"/>
      <c r="AG810" s="188"/>
      <c r="AH810" s="188"/>
      <c r="AI810" s="188"/>
      <c r="AJ810" s="188"/>
      <c r="AK810" s="365"/>
      <c r="AL810" s="365"/>
      <c r="AM810" s="365"/>
      <c r="AN810" s="365"/>
      <c r="AO810" s="365"/>
      <c r="AP810" s="365"/>
    </row>
    <row r="811">
      <c r="A811" s="302"/>
      <c r="B811" s="303"/>
      <c r="C811" s="304"/>
      <c r="D811" s="365"/>
      <c r="E811" s="302"/>
      <c r="F811" s="303"/>
      <c r="G811" s="304"/>
      <c r="H811" s="365"/>
      <c r="I811" s="302"/>
      <c r="J811" s="303"/>
      <c r="K811" s="304"/>
      <c r="L811" s="365"/>
      <c r="M811" s="302"/>
      <c r="N811" s="303"/>
      <c r="O811" s="304"/>
      <c r="P811" s="365"/>
      <c r="Q811" s="186"/>
      <c r="R811" s="18"/>
      <c r="S811" s="374"/>
      <c r="T811" s="372"/>
      <c r="U811" s="186"/>
      <c r="V811" s="18"/>
      <c r="W811" s="374"/>
      <c r="X811" s="372"/>
      <c r="Y811" s="186"/>
      <c r="Z811" s="18"/>
      <c r="AA811" s="374"/>
      <c r="AB811" s="372"/>
      <c r="AC811" s="186"/>
      <c r="AD811" s="18"/>
      <c r="AE811" s="374"/>
      <c r="AF811" s="372"/>
      <c r="AG811" s="188"/>
      <c r="AH811" s="188"/>
      <c r="AI811" s="188"/>
      <c r="AJ811" s="188"/>
      <c r="AK811" s="365"/>
      <c r="AL811" s="365"/>
      <c r="AM811" s="365"/>
      <c r="AN811" s="365"/>
      <c r="AO811" s="365"/>
      <c r="AP811" s="365"/>
    </row>
    <row r="812">
      <c r="A812" s="302"/>
      <c r="B812" s="303"/>
      <c r="C812" s="304"/>
      <c r="D812" s="365"/>
      <c r="E812" s="302"/>
      <c r="F812" s="303"/>
      <c r="G812" s="304"/>
      <c r="H812" s="365"/>
      <c r="I812" s="302"/>
      <c r="J812" s="303"/>
      <c r="K812" s="304"/>
      <c r="L812" s="365"/>
      <c r="M812" s="302"/>
      <c r="N812" s="303"/>
      <c r="O812" s="304"/>
      <c r="P812" s="365"/>
      <c r="Q812" s="186"/>
      <c r="R812" s="18"/>
      <c r="S812" s="374"/>
      <c r="T812" s="372"/>
      <c r="U812" s="186"/>
      <c r="V812" s="18"/>
      <c r="W812" s="374"/>
      <c r="X812" s="372"/>
      <c r="Y812" s="186"/>
      <c r="Z812" s="18"/>
      <c r="AA812" s="374"/>
      <c r="AB812" s="372"/>
      <c r="AC812" s="186"/>
      <c r="AD812" s="18"/>
      <c r="AE812" s="374"/>
      <c r="AF812" s="372"/>
      <c r="AG812" s="188"/>
      <c r="AH812" s="188"/>
      <c r="AI812" s="188"/>
      <c r="AJ812" s="188"/>
      <c r="AK812" s="365"/>
      <c r="AL812" s="365"/>
      <c r="AM812" s="365"/>
      <c r="AN812" s="365"/>
      <c r="AO812" s="365"/>
      <c r="AP812" s="365"/>
    </row>
    <row r="813">
      <c r="A813" s="302"/>
      <c r="B813" s="303"/>
      <c r="C813" s="304"/>
      <c r="D813" s="365"/>
      <c r="E813" s="302"/>
      <c r="F813" s="303"/>
      <c r="G813" s="304"/>
      <c r="H813" s="365"/>
      <c r="I813" s="302"/>
      <c r="J813" s="303"/>
      <c r="K813" s="304"/>
      <c r="L813" s="365"/>
      <c r="M813" s="302"/>
      <c r="N813" s="303"/>
      <c r="O813" s="304"/>
      <c r="P813" s="365"/>
      <c r="Q813" s="186"/>
      <c r="R813" s="18"/>
      <c r="S813" s="374"/>
      <c r="T813" s="372"/>
      <c r="U813" s="186"/>
      <c r="V813" s="18"/>
      <c r="W813" s="374"/>
      <c r="X813" s="372"/>
      <c r="Y813" s="186"/>
      <c r="Z813" s="18"/>
      <c r="AA813" s="374"/>
      <c r="AB813" s="372"/>
      <c r="AC813" s="186"/>
      <c r="AD813" s="18"/>
      <c r="AE813" s="374"/>
      <c r="AF813" s="372"/>
      <c r="AG813" s="188"/>
      <c r="AH813" s="188"/>
      <c r="AI813" s="188"/>
      <c r="AJ813" s="188"/>
      <c r="AK813" s="365"/>
      <c r="AL813" s="365"/>
      <c r="AM813" s="365"/>
      <c r="AN813" s="365"/>
      <c r="AO813" s="365"/>
      <c r="AP813" s="365"/>
    </row>
    <row r="814">
      <c r="A814" s="302"/>
      <c r="B814" s="303"/>
      <c r="C814" s="304"/>
      <c r="D814" s="365"/>
      <c r="E814" s="302"/>
      <c r="F814" s="303"/>
      <c r="G814" s="304"/>
      <c r="H814" s="365"/>
      <c r="I814" s="302"/>
      <c r="J814" s="303"/>
      <c r="K814" s="304"/>
      <c r="L814" s="365"/>
      <c r="M814" s="302"/>
      <c r="N814" s="303"/>
      <c r="O814" s="304"/>
      <c r="P814" s="365"/>
      <c r="Q814" s="186"/>
      <c r="R814" s="18"/>
      <c r="S814" s="374"/>
      <c r="T814" s="372"/>
      <c r="U814" s="186"/>
      <c r="V814" s="18"/>
      <c r="W814" s="374"/>
      <c r="X814" s="372"/>
      <c r="Y814" s="186"/>
      <c r="Z814" s="18"/>
      <c r="AA814" s="374"/>
      <c r="AB814" s="372"/>
      <c r="AC814" s="186"/>
      <c r="AD814" s="18"/>
      <c r="AE814" s="374"/>
      <c r="AF814" s="372"/>
      <c r="AG814" s="188"/>
      <c r="AH814" s="188"/>
      <c r="AI814" s="188"/>
      <c r="AJ814" s="188"/>
      <c r="AK814" s="365"/>
      <c r="AL814" s="365"/>
      <c r="AM814" s="365"/>
      <c r="AN814" s="365"/>
      <c r="AO814" s="365"/>
      <c r="AP814" s="365"/>
    </row>
    <row r="815">
      <c r="A815" s="302"/>
      <c r="B815" s="303"/>
      <c r="C815" s="304"/>
      <c r="D815" s="365"/>
      <c r="E815" s="302"/>
      <c r="F815" s="303"/>
      <c r="G815" s="304"/>
      <c r="H815" s="365"/>
      <c r="I815" s="302"/>
      <c r="J815" s="303"/>
      <c r="K815" s="304"/>
      <c r="L815" s="365"/>
      <c r="M815" s="302"/>
      <c r="N815" s="303"/>
      <c r="O815" s="304"/>
      <c r="P815" s="365"/>
      <c r="Q815" s="186"/>
      <c r="R815" s="18"/>
      <c r="S815" s="374"/>
      <c r="T815" s="372"/>
      <c r="U815" s="186"/>
      <c r="V815" s="18"/>
      <c r="W815" s="374"/>
      <c r="X815" s="372"/>
      <c r="Y815" s="186"/>
      <c r="Z815" s="18"/>
      <c r="AA815" s="374"/>
      <c r="AB815" s="372"/>
      <c r="AC815" s="186"/>
      <c r="AD815" s="18"/>
      <c r="AE815" s="374"/>
      <c r="AF815" s="372"/>
      <c r="AG815" s="188"/>
      <c r="AH815" s="188"/>
      <c r="AI815" s="188"/>
      <c r="AJ815" s="188"/>
      <c r="AK815" s="365"/>
      <c r="AL815" s="365"/>
      <c r="AM815" s="365"/>
      <c r="AN815" s="365"/>
      <c r="AO815" s="365"/>
      <c r="AP815" s="365"/>
    </row>
    <row r="816">
      <c r="A816" s="302"/>
      <c r="B816" s="303"/>
      <c r="C816" s="304"/>
      <c r="D816" s="365"/>
      <c r="E816" s="302"/>
      <c r="F816" s="303"/>
      <c r="G816" s="304"/>
      <c r="H816" s="365"/>
      <c r="I816" s="302"/>
      <c r="J816" s="303"/>
      <c r="K816" s="304"/>
      <c r="L816" s="365"/>
      <c r="M816" s="302"/>
      <c r="N816" s="303"/>
      <c r="O816" s="304"/>
      <c r="P816" s="365"/>
      <c r="Q816" s="186"/>
      <c r="R816" s="18"/>
      <c r="S816" s="374"/>
      <c r="T816" s="372"/>
      <c r="U816" s="186"/>
      <c r="V816" s="18"/>
      <c r="W816" s="374"/>
      <c r="X816" s="372"/>
      <c r="Y816" s="186"/>
      <c r="Z816" s="18"/>
      <c r="AA816" s="374"/>
      <c r="AB816" s="372"/>
      <c r="AC816" s="186"/>
      <c r="AD816" s="18"/>
      <c r="AE816" s="374"/>
      <c r="AF816" s="372"/>
      <c r="AG816" s="188"/>
      <c r="AH816" s="188"/>
      <c r="AI816" s="188"/>
      <c r="AJ816" s="188"/>
      <c r="AK816" s="365"/>
      <c r="AL816" s="365"/>
      <c r="AM816" s="365"/>
      <c r="AN816" s="365"/>
      <c r="AO816" s="365"/>
      <c r="AP816" s="365"/>
    </row>
    <row r="817">
      <c r="A817" s="302"/>
      <c r="B817" s="303"/>
      <c r="C817" s="304"/>
      <c r="D817" s="365"/>
      <c r="E817" s="302"/>
      <c r="F817" s="303"/>
      <c r="G817" s="304"/>
      <c r="H817" s="365"/>
      <c r="I817" s="302"/>
      <c r="J817" s="303"/>
      <c r="K817" s="304"/>
      <c r="L817" s="365"/>
      <c r="M817" s="302"/>
      <c r="N817" s="303"/>
      <c r="O817" s="304"/>
      <c r="P817" s="365"/>
      <c r="Q817" s="186"/>
      <c r="R817" s="18"/>
      <c r="S817" s="374"/>
      <c r="T817" s="372"/>
      <c r="U817" s="186"/>
      <c r="V817" s="18"/>
      <c r="W817" s="374"/>
      <c r="X817" s="372"/>
      <c r="Y817" s="186"/>
      <c r="Z817" s="18"/>
      <c r="AA817" s="374"/>
      <c r="AB817" s="372"/>
      <c r="AC817" s="186"/>
      <c r="AD817" s="18"/>
      <c r="AE817" s="374"/>
      <c r="AF817" s="372"/>
      <c r="AG817" s="188"/>
      <c r="AH817" s="188"/>
      <c r="AI817" s="188"/>
      <c r="AJ817" s="188"/>
      <c r="AK817" s="365"/>
      <c r="AL817" s="365"/>
      <c r="AM817" s="365"/>
      <c r="AN817" s="365"/>
      <c r="AO817" s="365"/>
      <c r="AP817" s="365"/>
    </row>
    <row r="818">
      <c r="A818" s="302"/>
      <c r="B818" s="303"/>
      <c r="C818" s="304"/>
      <c r="D818" s="365"/>
      <c r="E818" s="302"/>
      <c r="F818" s="303"/>
      <c r="G818" s="304"/>
      <c r="H818" s="365"/>
      <c r="I818" s="302"/>
      <c r="J818" s="303"/>
      <c r="K818" s="304"/>
      <c r="L818" s="365"/>
      <c r="M818" s="302"/>
      <c r="N818" s="303"/>
      <c r="O818" s="304"/>
      <c r="P818" s="365"/>
      <c r="Q818" s="186"/>
      <c r="R818" s="18"/>
      <c r="S818" s="374"/>
      <c r="T818" s="372"/>
      <c r="U818" s="186"/>
      <c r="V818" s="18"/>
      <c r="W818" s="374"/>
      <c r="X818" s="372"/>
      <c r="Y818" s="186"/>
      <c r="Z818" s="18"/>
      <c r="AA818" s="374"/>
      <c r="AB818" s="372"/>
      <c r="AC818" s="186"/>
      <c r="AD818" s="18"/>
      <c r="AE818" s="374"/>
      <c r="AF818" s="372"/>
      <c r="AG818" s="188"/>
      <c r="AH818" s="188"/>
      <c r="AI818" s="188"/>
      <c r="AJ818" s="188"/>
      <c r="AK818" s="365"/>
      <c r="AL818" s="365"/>
      <c r="AM818" s="365"/>
      <c r="AN818" s="365"/>
      <c r="AO818" s="365"/>
      <c r="AP818" s="365"/>
    </row>
    <row r="819">
      <c r="A819" s="302"/>
      <c r="B819" s="303"/>
      <c r="C819" s="304"/>
      <c r="D819" s="365"/>
      <c r="E819" s="302"/>
      <c r="F819" s="303"/>
      <c r="G819" s="304"/>
      <c r="H819" s="365"/>
      <c r="I819" s="302"/>
      <c r="J819" s="303"/>
      <c r="K819" s="304"/>
      <c r="L819" s="365"/>
      <c r="M819" s="302"/>
      <c r="N819" s="303"/>
      <c r="O819" s="304"/>
      <c r="P819" s="365"/>
      <c r="Q819" s="186"/>
      <c r="R819" s="18"/>
      <c r="S819" s="374"/>
      <c r="T819" s="372"/>
      <c r="U819" s="186"/>
      <c r="V819" s="18"/>
      <c r="W819" s="374"/>
      <c r="X819" s="372"/>
      <c r="Y819" s="186"/>
      <c r="Z819" s="18"/>
      <c r="AA819" s="374"/>
      <c r="AB819" s="372"/>
      <c r="AC819" s="186"/>
      <c r="AD819" s="18"/>
      <c r="AE819" s="374"/>
      <c r="AF819" s="372"/>
      <c r="AG819" s="188"/>
      <c r="AH819" s="188"/>
      <c r="AI819" s="188"/>
      <c r="AJ819" s="188"/>
      <c r="AK819" s="365"/>
      <c r="AL819" s="365"/>
      <c r="AM819" s="365"/>
      <c r="AN819" s="365"/>
      <c r="AO819" s="365"/>
      <c r="AP819" s="365"/>
    </row>
    <row r="820">
      <c r="A820" s="302"/>
      <c r="B820" s="303"/>
      <c r="C820" s="304"/>
      <c r="D820" s="365"/>
      <c r="E820" s="302"/>
      <c r="F820" s="303"/>
      <c r="G820" s="304"/>
      <c r="H820" s="365"/>
      <c r="I820" s="302"/>
      <c r="J820" s="303"/>
      <c r="K820" s="304"/>
      <c r="L820" s="365"/>
      <c r="M820" s="302"/>
      <c r="N820" s="303"/>
      <c r="O820" s="304"/>
      <c r="P820" s="365"/>
      <c r="Q820" s="186"/>
      <c r="R820" s="18"/>
      <c r="S820" s="374"/>
      <c r="T820" s="372"/>
      <c r="U820" s="186"/>
      <c r="V820" s="18"/>
      <c r="W820" s="374"/>
      <c r="X820" s="372"/>
      <c r="Y820" s="186"/>
      <c r="Z820" s="18"/>
      <c r="AA820" s="374"/>
      <c r="AB820" s="372"/>
      <c r="AC820" s="186"/>
      <c r="AD820" s="18"/>
      <c r="AE820" s="374"/>
      <c r="AF820" s="372"/>
      <c r="AG820" s="188"/>
      <c r="AH820" s="188"/>
      <c r="AI820" s="188"/>
      <c r="AJ820" s="188"/>
      <c r="AK820" s="365"/>
      <c r="AL820" s="365"/>
      <c r="AM820" s="365"/>
      <c r="AN820" s="365"/>
      <c r="AO820" s="365"/>
      <c r="AP820" s="365"/>
    </row>
    <row r="821">
      <c r="A821" s="302"/>
      <c r="B821" s="303"/>
      <c r="C821" s="304"/>
      <c r="D821" s="365"/>
      <c r="E821" s="302"/>
      <c r="F821" s="303"/>
      <c r="G821" s="304"/>
      <c r="H821" s="365"/>
      <c r="I821" s="302"/>
      <c r="J821" s="303"/>
      <c r="K821" s="304"/>
      <c r="L821" s="365"/>
      <c r="M821" s="302"/>
      <c r="N821" s="303"/>
      <c r="O821" s="304"/>
      <c r="P821" s="365"/>
      <c r="Q821" s="186"/>
      <c r="R821" s="18"/>
      <c r="S821" s="374"/>
      <c r="T821" s="372"/>
      <c r="U821" s="186"/>
      <c r="V821" s="18"/>
      <c r="W821" s="374"/>
      <c r="X821" s="372"/>
      <c r="Y821" s="186"/>
      <c r="Z821" s="18"/>
      <c r="AA821" s="374"/>
      <c r="AB821" s="372"/>
      <c r="AC821" s="186"/>
      <c r="AD821" s="18"/>
      <c r="AE821" s="374"/>
      <c r="AF821" s="372"/>
      <c r="AG821" s="188"/>
      <c r="AH821" s="188"/>
      <c r="AI821" s="188"/>
      <c r="AJ821" s="188"/>
      <c r="AK821" s="365"/>
      <c r="AL821" s="365"/>
      <c r="AM821" s="365"/>
      <c r="AN821" s="365"/>
      <c r="AO821" s="365"/>
      <c r="AP821" s="365"/>
    </row>
    <row r="822">
      <c r="A822" s="302"/>
      <c r="B822" s="303"/>
      <c r="C822" s="304"/>
      <c r="D822" s="365"/>
      <c r="E822" s="302"/>
      <c r="F822" s="303"/>
      <c r="G822" s="304"/>
      <c r="H822" s="365"/>
      <c r="I822" s="302"/>
      <c r="J822" s="303"/>
      <c r="K822" s="304"/>
      <c r="L822" s="365"/>
      <c r="M822" s="302"/>
      <c r="N822" s="303"/>
      <c r="O822" s="304"/>
      <c r="P822" s="365"/>
      <c r="Q822" s="186"/>
      <c r="R822" s="18"/>
      <c r="S822" s="374"/>
      <c r="T822" s="372"/>
      <c r="U822" s="186"/>
      <c r="V822" s="18"/>
      <c r="W822" s="374"/>
      <c r="X822" s="372"/>
      <c r="Y822" s="186"/>
      <c r="Z822" s="18"/>
      <c r="AA822" s="374"/>
      <c r="AB822" s="372"/>
      <c r="AC822" s="186"/>
      <c r="AD822" s="18"/>
      <c r="AE822" s="374"/>
      <c r="AF822" s="372"/>
      <c r="AG822" s="188"/>
      <c r="AH822" s="188"/>
      <c r="AI822" s="188"/>
      <c r="AJ822" s="188"/>
      <c r="AK822" s="365"/>
      <c r="AL822" s="365"/>
      <c r="AM822" s="365"/>
      <c r="AN822" s="365"/>
      <c r="AO822" s="365"/>
      <c r="AP822" s="365"/>
    </row>
    <row r="823">
      <c r="A823" s="302"/>
      <c r="B823" s="303"/>
      <c r="C823" s="304"/>
      <c r="D823" s="365"/>
      <c r="E823" s="302"/>
      <c r="F823" s="303"/>
      <c r="G823" s="304"/>
      <c r="H823" s="365"/>
      <c r="I823" s="302"/>
      <c r="J823" s="303"/>
      <c r="K823" s="304"/>
      <c r="L823" s="365"/>
      <c r="M823" s="302"/>
      <c r="N823" s="303"/>
      <c r="O823" s="304"/>
      <c r="P823" s="365"/>
      <c r="Q823" s="186"/>
      <c r="R823" s="18"/>
      <c r="S823" s="374"/>
      <c r="T823" s="372"/>
      <c r="U823" s="186"/>
      <c r="V823" s="18"/>
      <c r="W823" s="374"/>
      <c r="X823" s="372"/>
      <c r="Y823" s="186"/>
      <c r="Z823" s="18"/>
      <c r="AA823" s="374"/>
      <c r="AB823" s="372"/>
      <c r="AC823" s="186"/>
      <c r="AD823" s="18"/>
      <c r="AE823" s="374"/>
      <c r="AF823" s="372"/>
      <c r="AG823" s="188"/>
      <c r="AH823" s="188"/>
      <c r="AI823" s="188"/>
      <c r="AJ823" s="188"/>
      <c r="AK823" s="365"/>
      <c r="AL823" s="365"/>
      <c r="AM823" s="365"/>
      <c r="AN823" s="365"/>
      <c r="AO823" s="365"/>
      <c r="AP823" s="365"/>
    </row>
    <row r="824">
      <c r="A824" s="302"/>
      <c r="B824" s="303"/>
      <c r="C824" s="304"/>
      <c r="D824" s="365"/>
      <c r="E824" s="302"/>
      <c r="F824" s="303"/>
      <c r="G824" s="304"/>
      <c r="H824" s="365"/>
      <c r="I824" s="302"/>
      <c r="J824" s="303"/>
      <c r="K824" s="304"/>
      <c r="L824" s="365"/>
      <c r="M824" s="302"/>
      <c r="N824" s="303"/>
      <c r="O824" s="304"/>
      <c r="P824" s="365"/>
      <c r="Q824" s="186"/>
      <c r="R824" s="18"/>
      <c r="S824" s="374"/>
      <c r="T824" s="372"/>
      <c r="U824" s="186"/>
      <c r="V824" s="18"/>
      <c r="W824" s="374"/>
      <c r="X824" s="372"/>
      <c r="Y824" s="186"/>
      <c r="Z824" s="18"/>
      <c r="AA824" s="374"/>
      <c r="AB824" s="372"/>
      <c r="AC824" s="186"/>
      <c r="AD824" s="18"/>
      <c r="AE824" s="374"/>
      <c r="AF824" s="372"/>
      <c r="AG824" s="188"/>
      <c r="AH824" s="188"/>
      <c r="AI824" s="188"/>
      <c r="AJ824" s="188"/>
      <c r="AK824" s="365"/>
      <c r="AL824" s="365"/>
      <c r="AM824" s="365"/>
      <c r="AN824" s="365"/>
      <c r="AO824" s="365"/>
      <c r="AP824" s="365"/>
    </row>
    <row r="825">
      <c r="A825" s="302"/>
      <c r="B825" s="303"/>
      <c r="C825" s="304"/>
      <c r="D825" s="365"/>
      <c r="E825" s="302"/>
      <c r="F825" s="303"/>
      <c r="G825" s="304"/>
      <c r="H825" s="365"/>
      <c r="I825" s="302"/>
      <c r="J825" s="303"/>
      <c r="K825" s="304"/>
      <c r="L825" s="365"/>
      <c r="M825" s="302"/>
      <c r="N825" s="303"/>
      <c r="O825" s="304"/>
      <c r="P825" s="365"/>
      <c r="Q825" s="186"/>
      <c r="R825" s="18"/>
      <c r="S825" s="374"/>
      <c r="T825" s="372"/>
      <c r="U825" s="186"/>
      <c r="V825" s="18"/>
      <c r="W825" s="374"/>
      <c r="X825" s="372"/>
      <c r="Y825" s="186"/>
      <c r="Z825" s="18"/>
      <c r="AA825" s="374"/>
      <c r="AB825" s="372"/>
      <c r="AC825" s="186"/>
      <c r="AD825" s="18"/>
      <c r="AE825" s="374"/>
      <c r="AF825" s="372"/>
      <c r="AG825" s="188"/>
      <c r="AH825" s="188"/>
      <c r="AI825" s="188"/>
      <c r="AJ825" s="188"/>
      <c r="AK825" s="365"/>
      <c r="AL825" s="365"/>
      <c r="AM825" s="365"/>
      <c r="AN825" s="365"/>
      <c r="AO825" s="365"/>
      <c r="AP825" s="365"/>
    </row>
    <row r="826">
      <c r="A826" s="302"/>
      <c r="B826" s="303"/>
      <c r="C826" s="304"/>
      <c r="D826" s="365"/>
      <c r="E826" s="302"/>
      <c r="F826" s="303"/>
      <c r="G826" s="304"/>
      <c r="H826" s="365"/>
      <c r="I826" s="302"/>
      <c r="J826" s="303"/>
      <c r="K826" s="304"/>
      <c r="L826" s="365"/>
      <c r="M826" s="302"/>
      <c r="N826" s="303"/>
      <c r="O826" s="304"/>
      <c r="P826" s="365"/>
      <c r="Q826" s="186"/>
      <c r="R826" s="18"/>
      <c r="S826" s="374"/>
      <c r="T826" s="372"/>
      <c r="U826" s="186"/>
      <c r="V826" s="18"/>
      <c r="W826" s="374"/>
      <c r="X826" s="372"/>
      <c r="Y826" s="186"/>
      <c r="Z826" s="18"/>
      <c r="AA826" s="374"/>
      <c r="AB826" s="372"/>
      <c r="AC826" s="186"/>
      <c r="AD826" s="18"/>
      <c r="AE826" s="374"/>
      <c r="AF826" s="372"/>
      <c r="AG826" s="188"/>
      <c r="AH826" s="188"/>
      <c r="AI826" s="188"/>
      <c r="AJ826" s="188"/>
      <c r="AK826" s="365"/>
      <c r="AL826" s="365"/>
      <c r="AM826" s="365"/>
      <c r="AN826" s="365"/>
      <c r="AO826" s="365"/>
      <c r="AP826" s="365"/>
    </row>
    <row r="827">
      <c r="A827" s="302"/>
      <c r="B827" s="303"/>
      <c r="C827" s="304"/>
      <c r="D827" s="365"/>
      <c r="E827" s="302"/>
      <c r="F827" s="303"/>
      <c r="G827" s="304"/>
      <c r="H827" s="365"/>
      <c r="I827" s="302"/>
      <c r="J827" s="303"/>
      <c r="K827" s="304"/>
      <c r="L827" s="365"/>
      <c r="M827" s="302"/>
      <c r="N827" s="303"/>
      <c r="O827" s="304"/>
      <c r="P827" s="365"/>
      <c r="Q827" s="186"/>
      <c r="R827" s="18"/>
      <c r="S827" s="374"/>
      <c r="T827" s="372"/>
      <c r="U827" s="186"/>
      <c r="V827" s="18"/>
      <c r="W827" s="374"/>
      <c r="X827" s="372"/>
      <c r="Y827" s="186"/>
      <c r="Z827" s="18"/>
      <c r="AA827" s="374"/>
      <c r="AB827" s="372"/>
      <c r="AC827" s="186"/>
      <c r="AD827" s="18"/>
      <c r="AE827" s="374"/>
      <c r="AF827" s="372"/>
      <c r="AG827" s="188"/>
      <c r="AH827" s="188"/>
      <c r="AI827" s="188"/>
      <c r="AJ827" s="188"/>
      <c r="AK827" s="365"/>
      <c r="AL827" s="365"/>
      <c r="AM827" s="365"/>
      <c r="AN827" s="365"/>
      <c r="AO827" s="365"/>
      <c r="AP827" s="365"/>
    </row>
    <row r="828">
      <c r="A828" s="302"/>
      <c r="B828" s="303"/>
      <c r="C828" s="304"/>
      <c r="D828" s="365"/>
      <c r="E828" s="302"/>
      <c r="F828" s="303"/>
      <c r="G828" s="304"/>
      <c r="H828" s="365"/>
      <c r="I828" s="302"/>
      <c r="J828" s="303"/>
      <c r="K828" s="304"/>
      <c r="L828" s="365"/>
      <c r="M828" s="302"/>
      <c r="N828" s="303"/>
      <c r="O828" s="304"/>
      <c r="P828" s="365"/>
      <c r="Q828" s="186"/>
      <c r="R828" s="18"/>
      <c r="S828" s="374"/>
      <c r="T828" s="372"/>
      <c r="U828" s="186"/>
      <c r="V828" s="18"/>
      <c r="W828" s="374"/>
      <c r="X828" s="372"/>
      <c r="Y828" s="186"/>
      <c r="Z828" s="18"/>
      <c r="AA828" s="374"/>
      <c r="AB828" s="372"/>
      <c r="AC828" s="186"/>
      <c r="AD828" s="18"/>
      <c r="AE828" s="374"/>
      <c r="AF828" s="372"/>
      <c r="AG828" s="188"/>
      <c r="AH828" s="188"/>
      <c r="AI828" s="188"/>
      <c r="AJ828" s="188"/>
      <c r="AK828" s="365"/>
      <c r="AL828" s="365"/>
      <c r="AM828" s="365"/>
      <c r="AN828" s="365"/>
      <c r="AO828" s="365"/>
      <c r="AP828" s="365"/>
    </row>
    <row r="829">
      <c r="A829" s="302"/>
      <c r="B829" s="303"/>
      <c r="C829" s="304"/>
      <c r="D829" s="365"/>
      <c r="E829" s="302"/>
      <c r="F829" s="303"/>
      <c r="G829" s="304"/>
      <c r="H829" s="365"/>
      <c r="I829" s="302"/>
      <c r="J829" s="303"/>
      <c r="K829" s="304"/>
      <c r="L829" s="365"/>
      <c r="M829" s="302"/>
      <c r="N829" s="303"/>
      <c r="O829" s="304"/>
      <c r="P829" s="365"/>
      <c r="Q829" s="186"/>
      <c r="R829" s="18"/>
      <c r="S829" s="374"/>
      <c r="T829" s="372"/>
      <c r="U829" s="186"/>
      <c r="V829" s="18"/>
      <c r="W829" s="374"/>
      <c r="X829" s="372"/>
      <c r="Y829" s="186"/>
      <c r="Z829" s="18"/>
      <c r="AA829" s="374"/>
      <c r="AB829" s="372"/>
      <c r="AC829" s="186"/>
      <c r="AD829" s="18"/>
      <c r="AE829" s="374"/>
      <c r="AF829" s="372"/>
      <c r="AG829" s="188"/>
      <c r="AH829" s="188"/>
      <c r="AI829" s="188"/>
      <c r="AJ829" s="188"/>
      <c r="AK829" s="365"/>
      <c r="AL829" s="365"/>
      <c r="AM829" s="365"/>
      <c r="AN829" s="365"/>
      <c r="AO829" s="365"/>
      <c r="AP829" s="365"/>
    </row>
    <row r="830">
      <c r="A830" s="302"/>
      <c r="B830" s="303"/>
      <c r="C830" s="304"/>
      <c r="D830" s="365"/>
      <c r="E830" s="302"/>
      <c r="F830" s="303"/>
      <c r="G830" s="304"/>
      <c r="H830" s="365"/>
      <c r="I830" s="302"/>
      <c r="J830" s="303"/>
      <c r="K830" s="304"/>
      <c r="L830" s="365"/>
      <c r="M830" s="302"/>
      <c r="N830" s="303"/>
      <c r="O830" s="304"/>
      <c r="P830" s="365"/>
      <c r="Q830" s="186"/>
      <c r="R830" s="18"/>
      <c r="S830" s="374"/>
      <c r="T830" s="372"/>
      <c r="U830" s="186"/>
      <c r="V830" s="18"/>
      <c r="W830" s="374"/>
      <c r="X830" s="372"/>
      <c r="Y830" s="186"/>
      <c r="Z830" s="18"/>
      <c r="AA830" s="374"/>
      <c r="AB830" s="372"/>
      <c r="AC830" s="186"/>
      <c r="AD830" s="18"/>
      <c r="AE830" s="374"/>
      <c r="AF830" s="372"/>
      <c r="AG830" s="188"/>
      <c r="AH830" s="188"/>
      <c r="AI830" s="188"/>
      <c r="AJ830" s="188"/>
      <c r="AK830" s="365"/>
      <c r="AL830" s="365"/>
      <c r="AM830" s="365"/>
      <c r="AN830" s="365"/>
      <c r="AO830" s="365"/>
      <c r="AP830" s="365"/>
    </row>
    <row r="831">
      <c r="A831" s="302"/>
      <c r="B831" s="303"/>
      <c r="C831" s="304"/>
      <c r="D831" s="365"/>
      <c r="E831" s="302"/>
      <c r="F831" s="303"/>
      <c r="G831" s="304"/>
      <c r="H831" s="365"/>
      <c r="I831" s="302"/>
      <c r="J831" s="303"/>
      <c r="K831" s="304"/>
      <c r="L831" s="365"/>
      <c r="M831" s="302"/>
      <c r="N831" s="303"/>
      <c r="O831" s="304"/>
      <c r="P831" s="365"/>
      <c r="Q831" s="186"/>
      <c r="R831" s="18"/>
      <c r="S831" s="374"/>
      <c r="T831" s="372"/>
      <c r="U831" s="186"/>
      <c r="V831" s="18"/>
      <c r="W831" s="374"/>
      <c r="X831" s="372"/>
      <c r="Y831" s="186"/>
      <c r="Z831" s="18"/>
      <c r="AA831" s="374"/>
      <c r="AB831" s="372"/>
      <c r="AC831" s="186"/>
      <c r="AD831" s="18"/>
      <c r="AE831" s="374"/>
      <c r="AF831" s="372"/>
      <c r="AG831" s="188"/>
      <c r="AH831" s="188"/>
      <c r="AI831" s="188"/>
      <c r="AJ831" s="188"/>
      <c r="AK831" s="365"/>
      <c r="AL831" s="365"/>
      <c r="AM831" s="365"/>
      <c r="AN831" s="365"/>
      <c r="AO831" s="365"/>
      <c r="AP831" s="365"/>
    </row>
    <row r="832">
      <c r="A832" s="302"/>
      <c r="B832" s="303"/>
      <c r="C832" s="304"/>
      <c r="D832" s="365"/>
      <c r="E832" s="302"/>
      <c r="F832" s="303"/>
      <c r="G832" s="304"/>
      <c r="H832" s="365"/>
      <c r="I832" s="302"/>
      <c r="J832" s="303"/>
      <c r="K832" s="304"/>
      <c r="L832" s="365"/>
      <c r="M832" s="302"/>
      <c r="N832" s="303"/>
      <c r="O832" s="304"/>
      <c r="P832" s="365"/>
      <c r="Q832" s="186"/>
      <c r="R832" s="18"/>
      <c r="S832" s="374"/>
      <c r="T832" s="372"/>
      <c r="U832" s="186"/>
      <c r="V832" s="18"/>
      <c r="W832" s="374"/>
      <c r="X832" s="372"/>
      <c r="Y832" s="186"/>
      <c r="Z832" s="18"/>
      <c r="AA832" s="374"/>
      <c r="AB832" s="372"/>
      <c r="AC832" s="186"/>
      <c r="AD832" s="18"/>
      <c r="AE832" s="374"/>
      <c r="AF832" s="372"/>
      <c r="AG832" s="188"/>
      <c r="AH832" s="188"/>
      <c r="AI832" s="188"/>
      <c r="AJ832" s="188"/>
      <c r="AK832" s="365"/>
      <c r="AL832" s="365"/>
      <c r="AM832" s="365"/>
      <c r="AN832" s="365"/>
      <c r="AO832" s="365"/>
      <c r="AP832" s="365"/>
    </row>
    <row r="833">
      <c r="A833" s="302"/>
      <c r="B833" s="303"/>
      <c r="C833" s="304"/>
      <c r="D833" s="365"/>
      <c r="E833" s="302"/>
      <c r="F833" s="303"/>
      <c r="G833" s="304"/>
      <c r="H833" s="365"/>
      <c r="I833" s="302"/>
      <c r="J833" s="303"/>
      <c r="K833" s="304"/>
      <c r="L833" s="365"/>
      <c r="M833" s="302"/>
      <c r="N833" s="303"/>
      <c r="O833" s="304"/>
      <c r="P833" s="365"/>
      <c r="Q833" s="186"/>
      <c r="R833" s="18"/>
      <c r="S833" s="374"/>
      <c r="T833" s="372"/>
      <c r="U833" s="186"/>
      <c r="V833" s="18"/>
      <c r="W833" s="374"/>
      <c r="X833" s="372"/>
      <c r="Y833" s="186"/>
      <c r="Z833" s="18"/>
      <c r="AA833" s="374"/>
      <c r="AB833" s="372"/>
      <c r="AC833" s="186"/>
      <c r="AD833" s="18"/>
      <c r="AE833" s="374"/>
      <c r="AF833" s="372"/>
      <c r="AG833" s="188"/>
      <c r="AH833" s="188"/>
      <c r="AI833" s="188"/>
      <c r="AJ833" s="188"/>
      <c r="AK833" s="365"/>
      <c r="AL833" s="365"/>
      <c r="AM833" s="365"/>
      <c r="AN833" s="365"/>
      <c r="AO833" s="365"/>
      <c r="AP833" s="365"/>
    </row>
    <row r="834">
      <c r="A834" s="302"/>
      <c r="B834" s="303"/>
      <c r="C834" s="304"/>
      <c r="D834" s="365"/>
      <c r="E834" s="302"/>
      <c r="F834" s="303"/>
      <c r="G834" s="304"/>
      <c r="H834" s="365"/>
      <c r="I834" s="302"/>
      <c r="J834" s="303"/>
      <c r="K834" s="304"/>
      <c r="L834" s="365"/>
      <c r="M834" s="302"/>
      <c r="N834" s="303"/>
      <c r="O834" s="304"/>
      <c r="P834" s="365"/>
      <c r="Q834" s="186"/>
      <c r="R834" s="18"/>
      <c r="S834" s="374"/>
      <c r="T834" s="372"/>
      <c r="U834" s="186"/>
      <c r="V834" s="18"/>
      <c r="W834" s="374"/>
      <c r="X834" s="372"/>
      <c r="Y834" s="186"/>
      <c r="Z834" s="18"/>
      <c r="AA834" s="374"/>
      <c r="AB834" s="372"/>
      <c r="AC834" s="186"/>
      <c r="AD834" s="18"/>
      <c r="AE834" s="374"/>
      <c r="AF834" s="372"/>
      <c r="AG834" s="188"/>
      <c r="AH834" s="188"/>
      <c r="AI834" s="188"/>
      <c r="AJ834" s="188"/>
      <c r="AK834" s="365"/>
      <c r="AL834" s="365"/>
      <c r="AM834" s="365"/>
      <c r="AN834" s="365"/>
      <c r="AO834" s="365"/>
      <c r="AP834" s="365"/>
    </row>
    <row r="835">
      <c r="A835" s="302"/>
      <c r="B835" s="303"/>
      <c r="C835" s="304"/>
      <c r="D835" s="365"/>
      <c r="E835" s="302"/>
      <c r="F835" s="303"/>
      <c r="G835" s="304"/>
      <c r="H835" s="365"/>
      <c r="I835" s="302"/>
      <c r="J835" s="303"/>
      <c r="K835" s="304"/>
      <c r="L835" s="365"/>
      <c r="M835" s="302"/>
      <c r="N835" s="303"/>
      <c r="O835" s="304"/>
      <c r="P835" s="365"/>
      <c r="Q835" s="186"/>
      <c r="R835" s="18"/>
      <c r="S835" s="374"/>
      <c r="T835" s="372"/>
      <c r="U835" s="186"/>
      <c r="V835" s="18"/>
      <c r="W835" s="374"/>
      <c r="X835" s="372"/>
      <c r="Y835" s="186"/>
      <c r="Z835" s="18"/>
      <c r="AA835" s="374"/>
      <c r="AB835" s="372"/>
      <c r="AC835" s="186"/>
      <c r="AD835" s="18"/>
      <c r="AE835" s="374"/>
      <c r="AF835" s="372"/>
      <c r="AG835" s="188"/>
      <c r="AH835" s="188"/>
      <c r="AI835" s="188"/>
      <c r="AJ835" s="188"/>
      <c r="AK835" s="365"/>
      <c r="AL835" s="365"/>
      <c r="AM835" s="365"/>
      <c r="AN835" s="365"/>
      <c r="AO835" s="365"/>
      <c r="AP835" s="365"/>
    </row>
    <row r="836">
      <c r="A836" s="302"/>
      <c r="B836" s="303"/>
      <c r="C836" s="304"/>
      <c r="D836" s="365"/>
      <c r="E836" s="302"/>
      <c r="F836" s="303"/>
      <c r="G836" s="304"/>
      <c r="H836" s="365"/>
      <c r="I836" s="302"/>
      <c r="J836" s="303"/>
      <c r="K836" s="304"/>
      <c r="L836" s="365"/>
      <c r="M836" s="302"/>
      <c r="N836" s="303"/>
      <c r="O836" s="304"/>
      <c r="P836" s="365"/>
      <c r="Q836" s="186"/>
      <c r="R836" s="18"/>
      <c r="S836" s="374"/>
      <c r="T836" s="372"/>
      <c r="U836" s="186"/>
      <c r="V836" s="18"/>
      <c r="W836" s="374"/>
      <c r="X836" s="372"/>
      <c r="Y836" s="186"/>
      <c r="Z836" s="18"/>
      <c r="AA836" s="374"/>
      <c r="AB836" s="372"/>
      <c r="AC836" s="186"/>
      <c r="AD836" s="18"/>
      <c r="AE836" s="374"/>
      <c r="AF836" s="372"/>
      <c r="AG836" s="188"/>
      <c r="AH836" s="188"/>
      <c r="AI836" s="188"/>
      <c r="AJ836" s="188"/>
      <c r="AK836" s="365"/>
      <c r="AL836" s="365"/>
      <c r="AM836" s="365"/>
      <c r="AN836" s="365"/>
      <c r="AO836" s="365"/>
      <c r="AP836" s="365"/>
    </row>
    <row r="837">
      <c r="A837" s="302"/>
      <c r="B837" s="303"/>
      <c r="C837" s="304"/>
      <c r="D837" s="365"/>
      <c r="E837" s="302"/>
      <c r="F837" s="303"/>
      <c r="G837" s="304"/>
      <c r="H837" s="365"/>
      <c r="I837" s="302"/>
      <c r="J837" s="303"/>
      <c r="K837" s="304"/>
      <c r="L837" s="365"/>
      <c r="M837" s="302"/>
      <c r="N837" s="303"/>
      <c r="O837" s="304"/>
      <c r="P837" s="365"/>
      <c r="Q837" s="186"/>
      <c r="R837" s="18"/>
      <c r="S837" s="374"/>
      <c r="T837" s="372"/>
      <c r="U837" s="186"/>
      <c r="V837" s="18"/>
      <c r="W837" s="374"/>
      <c r="X837" s="372"/>
      <c r="Y837" s="186"/>
      <c r="Z837" s="18"/>
      <c r="AA837" s="374"/>
      <c r="AB837" s="372"/>
      <c r="AC837" s="186"/>
      <c r="AD837" s="18"/>
      <c r="AE837" s="374"/>
      <c r="AF837" s="372"/>
      <c r="AG837" s="188"/>
      <c r="AH837" s="188"/>
      <c r="AI837" s="188"/>
      <c r="AJ837" s="188"/>
      <c r="AK837" s="365"/>
      <c r="AL837" s="365"/>
      <c r="AM837" s="365"/>
      <c r="AN837" s="365"/>
      <c r="AO837" s="365"/>
      <c r="AP837" s="365"/>
    </row>
    <row r="838">
      <c r="A838" s="302"/>
      <c r="B838" s="303"/>
      <c r="C838" s="304"/>
      <c r="D838" s="365"/>
      <c r="E838" s="302"/>
      <c r="F838" s="303"/>
      <c r="G838" s="304"/>
      <c r="H838" s="365"/>
      <c r="I838" s="302"/>
      <c r="J838" s="303"/>
      <c r="K838" s="304"/>
      <c r="L838" s="365"/>
      <c r="M838" s="302"/>
      <c r="N838" s="303"/>
      <c r="O838" s="304"/>
      <c r="P838" s="365"/>
      <c r="Q838" s="186"/>
      <c r="R838" s="18"/>
      <c r="S838" s="374"/>
      <c r="T838" s="372"/>
      <c r="U838" s="186"/>
      <c r="V838" s="18"/>
      <c r="W838" s="374"/>
      <c r="X838" s="372"/>
      <c r="Y838" s="186"/>
      <c r="Z838" s="18"/>
      <c r="AA838" s="374"/>
      <c r="AB838" s="372"/>
      <c r="AC838" s="186"/>
      <c r="AD838" s="18"/>
      <c r="AE838" s="374"/>
      <c r="AF838" s="372"/>
      <c r="AG838" s="188"/>
      <c r="AH838" s="188"/>
      <c r="AI838" s="188"/>
      <c r="AJ838" s="188"/>
      <c r="AK838" s="365"/>
      <c r="AL838" s="365"/>
      <c r="AM838" s="365"/>
      <c r="AN838" s="365"/>
      <c r="AO838" s="365"/>
      <c r="AP838" s="365"/>
    </row>
    <row r="839">
      <c r="A839" s="302"/>
      <c r="B839" s="303"/>
      <c r="C839" s="304"/>
      <c r="D839" s="365"/>
      <c r="E839" s="302"/>
      <c r="F839" s="303"/>
      <c r="G839" s="304"/>
      <c r="H839" s="365"/>
      <c r="I839" s="302"/>
      <c r="J839" s="303"/>
      <c r="K839" s="304"/>
      <c r="L839" s="365"/>
      <c r="M839" s="302"/>
      <c r="N839" s="303"/>
      <c r="O839" s="304"/>
      <c r="P839" s="365"/>
      <c r="Q839" s="186"/>
      <c r="R839" s="18"/>
      <c r="S839" s="374"/>
      <c r="T839" s="372"/>
      <c r="U839" s="186"/>
      <c r="V839" s="18"/>
      <c r="W839" s="374"/>
      <c r="X839" s="372"/>
      <c r="Y839" s="186"/>
      <c r="Z839" s="18"/>
      <c r="AA839" s="374"/>
      <c r="AB839" s="372"/>
      <c r="AC839" s="186"/>
      <c r="AD839" s="18"/>
      <c r="AE839" s="374"/>
      <c r="AF839" s="372"/>
      <c r="AG839" s="188"/>
      <c r="AH839" s="188"/>
      <c r="AI839" s="188"/>
      <c r="AJ839" s="188"/>
      <c r="AK839" s="365"/>
      <c r="AL839" s="365"/>
      <c r="AM839" s="365"/>
      <c r="AN839" s="365"/>
      <c r="AO839" s="365"/>
      <c r="AP839" s="365"/>
    </row>
    <row r="840">
      <c r="A840" s="302"/>
      <c r="B840" s="303"/>
      <c r="C840" s="304"/>
      <c r="D840" s="365"/>
      <c r="E840" s="302"/>
      <c r="F840" s="303"/>
      <c r="G840" s="304"/>
      <c r="H840" s="365"/>
      <c r="I840" s="302"/>
      <c r="J840" s="303"/>
      <c r="K840" s="304"/>
      <c r="L840" s="365"/>
      <c r="M840" s="302"/>
      <c r="N840" s="303"/>
      <c r="O840" s="304"/>
      <c r="P840" s="365"/>
      <c r="Q840" s="186"/>
      <c r="R840" s="18"/>
      <c r="S840" s="374"/>
      <c r="T840" s="372"/>
      <c r="U840" s="186"/>
      <c r="V840" s="18"/>
      <c r="W840" s="374"/>
      <c r="X840" s="372"/>
      <c r="Y840" s="186"/>
      <c r="Z840" s="18"/>
      <c r="AA840" s="374"/>
      <c r="AB840" s="372"/>
      <c r="AC840" s="186"/>
      <c r="AD840" s="18"/>
      <c r="AE840" s="374"/>
      <c r="AF840" s="372"/>
      <c r="AG840" s="188"/>
      <c r="AH840" s="188"/>
      <c r="AI840" s="188"/>
      <c r="AJ840" s="188"/>
      <c r="AK840" s="365"/>
      <c r="AL840" s="365"/>
      <c r="AM840" s="365"/>
      <c r="AN840" s="365"/>
      <c r="AO840" s="365"/>
      <c r="AP840" s="365"/>
    </row>
    <row r="841">
      <c r="A841" s="302"/>
      <c r="B841" s="303"/>
      <c r="C841" s="304"/>
      <c r="D841" s="365"/>
      <c r="E841" s="302"/>
      <c r="F841" s="303"/>
      <c r="G841" s="304"/>
      <c r="H841" s="365"/>
      <c r="I841" s="302"/>
      <c r="J841" s="303"/>
      <c r="K841" s="304"/>
      <c r="L841" s="365"/>
      <c r="M841" s="302"/>
      <c r="N841" s="303"/>
      <c r="O841" s="304"/>
      <c r="P841" s="365"/>
      <c r="Q841" s="186"/>
      <c r="R841" s="18"/>
      <c r="S841" s="374"/>
      <c r="T841" s="372"/>
      <c r="U841" s="186"/>
      <c r="V841" s="18"/>
      <c r="W841" s="374"/>
      <c r="X841" s="372"/>
      <c r="Y841" s="186"/>
      <c r="Z841" s="18"/>
      <c r="AA841" s="374"/>
      <c r="AB841" s="372"/>
      <c r="AC841" s="186"/>
      <c r="AD841" s="18"/>
      <c r="AE841" s="374"/>
      <c r="AF841" s="372"/>
      <c r="AG841" s="188"/>
      <c r="AH841" s="188"/>
      <c r="AI841" s="188"/>
      <c r="AJ841" s="188"/>
      <c r="AK841" s="365"/>
      <c r="AL841" s="365"/>
      <c r="AM841" s="365"/>
      <c r="AN841" s="365"/>
      <c r="AO841" s="365"/>
      <c r="AP841" s="365"/>
    </row>
    <row r="842">
      <c r="A842" s="302"/>
      <c r="B842" s="303"/>
      <c r="C842" s="304"/>
      <c r="D842" s="365"/>
      <c r="E842" s="302"/>
      <c r="F842" s="303"/>
      <c r="G842" s="304"/>
      <c r="H842" s="365"/>
      <c r="I842" s="302"/>
      <c r="J842" s="303"/>
      <c r="K842" s="304"/>
      <c r="L842" s="365"/>
      <c r="M842" s="302"/>
      <c r="N842" s="303"/>
      <c r="O842" s="304"/>
      <c r="P842" s="365"/>
      <c r="Q842" s="186"/>
      <c r="R842" s="18"/>
      <c r="S842" s="374"/>
      <c r="T842" s="372"/>
      <c r="U842" s="186"/>
      <c r="V842" s="18"/>
      <c r="W842" s="374"/>
      <c r="X842" s="372"/>
      <c r="Y842" s="186"/>
      <c r="Z842" s="18"/>
      <c r="AA842" s="374"/>
      <c r="AB842" s="372"/>
      <c r="AC842" s="186"/>
      <c r="AD842" s="18"/>
      <c r="AE842" s="374"/>
      <c r="AF842" s="372"/>
      <c r="AG842" s="188"/>
      <c r="AH842" s="188"/>
      <c r="AI842" s="188"/>
      <c r="AJ842" s="188"/>
      <c r="AK842" s="365"/>
      <c r="AL842" s="365"/>
      <c r="AM842" s="365"/>
      <c r="AN842" s="365"/>
      <c r="AO842" s="365"/>
      <c r="AP842" s="365"/>
    </row>
    <row r="843">
      <c r="A843" s="302"/>
      <c r="B843" s="303"/>
      <c r="C843" s="304"/>
      <c r="D843" s="365"/>
      <c r="E843" s="302"/>
      <c r="F843" s="303"/>
      <c r="G843" s="304"/>
      <c r="H843" s="365"/>
      <c r="I843" s="302"/>
      <c r="J843" s="303"/>
      <c r="K843" s="304"/>
      <c r="L843" s="365"/>
      <c r="M843" s="302"/>
      <c r="N843" s="303"/>
      <c r="O843" s="304"/>
      <c r="P843" s="365"/>
      <c r="Q843" s="186"/>
      <c r="R843" s="18"/>
      <c r="S843" s="374"/>
      <c r="T843" s="372"/>
      <c r="U843" s="186"/>
      <c r="V843" s="18"/>
      <c r="W843" s="374"/>
      <c r="X843" s="372"/>
      <c r="Y843" s="186"/>
      <c r="Z843" s="18"/>
      <c r="AA843" s="374"/>
      <c r="AB843" s="372"/>
      <c r="AC843" s="186"/>
      <c r="AD843" s="18"/>
      <c r="AE843" s="374"/>
      <c r="AF843" s="372"/>
      <c r="AG843" s="188"/>
      <c r="AH843" s="188"/>
      <c r="AI843" s="188"/>
      <c r="AJ843" s="188"/>
      <c r="AK843" s="365"/>
      <c r="AL843" s="365"/>
      <c r="AM843" s="365"/>
      <c r="AN843" s="365"/>
      <c r="AO843" s="365"/>
      <c r="AP843" s="365"/>
    </row>
    <row r="844">
      <c r="A844" s="302"/>
      <c r="B844" s="303"/>
      <c r="C844" s="304"/>
      <c r="D844" s="365"/>
      <c r="E844" s="302"/>
      <c r="F844" s="303"/>
      <c r="G844" s="304"/>
      <c r="H844" s="365"/>
      <c r="I844" s="302"/>
      <c r="J844" s="303"/>
      <c r="K844" s="304"/>
      <c r="L844" s="365"/>
      <c r="M844" s="302"/>
      <c r="N844" s="303"/>
      <c r="O844" s="304"/>
      <c r="P844" s="365"/>
      <c r="Q844" s="186"/>
      <c r="R844" s="18"/>
      <c r="S844" s="374"/>
      <c r="T844" s="372"/>
      <c r="U844" s="186"/>
      <c r="V844" s="18"/>
      <c r="W844" s="374"/>
      <c r="X844" s="372"/>
      <c r="Y844" s="186"/>
      <c r="Z844" s="18"/>
      <c r="AA844" s="374"/>
      <c r="AB844" s="372"/>
      <c r="AC844" s="186"/>
      <c r="AD844" s="18"/>
      <c r="AE844" s="374"/>
      <c r="AF844" s="372"/>
      <c r="AG844" s="188"/>
      <c r="AH844" s="188"/>
      <c r="AI844" s="188"/>
      <c r="AJ844" s="188"/>
      <c r="AK844" s="365"/>
      <c r="AL844" s="365"/>
      <c r="AM844" s="365"/>
      <c r="AN844" s="365"/>
      <c r="AO844" s="365"/>
      <c r="AP844" s="365"/>
    </row>
    <row r="845">
      <c r="A845" s="302"/>
      <c r="B845" s="303"/>
      <c r="C845" s="304"/>
      <c r="D845" s="365"/>
      <c r="E845" s="302"/>
      <c r="F845" s="303"/>
      <c r="G845" s="304"/>
      <c r="H845" s="365"/>
      <c r="I845" s="302"/>
      <c r="J845" s="303"/>
      <c r="K845" s="304"/>
      <c r="L845" s="365"/>
      <c r="M845" s="302"/>
      <c r="N845" s="303"/>
      <c r="O845" s="304"/>
      <c r="P845" s="365"/>
      <c r="Q845" s="186"/>
      <c r="R845" s="18"/>
      <c r="S845" s="374"/>
      <c r="T845" s="372"/>
      <c r="U845" s="186"/>
      <c r="V845" s="18"/>
      <c r="W845" s="374"/>
      <c r="X845" s="372"/>
      <c r="Y845" s="186"/>
      <c r="Z845" s="18"/>
      <c r="AA845" s="374"/>
      <c r="AB845" s="372"/>
      <c r="AC845" s="186"/>
      <c r="AD845" s="18"/>
      <c r="AE845" s="374"/>
      <c r="AF845" s="372"/>
      <c r="AG845" s="188"/>
      <c r="AH845" s="188"/>
      <c r="AI845" s="188"/>
      <c r="AJ845" s="188"/>
      <c r="AK845" s="365"/>
      <c r="AL845" s="365"/>
      <c r="AM845" s="365"/>
      <c r="AN845" s="365"/>
      <c r="AO845" s="365"/>
      <c r="AP845" s="365"/>
    </row>
    <row r="846">
      <c r="A846" s="302"/>
      <c r="B846" s="303"/>
      <c r="C846" s="304"/>
      <c r="D846" s="365"/>
      <c r="E846" s="302"/>
      <c r="F846" s="303"/>
      <c r="G846" s="304"/>
      <c r="H846" s="365"/>
      <c r="I846" s="302"/>
      <c r="J846" s="303"/>
      <c r="K846" s="304"/>
      <c r="L846" s="365"/>
      <c r="M846" s="302"/>
      <c r="N846" s="303"/>
      <c r="O846" s="304"/>
      <c r="P846" s="365"/>
      <c r="Q846" s="186"/>
      <c r="R846" s="18"/>
      <c r="S846" s="374"/>
      <c r="T846" s="372"/>
      <c r="U846" s="186"/>
      <c r="V846" s="18"/>
      <c r="W846" s="374"/>
      <c r="X846" s="372"/>
      <c r="Y846" s="186"/>
      <c r="Z846" s="18"/>
      <c r="AA846" s="374"/>
      <c r="AB846" s="372"/>
      <c r="AC846" s="186"/>
      <c r="AD846" s="18"/>
      <c r="AE846" s="374"/>
      <c r="AF846" s="372"/>
      <c r="AG846" s="188"/>
      <c r="AH846" s="188"/>
      <c r="AI846" s="188"/>
      <c r="AJ846" s="188"/>
      <c r="AK846" s="365"/>
      <c r="AL846" s="365"/>
      <c r="AM846" s="365"/>
      <c r="AN846" s="365"/>
      <c r="AO846" s="365"/>
      <c r="AP846" s="365"/>
    </row>
    <row r="847">
      <c r="A847" s="302"/>
      <c r="B847" s="303"/>
      <c r="C847" s="304"/>
      <c r="D847" s="365"/>
      <c r="E847" s="302"/>
      <c r="F847" s="303"/>
      <c r="G847" s="304"/>
      <c r="H847" s="365"/>
      <c r="I847" s="302"/>
      <c r="J847" s="303"/>
      <c r="K847" s="304"/>
      <c r="L847" s="365"/>
      <c r="M847" s="302"/>
      <c r="N847" s="303"/>
      <c r="O847" s="304"/>
      <c r="P847" s="365"/>
      <c r="Q847" s="186"/>
      <c r="R847" s="18"/>
      <c r="S847" s="374"/>
      <c r="T847" s="372"/>
      <c r="U847" s="186"/>
      <c r="V847" s="18"/>
      <c r="W847" s="374"/>
      <c r="X847" s="372"/>
      <c r="Y847" s="186"/>
      <c r="Z847" s="18"/>
      <c r="AA847" s="374"/>
      <c r="AB847" s="372"/>
      <c r="AC847" s="186"/>
      <c r="AD847" s="18"/>
      <c r="AE847" s="374"/>
      <c r="AF847" s="372"/>
      <c r="AG847" s="188"/>
      <c r="AH847" s="188"/>
      <c r="AI847" s="188"/>
      <c r="AJ847" s="188"/>
      <c r="AK847" s="365"/>
      <c r="AL847" s="365"/>
      <c r="AM847" s="365"/>
      <c r="AN847" s="365"/>
      <c r="AO847" s="365"/>
      <c r="AP847" s="365"/>
    </row>
    <row r="848">
      <c r="A848" s="302"/>
      <c r="B848" s="303"/>
      <c r="C848" s="304"/>
      <c r="D848" s="365"/>
      <c r="E848" s="302"/>
      <c r="F848" s="303"/>
      <c r="G848" s="304"/>
      <c r="H848" s="365"/>
      <c r="I848" s="302"/>
      <c r="J848" s="303"/>
      <c r="K848" s="304"/>
      <c r="L848" s="365"/>
      <c r="M848" s="302"/>
      <c r="N848" s="303"/>
      <c r="O848" s="304"/>
      <c r="P848" s="365"/>
      <c r="Q848" s="186"/>
      <c r="R848" s="18"/>
      <c r="S848" s="374"/>
      <c r="T848" s="372"/>
      <c r="U848" s="186"/>
      <c r="V848" s="18"/>
      <c r="W848" s="374"/>
      <c r="X848" s="372"/>
      <c r="Y848" s="186"/>
      <c r="Z848" s="18"/>
      <c r="AA848" s="374"/>
      <c r="AB848" s="372"/>
      <c r="AC848" s="186"/>
      <c r="AD848" s="18"/>
      <c r="AE848" s="374"/>
      <c r="AF848" s="372"/>
      <c r="AG848" s="188"/>
      <c r="AH848" s="188"/>
      <c r="AI848" s="188"/>
      <c r="AJ848" s="188"/>
      <c r="AK848" s="365"/>
      <c r="AL848" s="365"/>
      <c r="AM848" s="365"/>
      <c r="AN848" s="365"/>
      <c r="AO848" s="365"/>
      <c r="AP848" s="365"/>
    </row>
    <row r="849">
      <c r="A849" s="302"/>
      <c r="B849" s="303"/>
      <c r="C849" s="304"/>
      <c r="D849" s="365"/>
      <c r="E849" s="302"/>
      <c r="F849" s="303"/>
      <c r="G849" s="304"/>
      <c r="H849" s="365"/>
      <c r="I849" s="302"/>
      <c r="J849" s="303"/>
      <c r="K849" s="304"/>
      <c r="L849" s="365"/>
      <c r="M849" s="302"/>
      <c r="N849" s="303"/>
      <c r="O849" s="304"/>
      <c r="P849" s="365"/>
      <c r="Q849" s="186"/>
      <c r="R849" s="18"/>
      <c r="S849" s="374"/>
      <c r="T849" s="372"/>
      <c r="U849" s="186"/>
      <c r="V849" s="18"/>
      <c r="W849" s="374"/>
      <c r="X849" s="372"/>
      <c r="Y849" s="186"/>
      <c r="Z849" s="18"/>
      <c r="AA849" s="374"/>
      <c r="AB849" s="372"/>
      <c r="AC849" s="186"/>
      <c r="AD849" s="18"/>
      <c r="AE849" s="374"/>
      <c r="AF849" s="372"/>
      <c r="AG849" s="188"/>
      <c r="AH849" s="188"/>
      <c r="AI849" s="188"/>
      <c r="AJ849" s="188"/>
      <c r="AK849" s="365"/>
      <c r="AL849" s="365"/>
      <c r="AM849" s="365"/>
      <c r="AN849" s="365"/>
      <c r="AO849" s="365"/>
      <c r="AP849" s="365"/>
    </row>
    <row r="850">
      <c r="A850" s="302"/>
      <c r="B850" s="303"/>
      <c r="C850" s="304"/>
      <c r="D850" s="365"/>
      <c r="E850" s="302"/>
      <c r="F850" s="303"/>
      <c r="G850" s="304"/>
      <c r="H850" s="365"/>
      <c r="I850" s="302"/>
      <c r="J850" s="303"/>
      <c r="K850" s="304"/>
      <c r="L850" s="365"/>
      <c r="M850" s="302"/>
      <c r="N850" s="303"/>
      <c r="O850" s="304"/>
      <c r="P850" s="365"/>
      <c r="Q850" s="186"/>
      <c r="R850" s="18"/>
      <c r="S850" s="374"/>
      <c r="T850" s="372"/>
      <c r="U850" s="186"/>
      <c r="V850" s="18"/>
      <c r="W850" s="374"/>
      <c r="X850" s="372"/>
      <c r="Y850" s="186"/>
      <c r="Z850" s="18"/>
      <c r="AA850" s="374"/>
      <c r="AB850" s="372"/>
      <c r="AC850" s="186"/>
      <c r="AD850" s="18"/>
      <c r="AE850" s="374"/>
      <c r="AF850" s="372"/>
      <c r="AG850" s="188"/>
      <c r="AH850" s="188"/>
      <c r="AI850" s="188"/>
      <c r="AJ850" s="188"/>
      <c r="AK850" s="365"/>
      <c r="AL850" s="365"/>
      <c r="AM850" s="365"/>
      <c r="AN850" s="365"/>
      <c r="AO850" s="365"/>
      <c r="AP850" s="365"/>
    </row>
    <row r="851">
      <c r="A851" s="302"/>
      <c r="B851" s="303"/>
      <c r="C851" s="304"/>
      <c r="D851" s="365"/>
      <c r="E851" s="302"/>
      <c r="F851" s="303"/>
      <c r="G851" s="304"/>
      <c r="H851" s="365"/>
      <c r="I851" s="302"/>
      <c r="J851" s="303"/>
      <c r="K851" s="304"/>
      <c r="L851" s="365"/>
      <c r="M851" s="302"/>
      <c r="N851" s="303"/>
      <c r="O851" s="304"/>
      <c r="P851" s="365"/>
      <c r="Q851" s="186"/>
      <c r="R851" s="18"/>
      <c r="S851" s="374"/>
      <c r="T851" s="372"/>
      <c r="U851" s="186"/>
      <c r="V851" s="18"/>
      <c r="W851" s="374"/>
      <c r="X851" s="372"/>
      <c r="Y851" s="186"/>
      <c r="Z851" s="18"/>
      <c r="AA851" s="374"/>
      <c r="AB851" s="372"/>
      <c r="AC851" s="186"/>
      <c r="AD851" s="18"/>
      <c r="AE851" s="374"/>
      <c r="AF851" s="372"/>
      <c r="AG851" s="188"/>
      <c r="AH851" s="188"/>
      <c r="AI851" s="188"/>
      <c r="AJ851" s="188"/>
      <c r="AK851" s="365"/>
      <c r="AL851" s="365"/>
      <c r="AM851" s="365"/>
      <c r="AN851" s="365"/>
      <c r="AO851" s="365"/>
      <c r="AP851" s="365"/>
    </row>
    <row r="852">
      <c r="A852" s="302"/>
      <c r="B852" s="303"/>
      <c r="C852" s="304"/>
      <c r="D852" s="365"/>
      <c r="E852" s="302"/>
      <c r="F852" s="303"/>
      <c r="G852" s="304"/>
      <c r="H852" s="365"/>
      <c r="I852" s="302"/>
      <c r="J852" s="303"/>
      <c r="K852" s="304"/>
      <c r="L852" s="365"/>
      <c r="M852" s="302"/>
      <c r="N852" s="303"/>
      <c r="O852" s="304"/>
      <c r="P852" s="365"/>
      <c r="Q852" s="186"/>
      <c r="R852" s="18"/>
      <c r="S852" s="374"/>
      <c r="T852" s="372"/>
      <c r="U852" s="186"/>
      <c r="V852" s="18"/>
      <c r="W852" s="374"/>
      <c r="X852" s="372"/>
      <c r="Y852" s="186"/>
      <c r="Z852" s="18"/>
      <c r="AA852" s="374"/>
      <c r="AB852" s="372"/>
      <c r="AC852" s="186"/>
      <c r="AD852" s="18"/>
      <c r="AE852" s="374"/>
      <c r="AF852" s="372"/>
      <c r="AG852" s="188"/>
      <c r="AH852" s="188"/>
      <c r="AI852" s="188"/>
      <c r="AJ852" s="188"/>
      <c r="AK852" s="365"/>
      <c r="AL852" s="365"/>
      <c r="AM852" s="365"/>
      <c r="AN852" s="365"/>
      <c r="AO852" s="365"/>
      <c r="AP852" s="365"/>
    </row>
    <row r="853">
      <c r="A853" s="302"/>
      <c r="B853" s="303"/>
      <c r="C853" s="304"/>
      <c r="D853" s="365"/>
      <c r="E853" s="302"/>
      <c r="F853" s="303"/>
      <c r="G853" s="304"/>
      <c r="H853" s="365"/>
      <c r="I853" s="302"/>
      <c r="J853" s="303"/>
      <c r="K853" s="304"/>
      <c r="L853" s="365"/>
      <c r="M853" s="302"/>
      <c r="N853" s="303"/>
      <c r="O853" s="304"/>
      <c r="P853" s="365"/>
      <c r="Q853" s="186"/>
      <c r="R853" s="18"/>
      <c r="S853" s="374"/>
      <c r="T853" s="372"/>
      <c r="U853" s="186"/>
      <c r="V853" s="18"/>
      <c r="W853" s="374"/>
      <c r="X853" s="372"/>
      <c r="Y853" s="186"/>
      <c r="Z853" s="18"/>
      <c r="AA853" s="374"/>
      <c r="AB853" s="372"/>
      <c r="AC853" s="186"/>
      <c r="AD853" s="18"/>
      <c r="AE853" s="374"/>
      <c r="AF853" s="372"/>
      <c r="AG853" s="188"/>
      <c r="AH853" s="188"/>
      <c r="AI853" s="188"/>
      <c r="AJ853" s="188"/>
      <c r="AK853" s="365"/>
      <c r="AL853" s="365"/>
      <c r="AM853" s="365"/>
      <c r="AN853" s="365"/>
      <c r="AO853" s="365"/>
      <c r="AP853" s="365"/>
    </row>
    <row r="854">
      <c r="A854" s="302"/>
      <c r="B854" s="303"/>
      <c r="C854" s="304"/>
      <c r="D854" s="365"/>
      <c r="E854" s="302"/>
      <c r="F854" s="303"/>
      <c r="G854" s="304"/>
      <c r="H854" s="365"/>
      <c r="I854" s="302"/>
      <c r="J854" s="303"/>
      <c r="K854" s="304"/>
      <c r="L854" s="365"/>
      <c r="M854" s="302"/>
      <c r="N854" s="303"/>
      <c r="O854" s="304"/>
      <c r="P854" s="365"/>
      <c r="Q854" s="186"/>
      <c r="R854" s="18"/>
      <c r="S854" s="374"/>
      <c r="T854" s="372"/>
      <c r="U854" s="186"/>
      <c r="V854" s="18"/>
      <c r="W854" s="374"/>
      <c r="X854" s="372"/>
      <c r="Y854" s="186"/>
      <c r="Z854" s="18"/>
      <c r="AA854" s="374"/>
      <c r="AB854" s="372"/>
      <c r="AC854" s="186"/>
      <c r="AD854" s="18"/>
      <c r="AE854" s="374"/>
      <c r="AF854" s="372"/>
      <c r="AG854" s="188"/>
      <c r="AH854" s="188"/>
      <c r="AI854" s="188"/>
      <c r="AJ854" s="188"/>
      <c r="AK854" s="365"/>
      <c r="AL854" s="365"/>
      <c r="AM854" s="365"/>
      <c r="AN854" s="365"/>
      <c r="AO854" s="365"/>
      <c r="AP854" s="365"/>
    </row>
    <row r="855">
      <c r="A855" s="302"/>
      <c r="B855" s="303"/>
      <c r="C855" s="304"/>
      <c r="D855" s="365"/>
      <c r="E855" s="302"/>
      <c r="F855" s="303"/>
      <c r="G855" s="304"/>
      <c r="H855" s="365"/>
      <c r="I855" s="302"/>
      <c r="J855" s="303"/>
      <c r="K855" s="304"/>
      <c r="L855" s="365"/>
      <c r="M855" s="302"/>
      <c r="N855" s="303"/>
      <c r="O855" s="304"/>
      <c r="P855" s="365"/>
      <c r="Q855" s="186"/>
      <c r="R855" s="18"/>
      <c r="S855" s="374"/>
      <c r="T855" s="372"/>
      <c r="U855" s="186"/>
      <c r="V855" s="18"/>
      <c r="W855" s="374"/>
      <c r="X855" s="372"/>
      <c r="Y855" s="186"/>
      <c r="Z855" s="18"/>
      <c r="AA855" s="374"/>
      <c r="AB855" s="372"/>
      <c r="AC855" s="186"/>
      <c r="AD855" s="18"/>
      <c r="AE855" s="374"/>
      <c r="AF855" s="372"/>
      <c r="AG855" s="188"/>
      <c r="AH855" s="188"/>
      <c r="AI855" s="188"/>
      <c r="AJ855" s="188"/>
      <c r="AK855" s="365"/>
      <c r="AL855" s="365"/>
      <c r="AM855" s="365"/>
      <c r="AN855" s="365"/>
      <c r="AO855" s="365"/>
      <c r="AP855" s="365"/>
    </row>
    <row r="856">
      <c r="A856" s="302"/>
      <c r="B856" s="303"/>
      <c r="C856" s="304"/>
      <c r="D856" s="365"/>
      <c r="E856" s="302"/>
      <c r="F856" s="303"/>
      <c r="G856" s="304"/>
      <c r="H856" s="365"/>
      <c r="I856" s="302"/>
      <c r="J856" s="303"/>
      <c r="K856" s="304"/>
      <c r="L856" s="365"/>
      <c r="M856" s="302"/>
      <c r="N856" s="303"/>
      <c r="O856" s="304"/>
      <c r="P856" s="365"/>
      <c r="Q856" s="186"/>
      <c r="R856" s="18"/>
      <c r="S856" s="374"/>
      <c r="T856" s="372"/>
      <c r="U856" s="186"/>
      <c r="V856" s="18"/>
      <c r="W856" s="374"/>
      <c r="X856" s="372"/>
      <c r="Y856" s="186"/>
      <c r="Z856" s="18"/>
      <c r="AA856" s="374"/>
      <c r="AB856" s="372"/>
      <c r="AC856" s="186"/>
      <c r="AD856" s="18"/>
      <c r="AE856" s="374"/>
      <c r="AF856" s="372"/>
      <c r="AG856" s="188"/>
      <c r="AH856" s="188"/>
      <c r="AI856" s="188"/>
      <c r="AJ856" s="188"/>
      <c r="AK856" s="365"/>
      <c r="AL856" s="365"/>
      <c r="AM856" s="365"/>
      <c r="AN856" s="365"/>
      <c r="AO856" s="365"/>
      <c r="AP856" s="365"/>
    </row>
    <row r="857">
      <c r="A857" s="302"/>
      <c r="B857" s="303"/>
      <c r="C857" s="304"/>
      <c r="D857" s="365"/>
      <c r="E857" s="302"/>
      <c r="F857" s="303"/>
      <c r="G857" s="304"/>
      <c r="H857" s="365"/>
      <c r="I857" s="302"/>
      <c r="J857" s="303"/>
      <c r="K857" s="304"/>
      <c r="L857" s="365"/>
      <c r="M857" s="302"/>
      <c r="N857" s="303"/>
      <c r="O857" s="304"/>
      <c r="P857" s="365"/>
      <c r="Q857" s="186"/>
      <c r="R857" s="18"/>
      <c r="S857" s="374"/>
      <c r="T857" s="372"/>
      <c r="U857" s="186"/>
      <c r="V857" s="18"/>
      <c r="W857" s="374"/>
      <c r="X857" s="372"/>
      <c r="Y857" s="186"/>
      <c r="Z857" s="18"/>
      <c r="AA857" s="374"/>
      <c r="AB857" s="372"/>
      <c r="AC857" s="186"/>
      <c r="AD857" s="18"/>
      <c r="AE857" s="374"/>
      <c r="AF857" s="372"/>
      <c r="AG857" s="188"/>
      <c r="AH857" s="188"/>
      <c r="AI857" s="188"/>
      <c r="AJ857" s="188"/>
      <c r="AK857" s="365"/>
      <c r="AL857" s="365"/>
      <c r="AM857" s="365"/>
      <c r="AN857" s="365"/>
      <c r="AO857" s="365"/>
      <c r="AP857" s="365"/>
    </row>
    <row r="858">
      <c r="A858" s="302"/>
      <c r="B858" s="303"/>
      <c r="C858" s="304"/>
      <c r="D858" s="365"/>
      <c r="E858" s="302"/>
      <c r="F858" s="303"/>
      <c r="G858" s="304"/>
      <c r="H858" s="365"/>
      <c r="I858" s="302"/>
      <c r="J858" s="303"/>
      <c r="K858" s="304"/>
      <c r="L858" s="365"/>
      <c r="M858" s="302"/>
      <c r="N858" s="303"/>
      <c r="O858" s="304"/>
      <c r="P858" s="365"/>
      <c r="Q858" s="186"/>
      <c r="R858" s="18"/>
      <c r="S858" s="374"/>
      <c r="T858" s="372"/>
      <c r="U858" s="186"/>
      <c r="V858" s="18"/>
      <c r="W858" s="374"/>
      <c r="X858" s="372"/>
      <c r="Y858" s="186"/>
      <c r="Z858" s="18"/>
      <c r="AA858" s="374"/>
      <c r="AB858" s="372"/>
      <c r="AC858" s="186"/>
      <c r="AD858" s="18"/>
      <c r="AE858" s="374"/>
      <c r="AF858" s="372"/>
      <c r="AG858" s="188"/>
      <c r="AH858" s="188"/>
      <c r="AI858" s="188"/>
      <c r="AJ858" s="188"/>
      <c r="AK858" s="365"/>
      <c r="AL858" s="365"/>
      <c r="AM858" s="365"/>
      <c r="AN858" s="365"/>
      <c r="AO858" s="365"/>
      <c r="AP858" s="365"/>
    </row>
    <row r="859">
      <c r="A859" s="302"/>
      <c r="B859" s="303"/>
      <c r="C859" s="304"/>
      <c r="D859" s="365"/>
      <c r="E859" s="302"/>
      <c r="F859" s="303"/>
      <c r="G859" s="304"/>
      <c r="H859" s="365"/>
      <c r="I859" s="302"/>
      <c r="J859" s="303"/>
      <c r="K859" s="304"/>
      <c r="L859" s="365"/>
      <c r="M859" s="302"/>
      <c r="N859" s="303"/>
      <c r="O859" s="304"/>
      <c r="P859" s="365"/>
      <c r="Q859" s="186"/>
      <c r="R859" s="18"/>
      <c r="S859" s="374"/>
      <c r="T859" s="372"/>
      <c r="U859" s="186"/>
      <c r="V859" s="18"/>
      <c r="W859" s="374"/>
      <c r="X859" s="372"/>
      <c r="Y859" s="186"/>
      <c r="Z859" s="18"/>
      <c r="AA859" s="374"/>
      <c r="AB859" s="372"/>
      <c r="AC859" s="186"/>
      <c r="AD859" s="18"/>
      <c r="AE859" s="374"/>
      <c r="AF859" s="372"/>
      <c r="AG859" s="188"/>
      <c r="AH859" s="188"/>
      <c r="AI859" s="188"/>
      <c r="AJ859" s="188"/>
      <c r="AK859" s="365"/>
      <c r="AL859" s="365"/>
      <c r="AM859" s="365"/>
      <c r="AN859" s="365"/>
      <c r="AO859" s="365"/>
      <c r="AP859" s="365"/>
    </row>
    <row r="860">
      <c r="A860" s="302"/>
      <c r="B860" s="303"/>
      <c r="C860" s="304"/>
      <c r="D860" s="365"/>
      <c r="E860" s="302"/>
      <c r="F860" s="303"/>
      <c r="G860" s="304"/>
      <c r="H860" s="365"/>
      <c r="I860" s="302"/>
      <c r="J860" s="303"/>
      <c r="K860" s="304"/>
      <c r="L860" s="365"/>
      <c r="M860" s="302"/>
      <c r="N860" s="303"/>
      <c r="O860" s="304"/>
      <c r="P860" s="365"/>
      <c r="Q860" s="186"/>
      <c r="R860" s="18"/>
      <c r="S860" s="374"/>
      <c r="T860" s="372"/>
      <c r="U860" s="186"/>
      <c r="V860" s="18"/>
      <c r="W860" s="374"/>
      <c r="X860" s="372"/>
      <c r="Y860" s="186"/>
      <c r="Z860" s="18"/>
      <c r="AA860" s="374"/>
      <c r="AB860" s="372"/>
      <c r="AC860" s="186"/>
      <c r="AD860" s="18"/>
      <c r="AE860" s="374"/>
      <c r="AF860" s="372"/>
      <c r="AG860" s="188"/>
      <c r="AH860" s="188"/>
      <c r="AI860" s="188"/>
      <c r="AJ860" s="188"/>
      <c r="AK860" s="365"/>
      <c r="AL860" s="365"/>
      <c r="AM860" s="365"/>
      <c r="AN860" s="365"/>
      <c r="AO860" s="365"/>
      <c r="AP860" s="365"/>
    </row>
    <row r="861">
      <c r="A861" s="302"/>
      <c r="B861" s="303"/>
      <c r="C861" s="304"/>
      <c r="D861" s="365"/>
      <c r="E861" s="302"/>
      <c r="F861" s="303"/>
      <c r="G861" s="304"/>
      <c r="H861" s="365"/>
      <c r="I861" s="302"/>
      <c r="J861" s="303"/>
      <c r="K861" s="304"/>
      <c r="L861" s="365"/>
      <c r="M861" s="302"/>
      <c r="N861" s="303"/>
      <c r="O861" s="304"/>
      <c r="P861" s="365"/>
      <c r="Q861" s="186"/>
      <c r="R861" s="18"/>
      <c r="S861" s="374"/>
      <c r="T861" s="372"/>
      <c r="U861" s="186"/>
      <c r="V861" s="18"/>
      <c r="W861" s="374"/>
      <c r="X861" s="372"/>
      <c r="Y861" s="186"/>
      <c r="Z861" s="18"/>
      <c r="AA861" s="374"/>
      <c r="AB861" s="372"/>
      <c r="AC861" s="186"/>
      <c r="AD861" s="18"/>
      <c r="AE861" s="374"/>
      <c r="AF861" s="372"/>
      <c r="AG861" s="188"/>
      <c r="AH861" s="188"/>
      <c r="AI861" s="188"/>
      <c r="AJ861" s="188"/>
      <c r="AK861" s="365"/>
      <c r="AL861" s="365"/>
      <c r="AM861" s="365"/>
      <c r="AN861" s="365"/>
      <c r="AO861" s="365"/>
      <c r="AP861" s="365"/>
    </row>
    <row r="862">
      <c r="A862" s="302"/>
      <c r="B862" s="303"/>
      <c r="C862" s="304"/>
      <c r="D862" s="365"/>
      <c r="E862" s="302"/>
      <c r="F862" s="303"/>
      <c r="G862" s="304"/>
      <c r="H862" s="365"/>
      <c r="I862" s="302"/>
      <c r="J862" s="303"/>
      <c r="K862" s="304"/>
      <c r="L862" s="365"/>
      <c r="M862" s="302"/>
      <c r="N862" s="303"/>
      <c r="O862" s="304"/>
      <c r="P862" s="365"/>
      <c r="Q862" s="186"/>
      <c r="R862" s="18"/>
      <c r="S862" s="374"/>
      <c r="T862" s="372"/>
      <c r="U862" s="186"/>
      <c r="V862" s="18"/>
      <c r="W862" s="374"/>
      <c r="X862" s="372"/>
      <c r="Y862" s="186"/>
      <c r="Z862" s="18"/>
      <c r="AA862" s="374"/>
      <c r="AB862" s="372"/>
      <c r="AC862" s="186"/>
      <c r="AD862" s="18"/>
      <c r="AE862" s="374"/>
      <c r="AF862" s="372"/>
      <c r="AG862" s="188"/>
      <c r="AH862" s="188"/>
      <c r="AI862" s="188"/>
      <c r="AJ862" s="188"/>
      <c r="AK862" s="365"/>
      <c r="AL862" s="365"/>
      <c r="AM862" s="365"/>
      <c r="AN862" s="365"/>
      <c r="AO862" s="365"/>
      <c r="AP862" s="365"/>
    </row>
    <row r="863">
      <c r="A863" s="302"/>
      <c r="B863" s="303"/>
      <c r="C863" s="304"/>
      <c r="D863" s="365"/>
      <c r="E863" s="302"/>
      <c r="F863" s="303"/>
      <c r="G863" s="304"/>
      <c r="H863" s="365"/>
      <c r="I863" s="302"/>
      <c r="J863" s="303"/>
      <c r="K863" s="304"/>
      <c r="L863" s="365"/>
      <c r="M863" s="302"/>
      <c r="N863" s="303"/>
      <c r="O863" s="304"/>
      <c r="P863" s="365"/>
      <c r="Q863" s="186"/>
      <c r="R863" s="18"/>
      <c r="S863" s="374"/>
      <c r="T863" s="372"/>
      <c r="U863" s="186"/>
      <c r="V863" s="18"/>
      <c r="W863" s="374"/>
      <c r="X863" s="372"/>
      <c r="Y863" s="186"/>
      <c r="Z863" s="18"/>
      <c r="AA863" s="374"/>
      <c r="AB863" s="372"/>
      <c r="AC863" s="186"/>
      <c r="AD863" s="18"/>
      <c r="AE863" s="374"/>
      <c r="AF863" s="372"/>
      <c r="AG863" s="188"/>
      <c r="AH863" s="188"/>
      <c r="AI863" s="188"/>
      <c r="AJ863" s="188"/>
      <c r="AK863" s="365"/>
      <c r="AL863" s="365"/>
      <c r="AM863" s="365"/>
      <c r="AN863" s="365"/>
      <c r="AO863" s="365"/>
      <c r="AP863" s="365"/>
    </row>
    <row r="864">
      <c r="A864" s="302"/>
      <c r="B864" s="303"/>
      <c r="C864" s="304"/>
      <c r="D864" s="365"/>
      <c r="E864" s="302"/>
      <c r="F864" s="303"/>
      <c r="G864" s="304"/>
      <c r="H864" s="365"/>
      <c r="I864" s="302"/>
      <c r="J864" s="303"/>
      <c r="K864" s="304"/>
      <c r="L864" s="365"/>
      <c r="M864" s="302"/>
      <c r="N864" s="303"/>
      <c r="O864" s="304"/>
      <c r="P864" s="365"/>
      <c r="Q864" s="186"/>
      <c r="R864" s="18"/>
      <c r="S864" s="374"/>
      <c r="T864" s="372"/>
      <c r="U864" s="186"/>
      <c r="V864" s="18"/>
      <c r="W864" s="374"/>
      <c r="X864" s="372"/>
      <c r="Y864" s="186"/>
      <c r="Z864" s="18"/>
      <c r="AA864" s="374"/>
      <c r="AB864" s="372"/>
      <c r="AC864" s="186"/>
      <c r="AD864" s="18"/>
      <c r="AE864" s="374"/>
      <c r="AF864" s="372"/>
      <c r="AG864" s="188"/>
      <c r="AH864" s="188"/>
      <c r="AI864" s="188"/>
      <c r="AJ864" s="188"/>
      <c r="AK864" s="365"/>
      <c r="AL864" s="365"/>
      <c r="AM864" s="365"/>
      <c r="AN864" s="365"/>
      <c r="AO864" s="365"/>
      <c r="AP864" s="365"/>
    </row>
    <row r="865">
      <c r="A865" s="302"/>
      <c r="B865" s="303"/>
      <c r="C865" s="304"/>
      <c r="D865" s="365"/>
      <c r="E865" s="302"/>
      <c r="F865" s="303"/>
      <c r="G865" s="304"/>
      <c r="H865" s="365"/>
      <c r="I865" s="302"/>
      <c r="J865" s="303"/>
      <c r="K865" s="304"/>
      <c r="L865" s="365"/>
      <c r="M865" s="302"/>
      <c r="N865" s="303"/>
      <c r="O865" s="304"/>
      <c r="P865" s="365"/>
      <c r="Q865" s="186"/>
      <c r="R865" s="18"/>
      <c r="S865" s="374"/>
      <c r="T865" s="372"/>
      <c r="U865" s="186"/>
      <c r="V865" s="18"/>
      <c r="W865" s="374"/>
      <c r="X865" s="372"/>
      <c r="Y865" s="186"/>
      <c r="Z865" s="18"/>
      <c r="AA865" s="374"/>
      <c r="AB865" s="372"/>
      <c r="AC865" s="186"/>
      <c r="AD865" s="18"/>
      <c r="AE865" s="374"/>
      <c r="AF865" s="372"/>
      <c r="AG865" s="188"/>
      <c r="AH865" s="188"/>
      <c r="AI865" s="188"/>
      <c r="AJ865" s="188"/>
      <c r="AK865" s="365"/>
      <c r="AL865" s="365"/>
      <c r="AM865" s="365"/>
      <c r="AN865" s="365"/>
      <c r="AO865" s="365"/>
      <c r="AP865" s="365"/>
    </row>
    <row r="866">
      <c r="A866" s="302"/>
      <c r="B866" s="303"/>
      <c r="C866" s="304"/>
      <c r="D866" s="365"/>
      <c r="E866" s="302"/>
      <c r="F866" s="303"/>
      <c r="G866" s="304"/>
      <c r="H866" s="365"/>
      <c r="I866" s="302"/>
      <c r="J866" s="303"/>
      <c r="K866" s="304"/>
      <c r="L866" s="365"/>
      <c r="M866" s="302"/>
      <c r="N866" s="303"/>
      <c r="O866" s="304"/>
      <c r="P866" s="365"/>
      <c r="Q866" s="186"/>
      <c r="R866" s="18"/>
      <c r="S866" s="374"/>
      <c r="T866" s="372"/>
      <c r="U866" s="186"/>
      <c r="V866" s="18"/>
      <c r="W866" s="374"/>
      <c r="X866" s="372"/>
      <c r="Y866" s="186"/>
      <c r="Z866" s="18"/>
      <c r="AA866" s="374"/>
      <c r="AB866" s="372"/>
      <c r="AC866" s="186"/>
      <c r="AD866" s="18"/>
      <c r="AE866" s="374"/>
      <c r="AF866" s="372"/>
      <c r="AG866" s="188"/>
      <c r="AH866" s="188"/>
      <c r="AI866" s="188"/>
      <c r="AJ866" s="188"/>
      <c r="AK866" s="365"/>
      <c r="AL866" s="365"/>
      <c r="AM866" s="365"/>
      <c r="AN866" s="365"/>
      <c r="AO866" s="365"/>
      <c r="AP866" s="365"/>
    </row>
    <row r="867">
      <c r="A867" s="302"/>
      <c r="B867" s="303"/>
      <c r="C867" s="304"/>
      <c r="D867" s="365"/>
      <c r="E867" s="302"/>
      <c r="F867" s="303"/>
      <c r="G867" s="304"/>
      <c r="H867" s="365"/>
      <c r="I867" s="302"/>
      <c r="J867" s="303"/>
      <c r="K867" s="304"/>
      <c r="L867" s="365"/>
      <c r="M867" s="302"/>
      <c r="N867" s="303"/>
      <c r="O867" s="304"/>
      <c r="P867" s="365"/>
      <c r="Q867" s="186"/>
      <c r="R867" s="18"/>
      <c r="S867" s="374"/>
      <c r="T867" s="372"/>
      <c r="U867" s="186"/>
      <c r="V867" s="18"/>
      <c r="W867" s="374"/>
      <c r="X867" s="372"/>
      <c r="Y867" s="186"/>
      <c r="Z867" s="18"/>
      <c r="AA867" s="374"/>
      <c r="AB867" s="372"/>
      <c r="AC867" s="186"/>
      <c r="AD867" s="18"/>
      <c r="AE867" s="374"/>
      <c r="AF867" s="372"/>
      <c r="AG867" s="188"/>
      <c r="AH867" s="188"/>
      <c r="AI867" s="188"/>
      <c r="AJ867" s="188"/>
      <c r="AK867" s="365"/>
      <c r="AL867" s="365"/>
      <c r="AM867" s="365"/>
      <c r="AN867" s="365"/>
      <c r="AO867" s="365"/>
      <c r="AP867" s="365"/>
    </row>
    <row r="868">
      <c r="A868" s="302"/>
      <c r="B868" s="303"/>
      <c r="C868" s="304"/>
      <c r="D868" s="365"/>
      <c r="E868" s="302"/>
      <c r="F868" s="303"/>
      <c r="G868" s="304"/>
      <c r="H868" s="365"/>
      <c r="I868" s="302"/>
      <c r="J868" s="303"/>
      <c r="K868" s="304"/>
      <c r="L868" s="365"/>
      <c r="M868" s="302"/>
      <c r="N868" s="303"/>
      <c r="O868" s="304"/>
      <c r="P868" s="365"/>
      <c r="Q868" s="186"/>
      <c r="R868" s="18"/>
      <c r="S868" s="374"/>
      <c r="T868" s="372"/>
      <c r="U868" s="186"/>
      <c r="V868" s="18"/>
      <c r="W868" s="374"/>
      <c r="X868" s="372"/>
      <c r="Y868" s="186"/>
      <c r="Z868" s="18"/>
      <c r="AA868" s="374"/>
      <c r="AB868" s="372"/>
      <c r="AC868" s="186"/>
      <c r="AD868" s="18"/>
      <c r="AE868" s="374"/>
      <c r="AF868" s="372"/>
      <c r="AG868" s="188"/>
      <c r="AH868" s="188"/>
      <c r="AI868" s="188"/>
      <c r="AJ868" s="188"/>
      <c r="AK868" s="365"/>
      <c r="AL868" s="365"/>
      <c r="AM868" s="365"/>
      <c r="AN868" s="365"/>
      <c r="AO868" s="365"/>
      <c r="AP868" s="365"/>
    </row>
    <row r="869">
      <c r="A869" s="302"/>
      <c r="B869" s="303"/>
      <c r="C869" s="304"/>
      <c r="D869" s="365"/>
      <c r="E869" s="302"/>
      <c r="F869" s="303"/>
      <c r="G869" s="304"/>
      <c r="H869" s="365"/>
      <c r="I869" s="302"/>
      <c r="J869" s="303"/>
      <c r="K869" s="304"/>
      <c r="L869" s="365"/>
      <c r="M869" s="302"/>
      <c r="N869" s="303"/>
      <c r="O869" s="304"/>
      <c r="P869" s="365"/>
      <c r="Q869" s="186"/>
      <c r="R869" s="18"/>
      <c r="S869" s="374"/>
      <c r="T869" s="372"/>
      <c r="U869" s="186"/>
      <c r="V869" s="18"/>
      <c r="W869" s="374"/>
      <c r="X869" s="372"/>
      <c r="Y869" s="186"/>
      <c r="Z869" s="18"/>
      <c r="AA869" s="374"/>
      <c r="AB869" s="372"/>
      <c r="AC869" s="186"/>
      <c r="AD869" s="18"/>
      <c r="AE869" s="374"/>
      <c r="AF869" s="372"/>
      <c r="AG869" s="188"/>
      <c r="AH869" s="188"/>
      <c r="AI869" s="188"/>
      <c r="AJ869" s="188"/>
      <c r="AK869" s="365"/>
      <c r="AL869" s="365"/>
      <c r="AM869" s="365"/>
      <c r="AN869" s="365"/>
      <c r="AO869" s="365"/>
      <c r="AP869" s="365"/>
    </row>
    <row r="870">
      <c r="A870" s="302"/>
      <c r="B870" s="303"/>
      <c r="C870" s="304"/>
      <c r="D870" s="365"/>
      <c r="E870" s="302"/>
      <c r="F870" s="303"/>
      <c r="G870" s="304"/>
      <c r="H870" s="365"/>
      <c r="I870" s="302"/>
      <c r="J870" s="303"/>
      <c r="K870" s="304"/>
      <c r="L870" s="365"/>
      <c r="M870" s="302"/>
      <c r="N870" s="303"/>
      <c r="O870" s="304"/>
      <c r="P870" s="365"/>
      <c r="Q870" s="186"/>
      <c r="R870" s="18"/>
      <c r="S870" s="374"/>
      <c r="T870" s="372"/>
      <c r="U870" s="186"/>
      <c r="V870" s="18"/>
      <c r="W870" s="374"/>
      <c r="X870" s="372"/>
      <c r="Y870" s="186"/>
      <c r="Z870" s="18"/>
      <c r="AA870" s="374"/>
      <c r="AB870" s="372"/>
      <c r="AC870" s="186"/>
      <c r="AD870" s="18"/>
      <c r="AE870" s="374"/>
      <c r="AF870" s="372"/>
      <c r="AG870" s="188"/>
      <c r="AH870" s="188"/>
      <c r="AI870" s="188"/>
      <c r="AJ870" s="188"/>
      <c r="AK870" s="365"/>
      <c r="AL870" s="365"/>
      <c r="AM870" s="365"/>
      <c r="AN870" s="365"/>
      <c r="AO870" s="365"/>
      <c r="AP870" s="365"/>
    </row>
    <row r="871">
      <c r="A871" s="302"/>
      <c r="B871" s="303"/>
      <c r="C871" s="304"/>
      <c r="D871" s="365"/>
      <c r="E871" s="302"/>
      <c r="F871" s="303"/>
      <c r="G871" s="304"/>
      <c r="H871" s="365"/>
      <c r="I871" s="302"/>
      <c r="J871" s="303"/>
      <c r="K871" s="304"/>
      <c r="L871" s="365"/>
      <c r="M871" s="302"/>
      <c r="N871" s="303"/>
      <c r="O871" s="304"/>
      <c r="P871" s="365"/>
      <c r="Q871" s="186"/>
      <c r="R871" s="18"/>
      <c r="S871" s="374"/>
      <c r="T871" s="372"/>
      <c r="U871" s="186"/>
      <c r="V871" s="18"/>
      <c r="W871" s="374"/>
      <c r="X871" s="372"/>
      <c r="Y871" s="186"/>
      <c r="Z871" s="18"/>
      <c r="AA871" s="374"/>
      <c r="AB871" s="372"/>
      <c r="AC871" s="186"/>
      <c r="AD871" s="18"/>
      <c r="AE871" s="374"/>
      <c r="AF871" s="372"/>
      <c r="AG871" s="188"/>
      <c r="AH871" s="188"/>
      <c r="AI871" s="188"/>
      <c r="AJ871" s="188"/>
      <c r="AK871" s="365"/>
      <c r="AL871" s="365"/>
      <c r="AM871" s="365"/>
      <c r="AN871" s="365"/>
      <c r="AO871" s="365"/>
      <c r="AP871" s="365"/>
    </row>
    <row r="872">
      <c r="A872" s="302"/>
      <c r="B872" s="303"/>
      <c r="C872" s="304"/>
      <c r="D872" s="365"/>
      <c r="E872" s="302"/>
      <c r="F872" s="303"/>
      <c r="G872" s="304"/>
      <c r="H872" s="365"/>
      <c r="I872" s="302"/>
      <c r="J872" s="303"/>
      <c r="K872" s="304"/>
      <c r="L872" s="365"/>
      <c r="M872" s="302"/>
      <c r="N872" s="303"/>
      <c r="O872" s="304"/>
      <c r="P872" s="365"/>
      <c r="Q872" s="186"/>
      <c r="R872" s="18"/>
      <c r="S872" s="374"/>
      <c r="T872" s="372"/>
      <c r="U872" s="186"/>
      <c r="V872" s="18"/>
      <c r="W872" s="374"/>
      <c r="X872" s="372"/>
      <c r="Y872" s="186"/>
      <c r="Z872" s="18"/>
      <c r="AA872" s="374"/>
      <c r="AB872" s="372"/>
      <c r="AC872" s="186"/>
      <c r="AD872" s="18"/>
      <c r="AE872" s="374"/>
      <c r="AF872" s="372"/>
      <c r="AG872" s="188"/>
      <c r="AH872" s="188"/>
      <c r="AI872" s="188"/>
      <c r="AJ872" s="188"/>
      <c r="AK872" s="365"/>
      <c r="AL872" s="365"/>
      <c r="AM872" s="365"/>
      <c r="AN872" s="365"/>
      <c r="AO872" s="365"/>
      <c r="AP872" s="365"/>
    </row>
    <row r="873">
      <c r="A873" s="302"/>
      <c r="B873" s="303"/>
      <c r="C873" s="304"/>
      <c r="D873" s="365"/>
      <c r="E873" s="302"/>
      <c r="F873" s="303"/>
      <c r="G873" s="304"/>
      <c r="H873" s="365"/>
      <c r="I873" s="302"/>
      <c r="J873" s="303"/>
      <c r="K873" s="304"/>
      <c r="L873" s="365"/>
      <c r="M873" s="302"/>
      <c r="N873" s="303"/>
      <c r="O873" s="304"/>
      <c r="P873" s="365"/>
      <c r="Q873" s="186"/>
      <c r="R873" s="18"/>
      <c r="S873" s="374"/>
      <c r="T873" s="372"/>
      <c r="U873" s="186"/>
      <c r="V873" s="18"/>
      <c r="W873" s="374"/>
      <c r="X873" s="372"/>
      <c r="Y873" s="186"/>
      <c r="Z873" s="18"/>
      <c r="AA873" s="374"/>
      <c r="AB873" s="372"/>
      <c r="AC873" s="186"/>
      <c r="AD873" s="18"/>
      <c r="AE873" s="374"/>
      <c r="AF873" s="372"/>
      <c r="AG873" s="188"/>
      <c r="AH873" s="188"/>
      <c r="AI873" s="188"/>
      <c r="AJ873" s="188"/>
      <c r="AK873" s="365"/>
      <c r="AL873" s="365"/>
      <c r="AM873" s="365"/>
      <c r="AN873" s="365"/>
      <c r="AO873" s="365"/>
      <c r="AP873" s="365"/>
    </row>
    <row r="874">
      <c r="A874" s="302"/>
      <c r="B874" s="303"/>
      <c r="C874" s="304"/>
      <c r="D874" s="365"/>
      <c r="E874" s="302"/>
      <c r="F874" s="303"/>
      <c r="G874" s="304"/>
      <c r="H874" s="365"/>
      <c r="I874" s="302"/>
      <c r="J874" s="303"/>
      <c r="K874" s="304"/>
      <c r="L874" s="365"/>
      <c r="M874" s="302"/>
      <c r="N874" s="303"/>
      <c r="O874" s="304"/>
      <c r="P874" s="365"/>
      <c r="Q874" s="186"/>
      <c r="R874" s="18"/>
      <c r="S874" s="374"/>
      <c r="T874" s="372"/>
      <c r="U874" s="186"/>
      <c r="V874" s="18"/>
      <c r="W874" s="374"/>
      <c r="X874" s="372"/>
      <c r="Y874" s="186"/>
      <c r="Z874" s="18"/>
      <c r="AA874" s="374"/>
      <c r="AB874" s="372"/>
      <c r="AC874" s="186"/>
      <c r="AD874" s="18"/>
      <c r="AE874" s="374"/>
      <c r="AF874" s="372"/>
      <c r="AG874" s="188"/>
      <c r="AH874" s="188"/>
      <c r="AI874" s="188"/>
      <c r="AJ874" s="188"/>
      <c r="AK874" s="365"/>
      <c r="AL874" s="365"/>
      <c r="AM874" s="365"/>
      <c r="AN874" s="365"/>
      <c r="AO874" s="365"/>
      <c r="AP874" s="365"/>
    </row>
    <row r="875">
      <c r="A875" s="302"/>
      <c r="B875" s="303"/>
      <c r="C875" s="304"/>
      <c r="D875" s="365"/>
      <c r="E875" s="302"/>
      <c r="F875" s="303"/>
      <c r="G875" s="304"/>
      <c r="H875" s="365"/>
      <c r="I875" s="302"/>
      <c r="J875" s="303"/>
      <c r="K875" s="304"/>
      <c r="L875" s="365"/>
      <c r="M875" s="302"/>
      <c r="N875" s="303"/>
      <c r="O875" s="304"/>
      <c r="P875" s="365"/>
      <c r="Q875" s="186"/>
      <c r="R875" s="18"/>
      <c r="S875" s="374"/>
      <c r="T875" s="372"/>
      <c r="U875" s="186"/>
      <c r="V875" s="18"/>
      <c r="W875" s="374"/>
      <c r="X875" s="372"/>
      <c r="Y875" s="186"/>
      <c r="Z875" s="18"/>
      <c r="AA875" s="374"/>
      <c r="AB875" s="372"/>
      <c r="AC875" s="186"/>
      <c r="AD875" s="18"/>
      <c r="AE875" s="374"/>
      <c r="AF875" s="372"/>
      <c r="AG875" s="188"/>
      <c r="AH875" s="188"/>
      <c r="AI875" s="188"/>
      <c r="AJ875" s="188"/>
      <c r="AK875" s="365"/>
      <c r="AL875" s="365"/>
      <c r="AM875" s="365"/>
      <c r="AN875" s="365"/>
      <c r="AO875" s="365"/>
      <c r="AP875" s="365"/>
    </row>
    <row r="876">
      <c r="A876" s="302"/>
      <c r="B876" s="303"/>
      <c r="C876" s="304"/>
      <c r="D876" s="365"/>
      <c r="E876" s="302"/>
      <c r="F876" s="303"/>
      <c r="G876" s="304"/>
      <c r="H876" s="365"/>
      <c r="I876" s="302"/>
      <c r="J876" s="303"/>
      <c r="K876" s="304"/>
      <c r="L876" s="365"/>
      <c r="M876" s="302"/>
      <c r="N876" s="303"/>
      <c r="O876" s="304"/>
      <c r="P876" s="365"/>
      <c r="Q876" s="186"/>
      <c r="R876" s="18"/>
      <c r="S876" s="374"/>
      <c r="T876" s="372"/>
      <c r="U876" s="186"/>
      <c r="V876" s="18"/>
      <c r="W876" s="374"/>
      <c r="X876" s="372"/>
      <c r="Y876" s="186"/>
      <c r="Z876" s="18"/>
      <c r="AA876" s="374"/>
      <c r="AB876" s="372"/>
      <c r="AC876" s="186"/>
      <c r="AD876" s="18"/>
      <c r="AE876" s="374"/>
      <c r="AF876" s="372"/>
      <c r="AG876" s="188"/>
      <c r="AH876" s="188"/>
      <c r="AI876" s="188"/>
      <c r="AJ876" s="188"/>
      <c r="AK876" s="365"/>
      <c r="AL876" s="365"/>
      <c r="AM876" s="365"/>
      <c r="AN876" s="365"/>
      <c r="AO876" s="365"/>
      <c r="AP876" s="365"/>
    </row>
    <row r="877">
      <c r="A877" s="302"/>
      <c r="B877" s="303"/>
      <c r="C877" s="304"/>
      <c r="D877" s="365"/>
      <c r="E877" s="302"/>
      <c r="F877" s="303"/>
      <c r="G877" s="304"/>
      <c r="H877" s="365"/>
      <c r="I877" s="302"/>
      <c r="J877" s="303"/>
      <c r="K877" s="304"/>
      <c r="L877" s="365"/>
      <c r="M877" s="302"/>
      <c r="N877" s="303"/>
      <c r="O877" s="304"/>
      <c r="P877" s="365"/>
      <c r="Q877" s="186"/>
      <c r="R877" s="18"/>
      <c r="S877" s="374"/>
      <c r="T877" s="372"/>
      <c r="U877" s="186"/>
      <c r="V877" s="18"/>
      <c r="W877" s="374"/>
      <c r="X877" s="372"/>
      <c r="Y877" s="186"/>
      <c r="Z877" s="18"/>
      <c r="AA877" s="374"/>
      <c r="AB877" s="372"/>
      <c r="AC877" s="186"/>
      <c r="AD877" s="18"/>
      <c r="AE877" s="374"/>
      <c r="AF877" s="372"/>
      <c r="AG877" s="188"/>
      <c r="AH877" s="188"/>
      <c r="AI877" s="188"/>
      <c r="AJ877" s="188"/>
      <c r="AK877" s="365"/>
      <c r="AL877" s="365"/>
      <c r="AM877" s="365"/>
      <c r="AN877" s="365"/>
      <c r="AO877" s="365"/>
      <c r="AP877" s="365"/>
    </row>
    <row r="878">
      <c r="A878" s="302"/>
      <c r="B878" s="303"/>
      <c r="C878" s="304"/>
      <c r="D878" s="365"/>
      <c r="E878" s="302"/>
      <c r="F878" s="303"/>
      <c r="G878" s="304"/>
      <c r="H878" s="365"/>
      <c r="I878" s="302"/>
      <c r="J878" s="303"/>
      <c r="K878" s="304"/>
      <c r="L878" s="365"/>
      <c r="M878" s="302"/>
      <c r="N878" s="303"/>
      <c r="O878" s="304"/>
      <c r="P878" s="365"/>
      <c r="Q878" s="186"/>
      <c r="R878" s="18"/>
      <c r="S878" s="374"/>
      <c r="T878" s="372"/>
      <c r="U878" s="186"/>
      <c r="V878" s="18"/>
      <c r="W878" s="374"/>
      <c r="X878" s="372"/>
      <c r="Y878" s="186"/>
      <c r="Z878" s="18"/>
      <c r="AA878" s="374"/>
      <c r="AB878" s="372"/>
      <c r="AC878" s="186"/>
      <c r="AD878" s="18"/>
      <c r="AE878" s="374"/>
      <c r="AF878" s="372"/>
      <c r="AG878" s="188"/>
      <c r="AH878" s="188"/>
      <c r="AI878" s="188"/>
      <c r="AJ878" s="188"/>
      <c r="AK878" s="365"/>
      <c r="AL878" s="365"/>
      <c r="AM878" s="365"/>
      <c r="AN878" s="365"/>
      <c r="AO878" s="365"/>
      <c r="AP878" s="365"/>
    </row>
    <row r="879">
      <c r="A879" s="302"/>
      <c r="B879" s="303"/>
      <c r="C879" s="304"/>
      <c r="D879" s="365"/>
      <c r="E879" s="302"/>
      <c r="F879" s="303"/>
      <c r="G879" s="304"/>
      <c r="H879" s="365"/>
      <c r="I879" s="302"/>
      <c r="J879" s="303"/>
      <c r="K879" s="304"/>
      <c r="L879" s="365"/>
      <c r="M879" s="302"/>
      <c r="N879" s="303"/>
      <c r="O879" s="304"/>
      <c r="P879" s="365"/>
      <c r="Q879" s="186"/>
      <c r="R879" s="18"/>
      <c r="S879" s="374"/>
      <c r="T879" s="372"/>
      <c r="U879" s="186"/>
      <c r="V879" s="18"/>
      <c r="W879" s="374"/>
      <c r="X879" s="372"/>
      <c r="Y879" s="186"/>
      <c r="Z879" s="18"/>
      <c r="AA879" s="374"/>
      <c r="AB879" s="372"/>
      <c r="AC879" s="186"/>
      <c r="AD879" s="18"/>
      <c r="AE879" s="374"/>
      <c r="AF879" s="372"/>
      <c r="AG879" s="188"/>
      <c r="AH879" s="188"/>
      <c r="AI879" s="188"/>
      <c r="AJ879" s="188"/>
      <c r="AK879" s="365"/>
      <c r="AL879" s="365"/>
      <c r="AM879" s="365"/>
      <c r="AN879" s="365"/>
      <c r="AO879" s="365"/>
      <c r="AP879" s="365"/>
    </row>
    <row r="880">
      <c r="A880" s="302"/>
      <c r="B880" s="303"/>
      <c r="C880" s="304"/>
      <c r="D880" s="365"/>
      <c r="E880" s="302"/>
      <c r="F880" s="303"/>
      <c r="G880" s="304"/>
      <c r="H880" s="365"/>
      <c r="I880" s="302"/>
      <c r="J880" s="303"/>
      <c r="K880" s="304"/>
      <c r="L880" s="365"/>
      <c r="M880" s="302"/>
      <c r="N880" s="303"/>
      <c r="O880" s="304"/>
      <c r="P880" s="365"/>
      <c r="Q880" s="186"/>
      <c r="R880" s="18"/>
      <c r="S880" s="374"/>
      <c r="T880" s="372"/>
      <c r="U880" s="186"/>
      <c r="V880" s="18"/>
      <c r="W880" s="374"/>
      <c r="X880" s="372"/>
      <c r="Y880" s="186"/>
      <c r="Z880" s="18"/>
      <c r="AA880" s="374"/>
      <c r="AB880" s="372"/>
      <c r="AC880" s="186"/>
      <c r="AD880" s="18"/>
      <c r="AE880" s="374"/>
      <c r="AF880" s="372"/>
      <c r="AG880" s="188"/>
      <c r="AH880" s="188"/>
      <c r="AI880" s="188"/>
      <c r="AJ880" s="188"/>
      <c r="AK880" s="365"/>
      <c r="AL880" s="365"/>
      <c r="AM880" s="365"/>
      <c r="AN880" s="365"/>
      <c r="AO880" s="365"/>
      <c r="AP880" s="365"/>
    </row>
    <row r="881">
      <c r="A881" s="302"/>
      <c r="B881" s="303"/>
      <c r="C881" s="304"/>
      <c r="D881" s="365"/>
      <c r="E881" s="302"/>
      <c r="F881" s="303"/>
      <c r="G881" s="304"/>
      <c r="H881" s="365"/>
      <c r="I881" s="302"/>
      <c r="J881" s="303"/>
      <c r="K881" s="304"/>
      <c r="L881" s="365"/>
      <c r="M881" s="302"/>
      <c r="N881" s="303"/>
      <c r="O881" s="304"/>
      <c r="P881" s="365"/>
      <c r="Q881" s="186"/>
      <c r="R881" s="18"/>
      <c r="S881" s="374"/>
      <c r="T881" s="372"/>
      <c r="U881" s="186"/>
      <c r="V881" s="18"/>
      <c r="W881" s="374"/>
      <c r="X881" s="372"/>
      <c r="Y881" s="186"/>
      <c r="Z881" s="18"/>
      <c r="AA881" s="374"/>
      <c r="AB881" s="372"/>
      <c r="AC881" s="186"/>
      <c r="AD881" s="18"/>
      <c r="AE881" s="374"/>
      <c r="AF881" s="372"/>
      <c r="AG881" s="188"/>
      <c r="AH881" s="188"/>
      <c r="AI881" s="188"/>
      <c r="AJ881" s="188"/>
      <c r="AK881" s="365"/>
      <c r="AL881" s="365"/>
      <c r="AM881" s="365"/>
      <c r="AN881" s="365"/>
      <c r="AO881" s="365"/>
      <c r="AP881" s="365"/>
    </row>
    <row r="882">
      <c r="A882" s="302"/>
      <c r="B882" s="303"/>
      <c r="C882" s="304"/>
      <c r="D882" s="365"/>
      <c r="E882" s="302"/>
      <c r="F882" s="303"/>
      <c r="G882" s="304"/>
      <c r="H882" s="365"/>
      <c r="I882" s="302"/>
      <c r="J882" s="303"/>
      <c r="K882" s="304"/>
      <c r="L882" s="365"/>
      <c r="M882" s="302"/>
      <c r="N882" s="303"/>
      <c r="O882" s="304"/>
      <c r="P882" s="365"/>
      <c r="Q882" s="186"/>
      <c r="R882" s="18"/>
      <c r="S882" s="374"/>
      <c r="T882" s="372"/>
      <c r="U882" s="186"/>
      <c r="V882" s="18"/>
      <c r="W882" s="374"/>
      <c r="X882" s="372"/>
      <c r="Y882" s="186"/>
      <c r="Z882" s="18"/>
      <c r="AA882" s="374"/>
      <c r="AB882" s="372"/>
      <c r="AC882" s="186"/>
      <c r="AD882" s="18"/>
      <c r="AE882" s="374"/>
      <c r="AF882" s="372"/>
      <c r="AG882" s="188"/>
      <c r="AH882" s="188"/>
      <c r="AI882" s="188"/>
      <c r="AJ882" s="188"/>
      <c r="AK882" s="365"/>
      <c r="AL882" s="365"/>
      <c r="AM882" s="365"/>
      <c r="AN882" s="365"/>
      <c r="AO882" s="365"/>
      <c r="AP882" s="365"/>
    </row>
    <row r="883">
      <c r="A883" s="302"/>
      <c r="B883" s="303"/>
      <c r="C883" s="304"/>
      <c r="D883" s="365"/>
      <c r="E883" s="302"/>
      <c r="F883" s="303"/>
      <c r="G883" s="304"/>
      <c r="H883" s="365"/>
      <c r="I883" s="302"/>
      <c r="J883" s="303"/>
      <c r="K883" s="304"/>
      <c r="L883" s="365"/>
      <c r="M883" s="302"/>
      <c r="N883" s="303"/>
      <c r="O883" s="304"/>
      <c r="P883" s="365"/>
      <c r="Q883" s="186"/>
      <c r="R883" s="18"/>
      <c r="S883" s="374"/>
      <c r="T883" s="372"/>
      <c r="U883" s="186"/>
      <c r="V883" s="18"/>
      <c r="W883" s="374"/>
      <c r="X883" s="372"/>
      <c r="Y883" s="186"/>
      <c r="Z883" s="18"/>
      <c r="AA883" s="374"/>
      <c r="AB883" s="372"/>
      <c r="AC883" s="186"/>
      <c r="AD883" s="18"/>
      <c r="AE883" s="374"/>
      <c r="AF883" s="372"/>
      <c r="AG883" s="188"/>
      <c r="AH883" s="188"/>
      <c r="AI883" s="188"/>
      <c r="AJ883" s="188"/>
      <c r="AK883" s="365"/>
      <c r="AL883" s="365"/>
      <c r="AM883" s="365"/>
      <c r="AN883" s="365"/>
      <c r="AO883" s="365"/>
      <c r="AP883" s="365"/>
    </row>
    <row r="884">
      <c r="A884" s="302"/>
      <c r="B884" s="303"/>
      <c r="C884" s="304"/>
      <c r="D884" s="365"/>
      <c r="E884" s="302"/>
      <c r="F884" s="303"/>
      <c r="G884" s="304"/>
      <c r="H884" s="365"/>
      <c r="I884" s="302"/>
      <c r="J884" s="303"/>
      <c r="K884" s="304"/>
      <c r="L884" s="365"/>
      <c r="M884" s="302"/>
      <c r="N884" s="303"/>
      <c r="O884" s="304"/>
      <c r="P884" s="365"/>
      <c r="Q884" s="186"/>
      <c r="R884" s="18"/>
      <c r="S884" s="374"/>
      <c r="T884" s="372"/>
      <c r="U884" s="186"/>
      <c r="V884" s="18"/>
      <c r="W884" s="374"/>
      <c r="X884" s="372"/>
      <c r="Y884" s="186"/>
      <c r="Z884" s="18"/>
      <c r="AA884" s="374"/>
      <c r="AB884" s="372"/>
      <c r="AC884" s="186"/>
      <c r="AD884" s="18"/>
      <c r="AE884" s="374"/>
      <c r="AF884" s="372"/>
      <c r="AG884" s="188"/>
      <c r="AH884" s="188"/>
      <c r="AI884" s="188"/>
      <c r="AJ884" s="188"/>
      <c r="AK884" s="365"/>
      <c r="AL884" s="365"/>
      <c r="AM884" s="365"/>
      <c r="AN884" s="365"/>
      <c r="AO884" s="365"/>
      <c r="AP884" s="365"/>
    </row>
    <row r="885">
      <c r="A885" s="302"/>
      <c r="B885" s="303"/>
      <c r="C885" s="304"/>
      <c r="D885" s="365"/>
      <c r="E885" s="302"/>
      <c r="F885" s="303"/>
      <c r="G885" s="304"/>
      <c r="H885" s="365"/>
      <c r="I885" s="302"/>
      <c r="J885" s="303"/>
      <c r="K885" s="304"/>
      <c r="L885" s="365"/>
      <c r="M885" s="302"/>
      <c r="N885" s="303"/>
      <c r="O885" s="304"/>
      <c r="P885" s="365"/>
      <c r="Q885" s="186"/>
      <c r="R885" s="18"/>
      <c r="S885" s="374"/>
      <c r="T885" s="372"/>
      <c r="U885" s="186"/>
      <c r="V885" s="18"/>
      <c r="W885" s="374"/>
      <c r="X885" s="372"/>
      <c r="Y885" s="186"/>
      <c r="Z885" s="18"/>
      <c r="AA885" s="374"/>
      <c r="AB885" s="372"/>
      <c r="AC885" s="186"/>
      <c r="AD885" s="18"/>
      <c r="AE885" s="374"/>
      <c r="AF885" s="372"/>
      <c r="AG885" s="188"/>
      <c r="AH885" s="188"/>
      <c r="AI885" s="188"/>
      <c r="AJ885" s="188"/>
      <c r="AK885" s="365"/>
      <c r="AL885" s="365"/>
      <c r="AM885" s="365"/>
      <c r="AN885" s="365"/>
      <c r="AO885" s="365"/>
      <c r="AP885" s="365"/>
    </row>
    <row r="886">
      <c r="A886" s="302"/>
      <c r="B886" s="303"/>
      <c r="C886" s="304"/>
      <c r="D886" s="365"/>
      <c r="E886" s="302"/>
      <c r="F886" s="303"/>
      <c r="G886" s="304"/>
      <c r="H886" s="365"/>
      <c r="I886" s="302"/>
      <c r="J886" s="303"/>
      <c r="K886" s="304"/>
      <c r="L886" s="365"/>
      <c r="M886" s="302"/>
      <c r="N886" s="303"/>
      <c r="O886" s="304"/>
      <c r="P886" s="365"/>
      <c r="Q886" s="186"/>
      <c r="R886" s="18"/>
      <c r="S886" s="374"/>
      <c r="T886" s="372"/>
      <c r="U886" s="186"/>
      <c r="V886" s="18"/>
      <c r="W886" s="374"/>
      <c r="X886" s="372"/>
      <c r="Y886" s="186"/>
      <c r="Z886" s="18"/>
      <c r="AA886" s="374"/>
      <c r="AB886" s="372"/>
      <c r="AC886" s="186"/>
      <c r="AD886" s="18"/>
      <c r="AE886" s="374"/>
      <c r="AF886" s="372"/>
      <c r="AG886" s="188"/>
      <c r="AH886" s="188"/>
      <c r="AI886" s="188"/>
      <c r="AJ886" s="188"/>
      <c r="AK886" s="365"/>
      <c r="AL886" s="365"/>
      <c r="AM886" s="365"/>
      <c r="AN886" s="365"/>
      <c r="AO886" s="365"/>
      <c r="AP886" s="365"/>
    </row>
    <row r="887">
      <c r="A887" s="302"/>
      <c r="B887" s="303"/>
      <c r="C887" s="304"/>
      <c r="D887" s="365"/>
      <c r="E887" s="302"/>
      <c r="F887" s="303"/>
      <c r="G887" s="304"/>
      <c r="H887" s="365"/>
      <c r="I887" s="302"/>
      <c r="J887" s="303"/>
      <c r="K887" s="304"/>
      <c r="L887" s="365"/>
      <c r="M887" s="302"/>
      <c r="N887" s="303"/>
      <c r="O887" s="304"/>
      <c r="P887" s="365"/>
      <c r="Q887" s="186"/>
      <c r="R887" s="18"/>
      <c r="S887" s="374"/>
      <c r="T887" s="372"/>
      <c r="U887" s="186"/>
      <c r="V887" s="18"/>
      <c r="W887" s="374"/>
      <c r="X887" s="372"/>
      <c r="Y887" s="186"/>
      <c r="Z887" s="18"/>
      <c r="AA887" s="374"/>
      <c r="AB887" s="372"/>
      <c r="AC887" s="186"/>
      <c r="AD887" s="18"/>
      <c r="AE887" s="374"/>
      <c r="AF887" s="372"/>
      <c r="AG887" s="188"/>
      <c r="AH887" s="188"/>
      <c r="AI887" s="188"/>
      <c r="AJ887" s="188"/>
      <c r="AK887" s="365"/>
      <c r="AL887" s="365"/>
      <c r="AM887" s="365"/>
      <c r="AN887" s="365"/>
      <c r="AO887" s="365"/>
      <c r="AP887" s="365"/>
    </row>
    <row r="888">
      <c r="A888" s="302"/>
      <c r="B888" s="303"/>
      <c r="C888" s="304"/>
      <c r="D888" s="365"/>
      <c r="E888" s="302"/>
      <c r="F888" s="303"/>
      <c r="G888" s="304"/>
      <c r="H888" s="365"/>
      <c r="I888" s="302"/>
      <c r="J888" s="303"/>
      <c r="K888" s="304"/>
      <c r="L888" s="365"/>
      <c r="M888" s="302"/>
      <c r="N888" s="303"/>
      <c r="O888" s="304"/>
      <c r="P888" s="365"/>
      <c r="Q888" s="186"/>
      <c r="R888" s="18"/>
      <c r="S888" s="374"/>
      <c r="T888" s="372"/>
      <c r="U888" s="186"/>
      <c r="V888" s="18"/>
      <c r="W888" s="374"/>
      <c r="X888" s="372"/>
      <c r="Y888" s="186"/>
      <c r="Z888" s="18"/>
      <c r="AA888" s="374"/>
      <c r="AB888" s="372"/>
      <c r="AC888" s="186"/>
      <c r="AD888" s="18"/>
      <c r="AE888" s="374"/>
      <c r="AF888" s="372"/>
      <c r="AG888" s="188"/>
      <c r="AH888" s="188"/>
      <c r="AI888" s="188"/>
      <c r="AJ888" s="188"/>
      <c r="AK888" s="365"/>
      <c r="AL888" s="365"/>
      <c r="AM888" s="365"/>
      <c r="AN888" s="365"/>
      <c r="AO888" s="365"/>
      <c r="AP888" s="365"/>
    </row>
    <row r="889">
      <c r="A889" s="302"/>
      <c r="B889" s="303"/>
      <c r="C889" s="304"/>
      <c r="D889" s="365"/>
      <c r="E889" s="302"/>
      <c r="F889" s="303"/>
      <c r="G889" s="304"/>
      <c r="H889" s="365"/>
      <c r="I889" s="302"/>
      <c r="J889" s="303"/>
      <c r="K889" s="304"/>
      <c r="L889" s="365"/>
      <c r="M889" s="302"/>
      <c r="N889" s="303"/>
      <c r="O889" s="304"/>
      <c r="P889" s="365"/>
      <c r="Q889" s="186"/>
      <c r="R889" s="18"/>
      <c r="S889" s="374"/>
      <c r="T889" s="372"/>
      <c r="U889" s="186"/>
      <c r="V889" s="18"/>
      <c r="W889" s="374"/>
      <c r="X889" s="372"/>
      <c r="Y889" s="186"/>
      <c r="Z889" s="18"/>
      <c r="AA889" s="374"/>
      <c r="AB889" s="372"/>
      <c r="AC889" s="186"/>
      <c r="AD889" s="18"/>
      <c r="AE889" s="374"/>
      <c r="AF889" s="372"/>
      <c r="AG889" s="188"/>
      <c r="AH889" s="188"/>
      <c r="AI889" s="188"/>
      <c r="AJ889" s="188"/>
      <c r="AK889" s="365"/>
      <c r="AL889" s="365"/>
      <c r="AM889" s="365"/>
      <c r="AN889" s="365"/>
      <c r="AO889" s="365"/>
      <c r="AP889" s="365"/>
    </row>
    <row r="890">
      <c r="A890" s="302"/>
      <c r="B890" s="303"/>
      <c r="C890" s="304"/>
      <c r="D890" s="365"/>
      <c r="E890" s="302"/>
      <c r="F890" s="303"/>
      <c r="G890" s="304"/>
      <c r="H890" s="365"/>
      <c r="I890" s="302"/>
      <c r="J890" s="303"/>
      <c r="K890" s="304"/>
      <c r="L890" s="365"/>
      <c r="M890" s="302"/>
      <c r="N890" s="303"/>
      <c r="O890" s="304"/>
      <c r="P890" s="365"/>
      <c r="Q890" s="186"/>
      <c r="R890" s="18"/>
      <c r="S890" s="374"/>
      <c r="T890" s="372"/>
      <c r="U890" s="186"/>
      <c r="V890" s="18"/>
      <c r="W890" s="374"/>
      <c r="X890" s="372"/>
      <c r="Y890" s="186"/>
      <c r="Z890" s="18"/>
      <c r="AA890" s="374"/>
      <c r="AB890" s="372"/>
      <c r="AC890" s="186"/>
      <c r="AD890" s="18"/>
      <c r="AE890" s="374"/>
      <c r="AF890" s="372"/>
      <c r="AG890" s="188"/>
      <c r="AH890" s="188"/>
      <c r="AI890" s="188"/>
      <c r="AJ890" s="188"/>
      <c r="AK890" s="365"/>
      <c r="AL890" s="365"/>
      <c r="AM890" s="365"/>
      <c r="AN890" s="365"/>
      <c r="AO890" s="365"/>
      <c r="AP890" s="365"/>
    </row>
    <row r="891">
      <c r="A891" s="302"/>
      <c r="B891" s="303"/>
      <c r="C891" s="304"/>
      <c r="D891" s="365"/>
      <c r="E891" s="302"/>
      <c r="F891" s="303"/>
      <c r="G891" s="304"/>
      <c r="H891" s="365"/>
      <c r="I891" s="302"/>
      <c r="J891" s="303"/>
      <c r="K891" s="304"/>
      <c r="L891" s="365"/>
      <c r="M891" s="302"/>
      <c r="N891" s="303"/>
      <c r="O891" s="304"/>
      <c r="P891" s="365"/>
      <c r="Q891" s="186"/>
      <c r="R891" s="18"/>
      <c r="S891" s="374"/>
      <c r="T891" s="372"/>
      <c r="U891" s="186"/>
      <c r="V891" s="18"/>
      <c r="W891" s="374"/>
      <c r="X891" s="372"/>
      <c r="Y891" s="186"/>
      <c r="Z891" s="18"/>
      <c r="AA891" s="374"/>
      <c r="AB891" s="372"/>
      <c r="AC891" s="186"/>
      <c r="AD891" s="18"/>
      <c r="AE891" s="374"/>
      <c r="AF891" s="372"/>
      <c r="AG891" s="188"/>
      <c r="AH891" s="188"/>
      <c r="AI891" s="188"/>
      <c r="AJ891" s="188"/>
      <c r="AK891" s="365"/>
      <c r="AL891" s="365"/>
      <c r="AM891" s="365"/>
      <c r="AN891" s="365"/>
      <c r="AO891" s="365"/>
      <c r="AP891" s="365"/>
    </row>
    <row r="892">
      <c r="A892" s="302"/>
      <c r="B892" s="303"/>
      <c r="C892" s="304"/>
      <c r="D892" s="365"/>
      <c r="E892" s="302"/>
      <c r="F892" s="303"/>
      <c r="G892" s="304"/>
      <c r="H892" s="365"/>
      <c r="I892" s="302"/>
      <c r="J892" s="303"/>
      <c r="K892" s="304"/>
      <c r="L892" s="365"/>
      <c r="M892" s="302"/>
      <c r="N892" s="303"/>
      <c r="O892" s="304"/>
      <c r="P892" s="365"/>
      <c r="Q892" s="186"/>
      <c r="R892" s="18"/>
      <c r="S892" s="374"/>
      <c r="T892" s="372"/>
      <c r="U892" s="186"/>
      <c r="V892" s="18"/>
      <c r="W892" s="374"/>
      <c r="X892" s="372"/>
      <c r="Y892" s="186"/>
      <c r="Z892" s="18"/>
      <c r="AA892" s="374"/>
      <c r="AB892" s="372"/>
      <c r="AC892" s="186"/>
      <c r="AD892" s="18"/>
      <c r="AE892" s="374"/>
      <c r="AF892" s="372"/>
      <c r="AG892" s="188"/>
      <c r="AH892" s="188"/>
      <c r="AI892" s="188"/>
      <c r="AJ892" s="188"/>
      <c r="AK892" s="365"/>
      <c r="AL892" s="365"/>
      <c r="AM892" s="365"/>
      <c r="AN892" s="365"/>
      <c r="AO892" s="365"/>
      <c r="AP892" s="365"/>
    </row>
    <row r="893">
      <c r="A893" s="302"/>
      <c r="B893" s="303"/>
      <c r="C893" s="304"/>
      <c r="D893" s="365"/>
      <c r="E893" s="302"/>
      <c r="F893" s="303"/>
      <c r="G893" s="304"/>
      <c r="H893" s="365"/>
      <c r="I893" s="302"/>
      <c r="J893" s="303"/>
      <c r="K893" s="304"/>
      <c r="L893" s="365"/>
      <c r="M893" s="302"/>
      <c r="N893" s="303"/>
      <c r="O893" s="304"/>
      <c r="P893" s="365"/>
      <c r="Q893" s="186"/>
      <c r="R893" s="18"/>
      <c r="S893" s="374"/>
      <c r="T893" s="372"/>
      <c r="U893" s="186"/>
      <c r="V893" s="18"/>
      <c r="W893" s="374"/>
      <c r="X893" s="372"/>
      <c r="Y893" s="186"/>
      <c r="Z893" s="18"/>
      <c r="AA893" s="374"/>
      <c r="AB893" s="372"/>
      <c r="AC893" s="186"/>
      <c r="AD893" s="18"/>
      <c r="AE893" s="374"/>
      <c r="AF893" s="372"/>
      <c r="AG893" s="188"/>
      <c r="AH893" s="188"/>
      <c r="AI893" s="188"/>
      <c r="AJ893" s="188"/>
      <c r="AK893" s="365"/>
      <c r="AL893" s="365"/>
      <c r="AM893" s="365"/>
      <c r="AN893" s="365"/>
      <c r="AO893" s="365"/>
      <c r="AP893" s="365"/>
    </row>
    <row r="894">
      <c r="A894" s="302"/>
      <c r="B894" s="303"/>
      <c r="C894" s="304"/>
      <c r="D894" s="365"/>
      <c r="E894" s="302"/>
      <c r="F894" s="303"/>
      <c r="G894" s="304"/>
      <c r="H894" s="365"/>
      <c r="I894" s="302"/>
      <c r="J894" s="303"/>
      <c r="K894" s="304"/>
      <c r="L894" s="365"/>
      <c r="M894" s="302"/>
      <c r="N894" s="303"/>
      <c r="O894" s="304"/>
      <c r="P894" s="365"/>
      <c r="Q894" s="186"/>
      <c r="R894" s="18"/>
      <c r="S894" s="374"/>
      <c r="T894" s="372"/>
      <c r="U894" s="186"/>
      <c r="V894" s="18"/>
      <c r="W894" s="374"/>
      <c r="X894" s="372"/>
      <c r="Y894" s="186"/>
      <c r="Z894" s="18"/>
      <c r="AA894" s="374"/>
      <c r="AB894" s="372"/>
      <c r="AC894" s="186"/>
      <c r="AD894" s="18"/>
      <c r="AE894" s="374"/>
      <c r="AF894" s="372"/>
      <c r="AG894" s="188"/>
      <c r="AH894" s="188"/>
      <c r="AI894" s="188"/>
      <c r="AJ894" s="188"/>
      <c r="AK894" s="365"/>
      <c r="AL894" s="365"/>
      <c r="AM894" s="365"/>
      <c r="AN894" s="365"/>
      <c r="AO894" s="365"/>
      <c r="AP894" s="365"/>
    </row>
    <row r="895">
      <c r="A895" s="302"/>
      <c r="B895" s="303"/>
      <c r="C895" s="304"/>
      <c r="D895" s="365"/>
      <c r="E895" s="302"/>
      <c r="F895" s="303"/>
      <c r="G895" s="304"/>
      <c r="H895" s="365"/>
      <c r="I895" s="302"/>
      <c r="J895" s="303"/>
      <c r="K895" s="304"/>
      <c r="L895" s="365"/>
      <c r="M895" s="302"/>
      <c r="N895" s="303"/>
      <c r="O895" s="304"/>
      <c r="P895" s="365"/>
      <c r="Q895" s="186"/>
      <c r="R895" s="18"/>
      <c r="S895" s="374"/>
      <c r="T895" s="372"/>
      <c r="U895" s="186"/>
      <c r="V895" s="18"/>
      <c r="W895" s="374"/>
      <c r="X895" s="372"/>
      <c r="Y895" s="186"/>
      <c r="Z895" s="18"/>
      <c r="AA895" s="374"/>
      <c r="AB895" s="372"/>
      <c r="AC895" s="186"/>
      <c r="AD895" s="18"/>
      <c r="AE895" s="374"/>
      <c r="AF895" s="372"/>
      <c r="AG895" s="188"/>
      <c r="AH895" s="188"/>
      <c r="AI895" s="188"/>
      <c r="AJ895" s="188"/>
      <c r="AK895" s="365"/>
      <c r="AL895" s="365"/>
      <c r="AM895" s="365"/>
      <c r="AN895" s="365"/>
      <c r="AO895" s="365"/>
      <c r="AP895" s="365"/>
    </row>
    <row r="896">
      <c r="A896" s="302"/>
      <c r="B896" s="303"/>
      <c r="C896" s="304"/>
      <c r="D896" s="365"/>
      <c r="E896" s="302"/>
      <c r="F896" s="303"/>
      <c r="G896" s="304"/>
      <c r="H896" s="365"/>
      <c r="I896" s="302"/>
      <c r="J896" s="303"/>
      <c r="K896" s="304"/>
      <c r="L896" s="365"/>
      <c r="M896" s="302"/>
      <c r="N896" s="303"/>
      <c r="O896" s="304"/>
      <c r="P896" s="365"/>
      <c r="Q896" s="186"/>
      <c r="R896" s="18"/>
      <c r="S896" s="374"/>
      <c r="T896" s="372"/>
      <c r="U896" s="186"/>
      <c r="V896" s="18"/>
      <c r="W896" s="374"/>
      <c r="X896" s="372"/>
      <c r="Y896" s="186"/>
      <c r="Z896" s="18"/>
      <c r="AA896" s="374"/>
      <c r="AB896" s="372"/>
      <c r="AC896" s="186"/>
      <c r="AD896" s="18"/>
      <c r="AE896" s="374"/>
      <c r="AF896" s="372"/>
      <c r="AG896" s="188"/>
      <c r="AH896" s="188"/>
      <c r="AI896" s="188"/>
      <c r="AJ896" s="188"/>
      <c r="AK896" s="365"/>
      <c r="AL896" s="365"/>
      <c r="AM896" s="365"/>
      <c r="AN896" s="365"/>
      <c r="AO896" s="365"/>
      <c r="AP896" s="365"/>
    </row>
    <row r="897">
      <c r="A897" s="302"/>
      <c r="B897" s="303"/>
      <c r="C897" s="304"/>
      <c r="D897" s="365"/>
      <c r="E897" s="302"/>
      <c r="F897" s="303"/>
      <c r="G897" s="304"/>
      <c r="H897" s="365"/>
      <c r="I897" s="302"/>
      <c r="J897" s="303"/>
      <c r="K897" s="304"/>
      <c r="L897" s="365"/>
      <c r="M897" s="302"/>
      <c r="N897" s="303"/>
      <c r="O897" s="304"/>
      <c r="P897" s="365"/>
      <c r="Q897" s="186"/>
      <c r="R897" s="18"/>
      <c r="S897" s="374"/>
      <c r="T897" s="372"/>
      <c r="U897" s="186"/>
      <c r="V897" s="18"/>
      <c r="W897" s="374"/>
      <c r="X897" s="372"/>
      <c r="Y897" s="186"/>
      <c r="Z897" s="18"/>
      <c r="AA897" s="374"/>
      <c r="AB897" s="372"/>
      <c r="AC897" s="186"/>
      <c r="AD897" s="18"/>
      <c r="AE897" s="374"/>
      <c r="AF897" s="372"/>
      <c r="AG897" s="188"/>
      <c r="AH897" s="188"/>
      <c r="AI897" s="188"/>
      <c r="AJ897" s="188"/>
      <c r="AK897" s="365"/>
      <c r="AL897" s="365"/>
      <c r="AM897" s="365"/>
      <c r="AN897" s="365"/>
      <c r="AO897" s="365"/>
      <c r="AP897" s="365"/>
    </row>
    <row r="898">
      <c r="A898" s="302"/>
      <c r="B898" s="303"/>
      <c r="C898" s="304"/>
      <c r="D898" s="365"/>
      <c r="E898" s="302"/>
      <c r="F898" s="303"/>
      <c r="G898" s="304"/>
      <c r="H898" s="365"/>
      <c r="I898" s="302"/>
      <c r="J898" s="303"/>
      <c r="K898" s="304"/>
      <c r="L898" s="365"/>
      <c r="M898" s="302"/>
      <c r="N898" s="303"/>
      <c r="O898" s="304"/>
      <c r="P898" s="365"/>
      <c r="Q898" s="186"/>
      <c r="R898" s="18"/>
      <c r="S898" s="374"/>
      <c r="T898" s="372"/>
      <c r="U898" s="186"/>
      <c r="V898" s="18"/>
      <c r="W898" s="374"/>
      <c r="X898" s="372"/>
      <c r="Y898" s="186"/>
      <c r="Z898" s="18"/>
      <c r="AA898" s="374"/>
      <c r="AB898" s="372"/>
      <c r="AC898" s="186"/>
      <c r="AD898" s="18"/>
      <c r="AE898" s="374"/>
      <c r="AF898" s="372"/>
      <c r="AG898" s="188"/>
      <c r="AH898" s="188"/>
      <c r="AI898" s="188"/>
      <c r="AJ898" s="188"/>
      <c r="AK898" s="365"/>
      <c r="AL898" s="365"/>
      <c r="AM898" s="365"/>
      <c r="AN898" s="365"/>
      <c r="AO898" s="365"/>
      <c r="AP898" s="365"/>
    </row>
    <row r="899">
      <c r="A899" s="302"/>
      <c r="B899" s="303"/>
      <c r="C899" s="304"/>
      <c r="D899" s="365"/>
      <c r="E899" s="302"/>
      <c r="F899" s="303"/>
      <c r="G899" s="304"/>
      <c r="H899" s="365"/>
      <c r="I899" s="302"/>
      <c r="J899" s="303"/>
      <c r="K899" s="304"/>
      <c r="L899" s="365"/>
      <c r="M899" s="302"/>
      <c r="N899" s="303"/>
      <c r="O899" s="304"/>
      <c r="P899" s="365"/>
      <c r="Q899" s="186"/>
      <c r="R899" s="18"/>
      <c r="S899" s="374"/>
      <c r="T899" s="372"/>
      <c r="U899" s="186"/>
      <c r="V899" s="18"/>
      <c r="W899" s="374"/>
      <c r="X899" s="372"/>
      <c r="Y899" s="186"/>
      <c r="Z899" s="18"/>
      <c r="AA899" s="374"/>
      <c r="AB899" s="372"/>
      <c r="AC899" s="186"/>
      <c r="AD899" s="18"/>
      <c r="AE899" s="374"/>
      <c r="AF899" s="372"/>
      <c r="AG899" s="188"/>
      <c r="AH899" s="188"/>
      <c r="AI899" s="188"/>
      <c r="AJ899" s="188"/>
      <c r="AK899" s="365"/>
      <c r="AL899" s="365"/>
      <c r="AM899" s="365"/>
      <c r="AN899" s="365"/>
      <c r="AO899" s="365"/>
      <c r="AP899" s="365"/>
    </row>
    <row r="900">
      <c r="A900" s="302"/>
      <c r="B900" s="303"/>
      <c r="C900" s="304"/>
      <c r="D900" s="365"/>
      <c r="E900" s="302"/>
      <c r="F900" s="303"/>
      <c r="G900" s="304"/>
      <c r="H900" s="365"/>
      <c r="I900" s="302"/>
      <c r="J900" s="303"/>
      <c r="K900" s="304"/>
      <c r="L900" s="365"/>
      <c r="M900" s="302"/>
      <c r="N900" s="303"/>
      <c r="O900" s="304"/>
      <c r="P900" s="365"/>
      <c r="Q900" s="186"/>
      <c r="R900" s="18"/>
      <c r="S900" s="374"/>
      <c r="T900" s="372"/>
      <c r="U900" s="186"/>
      <c r="V900" s="18"/>
      <c r="W900" s="374"/>
      <c r="X900" s="372"/>
      <c r="Y900" s="186"/>
      <c r="Z900" s="18"/>
      <c r="AA900" s="374"/>
      <c r="AB900" s="372"/>
      <c r="AC900" s="186"/>
      <c r="AD900" s="18"/>
      <c r="AE900" s="374"/>
      <c r="AF900" s="372"/>
      <c r="AG900" s="188"/>
      <c r="AH900" s="188"/>
      <c r="AI900" s="188"/>
      <c r="AJ900" s="188"/>
      <c r="AK900" s="365"/>
      <c r="AL900" s="365"/>
      <c r="AM900" s="365"/>
      <c r="AN900" s="365"/>
      <c r="AO900" s="365"/>
      <c r="AP900" s="365"/>
    </row>
    <row r="901">
      <c r="A901" s="302"/>
      <c r="B901" s="303"/>
      <c r="C901" s="304"/>
      <c r="D901" s="365"/>
      <c r="E901" s="302"/>
      <c r="F901" s="303"/>
      <c r="G901" s="304"/>
      <c r="H901" s="365"/>
      <c r="I901" s="302"/>
      <c r="J901" s="303"/>
      <c r="K901" s="304"/>
      <c r="L901" s="365"/>
      <c r="M901" s="302"/>
      <c r="N901" s="303"/>
      <c r="O901" s="304"/>
      <c r="P901" s="365"/>
      <c r="Q901" s="186"/>
      <c r="R901" s="18"/>
      <c r="S901" s="374"/>
      <c r="T901" s="372"/>
      <c r="U901" s="186"/>
      <c r="V901" s="18"/>
      <c r="W901" s="374"/>
      <c r="X901" s="372"/>
      <c r="Y901" s="186"/>
      <c r="Z901" s="18"/>
      <c r="AA901" s="374"/>
      <c r="AB901" s="372"/>
      <c r="AC901" s="186"/>
      <c r="AD901" s="18"/>
      <c r="AE901" s="374"/>
      <c r="AF901" s="372"/>
      <c r="AG901" s="188"/>
      <c r="AH901" s="188"/>
      <c r="AI901" s="188"/>
      <c r="AJ901" s="188"/>
      <c r="AK901" s="365"/>
      <c r="AL901" s="365"/>
      <c r="AM901" s="365"/>
      <c r="AN901" s="365"/>
      <c r="AO901" s="365"/>
      <c r="AP901" s="365"/>
    </row>
    <row r="902">
      <c r="A902" s="302"/>
      <c r="B902" s="303"/>
      <c r="C902" s="304"/>
      <c r="D902" s="365"/>
      <c r="E902" s="302"/>
      <c r="F902" s="303"/>
      <c r="G902" s="304"/>
      <c r="H902" s="365"/>
      <c r="I902" s="302"/>
      <c r="J902" s="303"/>
      <c r="K902" s="304"/>
      <c r="L902" s="365"/>
      <c r="M902" s="302"/>
      <c r="N902" s="303"/>
      <c r="O902" s="304"/>
      <c r="P902" s="365"/>
      <c r="Q902" s="186"/>
      <c r="R902" s="18"/>
      <c r="S902" s="374"/>
      <c r="T902" s="372"/>
      <c r="U902" s="186"/>
      <c r="V902" s="18"/>
      <c r="W902" s="374"/>
      <c r="X902" s="372"/>
      <c r="Y902" s="186"/>
      <c r="Z902" s="18"/>
      <c r="AA902" s="374"/>
      <c r="AB902" s="372"/>
      <c r="AC902" s="186"/>
      <c r="AD902" s="18"/>
      <c r="AE902" s="374"/>
      <c r="AF902" s="372"/>
      <c r="AG902" s="188"/>
      <c r="AH902" s="188"/>
      <c r="AI902" s="188"/>
      <c r="AJ902" s="188"/>
      <c r="AK902" s="365"/>
      <c r="AL902" s="365"/>
      <c r="AM902" s="365"/>
      <c r="AN902" s="365"/>
      <c r="AO902" s="365"/>
      <c r="AP902" s="365"/>
    </row>
    <row r="903">
      <c r="A903" s="302"/>
      <c r="B903" s="303"/>
      <c r="C903" s="304"/>
      <c r="D903" s="365"/>
      <c r="E903" s="302"/>
      <c r="F903" s="303"/>
      <c r="G903" s="304"/>
      <c r="H903" s="365"/>
      <c r="I903" s="302"/>
      <c r="J903" s="303"/>
      <c r="K903" s="304"/>
      <c r="L903" s="365"/>
      <c r="M903" s="302"/>
      <c r="N903" s="303"/>
      <c r="O903" s="304"/>
      <c r="P903" s="365"/>
      <c r="Q903" s="186"/>
      <c r="R903" s="18"/>
      <c r="S903" s="374"/>
      <c r="T903" s="372"/>
      <c r="U903" s="186"/>
      <c r="V903" s="18"/>
      <c r="W903" s="374"/>
      <c r="X903" s="372"/>
      <c r="Y903" s="186"/>
      <c r="Z903" s="18"/>
      <c r="AA903" s="374"/>
      <c r="AB903" s="372"/>
      <c r="AC903" s="186"/>
      <c r="AD903" s="18"/>
      <c r="AE903" s="374"/>
      <c r="AF903" s="372"/>
      <c r="AG903" s="188"/>
      <c r="AH903" s="188"/>
      <c r="AI903" s="188"/>
      <c r="AJ903" s="188"/>
      <c r="AK903" s="365"/>
      <c r="AL903" s="365"/>
      <c r="AM903" s="365"/>
      <c r="AN903" s="365"/>
      <c r="AO903" s="365"/>
      <c r="AP903" s="365"/>
    </row>
    <row r="904">
      <c r="A904" s="302"/>
      <c r="B904" s="303"/>
      <c r="C904" s="304"/>
      <c r="D904" s="365"/>
      <c r="E904" s="302"/>
      <c r="F904" s="303"/>
      <c r="G904" s="304"/>
      <c r="H904" s="365"/>
      <c r="I904" s="302"/>
      <c r="J904" s="303"/>
      <c r="K904" s="304"/>
      <c r="L904" s="365"/>
      <c r="M904" s="302"/>
      <c r="N904" s="303"/>
      <c r="O904" s="304"/>
      <c r="P904" s="365"/>
      <c r="Q904" s="186"/>
      <c r="R904" s="18"/>
      <c r="S904" s="374"/>
      <c r="T904" s="372"/>
      <c r="U904" s="186"/>
      <c r="V904" s="18"/>
      <c r="W904" s="374"/>
      <c r="X904" s="372"/>
      <c r="Y904" s="186"/>
      <c r="Z904" s="18"/>
      <c r="AA904" s="374"/>
      <c r="AB904" s="372"/>
      <c r="AC904" s="186"/>
      <c r="AD904" s="18"/>
      <c r="AE904" s="374"/>
      <c r="AF904" s="372"/>
      <c r="AG904" s="188"/>
      <c r="AH904" s="188"/>
      <c r="AI904" s="188"/>
      <c r="AJ904" s="188"/>
      <c r="AK904" s="365"/>
      <c r="AL904" s="365"/>
      <c r="AM904" s="365"/>
      <c r="AN904" s="365"/>
      <c r="AO904" s="365"/>
      <c r="AP904" s="365"/>
    </row>
    <row r="905">
      <c r="A905" s="302"/>
      <c r="B905" s="303"/>
      <c r="C905" s="304"/>
      <c r="D905" s="365"/>
      <c r="E905" s="302"/>
      <c r="F905" s="303"/>
      <c r="G905" s="304"/>
      <c r="H905" s="365"/>
      <c r="I905" s="302"/>
      <c r="J905" s="303"/>
      <c r="K905" s="304"/>
      <c r="L905" s="365"/>
      <c r="M905" s="302"/>
      <c r="N905" s="303"/>
      <c r="O905" s="304"/>
      <c r="P905" s="365"/>
      <c r="Q905" s="186"/>
      <c r="R905" s="18"/>
      <c r="S905" s="374"/>
      <c r="T905" s="372"/>
      <c r="U905" s="186"/>
      <c r="V905" s="18"/>
      <c r="W905" s="374"/>
      <c r="X905" s="372"/>
      <c r="Y905" s="186"/>
      <c r="Z905" s="18"/>
      <c r="AA905" s="374"/>
      <c r="AB905" s="372"/>
      <c r="AC905" s="186"/>
      <c r="AD905" s="18"/>
      <c r="AE905" s="374"/>
      <c r="AF905" s="372"/>
      <c r="AG905" s="188"/>
      <c r="AH905" s="188"/>
      <c r="AI905" s="188"/>
      <c r="AJ905" s="188"/>
      <c r="AK905" s="365"/>
      <c r="AL905" s="365"/>
      <c r="AM905" s="365"/>
      <c r="AN905" s="365"/>
      <c r="AO905" s="365"/>
      <c r="AP905" s="365"/>
    </row>
    <row r="906">
      <c r="A906" s="302"/>
      <c r="B906" s="303"/>
      <c r="C906" s="304"/>
      <c r="D906" s="365"/>
      <c r="E906" s="302"/>
      <c r="F906" s="303"/>
      <c r="G906" s="304"/>
      <c r="H906" s="365"/>
      <c r="I906" s="302"/>
      <c r="J906" s="303"/>
      <c r="K906" s="304"/>
      <c r="L906" s="365"/>
      <c r="M906" s="302"/>
      <c r="N906" s="303"/>
      <c r="O906" s="304"/>
      <c r="P906" s="365"/>
      <c r="Q906" s="186"/>
      <c r="R906" s="18"/>
      <c r="S906" s="374"/>
      <c r="T906" s="372"/>
      <c r="U906" s="186"/>
      <c r="V906" s="18"/>
      <c r="W906" s="374"/>
      <c r="X906" s="372"/>
      <c r="Y906" s="186"/>
      <c r="Z906" s="18"/>
      <c r="AA906" s="374"/>
      <c r="AB906" s="372"/>
      <c r="AC906" s="186"/>
      <c r="AD906" s="18"/>
      <c r="AE906" s="374"/>
      <c r="AF906" s="372"/>
      <c r="AG906" s="188"/>
      <c r="AH906" s="188"/>
      <c r="AI906" s="188"/>
      <c r="AJ906" s="188"/>
      <c r="AK906" s="365"/>
      <c r="AL906" s="365"/>
      <c r="AM906" s="365"/>
      <c r="AN906" s="365"/>
      <c r="AO906" s="365"/>
      <c r="AP906" s="365"/>
    </row>
    <row r="907">
      <c r="A907" s="302"/>
      <c r="B907" s="303"/>
      <c r="C907" s="304"/>
      <c r="D907" s="365"/>
      <c r="E907" s="302"/>
      <c r="F907" s="303"/>
      <c r="G907" s="304"/>
      <c r="H907" s="365"/>
      <c r="I907" s="302"/>
      <c r="J907" s="303"/>
      <c r="K907" s="304"/>
      <c r="L907" s="365"/>
      <c r="M907" s="302"/>
      <c r="N907" s="303"/>
      <c r="O907" s="304"/>
      <c r="P907" s="365"/>
      <c r="Q907" s="186"/>
      <c r="R907" s="18"/>
      <c r="S907" s="374"/>
      <c r="T907" s="372"/>
      <c r="U907" s="186"/>
      <c r="V907" s="18"/>
      <c r="W907" s="374"/>
      <c r="X907" s="372"/>
      <c r="Y907" s="186"/>
      <c r="Z907" s="18"/>
      <c r="AA907" s="374"/>
      <c r="AB907" s="372"/>
      <c r="AC907" s="186"/>
      <c r="AD907" s="18"/>
      <c r="AE907" s="374"/>
      <c r="AF907" s="372"/>
      <c r="AG907" s="188"/>
      <c r="AH907" s="188"/>
      <c r="AI907" s="188"/>
      <c r="AJ907" s="188"/>
      <c r="AK907" s="365"/>
      <c r="AL907" s="365"/>
      <c r="AM907" s="365"/>
      <c r="AN907" s="365"/>
      <c r="AO907" s="365"/>
      <c r="AP907" s="365"/>
    </row>
    <row r="908">
      <c r="A908" s="302"/>
      <c r="B908" s="303"/>
      <c r="C908" s="304"/>
      <c r="D908" s="365"/>
      <c r="E908" s="302"/>
      <c r="F908" s="303"/>
      <c r="G908" s="304"/>
      <c r="H908" s="365"/>
      <c r="I908" s="302"/>
      <c r="J908" s="303"/>
      <c r="K908" s="304"/>
      <c r="L908" s="365"/>
      <c r="M908" s="302"/>
      <c r="N908" s="303"/>
      <c r="O908" s="304"/>
      <c r="P908" s="365"/>
      <c r="Q908" s="186"/>
      <c r="R908" s="18"/>
      <c r="S908" s="374"/>
      <c r="T908" s="372"/>
      <c r="U908" s="186"/>
      <c r="V908" s="18"/>
      <c r="W908" s="374"/>
      <c r="X908" s="372"/>
      <c r="Y908" s="186"/>
      <c r="Z908" s="18"/>
      <c r="AA908" s="374"/>
      <c r="AB908" s="372"/>
      <c r="AC908" s="186"/>
      <c r="AD908" s="18"/>
      <c r="AE908" s="374"/>
      <c r="AF908" s="372"/>
      <c r="AG908" s="188"/>
      <c r="AH908" s="188"/>
      <c r="AI908" s="188"/>
      <c r="AJ908" s="188"/>
      <c r="AK908" s="365"/>
      <c r="AL908" s="365"/>
      <c r="AM908" s="365"/>
      <c r="AN908" s="365"/>
      <c r="AO908" s="365"/>
      <c r="AP908" s="365"/>
    </row>
    <row r="909">
      <c r="A909" s="302"/>
      <c r="B909" s="303"/>
      <c r="C909" s="304"/>
      <c r="D909" s="365"/>
      <c r="E909" s="302"/>
      <c r="F909" s="303"/>
      <c r="G909" s="304"/>
      <c r="H909" s="365"/>
      <c r="I909" s="302"/>
      <c r="J909" s="303"/>
      <c r="K909" s="304"/>
      <c r="L909" s="365"/>
      <c r="M909" s="302"/>
      <c r="N909" s="303"/>
      <c r="O909" s="304"/>
      <c r="P909" s="365"/>
      <c r="Q909" s="186"/>
      <c r="R909" s="18"/>
      <c r="S909" s="374"/>
      <c r="T909" s="372"/>
      <c r="U909" s="186"/>
      <c r="V909" s="18"/>
      <c r="W909" s="374"/>
      <c r="X909" s="372"/>
      <c r="Y909" s="186"/>
      <c r="Z909" s="18"/>
      <c r="AA909" s="374"/>
      <c r="AB909" s="372"/>
      <c r="AC909" s="186"/>
      <c r="AD909" s="18"/>
      <c r="AE909" s="374"/>
      <c r="AF909" s="372"/>
      <c r="AG909" s="188"/>
      <c r="AH909" s="188"/>
      <c r="AI909" s="188"/>
      <c r="AJ909" s="188"/>
      <c r="AK909" s="365"/>
      <c r="AL909" s="365"/>
      <c r="AM909" s="365"/>
      <c r="AN909" s="365"/>
      <c r="AO909" s="365"/>
      <c r="AP909" s="365"/>
    </row>
    <row r="910">
      <c r="A910" s="302"/>
      <c r="B910" s="303"/>
      <c r="C910" s="304"/>
      <c r="D910" s="365"/>
      <c r="E910" s="302"/>
      <c r="F910" s="303"/>
      <c r="G910" s="304"/>
      <c r="H910" s="365"/>
      <c r="I910" s="302"/>
      <c r="J910" s="303"/>
      <c r="K910" s="304"/>
      <c r="L910" s="365"/>
      <c r="M910" s="302"/>
      <c r="N910" s="303"/>
      <c r="O910" s="304"/>
      <c r="P910" s="365"/>
      <c r="Q910" s="186"/>
      <c r="R910" s="18"/>
      <c r="S910" s="374"/>
      <c r="T910" s="372"/>
      <c r="U910" s="186"/>
      <c r="V910" s="18"/>
      <c r="W910" s="374"/>
      <c r="X910" s="372"/>
      <c r="Y910" s="186"/>
      <c r="Z910" s="18"/>
      <c r="AA910" s="374"/>
      <c r="AB910" s="372"/>
      <c r="AC910" s="186"/>
      <c r="AD910" s="18"/>
      <c r="AE910" s="374"/>
      <c r="AF910" s="372"/>
      <c r="AG910" s="188"/>
      <c r="AH910" s="188"/>
      <c r="AI910" s="188"/>
      <c r="AJ910" s="188"/>
      <c r="AK910" s="365"/>
      <c r="AL910" s="365"/>
      <c r="AM910" s="365"/>
      <c r="AN910" s="365"/>
      <c r="AO910" s="365"/>
      <c r="AP910" s="365"/>
    </row>
    <row r="911">
      <c r="A911" s="302"/>
      <c r="B911" s="303"/>
      <c r="C911" s="304"/>
      <c r="D911" s="365"/>
      <c r="E911" s="302"/>
      <c r="F911" s="303"/>
      <c r="G911" s="304"/>
      <c r="H911" s="365"/>
      <c r="I911" s="302"/>
      <c r="J911" s="303"/>
      <c r="K911" s="304"/>
      <c r="L911" s="365"/>
      <c r="M911" s="302"/>
      <c r="N911" s="303"/>
      <c r="O911" s="304"/>
      <c r="P911" s="365"/>
      <c r="Q911" s="186"/>
      <c r="R911" s="18"/>
      <c r="S911" s="374"/>
      <c r="T911" s="372"/>
      <c r="U911" s="186"/>
      <c r="V911" s="18"/>
      <c r="W911" s="374"/>
      <c r="X911" s="372"/>
      <c r="Y911" s="186"/>
      <c r="Z911" s="18"/>
      <c r="AA911" s="374"/>
      <c r="AB911" s="372"/>
      <c r="AC911" s="186"/>
      <c r="AD911" s="18"/>
      <c r="AE911" s="374"/>
      <c r="AF911" s="372"/>
      <c r="AG911" s="188"/>
      <c r="AH911" s="188"/>
      <c r="AI911" s="188"/>
      <c r="AJ911" s="188"/>
      <c r="AK911" s="365"/>
      <c r="AL911" s="365"/>
      <c r="AM911" s="365"/>
      <c r="AN911" s="365"/>
      <c r="AO911" s="365"/>
      <c r="AP911" s="365"/>
    </row>
    <row r="912">
      <c r="A912" s="302"/>
      <c r="B912" s="303"/>
      <c r="C912" s="304"/>
      <c r="D912" s="365"/>
      <c r="E912" s="302"/>
      <c r="F912" s="303"/>
      <c r="G912" s="304"/>
      <c r="H912" s="365"/>
      <c r="I912" s="302"/>
      <c r="J912" s="303"/>
      <c r="K912" s="304"/>
      <c r="L912" s="365"/>
      <c r="M912" s="302"/>
      <c r="N912" s="303"/>
      <c r="O912" s="304"/>
      <c r="P912" s="365"/>
      <c r="Q912" s="186"/>
      <c r="R912" s="18"/>
      <c r="S912" s="374"/>
      <c r="T912" s="372"/>
      <c r="U912" s="186"/>
      <c r="V912" s="18"/>
      <c r="W912" s="374"/>
      <c r="X912" s="372"/>
      <c r="Y912" s="186"/>
      <c r="Z912" s="18"/>
      <c r="AA912" s="374"/>
      <c r="AB912" s="372"/>
      <c r="AC912" s="186"/>
      <c r="AD912" s="18"/>
      <c r="AE912" s="374"/>
      <c r="AF912" s="372"/>
      <c r="AG912" s="188"/>
      <c r="AH912" s="188"/>
      <c r="AI912" s="188"/>
      <c r="AJ912" s="188"/>
      <c r="AK912" s="365"/>
      <c r="AL912" s="365"/>
      <c r="AM912" s="365"/>
      <c r="AN912" s="365"/>
      <c r="AO912" s="365"/>
      <c r="AP912" s="365"/>
    </row>
    <row r="913">
      <c r="A913" s="302"/>
      <c r="B913" s="303"/>
      <c r="C913" s="304"/>
      <c r="D913" s="365"/>
      <c r="E913" s="302"/>
      <c r="F913" s="303"/>
      <c r="G913" s="304"/>
      <c r="H913" s="365"/>
      <c r="I913" s="302"/>
      <c r="J913" s="303"/>
      <c r="K913" s="304"/>
      <c r="L913" s="365"/>
      <c r="M913" s="302"/>
      <c r="N913" s="303"/>
      <c r="O913" s="304"/>
      <c r="P913" s="365"/>
      <c r="Q913" s="186"/>
      <c r="R913" s="18"/>
      <c r="S913" s="374"/>
      <c r="T913" s="372"/>
      <c r="U913" s="186"/>
      <c r="V913" s="18"/>
      <c r="W913" s="374"/>
      <c r="X913" s="372"/>
      <c r="Y913" s="186"/>
      <c r="Z913" s="18"/>
      <c r="AA913" s="374"/>
      <c r="AB913" s="372"/>
      <c r="AC913" s="186"/>
      <c r="AD913" s="18"/>
      <c r="AE913" s="374"/>
      <c r="AF913" s="372"/>
      <c r="AG913" s="188"/>
      <c r="AH913" s="188"/>
      <c r="AI913" s="188"/>
      <c r="AJ913" s="188"/>
      <c r="AK913" s="365"/>
      <c r="AL913" s="365"/>
      <c r="AM913" s="365"/>
      <c r="AN913" s="365"/>
      <c r="AO913" s="365"/>
      <c r="AP913" s="365"/>
    </row>
    <row r="914">
      <c r="A914" s="302"/>
      <c r="B914" s="303"/>
      <c r="C914" s="304"/>
      <c r="D914" s="365"/>
      <c r="E914" s="302"/>
      <c r="F914" s="303"/>
      <c r="G914" s="304"/>
      <c r="H914" s="365"/>
      <c r="I914" s="302"/>
      <c r="J914" s="303"/>
      <c r="K914" s="304"/>
      <c r="L914" s="365"/>
      <c r="M914" s="302"/>
      <c r="N914" s="303"/>
      <c r="O914" s="304"/>
      <c r="P914" s="365"/>
      <c r="Q914" s="186"/>
      <c r="R914" s="18"/>
      <c r="S914" s="374"/>
      <c r="T914" s="372"/>
      <c r="U914" s="186"/>
      <c r="V914" s="18"/>
      <c r="W914" s="374"/>
      <c r="X914" s="372"/>
      <c r="Y914" s="186"/>
      <c r="Z914" s="18"/>
      <c r="AA914" s="374"/>
      <c r="AB914" s="372"/>
      <c r="AC914" s="186"/>
      <c r="AD914" s="18"/>
      <c r="AE914" s="374"/>
      <c r="AF914" s="372"/>
      <c r="AG914" s="188"/>
      <c r="AH914" s="188"/>
      <c r="AI914" s="188"/>
      <c r="AJ914" s="188"/>
      <c r="AK914" s="365"/>
      <c r="AL914" s="365"/>
      <c r="AM914" s="365"/>
      <c r="AN914" s="365"/>
      <c r="AO914" s="365"/>
      <c r="AP914" s="365"/>
    </row>
    <row r="915">
      <c r="A915" s="302"/>
      <c r="B915" s="303"/>
      <c r="C915" s="304"/>
      <c r="D915" s="365"/>
      <c r="E915" s="302"/>
      <c r="F915" s="303"/>
      <c r="G915" s="304"/>
      <c r="H915" s="365"/>
      <c r="I915" s="302"/>
      <c r="J915" s="303"/>
      <c r="K915" s="304"/>
      <c r="L915" s="365"/>
      <c r="M915" s="302"/>
      <c r="N915" s="303"/>
      <c r="O915" s="304"/>
      <c r="P915" s="365"/>
      <c r="Q915" s="186"/>
      <c r="R915" s="18"/>
      <c r="S915" s="374"/>
      <c r="T915" s="372"/>
      <c r="U915" s="186"/>
      <c r="V915" s="18"/>
      <c r="W915" s="374"/>
      <c r="X915" s="372"/>
      <c r="Y915" s="186"/>
      <c r="Z915" s="18"/>
      <c r="AA915" s="374"/>
      <c r="AB915" s="372"/>
      <c r="AC915" s="186"/>
      <c r="AD915" s="18"/>
      <c r="AE915" s="374"/>
      <c r="AF915" s="372"/>
      <c r="AG915" s="188"/>
      <c r="AH915" s="188"/>
      <c r="AI915" s="188"/>
      <c r="AJ915" s="188"/>
      <c r="AK915" s="365"/>
      <c r="AL915" s="365"/>
      <c r="AM915" s="365"/>
      <c r="AN915" s="365"/>
      <c r="AO915" s="365"/>
      <c r="AP915" s="365"/>
    </row>
    <row r="916">
      <c r="A916" s="302"/>
      <c r="B916" s="303"/>
      <c r="C916" s="304"/>
      <c r="D916" s="365"/>
      <c r="E916" s="302"/>
      <c r="F916" s="303"/>
      <c r="G916" s="304"/>
      <c r="H916" s="365"/>
      <c r="I916" s="302"/>
      <c r="J916" s="303"/>
      <c r="K916" s="304"/>
      <c r="L916" s="365"/>
      <c r="M916" s="302"/>
      <c r="N916" s="303"/>
      <c r="O916" s="304"/>
      <c r="P916" s="365"/>
      <c r="Q916" s="186"/>
      <c r="R916" s="18"/>
      <c r="S916" s="374"/>
      <c r="T916" s="372"/>
      <c r="U916" s="186"/>
      <c r="V916" s="18"/>
      <c r="W916" s="374"/>
      <c r="X916" s="372"/>
      <c r="Y916" s="186"/>
      <c r="Z916" s="18"/>
      <c r="AA916" s="374"/>
      <c r="AB916" s="372"/>
      <c r="AC916" s="186"/>
      <c r="AD916" s="18"/>
      <c r="AE916" s="374"/>
      <c r="AF916" s="372"/>
      <c r="AG916" s="188"/>
      <c r="AH916" s="188"/>
      <c r="AI916" s="188"/>
      <c r="AJ916" s="188"/>
      <c r="AK916" s="365"/>
      <c r="AL916" s="365"/>
      <c r="AM916" s="365"/>
      <c r="AN916" s="365"/>
      <c r="AO916" s="365"/>
      <c r="AP916" s="365"/>
    </row>
    <row r="917">
      <c r="A917" s="302"/>
      <c r="B917" s="303"/>
      <c r="C917" s="304"/>
      <c r="D917" s="365"/>
      <c r="E917" s="302"/>
      <c r="F917" s="303"/>
      <c r="G917" s="304"/>
      <c r="H917" s="365"/>
      <c r="I917" s="302"/>
      <c r="J917" s="303"/>
      <c r="K917" s="304"/>
      <c r="L917" s="365"/>
      <c r="M917" s="302"/>
      <c r="N917" s="303"/>
      <c r="O917" s="304"/>
      <c r="P917" s="365"/>
      <c r="Q917" s="186"/>
      <c r="R917" s="18"/>
      <c r="S917" s="374"/>
      <c r="T917" s="372"/>
      <c r="U917" s="186"/>
      <c r="V917" s="18"/>
      <c r="W917" s="374"/>
      <c r="X917" s="372"/>
      <c r="Y917" s="186"/>
      <c r="Z917" s="18"/>
      <c r="AA917" s="374"/>
      <c r="AB917" s="372"/>
      <c r="AC917" s="186"/>
      <c r="AD917" s="18"/>
      <c r="AE917" s="374"/>
      <c r="AF917" s="372"/>
      <c r="AG917" s="188"/>
      <c r="AH917" s="188"/>
      <c r="AI917" s="188"/>
      <c r="AJ917" s="188"/>
      <c r="AK917" s="365"/>
      <c r="AL917" s="365"/>
      <c r="AM917" s="365"/>
      <c r="AN917" s="365"/>
      <c r="AO917" s="365"/>
      <c r="AP917" s="365"/>
    </row>
    <row r="918">
      <c r="A918" s="302"/>
      <c r="B918" s="303"/>
      <c r="C918" s="304"/>
      <c r="D918" s="365"/>
      <c r="E918" s="302"/>
      <c r="F918" s="303"/>
      <c r="G918" s="304"/>
      <c r="H918" s="365"/>
      <c r="I918" s="302"/>
      <c r="J918" s="303"/>
      <c r="K918" s="304"/>
      <c r="L918" s="365"/>
      <c r="M918" s="302"/>
      <c r="N918" s="303"/>
      <c r="O918" s="304"/>
      <c r="P918" s="365"/>
      <c r="Q918" s="186"/>
      <c r="R918" s="18"/>
      <c r="S918" s="374"/>
      <c r="T918" s="372"/>
      <c r="U918" s="186"/>
      <c r="V918" s="18"/>
      <c r="W918" s="374"/>
      <c r="X918" s="372"/>
      <c r="Y918" s="186"/>
      <c r="Z918" s="18"/>
      <c r="AA918" s="374"/>
      <c r="AB918" s="372"/>
      <c r="AC918" s="186"/>
      <c r="AD918" s="18"/>
      <c r="AE918" s="374"/>
      <c r="AF918" s="372"/>
      <c r="AG918" s="188"/>
      <c r="AH918" s="188"/>
      <c r="AI918" s="188"/>
      <c r="AJ918" s="188"/>
      <c r="AK918" s="365"/>
      <c r="AL918" s="365"/>
      <c r="AM918" s="365"/>
      <c r="AN918" s="365"/>
      <c r="AO918" s="365"/>
      <c r="AP918" s="365"/>
    </row>
    <row r="919">
      <c r="A919" s="302"/>
      <c r="B919" s="303"/>
      <c r="C919" s="304"/>
      <c r="D919" s="365"/>
      <c r="E919" s="302"/>
      <c r="F919" s="303"/>
      <c r="G919" s="304"/>
      <c r="H919" s="365"/>
      <c r="I919" s="302"/>
      <c r="J919" s="303"/>
      <c r="K919" s="304"/>
      <c r="L919" s="365"/>
      <c r="M919" s="302"/>
      <c r="N919" s="303"/>
      <c r="O919" s="304"/>
      <c r="P919" s="365"/>
      <c r="Q919" s="186"/>
      <c r="R919" s="18"/>
      <c r="S919" s="374"/>
      <c r="T919" s="372"/>
      <c r="U919" s="186"/>
      <c r="V919" s="18"/>
      <c r="W919" s="374"/>
      <c r="X919" s="372"/>
      <c r="Y919" s="186"/>
      <c r="Z919" s="18"/>
      <c r="AA919" s="374"/>
      <c r="AB919" s="372"/>
      <c r="AC919" s="186"/>
      <c r="AD919" s="18"/>
      <c r="AE919" s="374"/>
      <c r="AF919" s="372"/>
      <c r="AG919" s="188"/>
      <c r="AH919" s="188"/>
      <c r="AI919" s="188"/>
      <c r="AJ919" s="188"/>
      <c r="AK919" s="365"/>
      <c r="AL919" s="365"/>
      <c r="AM919" s="365"/>
      <c r="AN919" s="365"/>
      <c r="AO919" s="365"/>
      <c r="AP919" s="365"/>
    </row>
    <row r="920">
      <c r="A920" s="302"/>
      <c r="B920" s="303"/>
      <c r="C920" s="304"/>
      <c r="D920" s="365"/>
      <c r="E920" s="302"/>
      <c r="F920" s="303"/>
      <c r="G920" s="304"/>
      <c r="H920" s="365"/>
      <c r="I920" s="302"/>
      <c r="J920" s="303"/>
      <c r="K920" s="304"/>
      <c r="L920" s="365"/>
      <c r="M920" s="302"/>
      <c r="N920" s="303"/>
      <c r="O920" s="304"/>
      <c r="P920" s="365"/>
      <c r="Q920" s="186"/>
      <c r="R920" s="18"/>
      <c r="S920" s="374"/>
      <c r="T920" s="372"/>
      <c r="U920" s="186"/>
      <c r="V920" s="18"/>
      <c r="W920" s="374"/>
      <c r="X920" s="372"/>
      <c r="Y920" s="186"/>
      <c r="Z920" s="18"/>
      <c r="AA920" s="374"/>
      <c r="AB920" s="372"/>
      <c r="AC920" s="186"/>
      <c r="AD920" s="18"/>
      <c r="AE920" s="374"/>
      <c r="AF920" s="372"/>
      <c r="AG920" s="188"/>
      <c r="AH920" s="188"/>
      <c r="AI920" s="188"/>
      <c r="AJ920" s="188"/>
      <c r="AK920" s="365"/>
      <c r="AL920" s="365"/>
      <c r="AM920" s="365"/>
      <c r="AN920" s="365"/>
      <c r="AO920" s="365"/>
      <c r="AP920" s="365"/>
    </row>
    <row r="921">
      <c r="A921" s="302"/>
      <c r="B921" s="303"/>
      <c r="C921" s="304"/>
      <c r="D921" s="365"/>
      <c r="E921" s="302"/>
      <c r="F921" s="303"/>
      <c r="G921" s="304"/>
      <c r="H921" s="365"/>
      <c r="I921" s="302"/>
      <c r="J921" s="303"/>
      <c r="K921" s="304"/>
      <c r="L921" s="365"/>
      <c r="M921" s="302"/>
      <c r="N921" s="303"/>
      <c r="O921" s="304"/>
      <c r="P921" s="365"/>
      <c r="Q921" s="186"/>
      <c r="R921" s="18"/>
      <c r="S921" s="374"/>
      <c r="T921" s="372"/>
      <c r="U921" s="186"/>
      <c r="V921" s="18"/>
      <c r="W921" s="374"/>
      <c r="X921" s="372"/>
      <c r="Y921" s="186"/>
      <c r="Z921" s="18"/>
      <c r="AA921" s="374"/>
      <c r="AB921" s="372"/>
      <c r="AC921" s="186"/>
      <c r="AD921" s="18"/>
      <c r="AE921" s="374"/>
      <c r="AF921" s="372"/>
      <c r="AG921" s="188"/>
      <c r="AH921" s="188"/>
      <c r="AI921" s="188"/>
      <c r="AJ921" s="188"/>
      <c r="AK921" s="365"/>
      <c r="AL921" s="365"/>
      <c r="AM921" s="365"/>
      <c r="AN921" s="365"/>
      <c r="AO921" s="365"/>
      <c r="AP921" s="365"/>
    </row>
    <row r="922">
      <c r="A922" s="302"/>
      <c r="B922" s="303"/>
      <c r="C922" s="304"/>
      <c r="D922" s="365"/>
      <c r="E922" s="302"/>
      <c r="F922" s="303"/>
      <c r="G922" s="304"/>
      <c r="H922" s="365"/>
      <c r="I922" s="302"/>
      <c r="J922" s="303"/>
      <c r="K922" s="304"/>
      <c r="L922" s="365"/>
      <c r="M922" s="302"/>
      <c r="N922" s="303"/>
      <c r="O922" s="304"/>
      <c r="P922" s="365"/>
      <c r="Q922" s="186"/>
      <c r="R922" s="18"/>
      <c r="S922" s="374"/>
      <c r="T922" s="372"/>
      <c r="U922" s="186"/>
      <c r="V922" s="18"/>
      <c r="W922" s="374"/>
      <c r="X922" s="372"/>
      <c r="Y922" s="186"/>
      <c r="Z922" s="18"/>
      <c r="AA922" s="374"/>
      <c r="AB922" s="372"/>
      <c r="AC922" s="186"/>
      <c r="AD922" s="18"/>
      <c r="AE922" s="374"/>
      <c r="AF922" s="372"/>
      <c r="AG922" s="188"/>
      <c r="AH922" s="188"/>
      <c r="AI922" s="188"/>
      <c r="AJ922" s="188"/>
      <c r="AK922" s="365"/>
      <c r="AL922" s="365"/>
      <c r="AM922" s="365"/>
      <c r="AN922" s="365"/>
      <c r="AO922" s="365"/>
      <c r="AP922" s="365"/>
    </row>
    <row r="923">
      <c r="A923" s="302"/>
      <c r="B923" s="303"/>
      <c r="C923" s="304"/>
      <c r="D923" s="365"/>
      <c r="E923" s="302"/>
      <c r="F923" s="303"/>
      <c r="G923" s="304"/>
      <c r="H923" s="365"/>
      <c r="I923" s="302"/>
      <c r="J923" s="303"/>
      <c r="K923" s="304"/>
      <c r="L923" s="365"/>
      <c r="M923" s="302"/>
      <c r="N923" s="303"/>
      <c r="O923" s="304"/>
      <c r="P923" s="365"/>
      <c r="Q923" s="186"/>
      <c r="R923" s="18"/>
      <c r="S923" s="374"/>
      <c r="T923" s="372"/>
      <c r="U923" s="186"/>
      <c r="V923" s="18"/>
      <c r="W923" s="374"/>
      <c r="X923" s="372"/>
      <c r="Y923" s="186"/>
      <c r="Z923" s="18"/>
      <c r="AA923" s="374"/>
      <c r="AB923" s="372"/>
      <c r="AC923" s="186"/>
      <c r="AD923" s="18"/>
      <c r="AE923" s="374"/>
      <c r="AF923" s="372"/>
      <c r="AG923" s="188"/>
      <c r="AH923" s="188"/>
      <c r="AI923" s="188"/>
      <c r="AJ923" s="188"/>
      <c r="AK923" s="365"/>
      <c r="AL923" s="365"/>
      <c r="AM923" s="365"/>
      <c r="AN923" s="365"/>
      <c r="AO923" s="365"/>
      <c r="AP923" s="365"/>
    </row>
    <row r="924">
      <c r="A924" s="302"/>
      <c r="B924" s="303"/>
      <c r="C924" s="304"/>
      <c r="D924" s="365"/>
      <c r="E924" s="302"/>
      <c r="F924" s="303"/>
      <c r="G924" s="304"/>
      <c r="H924" s="365"/>
      <c r="I924" s="302"/>
      <c r="J924" s="303"/>
      <c r="K924" s="304"/>
      <c r="L924" s="365"/>
      <c r="M924" s="302"/>
      <c r="N924" s="303"/>
      <c r="O924" s="304"/>
      <c r="P924" s="365"/>
      <c r="Q924" s="186"/>
      <c r="R924" s="18"/>
      <c r="S924" s="374"/>
      <c r="T924" s="372"/>
      <c r="U924" s="186"/>
      <c r="V924" s="18"/>
      <c r="W924" s="374"/>
      <c r="X924" s="372"/>
      <c r="Y924" s="186"/>
      <c r="Z924" s="18"/>
      <c r="AA924" s="374"/>
      <c r="AB924" s="372"/>
      <c r="AC924" s="186"/>
      <c r="AD924" s="18"/>
      <c r="AE924" s="374"/>
      <c r="AF924" s="372"/>
      <c r="AG924" s="188"/>
      <c r="AH924" s="188"/>
      <c r="AI924" s="188"/>
      <c r="AJ924" s="188"/>
      <c r="AK924" s="365"/>
      <c r="AL924" s="365"/>
      <c r="AM924" s="365"/>
      <c r="AN924" s="365"/>
      <c r="AO924" s="365"/>
      <c r="AP924" s="365"/>
    </row>
    <row r="925">
      <c r="A925" s="302"/>
      <c r="B925" s="303"/>
      <c r="C925" s="304"/>
      <c r="D925" s="365"/>
      <c r="E925" s="302"/>
      <c r="F925" s="303"/>
      <c r="G925" s="304"/>
      <c r="H925" s="365"/>
      <c r="I925" s="302"/>
      <c r="J925" s="303"/>
      <c r="K925" s="304"/>
      <c r="L925" s="365"/>
      <c r="M925" s="302"/>
      <c r="N925" s="303"/>
      <c r="O925" s="304"/>
      <c r="P925" s="365"/>
      <c r="Q925" s="186"/>
      <c r="R925" s="18"/>
      <c r="S925" s="374"/>
      <c r="T925" s="372"/>
      <c r="U925" s="186"/>
      <c r="V925" s="18"/>
      <c r="W925" s="374"/>
      <c r="X925" s="372"/>
      <c r="Y925" s="186"/>
      <c r="Z925" s="18"/>
      <c r="AA925" s="374"/>
      <c r="AB925" s="372"/>
      <c r="AC925" s="186"/>
      <c r="AD925" s="18"/>
      <c r="AE925" s="374"/>
      <c r="AF925" s="372"/>
      <c r="AG925" s="188"/>
      <c r="AH925" s="188"/>
      <c r="AI925" s="188"/>
      <c r="AJ925" s="188"/>
      <c r="AK925" s="365"/>
      <c r="AL925" s="365"/>
      <c r="AM925" s="365"/>
      <c r="AN925" s="365"/>
      <c r="AO925" s="365"/>
      <c r="AP925" s="365"/>
    </row>
    <row r="926">
      <c r="A926" s="302"/>
      <c r="B926" s="303"/>
      <c r="C926" s="304"/>
      <c r="D926" s="365"/>
      <c r="E926" s="302"/>
      <c r="F926" s="303"/>
      <c r="G926" s="304"/>
      <c r="H926" s="365"/>
      <c r="I926" s="302"/>
      <c r="J926" s="303"/>
      <c r="K926" s="304"/>
      <c r="L926" s="365"/>
      <c r="M926" s="302"/>
      <c r="N926" s="303"/>
      <c r="O926" s="304"/>
      <c r="P926" s="365"/>
      <c r="Q926" s="186"/>
      <c r="R926" s="18"/>
      <c r="S926" s="374"/>
      <c r="T926" s="372"/>
      <c r="U926" s="186"/>
      <c r="V926" s="18"/>
      <c r="W926" s="374"/>
      <c r="X926" s="372"/>
      <c r="Y926" s="186"/>
      <c r="Z926" s="18"/>
      <c r="AA926" s="374"/>
      <c r="AB926" s="372"/>
      <c r="AC926" s="186"/>
      <c r="AD926" s="18"/>
      <c r="AE926" s="374"/>
      <c r="AF926" s="372"/>
      <c r="AG926" s="188"/>
      <c r="AH926" s="188"/>
      <c r="AI926" s="188"/>
      <c r="AJ926" s="188"/>
      <c r="AK926" s="365"/>
      <c r="AL926" s="365"/>
      <c r="AM926" s="365"/>
      <c r="AN926" s="365"/>
      <c r="AO926" s="365"/>
      <c r="AP926" s="365"/>
    </row>
    <row r="927">
      <c r="A927" s="302"/>
      <c r="B927" s="303"/>
      <c r="C927" s="304"/>
      <c r="D927" s="365"/>
      <c r="E927" s="302"/>
      <c r="F927" s="303"/>
      <c r="G927" s="304"/>
      <c r="H927" s="365"/>
      <c r="I927" s="302"/>
      <c r="J927" s="303"/>
      <c r="K927" s="304"/>
      <c r="L927" s="365"/>
      <c r="M927" s="302"/>
      <c r="N927" s="303"/>
      <c r="O927" s="304"/>
      <c r="P927" s="365"/>
      <c r="Q927" s="186"/>
      <c r="R927" s="18"/>
      <c r="S927" s="374"/>
      <c r="T927" s="372"/>
      <c r="U927" s="186"/>
      <c r="V927" s="18"/>
      <c r="W927" s="374"/>
      <c r="X927" s="372"/>
      <c r="Y927" s="186"/>
      <c r="Z927" s="18"/>
      <c r="AA927" s="374"/>
      <c r="AB927" s="372"/>
      <c r="AC927" s="186"/>
      <c r="AD927" s="18"/>
      <c r="AE927" s="374"/>
      <c r="AF927" s="372"/>
      <c r="AG927" s="188"/>
      <c r="AH927" s="188"/>
      <c r="AI927" s="188"/>
      <c r="AJ927" s="188"/>
      <c r="AK927" s="365"/>
      <c r="AL927" s="365"/>
      <c r="AM927" s="365"/>
      <c r="AN927" s="365"/>
      <c r="AO927" s="365"/>
      <c r="AP927" s="365"/>
    </row>
    <row r="928">
      <c r="A928" s="302"/>
      <c r="B928" s="303"/>
      <c r="C928" s="304"/>
      <c r="D928" s="365"/>
      <c r="E928" s="302"/>
      <c r="F928" s="303"/>
      <c r="G928" s="304"/>
      <c r="H928" s="365"/>
      <c r="I928" s="302"/>
      <c r="J928" s="303"/>
      <c r="K928" s="304"/>
      <c r="L928" s="365"/>
      <c r="M928" s="302"/>
      <c r="N928" s="303"/>
      <c r="O928" s="304"/>
      <c r="P928" s="365"/>
      <c r="Q928" s="186"/>
      <c r="R928" s="18"/>
      <c r="S928" s="374"/>
      <c r="T928" s="372"/>
      <c r="U928" s="186"/>
      <c r="V928" s="18"/>
      <c r="W928" s="374"/>
      <c r="X928" s="372"/>
      <c r="Y928" s="186"/>
      <c r="Z928" s="18"/>
      <c r="AA928" s="374"/>
      <c r="AB928" s="372"/>
      <c r="AC928" s="186"/>
      <c r="AD928" s="18"/>
      <c r="AE928" s="374"/>
      <c r="AF928" s="372"/>
      <c r="AG928" s="188"/>
      <c r="AH928" s="188"/>
      <c r="AI928" s="188"/>
      <c r="AJ928" s="188"/>
      <c r="AK928" s="365"/>
      <c r="AL928" s="365"/>
      <c r="AM928" s="365"/>
      <c r="AN928" s="365"/>
      <c r="AO928" s="365"/>
      <c r="AP928" s="365"/>
    </row>
    <row r="929">
      <c r="A929" s="302"/>
      <c r="B929" s="303"/>
      <c r="C929" s="304"/>
      <c r="D929" s="365"/>
      <c r="E929" s="302"/>
      <c r="F929" s="303"/>
      <c r="G929" s="304"/>
      <c r="H929" s="365"/>
      <c r="I929" s="302"/>
      <c r="J929" s="303"/>
      <c r="K929" s="304"/>
      <c r="L929" s="365"/>
      <c r="M929" s="302"/>
      <c r="N929" s="303"/>
      <c r="O929" s="304"/>
      <c r="P929" s="365"/>
      <c r="Q929" s="186"/>
      <c r="R929" s="18"/>
      <c r="S929" s="374"/>
      <c r="T929" s="372"/>
      <c r="U929" s="186"/>
      <c r="V929" s="18"/>
      <c r="W929" s="374"/>
      <c r="X929" s="372"/>
      <c r="Y929" s="186"/>
      <c r="Z929" s="18"/>
      <c r="AA929" s="374"/>
      <c r="AB929" s="372"/>
      <c r="AC929" s="186"/>
      <c r="AD929" s="18"/>
      <c r="AE929" s="374"/>
      <c r="AF929" s="372"/>
      <c r="AG929" s="188"/>
      <c r="AH929" s="188"/>
      <c r="AI929" s="188"/>
      <c r="AJ929" s="188"/>
      <c r="AK929" s="365"/>
      <c r="AL929" s="365"/>
      <c r="AM929" s="365"/>
      <c r="AN929" s="365"/>
      <c r="AO929" s="365"/>
      <c r="AP929" s="365"/>
    </row>
    <row r="930">
      <c r="A930" s="302"/>
      <c r="B930" s="303"/>
      <c r="C930" s="304"/>
      <c r="D930" s="365"/>
      <c r="E930" s="302"/>
      <c r="F930" s="303"/>
      <c r="G930" s="304"/>
      <c r="H930" s="365"/>
      <c r="I930" s="302"/>
      <c r="J930" s="303"/>
      <c r="K930" s="304"/>
      <c r="L930" s="365"/>
      <c r="M930" s="302"/>
      <c r="N930" s="303"/>
      <c r="O930" s="304"/>
      <c r="P930" s="365"/>
      <c r="Q930" s="186"/>
      <c r="R930" s="18"/>
      <c r="S930" s="374"/>
      <c r="T930" s="372"/>
      <c r="U930" s="186"/>
      <c r="V930" s="18"/>
      <c r="W930" s="374"/>
      <c r="X930" s="372"/>
      <c r="Y930" s="186"/>
      <c r="Z930" s="18"/>
      <c r="AA930" s="374"/>
      <c r="AB930" s="372"/>
      <c r="AC930" s="186"/>
      <c r="AD930" s="18"/>
      <c r="AE930" s="374"/>
      <c r="AF930" s="372"/>
      <c r="AG930" s="188"/>
      <c r="AH930" s="188"/>
      <c r="AI930" s="188"/>
      <c r="AJ930" s="188"/>
      <c r="AK930" s="365"/>
      <c r="AL930" s="365"/>
      <c r="AM930" s="365"/>
      <c r="AN930" s="365"/>
      <c r="AO930" s="365"/>
      <c r="AP930" s="365"/>
    </row>
    <row r="931">
      <c r="A931" s="302"/>
      <c r="B931" s="303"/>
      <c r="C931" s="304"/>
      <c r="D931" s="365"/>
      <c r="E931" s="302"/>
      <c r="F931" s="303"/>
      <c r="G931" s="304"/>
      <c r="H931" s="365"/>
      <c r="I931" s="302"/>
      <c r="J931" s="303"/>
      <c r="K931" s="304"/>
      <c r="L931" s="365"/>
      <c r="M931" s="302"/>
      <c r="N931" s="303"/>
      <c r="O931" s="304"/>
      <c r="P931" s="365"/>
      <c r="Q931" s="186"/>
      <c r="R931" s="18"/>
      <c r="S931" s="374"/>
      <c r="T931" s="372"/>
      <c r="U931" s="186"/>
      <c r="V931" s="18"/>
      <c r="W931" s="374"/>
      <c r="X931" s="372"/>
      <c r="Y931" s="186"/>
      <c r="Z931" s="18"/>
      <c r="AA931" s="374"/>
      <c r="AB931" s="372"/>
      <c r="AC931" s="186"/>
      <c r="AD931" s="18"/>
      <c r="AE931" s="374"/>
      <c r="AF931" s="372"/>
      <c r="AG931" s="188"/>
      <c r="AH931" s="188"/>
      <c r="AI931" s="188"/>
      <c r="AJ931" s="188"/>
      <c r="AK931" s="365"/>
      <c r="AL931" s="365"/>
      <c r="AM931" s="365"/>
      <c r="AN931" s="365"/>
      <c r="AO931" s="365"/>
      <c r="AP931" s="365"/>
    </row>
    <row r="932">
      <c r="A932" s="302"/>
      <c r="B932" s="303"/>
      <c r="C932" s="304"/>
      <c r="D932" s="365"/>
      <c r="E932" s="302"/>
      <c r="F932" s="303"/>
      <c r="G932" s="304"/>
      <c r="H932" s="365"/>
      <c r="I932" s="302"/>
      <c r="J932" s="303"/>
      <c r="K932" s="304"/>
      <c r="L932" s="365"/>
      <c r="M932" s="302"/>
      <c r="N932" s="303"/>
      <c r="O932" s="304"/>
      <c r="P932" s="365"/>
      <c r="Q932" s="186"/>
      <c r="R932" s="18"/>
      <c r="S932" s="374"/>
      <c r="T932" s="372"/>
      <c r="U932" s="186"/>
      <c r="V932" s="18"/>
      <c r="W932" s="374"/>
      <c r="X932" s="372"/>
      <c r="Y932" s="186"/>
      <c r="Z932" s="18"/>
      <c r="AA932" s="374"/>
      <c r="AB932" s="372"/>
      <c r="AC932" s="186"/>
      <c r="AD932" s="18"/>
      <c r="AE932" s="374"/>
      <c r="AF932" s="372"/>
      <c r="AG932" s="188"/>
      <c r="AH932" s="188"/>
      <c r="AI932" s="188"/>
      <c r="AJ932" s="188"/>
      <c r="AK932" s="365"/>
      <c r="AL932" s="365"/>
      <c r="AM932" s="365"/>
      <c r="AN932" s="365"/>
      <c r="AO932" s="365"/>
      <c r="AP932" s="365"/>
    </row>
    <row r="933">
      <c r="A933" s="302"/>
      <c r="B933" s="303"/>
      <c r="C933" s="304"/>
      <c r="D933" s="365"/>
      <c r="E933" s="302"/>
      <c r="F933" s="303"/>
      <c r="G933" s="304"/>
      <c r="H933" s="365"/>
      <c r="I933" s="302"/>
      <c r="J933" s="303"/>
      <c r="K933" s="304"/>
      <c r="L933" s="365"/>
      <c r="M933" s="302"/>
      <c r="N933" s="303"/>
      <c r="O933" s="304"/>
      <c r="P933" s="365"/>
      <c r="Q933" s="186"/>
      <c r="R933" s="18"/>
      <c r="S933" s="374"/>
      <c r="T933" s="372"/>
      <c r="U933" s="186"/>
      <c r="V933" s="18"/>
      <c r="W933" s="374"/>
      <c r="X933" s="372"/>
      <c r="Y933" s="186"/>
      <c r="Z933" s="18"/>
      <c r="AA933" s="374"/>
      <c r="AB933" s="372"/>
      <c r="AC933" s="186"/>
      <c r="AD933" s="18"/>
      <c r="AE933" s="374"/>
      <c r="AF933" s="372"/>
      <c r="AG933" s="188"/>
      <c r="AH933" s="188"/>
      <c r="AI933" s="188"/>
      <c r="AJ933" s="188"/>
      <c r="AK933" s="365"/>
      <c r="AL933" s="365"/>
      <c r="AM933" s="365"/>
      <c r="AN933" s="365"/>
      <c r="AO933" s="365"/>
      <c r="AP933" s="365"/>
    </row>
    <row r="934">
      <c r="A934" s="302"/>
      <c r="B934" s="303"/>
      <c r="C934" s="304"/>
      <c r="D934" s="365"/>
      <c r="E934" s="302"/>
      <c r="F934" s="303"/>
      <c r="G934" s="304"/>
      <c r="H934" s="365"/>
      <c r="I934" s="302"/>
      <c r="J934" s="303"/>
      <c r="K934" s="304"/>
      <c r="L934" s="365"/>
      <c r="M934" s="302"/>
      <c r="N934" s="303"/>
      <c r="O934" s="304"/>
      <c r="P934" s="365"/>
      <c r="Q934" s="186"/>
      <c r="R934" s="18"/>
      <c r="S934" s="374"/>
      <c r="T934" s="372"/>
      <c r="U934" s="186"/>
      <c r="V934" s="18"/>
      <c r="W934" s="374"/>
      <c r="X934" s="372"/>
      <c r="Y934" s="186"/>
      <c r="Z934" s="18"/>
      <c r="AA934" s="374"/>
      <c r="AB934" s="372"/>
      <c r="AC934" s="186"/>
      <c r="AD934" s="18"/>
      <c r="AE934" s="374"/>
      <c r="AF934" s="372"/>
      <c r="AG934" s="188"/>
      <c r="AH934" s="188"/>
      <c r="AI934" s="188"/>
      <c r="AJ934" s="188"/>
      <c r="AK934" s="365"/>
      <c r="AL934" s="365"/>
      <c r="AM934" s="365"/>
      <c r="AN934" s="365"/>
      <c r="AO934" s="365"/>
      <c r="AP934" s="365"/>
    </row>
    <row r="935">
      <c r="A935" s="302"/>
      <c r="B935" s="303"/>
      <c r="C935" s="304"/>
      <c r="D935" s="365"/>
      <c r="E935" s="302"/>
      <c r="F935" s="303"/>
      <c r="G935" s="304"/>
      <c r="H935" s="365"/>
      <c r="I935" s="302"/>
      <c r="J935" s="303"/>
      <c r="K935" s="304"/>
      <c r="L935" s="365"/>
      <c r="M935" s="302"/>
      <c r="N935" s="303"/>
      <c r="O935" s="304"/>
      <c r="P935" s="365"/>
      <c r="Q935" s="186"/>
      <c r="R935" s="18"/>
      <c r="S935" s="374"/>
      <c r="T935" s="372"/>
      <c r="U935" s="186"/>
      <c r="V935" s="18"/>
      <c r="W935" s="374"/>
      <c r="X935" s="372"/>
      <c r="Y935" s="186"/>
      <c r="Z935" s="18"/>
      <c r="AA935" s="374"/>
      <c r="AB935" s="372"/>
      <c r="AC935" s="186"/>
      <c r="AD935" s="18"/>
      <c r="AE935" s="374"/>
      <c r="AF935" s="372"/>
      <c r="AG935" s="188"/>
      <c r="AH935" s="188"/>
      <c r="AI935" s="188"/>
      <c r="AJ935" s="188"/>
      <c r="AK935" s="365"/>
      <c r="AL935" s="365"/>
      <c r="AM935" s="365"/>
      <c r="AN935" s="365"/>
      <c r="AO935" s="365"/>
      <c r="AP935" s="365"/>
    </row>
    <row r="936">
      <c r="A936" s="302"/>
      <c r="B936" s="303"/>
      <c r="C936" s="304"/>
      <c r="D936" s="365"/>
      <c r="E936" s="302"/>
      <c r="F936" s="303"/>
      <c r="G936" s="304"/>
      <c r="H936" s="365"/>
      <c r="I936" s="302"/>
      <c r="J936" s="303"/>
      <c r="K936" s="304"/>
      <c r="L936" s="365"/>
      <c r="M936" s="302"/>
      <c r="N936" s="303"/>
      <c r="O936" s="304"/>
      <c r="P936" s="365"/>
      <c r="Q936" s="186"/>
      <c r="R936" s="18"/>
      <c r="S936" s="374"/>
      <c r="T936" s="372"/>
      <c r="U936" s="186"/>
      <c r="V936" s="18"/>
      <c r="W936" s="374"/>
      <c r="X936" s="372"/>
      <c r="Y936" s="186"/>
      <c r="Z936" s="18"/>
      <c r="AA936" s="374"/>
      <c r="AB936" s="372"/>
      <c r="AC936" s="186"/>
      <c r="AD936" s="18"/>
      <c r="AE936" s="374"/>
      <c r="AF936" s="372"/>
      <c r="AG936" s="188"/>
      <c r="AH936" s="188"/>
      <c r="AI936" s="188"/>
      <c r="AJ936" s="188"/>
      <c r="AK936" s="365"/>
      <c r="AL936" s="365"/>
      <c r="AM936" s="365"/>
      <c r="AN936" s="365"/>
      <c r="AO936" s="365"/>
      <c r="AP936" s="365"/>
    </row>
    <row r="937">
      <c r="A937" s="302"/>
      <c r="B937" s="303"/>
      <c r="C937" s="304"/>
      <c r="D937" s="365"/>
      <c r="E937" s="302"/>
      <c r="F937" s="303"/>
      <c r="G937" s="304"/>
      <c r="H937" s="365"/>
      <c r="I937" s="302"/>
      <c r="J937" s="303"/>
      <c r="K937" s="304"/>
      <c r="L937" s="365"/>
      <c r="M937" s="302"/>
      <c r="N937" s="303"/>
      <c r="O937" s="304"/>
      <c r="P937" s="365"/>
      <c r="Q937" s="186"/>
      <c r="R937" s="18"/>
      <c r="S937" s="374"/>
      <c r="T937" s="372"/>
      <c r="U937" s="186"/>
      <c r="V937" s="18"/>
      <c r="W937" s="374"/>
      <c r="X937" s="372"/>
      <c r="Y937" s="186"/>
      <c r="Z937" s="18"/>
      <c r="AA937" s="374"/>
      <c r="AB937" s="372"/>
      <c r="AC937" s="186"/>
      <c r="AD937" s="18"/>
      <c r="AE937" s="374"/>
      <c r="AF937" s="372"/>
      <c r="AG937" s="188"/>
      <c r="AH937" s="188"/>
      <c r="AI937" s="188"/>
      <c r="AJ937" s="188"/>
      <c r="AK937" s="365"/>
      <c r="AL937" s="365"/>
      <c r="AM937" s="365"/>
      <c r="AN937" s="365"/>
      <c r="AO937" s="365"/>
      <c r="AP937" s="365"/>
    </row>
    <row r="938">
      <c r="A938" s="302"/>
      <c r="B938" s="303"/>
      <c r="C938" s="304"/>
      <c r="D938" s="365"/>
      <c r="E938" s="302"/>
      <c r="F938" s="303"/>
      <c r="G938" s="304"/>
      <c r="H938" s="365"/>
      <c r="I938" s="302"/>
      <c r="J938" s="303"/>
      <c r="K938" s="304"/>
      <c r="L938" s="365"/>
      <c r="M938" s="302"/>
      <c r="N938" s="303"/>
      <c r="O938" s="304"/>
      <c r="P938" s="365"/>
      <c r="Q938" s="186"/>
      <c r="R938" s="18"/>
      <c r="S938" s="374"/>
      <c r="T938" s="372"/>
      <c r="U938" s="186"/>
      <c r="V938" s="18"/>
      <c r="W938" s="374"/>
      <c r="X938" s="372"/>
      <c r="Y938" s="186"/>
      <c r="Z938" s="18"/>
      <c r="AA938" s="374"/>
      <c r="AB938" s="372"/>
      <c r="AC938" s="186"/>
      <c r="AD938" s="18"/>
      <c r="AE938" s="374"/>
      <c r="AF938" s="372"/>
      <c r="AG938" s="188"/>
      <c r="AH938" s="188"/>
      <c r="AI938" s="188"/>
      <c r="AJ938" s="188"/>
      <c r="AK938" s="365"/>
      <c r="AL938" s="365"/>
      <c r="AM938" s="365"/>
      <c r="AN938" s="365"/>
      <c r="AO938" s="365"/>
      <c r="AP938" s="365"/>
    </row>
    <row r="939">
      <c r="A939" s="302"/>
      <c r="B939" s="303"/>
      <c r="C939" s="304"/>
      <c r="D939" s="365"/>
      <c r="E939" s="302"/>
      <c r="F939" s="303"/>
      <c r="G939" s="304"/>
      <c r="H939" s="365"/>
      <c r="I939" s="302"/>
      <c r="J939" s="303"/>
      <c r="K939" s="304"/>
      <c r="L939" s="365"/>
      <c r="M939" s="302"/>
      <c r="N939" s="303"/>
      <c r="O939" s="304"/>
      <c r="P939" s="365"/>
      <c r="Q939" s="186"/>
      <c r="R939" s="18"/>
      <c r="S939" s="374"/>
      <c r="T939" s="372"/>
      <c r="U939" s="186"/>
      <c r="V939" s="18"/>
      <c r="W939" s="374"/>
      <c r="X939" s="372"/>
      <c r="Y939" s="186"/>
      <c r="Z939" s="18"/>
      <c r="AA939" s="374"/>
      <c r="AB939" s="372"/>
      <c r="AC939" s="186"/>
      <c r="AD939" s="18"/>
      <c r="AE939" s="374"/>
      <c r="AF939" s="372"/>
      <c r="AG939" s="188"/>
      <c r="AH939" s="188"/>
      <c r="AI939" s="188"/>
      <c r="AJ939" s="188"/>
      <c r="AK939" s="365"/>
      <c r="AL939" s="365"/>
      <c r="AM939" s="365"/>
      <c r="AN939" s="365"/>
      <c r="AO939" s="365"/>
      <c r="AP939" s="365"/>
    </row>
    <row r="940">
      <c r="A940" s="302"/>
      <c r="B940" s="303"/>
      <c r="C940" s="304"/>
      <c r="D940" s="365"/>
      <c r="E940" s="302"/>
      <c r="F940" s="303"/>
      <c r="G940" s="304"/>
      <c r="H940" s="365"/>
      <c r="I940" s="302"/>
      <c r="J940" s="303"/>
      <c r="K940" s="304"/>
      <c r="L940" s="365"/>
      <c r="M940" s="302"/>
      <c r="N940" s="303"/>
      <c r="O940" s="304"/>
      <c r="P940" s="365"/>
      <c r="Q940" s="186"/>
      <c r="R940" s="18"/>
      <c r="S940" s="374"/>
      <c r="T940" s="372"/>
      <c r="U940" s="186"/>
      <c r="V940" s="18"/>
      <c r="W940" s="374"/>
      <c r="X940" s="372"/>
      <c r="Y940" s="186"/>
      <c r="Z940" s="18"/>
      <c r="AA940" s="374"/>
      <c r="AB940" s="372"/>
      <c r="AC940" s="186"/>
      <c r="AD940" s="18"/>
      <c r="AE940" s="374"/>
      <c r="AF940" s="372"/>
      <c r="AG940" s="188"/>
      <c r="AH940" s="188"/>
      <c r="AI940" s="188"/>
      <c r="AJ940" s="188"/>
      <c r="AK940" s="365"/>
      <c r="AL940" s="365"/>
      <c r="AM940" s="365"/>
      <c r="AN940" s="365"/>
      <c r="AO940" s="365"/>
      <c r="AP940" s="365"/>
    </row>
    <row r="941">
      <c r="A941" s="302"/>
      <c r="B941" s="303"/>
      <c r="C941" s="304"/>
      <c r="D941" s="365"/>
      <c r="E941" s="302"/>
      <c r="F941" s="303"/>
      <c r="G941" s="304"/>
      <c r="H941" s="365"/>
      <c r="I941" s="302"/>
      <c r="J941" s="303"/>
      <c r="K941" s="304"/>
      <c r="L941" s="365"/>
      <c r="M941" s="302"/>
      <c r="N941" s="303"/>
      <c r="O941" s="304"/>
      <c r="P941" s="365"/>
      <c r="Q941" s="186"/>
      <c r="R941" s="18"/>
      <c r="S941" s="374"/>
      <c r="T941" s="372"/>
      <c r="U941" s="186"/>
      <c r="V941" s="18"/>
      <c r="W941" s="374"/>
      <c r="X941" s="372"/>
      <c r="Y941" s="186"/>
      <c r="Z941" s="18"/>
      <c r="AA941" s="374"/>
      <c r="AB941" s="372"/>
      <c r="AC941" s="186"/>
      <c r="AD941" s="18"/>
      <c r="AE941" s="374"/>
      <c r="AF941" s="372"/>
      <c r="AG941" s="188"/>
      <c r="AH941" s="188"/>
      <c r="AI941" s="188"/>
      <c r="AJ941" s="188"/>
      <c r="AK941" s="365"/>
      <c r="AL941" s="365"/>
      <c r="AM941" s="365"/>
      <c r="AN941" s="365"/>
      <c r="AO941" s="365"/>
      <c r="AP941" s="365"/>
    </row>
    <row r="942">
      <c r="A942" s="302"/>
      <c r="B942" s="303"/>
      <c r="C942" s="304"/>
      <c r="D942" s="365"/>
      <c r="E942" s="302"/>
      <c r="F942" s="303"/>
      <c r="G942" s="304"/>
      <c r="H942" s="365"/>
      <c r="I942" s="302"/>
      <c r="J942" s="303"/>
      <c r="K942" s="304"/>
      <c r="L942" s="365"/>
      <c r="M942" s="302"/>
      <c r="N942" s="303"/>
      <c r="O942" s="304"/>
      <c r="P942" s="365"/>
      <c r="Q942" s="186"/>
      <c r="R942" s="18"/>
      <c r="S942" s="374"/>
      <c r="T942" s="372"/>
      <c r="U942" s="186"/>
      <c r="V942" s="18"/>
      <c r="W942" s="374"/>
      <c r="X942" s="372"/>
      <c r="Y942" s="186"/>
      <c r="Z942" s="18"/>
      <c r="AA942" s="374"/>
      <c r="AB942" s="372"/>
      <c r="AC942" s="186"/>
      <c r="AD942" s="18"/>
      <c r="AE942" s="374"/>
      <c r="AF942" s="372"/>
      <c r="AG942" s="188"/>
      <c r="AH942" s="188"/>
      <c r="AI942" s="188"/>
      <c r="AJ942" s="188"/>
      <c r="AK942" s="365"/>
      <c r="AL942" s="365"/>
      <c r="AM942" s="365"/>
      <c r="AN942" s="365"/>
      <c r="AO942" s="365"/>
      <c r="AP942" s="365"/>
    </row>
    <row r="943">
      <c r="A943" s="302"/>
      <c r="B943" s="303"/>
      <c r="C943" s="304"/>
      <c r="D943" s="365"/>
      <c r="E943" s="302"/>
      <c r="F943" s="303"/>
      <c r="G943" s="304"/>
      <c r="H943" s="365"/>
      <c r="I943" s="302"/>
      <c r="J943" s="303"/>
      <c r="K943" s="304"/>
      <c r="L943" s="365"/>
      <c r="M943" s="302"/>
      <c r="N943" s="303"/>
      <c r="O943" s="304"/>
      <c r="P943" s="365"/>
      <c r="Q943" s="186"/>
      <c r="R943" s="18"/>
      <c r="S943" s="374"/>
      <c r="T943" s="372"/>
      <c r="U943" s="186"/>
      <c r="V943" s="18"/>
      <c r="W943" s="374"/>
      <c r="X943" s="372"/>
      <c r="Y943" s="186"/>
      <c r="Z943" s="18"/>
      <c r="AA943" s="374"/>
      <c r="AB943" s="372"/>
      <c r="AC943" s="186"/>
      <c r="AD943" s="18"/>
      <c r="AE943" s="374"/>
      <c r="AF943" s="372"/>
      <c r="AG943" s="188"/>
      <c r="AH943" s="188"/>
      <c r="AI943" s="188"/>
      <c r="AJ943" s="188"/>
      <c r="AK943" s="365"/>
      <c r="AL943" s="365"/>
      <c r="AM943" s="365"/>
      <c r="AN943" s="365"/>
      <c r="AO943" s="365"/>
      <c r="AP943" s="365"/>
    </row>
    <row r="944">
      <c r="A944" s="302"/>
      <c r="B944" s="303"/>
      <c r="C944" s="304"/>
      <c r="D944" s="365"/>
      <c r="E944" s="302"/>
      <c r="F944" s="303"/>
      <c r="G944" s="304"/>
      <c r="H944" s="365"/>
      <c r="I944" s="302"/>
      <c r="J944" s="303"/>
      <c r="K944" s="304"/>
      <c r="L944" s="365"/>
      <c r="M944" s="302"/>
      <c r="N944" s="303"/>
      <c r="O944" s="304"/>
      <c r="P944" s="365"/>
      <c r="Q944" s="186"/>
      <c r="R944" s="18"/>
      <c r="S944" s="374"/>
      <c r="T944" s="372"/>
      <c r="U944" s="186"/>
      <c r="V944" s="18"/>
      <c r="W944" s="374"/>
      <c r="X944" s="372"/>
      <c r="Y944" s="186"/>
      <c r="Z944" s="18"/>
      <c r="AA944" s="374"/>
      <c r="AB944" s="372"/>
      <c r="AC944" s="186"/>
      <c r="AD944" s="18"/>
      <c r="AE944" s="374"/>
      <c r="AF944" s="372"/>
      <c r="AG944" s="188"/>
      <c r="AH944" s="188"/>
      <c r="AI944" s="188"/>
      <c r="AJ944" s="188"/>
      <c r="AK944" s="365"/>
      <c r="AL944" s="365"/>
      <c r="AM944" s="365"/>
      <c r="AN944" s="365"/>
      <c r="AO944" s="365"/>
      <c r="AP944" s="365"/>
    </row>
    <row r="945">
      <c r="A945" s="302"/>
      <c r="B945" s="303"/>
      <c r="C945" s="304"/>
      <c r="D945" s="365"/>
      <c r="E945" s="302"/>
      <c r="F945" s="303"/>
      <c r="G945" s="304"/>
      <c r="H945" s="365"/>
      <c r="I945" s="302"/>
      <c r="J945" s="303"/>
      <c r="K945" s="304"/>
      <c r="L945" s="365"/>
      <c r="M945" s="302"/>
      <c r="N945" s="303"/>
      <c r="O945" s="304"/>
      <c r="P945" s="365"/>
      <c r="Q945" s="186"/>
      <c r="R945" s="18"/>
      <c r="S945" s="374"/>
      <c r="T945" s="372"/>
      <c r="U945" s="186"/>
      <c r="V945" s="18"/>
      <c r="W945" s="374"/>
      <c r="X945" s="372"/>
      <c r="Y945" s="186"/>
      <c r="Z945" s="18"/>
      <c r="AA945" s="374"/>
      <c r="AB945" s="372"/>
      <c r="AC945" s="186"/>
      <c r="AD945" s="18"/>
      <c r="AE945" s="374"/>
      <c r="AF945" s="372"/>
      <c r="AG945" s="188"/>
      <c r="AH945" s="188"/>
      <c r="AI945" s="188"/>
      <c r="AJ945" s="188"/>
      <c r="AK945" s="365"/>
      <c r="AL945" s="365"/>
      <c r="AM945" s="365"/>
      <c r="AN945" s="365"/>
      <c r="AO945" s="365"/>
      <c r="AP945" s="365"/>
    </row>
    <row r="946">
      <c r="A946" s="302"/>
      <c r="B946" s="303"/>
      <c r="C946" s="304"/>
      <c r="D946" s="365"/>
      <c r="E946" s="302"/>
      <c r="F946" s="303"/>
      <c r="G946" s="304"/>
      <c r="H946" s="365"/>
      <c r="I946" s="302"/>
      <c r="J946" s="303"/>
      <c r="K946" s="304"/>
      <c r="L946" s="365"/>
      <c r="M946" s="302"/>
      <c r="N946" s="303"/>
      <c r="O946" s="304"/>
      <c r="P946" s="365"/>
      <c r="Q946" s="186"/>
      <c r="R946" s="18"/>
      <c r="S946" s="374"/>
      <c r="T946" s="372"/>
      <c r="U946" s="186"/>
      <c r="V946" s="18"/>
      <c r="W946" s="374"/>
      <c r="X946" s="372"/>
      <c r="Y946" s="186"/>
      <c r="Z946" s="18"/>
      <c r="AA946" s="374"/>
      <c r="AB946" s="372"/>
      <c r="AC946" s="186"/>
      <c r="AD946" s="18"/>
      <c r="AE946" s="374"/>
      <c r="AF946" s="372"/>
      <c r="AG946" s="188"/>
      <c r="AH946" s="188"/>
      <c r="AI946" s="188"/>
      <c r="AJ946" s="188"/>
      <c r="AK946" s="365"/>
      <c r="AL946" s="365"/>
      <c r="AM946" s="365"/>
      <c r="AN946" s="365"/>
      <c r="AO946" s="365"/>
      <c r="AP946" s="365"/>
    </row>
    <row r="947">
      <c r="A947" s="302"/>
      <c r="B947" s="303"/>
      <c r="C947" s="304"/>
      <c r="D947" s="365"/>
      <c r="E947" s="302"/>
      <c r="F947" s="303"/>
      <c r="G947" s="304"/>
      <c r="H947" s="365"/>
      <c r="I947" s="302"/>
      <c r="J947" s="303"/>
      <c r="K947" s="304"/>
      <c r="L947" s="365"/>
      <c r="M947" s="302"/>
      <c r="N947" s="303"/>
      <c r="O947" s="304"/>
      <c r="P947" s="365"/>
      <c r="Q947" s="186"/>
      <c r="R947" s="18"/>
      <c r="S947" s="374"/>
      <c r="T947" s="372"/>
      <c r="U947" s="186"/>
      <c r="V947" s="18"/>
      <c r="W947" s="374"/>
      <c r="X947" s="372"/>
      <c r="Y947" s="186"/>
      <c r="Z947" s="18"/>
      <c r="AA947" s="374"/>
      <c r="AB947" s="372"/>
      <c r="AC947" s="186"/>
      <c r="AD947" s="18"/>
      <c r="AE947" s="374"/>
      <c r="AF947" s="372"/>
      <c r="AG947" s="188"/>
      <c r="AH947" s="188"/>
      <c r="AI947" s="188"/>
      <c r="AJ947" s="188"/>
      <c r="AK947" s="365"/>
      <c r="AL947" s="365"/>
      <c r="AM947" s="365"/>
      <c r="AN947" s="365"/>
      <c r="AO947" s="365"/>
      <c r="AP947" s="365"/>
    </row>
    <row r="948">
      <c r="A948" s="302"/>
      <c r="B948" s="303"/>
      <c r="C948" s="304"/>
      <c r="D948" s="365"/>
      <c r="E948" s="302"/>
      <c r="F948" s="303"/>
      <c r="G948" s="304"/>
      <c r="H948" s="365"/>
      <c r="I948" s="302"/>
      <c r="J948" s="303"/>
      <c r="K948" s="304"/>
      <c r="L948" s="365"/>
      <c r="M948" s="302"/>
      <c r="N948" s="303"/>
      <c r="O948" s="304"/>
      <c r="P948" s="365"/>
      <c r="Q948" s="186"/>
      <c r="R948" s="18"/>
      <c r="S948" s="374"/>
      <c r="T948" s="372"/>
      <c r="U948" s="186"/>
      <c r="V948" s="18"/>
      <c r="W948" s="374"/>
      <c r="X948" s="372"/>
      <c r="Y948" s="186"/>
      <c r="Z948" s="18"/>
      <c r="AA948" s="374"/>
      <c r="AB948" s="372"/>
      <c r="AC948" s="186"/>
      <c r="AD948" s="18"/>
      <c r="AE948" s="374"/>
      <c r="AF948" s="372"/>
      <c r="AG948" s="188"/>
      <c r="AH948" s="188"/>
      <c r="AI948" s="188"/>
      <c r="AJ948" s="188"/>
      <c r="AK948" s="365"/>
      <c r="AL948" s="365"/>
      <c r="AM948" s="365"/>
      <c r="AN948" s="365"/>
      <c r="AO948" s="365"/>
      <c r="AP948" s="365"/>
    </row>
    <row r="949">
      <c r="A949" s="302"/>
      <c r="B949" s="303"/>
      <c r="C949" s="304"/>
      <c r="D949" s="365"/>
      <c r="E949" s="302"/>
      <c r="F949" s="303"/>
      <c r="G949" s="304"/>
      <c r="H949" s="365"/>
      <c r="I949" s="302"/>
      <c r="J949" s="303"/>
      <c r="K949" s="304"/>
      <c r="L949" s="365"/>
      <c r="M949" s="302"/>
      <c r="N949" s="303"/>
      <c r="O949" s="304"/>
      <c r="P949" s="365"/>
      <c r="Q949" s="186"/>
      <c r="R949" s="18"/>
      <c r="S949" s="374"/>
      <c r="T949" s="372"/>
      <c r="U949" s="186"/>
      <c r="V949" s="18"/>
      <c r="W949" s="374"/>
      <c r="X949" s="372"/>
      <c r="Y949" s="186"/>
      <c r="Z949" s="18"/>
      <c r="AA949" s="374"/>
      <c r="AB949" s="372"/>
      <c r="AC949" s="186"/>
      <c r="AD949" s="18"/>
      <c r="AE949" s="374"/>
      <c r="AF949" s="372"/>
      <c r="AG949" s="188"/>
      <c r="AH949" s="188"/>
      <c r="AI949" s="188"/>
      <c r="AJ949" s="188"/>
      <c r="AK949" s="365"/>
      <c r="AL949" s="365"/>
      <c r="AM949" s="365"/>
      <c r="AN949" s="365"/>
      <c r="AO949" s="365"/>
      <c r="AP949" s="365"/>
    </row>
    <row r="950">
      <c r="A950" s="302"/>
      <c r="B950" s="303"/>
      <c r="C950" s="304"/>
      <c r="D950" s="365"/>
      <c r="E950" s="302"/>
      <c r="F950" s="303"/>
      <c r="G950" s="304"/>
      <c r="H950" s="365"/>
      <c r="I950" s="302"/>
      <c r="J950" s="303"/>
      <c r="K950" s="304"/>
      <c r="L950" s="365"/>
      <c r="M950" s="302"/>
      <c r="N950" s="303"/>
      <c r="O950" s="304"/>
      <c r="P950" s="365"/>
      <c r="Q950" s="186"/>
      <c r="R950" s="18"/>
      <c r="S950" s="374"/>
      <c r="T950" s="372"/>
      <c r="U950" s="186"/>
      <c r="V950" s="18"/>
      <c r="W950" s="374"/>
      <c r="X950" s="372"/>
      <c r="Y950" s="186"/>
      <c r="Z950" s="18"/>
      <c r="AA950" s="374"/>
      <c r="AB950" s="372"/>
      <c r="AC950" s="186"/>
      <c r="AD950" s="18"/>
      <c r="AE950" s="374"/>
      <c r="AF950" s="372"/>
      <c r="AG950" s="188"/>
      <c r="AH950" s="188"/>
      <c r="AI950" s="188"/>
      <c r="AJ950" s="188"/>
      <c r="AK950" s="365"/>
      <c r="AL950" s="365"/>
      <c r="AM950" s="365"/>
      <c r="AN950" s="365"/>
      <c r="AO950" s="365"/>
      <c r="AP950" s="365"/>
    </row>
    <row r="951">
      <c r="A951" s="302"/>
      <c r="B951" s="303"/>
      <c r="C951" s="304"/>
      <c r="D951" s="365"/>
      <c r="E951" s="302"/>
      <c r="F951" s="303"/>
      <c r="G951" s="304"/>
      <c r="H951" s="365"/>
      <c r="I951" s="302"/>
      <c r="J951" s="303"/>
      <c r="K951" s="304"/>
      <c r="L951" s="365"/>
      <c r="M951" s="302"/>
      <c r="N951" s="303"/>
      <c r="O951" s="304"/>
      <c r="P951" s="365"/>
      <c r="Q951" s="186"/>
      <c r="R951" s="18"/>
      <c r="S951" s="374"/>
      <c r="T951" s="372"/>
      <c r="U951" s="186"/>
      <c r="V951" s="18"/>
      <c r="W951" s="374"/>
      <c r="X951" s="372"/>
      <c r="Y951" s="186"/>
      <c r="Z951" s="18"/>
      <c r="AA951" s="374"/>
      <c r="AB951" s="372"/>
      <c r="AC951" s="186"/>
      <c r="AD951" s="18"/>
      <c r="AE951" s="374"/>
      <c r="AF951" s="372"/>
      <c r="AG951" s="188"/>
      <c r="AH951" s="188"/>
      <c r="AI951" s="188"/>
      <c r="AJ951" s="188"/>
      <c r="AK951" s="365"/>
      <c r="AL951" s="365"/>
      <c r="AM951" s="365"/>
      <c r="AN951" s="365"/>
      <c r="AO951" s="365"/>
      <c r="AP951" s="365"/>
    </row>
    <row r="952">
      <c r="A952" s="302"/>
      <c r="B952" s="303"/>
      <c r="C952" s="304"/>
      <c r="D952" s="365"/>
      <c r="E952" s="302"/>
      <c r="F952" s="303"/>
      <c r="G952" s="304"/>
      <c r="H952" s="365"/>
      <c r="I952" s="302"/>
      <c r="J952" s="303"/>
      <c r="K952" s="304"/>
      <c r="L952" s="365"/>
      <c r="M952" s="302"/>
      <c r="N952" s="303"/>
      <c r="O952" s="304"/>
      <c r="P952" s="365"/>
      <c r="Q952" s="186"/>
      <c r="R952" s="18"/>
      <c r="S952" s="374"/>
      <c r="T952" s="372"/>
      <c r="U952" s="186"/>
      <c r="V952" s="18"/>
      <c r="W952" s="374"/>
      <c r="X952" s="372"/>
      <c r="Y952" s="186"/>
      <c r="Z952" s="18"/>
      <c r="AA952" s="374"/>
      <c r="AB952" s="372"/>
      <c r="AC952" s="186"/>
      <c r="AD952" s="18"/>
      <c r="AE952" s="374"/>
      <c r="AF952" s="372"/>
      <c r="AG952" s="188"/>
      <c r="AH952" s="188"/>
      <c r="AI952" s="188"/>
      <c r="AJ952" s="188"/>
      <c r="AK952" s="365"/>
      <c r="AL952" s="365"/>
      <c r="AM952" s="365"/>
      <c r="AN952" s="365"/>
      <c r="AO952" s="365"/>
      <c r="AP952" s="365"/>
    </row>
    <row r="953">
      <c r="A953" s="302"/>
      <c r="B953" s="303"/>
      <c r="C953" s="304"/>
      <c r="D953" s="365"/>
      <c r="E953" s="302"/>
      <c r="F953" s="303"/>
      <c r="G953" s="304"/>
      <c r="H953" s="365"/>
      <c r="I953" s="302"/>
      <c r="J953" s="303"/>
      <c r="K953" s="304"/>
      <c r="L953" s="365"/>
      <c r="M953" s="302"/>
      <c r="N953" s="303"/>
      <c r="O953" s="304"/>
      <c r="P953" s="365"/>
      <c r="Q953" s="186"/>
      <c r="R953" s="18"/>
      <c r="S953" s="374"/>
      <c r="T953" s="372"/>
      <c r="U953" s="186"/>
      <c r="V953" s="18"/>
      <c r="W953" s="374"/>
      <c r="X953" s="372"/>
      <c r="Y953" s="186"/>
      <c r="Z953" s="18"/>
      <c r="AA953" s="374"/>
      <c r="AB953" s="372"/>
      <c r="AC953" s="186"/>
      <c r="AD953" s="18"/>
      <c r="AE953" s="374"/>
      <c r="AF953" s="372"/>
      <c r="AG953" s="188"/>
      <c r="AH953" s="188"/>
      <c r="AI953" s="188"/>
      <c r="AJ953" s="188"/>
      <c r="AK953" s="365"/>
      <c r="AL953" s="365"/>
      <c r="AM953" s="365"/>
      <c r="AN953" s="365"/>
      <c r="AO953" s="365"/>
      <c r="AP953" s="365"/>
    </row>
    <row r="954">
      <c r="A954" s="302"/>
      <c r="B954" s="303"/>
      <c r="C954" s="304"/>
      <c r="D954" s="365"/>
      <c r="E954" s="302"/>
      <c r="F954" s="303"/>
      <c r="G954" s="304"/>
      <c r="H954" s="365"/>
      <c r="I954" s="302"/>
      <c r="J954" s="303"/>
      <c r="K954" s="304"/>
      <c r="L954" s="365"/>
      <c r="M954" s="302"/>
      <c r="N954" s="303"/>
      <c r="O954" s="304"/>
      <c r="P954" s="365"/>
      <c r="Q954" s="186"/>
      <c r="R954" s="18"/>
      <c r="S954" s="374"/>
      <c r="T954" s="372"/>
      <c r="U954" s="186"/>
      <c r="V954" s="18"/>
      <c r="W954" s="374"/>
      <c r="X954" s="372"/>
      <c r="Y954" s="186"/>
      <c r="Z954" s="18"/>
      <c r="AA954" s="374"/>
      <c r="AB954" s="372"/>
      <c r="AC954" s="186"/>
      <c r="AD954" s="18"/>
      <c r="AE954" s="374"/>
      <c r="AF954" s="372"/>
      <c r="AG954" s="188"/>
      <c r="AH954" s="188"/>
      <c r="AI954" s="188"/>
      <c r="AJ954" s="188"/>
      <c r="AK954" s="365"/>
      <c r="AL954" s="365"/>
      <c r="AM954" s="365"/>
      <c r="AN954" s="365"/>
      <c r="AO954" s="365"/>
      <c r="AP954" s="365"/>
    </row>
    <row r="955">
      <c r="A955" s="302"/>
      <c r="B955" s="303"/>
      <c r="C955" s="304"/>
      <c r="D955" s="365"/>
      <c r="E955" s="302"/>
      <c r="F955" s="303"/>
      <c r="G955" s="304"/>
      <c r="H955" s="365"/>
      <c r="I955" s="302"/>
      <c r="J955" s="303"/>
      <c r="K955" s="304"/>
      <c r="L955" s="365"/>
      <c r="M955" s="302"/>
      <c r="N955" s="303"/>
      <c r="O955" s="304"/>
      <c r="P955" s="365"/>
      <c r="Q955" s="186"/>
      <c r="R955" s="18"/>
      <c r="S955" s="374"/>
      <c r="T955" s="372"/>
      <c r="U955" s="186"/>
      <c r="V955" s="18"/>
      <c r="W955" s="374"/>
      <c r="X955" s="372"/>
      <c r="Y955" s="186"/>
      <c r="Z955" s="18"/>
      <c r="AA955" s="374"/>
      <c r="AB955" s="372"/>
      <c r="AC955" s="186"/>
      <c r="AD955" s="18"/>
      <c r="AE955" s="374"/>
      <c r="AF955" s="372"/>
      <c r="AG955" s="188"/>
      <c r="AH955" s="188"/>
      <c r="AI955" s="188"/>
      <c r="AJ955" s="188"/>
      <c r="AK955" s="365"/>
      <c r="AL955" s="365"/>
      <c r="AM955" s="365"/>
      <c r="AN955" s="365"/>
      <c r="AO955" s="365"/>
      <c r="AP955" s="365"/>
    </row>
    <row r="956">
      <c r="A956" s="302"/>
      <c r="B956" s="303"/>
      <c r="C956" s="304"/>
      <c r="D956" s="365"/>
      <c r="E956" s="302"/>
      <c r="F956" s="303"/>
      <c r="G956" s="304"/>
      <c r="H956" s="365"/>
      <c r="I956" s="302"/>
      <c r="J956" s="303"/>
      <c r="K956" s="304"/>
      <c r="L956" s="365"/>
      <c r="M956" s="302"/>
      <c r="N956" s="303"/>
      <c r="O956" s="304"/>
      <c r="P956" s="365"/>
      <c r="Q956" s="186"/>
      <c r="R956" s="18"/>
      <c r="S956" s="374"/>
      <c r="T956" s="372"/>
      <c r="U956" s="186"/>
      <c r="V956" s="18"/>
      <c r="W956" s="374"/>
      <c r="X956" s="372"/>
      <c r="Y956" s="186"/>
      <c r="Z956" s="18"/>
      <c r="AA956" s="374"/>
      <c r="AB956" s="372"/>
      <c r="AC956" s="186"/>
      <c r="AD956" s="18"/>
      <c r="AE956" s="374"/>
      <c r="AF956" s="372"/>
      <c r="AG956" s="188"/>
      <c r="AH956" s="188"/>
      <c r="AI956" s="188"/>
      <c r="AJ956" s="188"/>
      <c r="AK956" s="365"/>
      <c r="AL956" s="365"/>
      <c r="AM956" s="365"/>
      <c r="AN956" s="365"/>
      <c r="AO956" s="365"/>
      <c r="AP956" s="365"/>
    </row>
    <row r="957">
      <c r="A957" s="302"/>
      <c r="B957" s="303"/>
      <c r="C957" s="304"/>
      <c r="D957" s="365"/>
      <c r="E957" s="302"/>
      <c r="F957" s="303"/>
      <c r="G957" s="304"/>
      <c r="H957" s="365"/>
      <c r="I957" s="302"/>
      <c r="J957" s="303"/>
      <c r="K957" s="304"/>
      <c r="L957" s="365"/>
      <c r="M957" s="302"/>
      <c r="N957" s="303"/>
      <c r="O957" s="304"/>
      <c r="P957" s="365"/>
      <c r="Q957" s="186"/>
      <c r="R957" s="18"/>
      <c r="S957" s="374"/>
      <c r="T957" s="372"/>
      <c r="U957" s="186"/>
      <c r="V957" s="18"/>
      <c r="W957" s="374"/>
      <c r="X957" s="372"/>
      <c r="Y957" s="186"/>
      <c r="Z957" s="18"/>
      <c r="AA957" s="374"/>
      <c r="AB957" s="372"/>
      <c r="AC957" s="186"/>
      <c r="AD957" s="18"/>
      <c r="AE957" s="374"/>
      <c r="AF957" s="372"/>
      <c r="AG957" s="188"/>
      <c r="AH957" s="188"/>
      <c r="AI957" s="188"/>
      <c r="AJ957" s="188"/>
      <c r="AK957" s="365"/>
      <c r="AL957" s="365"/>
      <c r="AM957" s="365"/>
      <c r="AN957" s="365"/>
      <c r="AO957" s="365"/>
      <c r="AP957" s="365"/>
    </row>
    <row r="958">
      <c r="A958" s="302"/>
      <c r="B958" s="303"/>
      <c r="C958" s="304"/>
      <c r="D958" s="365"/>
      <c r="E958" s="302"/>
      <c r="F958" s="303"/>
      <c r="G958" s="304"/>
      <c r="H958" s="365"/>
      <c r="I958" s="302"/>
      <c r="J958" s="303"/>
      <c r="K958" s="304"/>
      <c r="L958" s="365"/>
      <c r="M958" s="302"/>
      <c r="N958" s="303"/>
      <c r="O958" s="304"/>
      <c r="P958" s="365"/>
      <c r="Q958" s="186"/>
      <c r="R958" s="18"/>
      <c r="S958" s="374"/>
      <c r="T958" s="372"/>
      <c r="U958" s="186"/>
      <c r="V958" s="18"/>
      <c r="W958" s="374"/>
      <c r="X958" s="372"/>
      <c r="Y958" s="186"/>
      <c r="Z958" s="18"/>
      <c r="AA958" s="374"/>
      <c r="AB958" s="372"/>
      <c r="AC958" s="186"/>
      <c r="AD958" s="18"/>
      <c r="AE958" s="374"/>
      <c r="AF958" s="372"/>
      <c r="AG958" s="188"/>
      <c r="AH958" s="188"/>
      <c r="AI958" s="188"/>
      <c r="AJ958" s="188"/>
      <c r="AK958" s="365"/>
      <c r="AL958" s="365"/>
      <c r="AM958" s="365"/>
      <c r="AN958" s="365"/>
      <c r="AO958" s="365"/>
      <c r="AP958" s="365"/>
    </row>
    <row r="959">
      <c r="A959" s="302"/>
      <c r="B959" s="303"/>
      <c r="C959" s="304"/>
      <c r="D959" s="365"/>
      <c r="E959" s="302"/>
      <c r="F959" s="303"/>
      <c r="G959" s="304"/>
      <c r="H959" s="365"/>
      <c r="I959" s="302"/>
      <c r="J959" s="303"/>
      <c r="K959" s="304"/>
      <c r="L959" s="365"/>
      <c r="M959" s="302"/>
      <c r="N959" s="303"/>
      <c r="O959" s="304"/>
      <c r="P959" s="365"/>
      <c r="Q959" s="186"/>
      <c r="R959" s="18"/>
      <c r="S959" s="374"/>
      <c r="T959" s="372"/>
      <c r="U959" s="186"/>
      <c r="V959" s="18"/>
      <c r="W959" s="374"/>
      <c r="X959" s="372"/>
      <c r="Y959" s="186"/>
      <c r="Z959" s="18"/>
      <c r="AA959" s="374"/>
      <c r="AB959" s="372"/>
      <c r="AC959" s="186"/>
      <c r="AD959" s="18"/>
      <c r="AE959" s="374"/>
      <c r="AF959" s="372"/>
      <c r="AG959" s="188"/>
      <c r="AH959" s="188"/>
      <c r="AI959" s="188"/>
      <c r="AJ959" s="188"/>
      <c r="AK959" s="365"/>
      <c r="AL959" s="365"/>
      <c r="AM959" s="365"/>
      <c r="AN959" s="365"/>
      <c r="AO959" s="365"/>
      <c r="AP959" s="365"/>
    </row>
    <row r="960">
      <c r="A960" s="302"/>
      <c r="B960" s="303"/>
      <c r="C960" s="304"/>
      <c r="D960" s="365"/>
      <c r="E960" s="302"/>
      <c r="F960" s="303"/>
      <c r="G960" s="304"/>
      <c r="H960" s="365"/>
      <c r="I960" s="302"/>
      <c r="J960" s="303"/>
      <c r="K960" s="304"/>
      <c r="L960" s="365"/>
      <c r="M960" s="302"/>
      <c r="N960" s="303"/>
      <c r="O960" s="304"/>
      <c r="P960" s="365"/>
      <c r="Q960" s="186"/>
      <c r="R960" s="18"/>
      <c r="S960" s="374"/>
      <c r="T960" s="372"/>
      <c r="U960" s="186"/>
      <c r="V960" s="18"/>
      <c r="W960" s="374"/>
      <c r="X960" s="372"/>
      <c r="Y960" s="186"/>
      <c r="Z960" s="18"/>
      <c r="AA960" s="374"/>
      <c r="AB960" s="372"/>
      <c r="AC960" s="186"/>
      <c r="AD960" s="18"/>
      <c r="AE960" s="374"/>
      <c r="AF960" s="372"/>
      <c r="AG960" s="188"/>
      <c r="AH960" s="188"/>
      <c r="AI960" s="188"/>
      <c r="AJ960" s="188"/>
      <c r="AK960" s="365"/>
      <c r="AL960" s="365"/>
      <c r="AM960" s="365"/>
      <c r="AN960" s="365"/>
      <c r="AO960" s="365"/>
      <c r="AP960" s="365"/>
    </row>
    <row r="961">
      <c r="A961" s="302"/>
      <c r="B961" s="303"/>
      <c r="C961" s="304"/>
      <c r="D961" s="365"/>
      <c r="E961" s="302"/>
      <c r="F961" s="303"/>
      <c r="G961" s="304"/>
      <c r="H961" s="365"/>
      <c r="I961" s="302"/>
      <c r="J961" s="303"/>
      <c r="K961" s="304"/>
      <c r="L961" s="365"/>
      <c r="M961" s="302"/>
      <c r="N961" s="303"/>
      <c r="O961" s="304"/>
      <c r="P961" s="365"/>
      <c r="Q961" s="186"/>
      <c r="R961" s="18"/>
      <c r="S961" s="374"/>
      <c r="T961" s="372"/>
      <c r="U961" s="186"/>
      <c r="V961" s="18"/>
      <c r="W961" s="374"/>
      <c r="X961" s="372"/>
      <c r="Y961" s="186"/>
      <c r="Z961" s="18"/>
      <c r="AA961" s="374"/>
      <c r="AB961" s="372"/>
      <c r="AC961" s="186"/>
      <c r="AD961" s="18"/>
      <c r="AE961" s="374"/>
      <c r="AF961" s="372"/>
      <c r="AG961" s="188"/>
      <c r="AH961" s="188"/>
      <c r="AI961" s="188"/>
      <c r="AJ961" s="188"/>
      <c r="AK961" s="365"/>
      <c r="AL961" s="365"/>
      <c r="AM961" s="365"/>
      <c r="AN961" s="365"/>
      <c r="AO961" s="365"/>
      <c r="AP961" s="365"/>
    </row>
    <row r="962">
      <c r="A962" s="302"/>
      <c r="B962" s="303"/>
      <c r="C962" s="304"/>
      <c r="D962" s="365"/>
      <c r="E962" s="302"/>
      <c r="F962" s="303"/>
      <c r="G962" s="304"/>
      <c r="H962" s="365"/>
      <c r="I962" s="302"/>
      <c r="J962" s="303"/>
      <c r="K962" s="304"/>
      <c r="L962" s="365"/>
      <c r="M962" s="302"/>
      <c r="N962" s="303"/>
      <c r="O962" s="304"/>
      <c r="P962" s="365"/>
      <c r="Q962" s="186"/>
      <c r="R962" s="18"/>
      <c r="S962" s="374"/>
      <c r="T962" s="372"/>
      <c r="U962" s="186"/>
      <c r="V962" s="18"/>
      <c r="W962" s="374"/>
      <c r="X962" s="372"/>
      <c r="Y962" s="186"/>
      <c r="Z962" s="18"/>
      <c r="AA962" s="374"/>
      <c r="AB962" s="372"/>
      <c r="AC962" s="186"/>
      <c r="AD962" s="18"/>
      <c r="AE962" s="374"/>
      <c r="AF962" s="372"/>
      <c r="AG962" s="188"/>
      <c r="AH962" s="188"/>
      <c r="AI962" s="188"/>
      <c r="AJ962" s="188"/>
      <c r="AK962" s="365"/>
      <c r="AL962" s="365"/>
      <c r="AM962" s="365"/>
      <c r="AN962" s="365"/>
      <c r="AO962" s="365"/>
      <c r="AP962" s="365"/>
    </row>
    <row r="963">
      <c r="A963" s="302"/>
      <c r="B963" s="303"/>
      <c r="C963" s="304"/>
      <c r="D963" s="365"/>
      <c r="E963" s="302"/>
      <c r="F963" s="303"/>
      <c r="G963" s="304"/>
      <c r="H963" s="365"/>
      <c r="I963" s="302"/>
      <c r="J963" s="303"/>
      <c r="K963" s="304"/>
      <c r="L963" s="365"/>
      <c r="M963" s="302"/>
      <c r="N963" s="303"/>
      <c r="O963" s="304"/>
      <c r="P963" s="365"/>
      <c r="Q963" s="186"/>
      <c r="R963" s="18"/>
      <c r="S963" s="374"/>
      <c r="T963" s="372"/>
      <c r="U963" s="186"/>
      <c r="V963" s="18"/>
      <c r="W963" s="374"/>
      <c r="X963" s="372"/>
      <c r="Y963" s="186"/>
      <c r="Z963" s="18"/>
      <c r="AA963" s="374"/>
      <c r="AB963" s="372"/>
      <c r="AC963" s="186"/>
      <c r="AD963" s="18"/>
      <c r="AE963" s="374"/>
      <c r="AF963" s="372"/>
      <c r="AG963" s="188"/>
      <c r="AH963" s="188"/>
      <c r="AI963" s="188"/>
      <c r="AJ963" s="188"/>
      <c r="AK963" s="365"/>
      <c r="AL963" s="365"/>
      <c r="AM963" s="365"/>
      <c r="AN963" s="365"/>
      <c r="AO963" s="365"/>
      <c r="AP963" s="365"/>
    </row>
    <row r="964">
      <c r="A964" s="302"/>
      <c r="B964" s="303"/>
      <c r="C964" s="304"/>
      <c r="D964" s="365"/>
      <c r="E964" s="302"/>
      <c r="F964" s="303"/>
      <c r="G964" s="304"/>
      <c r="H964" s="365"/>
      <c r="I964" s="302"/>
      <c r="J964" s="303"/>
      <c r="K964" s="304"/>
      <c r="L964" s="365"/>
      <c r="M964" s="302"/>
      <c r="N964" s="303"/>
      <c r="O964" s="304"/>
      <c r="P964" s="365"/>
      <c r="Q964" s="186"/>
      <c r="R964" s="18"/>
      <c r="S964" s="374"/>
      <c r="T964" s="372"/>
      <c r="U964" s="186"/>
      <c r="V964" s="18"/>
      <c r="W964" s="374"/>
      <c r="X964" s="372"/>
      <c r="Y964" s="186"/>
      <c r="Z964" s="18"/>
      <c r="AA964" s="374"/>
      <c r="AB964" s="372"/>
      <c r="AC964" s="186"/>
      <c r="AD964" s="18"/>
      <c r="AE964" s="374"/>
      <c r="AF964" s="372"/>
      <c r="AG964" s="188"/>
      <c r="AH964" s="188"/>
      <c r="AI964" s="188"/>
      <c r="AJ964" s="188"/>
      <c r="AK964" s="365"/>
      <c r="AL964" s="365"/>
      <c r="AM964" s="365"/>
      <c r="AN964" s="365"/>
      <c r="AO964" s="365"/>
      <c r="AP964" s="365"/>
    </row>
    <row r="965">
      <c r="A965" s="302"/>
      <c r="B965" s="303"/>
      <c r="C965" s="304"/>
      <c r="D965" s="365"/>
      <c r="E965" s="302"/>
      <c r="F965" s="303"/>
      <c r="G965" s="304"/>
      <c r="H965" s="365"/>
      <c r="I965" s="302"/>
      <c r="J965" s="303"/>
      <c r="K965" s="304"/>
      <c r="L965" s="365"/>
      <c r="M965" s="302"/>
      <c r="N965" s="303"/>
      <c r="O965" s="304"/>
      <c r="P965" s="365"/>
      <c r="Q965" s="186"/>
      <c r="R965" s="18"/>
      <c r="S965" s="374"/>
      <c r="T965" s="372"/>
      <c r="U965" s="186"/>
      <c r="V965" s="18"/>
      <c r="W965" s="374"/>
      <c r="X965" s="372"/>
      <c r="Y965" s="186"/>
      <c r="Z965" s="18"/>
      <c r="AA965" s="374"/>
      <c r="AB965" s="372"/>
      <c r="AC965" s="186"/>
      <c r="AD965" s="18"/>
      <c r="AE965" s="374"/>
      <c r="AF965" s="372"/>
      <c r="AG965" s="188"/>
      <c r="AH965" s="188"/>
      <c r="AI965" s="188"/>
      <c r="AJ965" s="188"/>
      <c r="AK965" s="365"/>
      <c r="AL965" s="365"/>
      <c r="AM965" s="365"/>
      <c r="AN965" s="365"/>
      <c r="AO965" s="365"/>
      <c r="AP965" s="365"/>
    </row>
    <row r="966">
      <c r="A966" s="302"/>
      <c r="B966" s="303"/>
      <c r="C966" s="304"/>
      <c r="D966" s="365"/>
      <c r="E966" s="302"/>
      <c r="F966" s="303"/>
      <c r="G966" s="304"/>
      <c r="H966" s="365"/>
      <c r="I966" s="302"/>
      <c r="J966" s="303"/>
      <c r="K966" s="304"/>
      <c r="L966" s="365"/>
      <c r="M966" s="302"/>
      <c r="N966" s="303"/>
      <c r="O966" s="304"/>
      <c r="P966" s="365"/>
      <c r="Q966" s="186"/>
      <c r="R966" s="18"/>
      <c r="S966" s="374"/>
      <c r="T966" s="372"/>
      <c r="U966" s="186"/>
      <c r="V966" s="18"/>
      <c r="W966" s="374"/>
      <c r="X966" s="372"/>
      <c r="Y966" s="186"/>
      <c r="Z966" s="18"/>
      <c r="AA966" s="374"/>
      <c r="AB966" s="372"/>
      <c r="AC966" s="186"/>
      <c r="AD966" s="18"/>
      <c r="AE966" s="374"/>
      <c r="AF966" s="372"/>
      <c r="AG966" s="188"/>
      <c r="AH966" s="188"/>
      <c r="AI966" s="188"/>
      <c r="AJ966" s="188"/>
      <c r="AK966" s="365"/>
      <c r="AL966" s="365"/>
      <c r="AM966" s="365"/>
      <c r="AN966" s="365"/>
      <c r="AO966" s="365"/>
      <c r="AP966" s="365"/>
    </row>
    <row r="967">
      <c r="A967" s="302"/>
      <c r="B967" s="303"/>
      <c r="C967" s="304"/>
      <c r="D967" s="365"/>
      <c r="E967" s="302"/>
      <c r="F967" s="303"/>
      <c r="G967" s="304"/>
      <c r="H967" s="365"/>
      <c r="I967" s="302"/>
      <c r="J967" s="303"/>
      <c r="K967" s="304"/>
      <c r="L967" s="365"/>
      <c r="M967" s="302"/>
      <c r="N967" s="303"/>
      <c r="O967" s="304"/>
      <c r="P967" s="365"/>
      <c r="Q967" s="186"/>
      <c r="R967" s="18"/>
      <c r="S967" s="374"/>
      <c r="T967" s="372"/>
      <c r="U967" s="186"/>
      <c r="V967" s="18"/>
      <c r="W967" s="374"/>
      <c r="X967" s="372"/>
      <c r="Y967" s="186"/>
      <c r="Z967" s="18"/>
      <c r="AA967" s="374"/>
      <c r="AB967" s="372"/>
      <c r="AC967" s="186"/>
      <c r="AD967" s="18"/>
      <c r="AE967" s="374"/>
      <c r="AF967" s="372"/>
      <c r="AG967" s="188"/>
      <c r="AH967" s="188"/>
      <c r="AI967" s="188"/>
      <c r="AJ967" s="188"/>
      <c r="AK967" s="365"/>
      <c r="AL967" s="365"/>
      <c r="AM967" s="365"/>
      <c r="AN967" s="365"/>
      <c r="AO967" s="365"/>
      <c r="AP967" s="365"/>
    </row>
    <row r="968">
      <c r="A968" s="302"/>
      <c r="B968" s="303"/>
      <c r="C968" s="304"/>
      <c r="D968" s="365"/>
      <c r="E968" s="302"/>
      <c r="F968" s="303"/>
      <c r="G968" s="304"/>
      <c r="H968" s="365"/>
      <c r="I968" s="302"/>
      <c r="J968" s="303"/>
      <c r="K968" s="304"/>
      <c r="L968" s="365"/>
      <c r="M968" s="302"/>
      <c r="N968" s="303"/>
      <c r="O968" s="304"/>
      <c r="P968" s="365"/>
      <c r="Q968" s="186"/>
      <c r="R968" s="18"/>
      <c r="S968" s="374"/>
      <c r="T968" s="372"/>
      <c r="U968" s="186"/>
      <c r="V968" s="18"/>
      <c r="W968" s="374"/>
      <c r="X968" s="372"/>
      <c r="Y968" s="186"/>
      <c r="Z968" s="18"/>
      <c r="AA968" s="374"/>
      <c r="AB968" s="372"/>
      <c r="AC968" s="186"/>
      <c r="AD968" s="18"/>
      <c r="AE968" s="374"/>
      <c r="AF968" s="372"/>
      <c r="AG968" s="188"/>
      <c r="AH968" s="188"/>
      <c r="AI968" s="188"/>
      <c r="AJ968" s="188"/>
      <c r="AK968" s="365"/>
      <c r="AL968" s="365"/>
      <c r="AM968" s="365"/>
      <c r="AN968" s="365"/>
      <c r="AO968" s="365"/>
      <c r="AP968" s="365"/>
    </row>
    <row r="969">
      <c r="A969" s="302"/>
      <c r="B969" s="303"/>
      <c r="C969" s="304"/>
      <c r="D969" s="365"/>
      <c r="E969" s="302"/>
      <c r="F969" s="303"/>
      <c r="G969" s="304"/>
      <c r="H969" s="365"/>
      <c r="I969" s="302"/>
      <c r="J969" s="303"/>
      <c r="K969" s="304"/>
      <c r="L969" s="365"/>
      <c r="M969" s="302"/>
      <c r="N969" s="303"/>
      <c r="O969" s="304"/>
      <c r="P969" s="365"/>
      <c r="Q969" s="186"/>
      <c r="R969" s="18"/>
      <c r="S969" s="374"/>
      <c r="T969" s="372"/>
      <c r="U969" s="186"/>
      <c r="V969" s="18"/>
      <c r="W969" s="374"/>
      <c r="X969" s="372"/>
      <c r="Y969" s="186"/>
      <c r="Z969" s="18"/>
      <c r="AA969" s="374"/>
      <c r="AB969" s="372"/>
      <c r="AC969" s="186"/>
      <c r="AD969" s="18"/>
      <c r="AE969" s="374"/>
      <c r="AF969" s="372"/>
      <c r="AG969" s="188"/>
      <c r="AH969" s="188"/>
      <c r="AI969" s="188"/>
      <c r="AJ969" s="188"/>
      <c r="AK969" s="365"/>
      <c r="AL969" s="365"/>
      <c r="AM969" s="365"/>
      <c r="AN969" s="365"/>
      <c r="AO969" s="365"/>
      <c r="AP969" s="365"/>
    </row>
    <row r="970">
      <c r="A970" s="302"/>
      <c r="B970" s="303"/>
      <c r="C970" s="304"/>
      <c r="D970" s="365"/>
      <c r="E970" s="302"/>
      <c r="F970" s="303"/>
      <c r="G970" s="304"/>
      <c r="H970" s="365"/>
      <c r="I970" s="302"/>
      <c r="J970" s="303"/>
      <c r="K970" s="304"/>
      <c r="L970" s="365"/>
      <c r="M970" s="302"/>
      <c r="N970" s="303"/>
      <c r="O970" s="304"/>
      <c r="P970" s="365"/>
      <c r="Q970" s="186"/>
      <c r="R970" s="18"/>
      <c r="S970" s="374"/>
      <c r="T970" s="372"/>
      <c r="U970" s="186"/>
      <c r="V970" s="18"/>
      <c r="W970" s="374"/>
      <c r="X970" s="372"/>
      <c r="Y970" s="186"/>
      <c r="Z970" s="18"/>
      <c r="AA970" s="374"/>
      <c r="AB970" s="372"/>
      <c r="AC970" s="186"/>
      <c r="AD970" s="18"/>
      <c r="AE970" s="374"/>
      <c r="AF970" s="372"/>
      <c r="AG970" s="188"/>
      <c r="AH970" s="188"/>
      <c r="AI970" s="188"/>
      <c r="AJ970" s="188"/>
      <c r="AK970" s="365"/>
      <c r="AL970" s="365"/>
      <c r="AM970" s="365"/>
      <c r="AN970" s="365"/>
      <c r="AO970" s="365"/>
      <c r="AP970" s="365"/>
    </row>
    <row r="971">
      <c r="A971" s="302"/>
      <c r="B971" s="303"/>
      <c r="C971" s="304"/>
      <c r="D971" s="365"/>
      <c r="E971" s="302"/>
      <c r="F971" s="303"/>
      <c r="G971" s="304"/>
      <c r="H971" s="365"/>
      <c r="I971" s="302"/>
      <c r="J971" s="303"/>
      <c r="K971" s="304"/>
      <c r="L971" s="365"/>
      <c r="M971" s="302"/>
      <c r="N971" s="303"/>
      <c r="O971" s="304"/>
      <c r="P971" s="365"/>
      <c r="Q971" s="186"/>
      <c r="R971" s="18"/>
      <c r="S971" s="374"/>
      <c r="T971" s="372"/>
      <c r="U971" s="186"/>
      <c r="V971" s="18"/>
      <c r="W971" s="374"/>
      <c r="X971" s="372"/>
      <c r="Y971" s="186"/>
      <c r="Z971" s="18"/>
      <c r="AA971" s="374"/>
      <c r="AB971" s="372"/>
      <c r="AC971" s="186"/>
      <c r="AD971" s="18"/>
      <c r="AE971" s="374"/>
      <c r="AF971" s="372"/>
      <c r="AG971" s="188"/>
      <c r="AH971" s="188"/>
      <c r="AI971" s="188"/>
      <c r="AJ971" s="188"/>
      <c r="AK971" s="365"/>
      <c r="AL971" s="365"/>
      <c r="AM971" s="365"/>
      <c r="AN971" s="365"/>
      <c r="AO971" s="365"/>
      <c r="AP971" s="365"/>
    </row>
    <row r="972">
      <c r="A972" s="302"/>
      <c r="B972" s="303"/>
      <c r="C972" s="304"/>
      <c r="D972" s="365"/>
      <c r="E972" s="302"/>
      <c r="F972" s="303"/>
      <c r="G972" s="304"/>
      <c r="H972" s="365"/>
      <c r="I972" s="302"/>
      <c r="J972" s="303"/>
      <c r="K972" s="304"/>
      <c r="L972" s="365"/>
      <c r="M972" s="302"/>
      <c r="N972" s="303"/>
      <c r="O972" s="304"/>
      <c r="P972" s="365"/>
      <c r="Q972" s="186"/>
      <c r="R972" s="18"/>
      <c r="S972" s="374"/>
      <c r="T972" s="372"/>
      <c r="U972" s="186"/>
      <c r="V972" s="18"/>
      <c r="W972" s="374"/>
      <c r="X972" s="372"/>
      <c r="Y972" s="186"/>
      <c r="Z972" s="18"/>
      <c r="AA972" s="374"/>
      <c r="AB972" s="372"/>
      <c r="AC972" s="186"/>
      <c r="AD972" s="18"/>
      <c r="AE972" s="374"/>
      <c r="AF972" s="372"/>
      <c r="AG972" s="188"/>
      <c r="AH972" s="188"/>
      <c r="AI972" s="188"/>
      <c r="AJ972" s="188"/>
      <c r="AK972" s="365"/>
      <c r="AL972" s="365"/>
      <c r="AM972" s="365"/>
      <c r="AN972" s="365"/>
      <c r="AO972" s="365"/>
      <c r="AP972" s="365"/>
    </row>
    <row r="973">
      <c r="A973" s="302"/>
      <c r="B973" s="303"/>
      <c r="C973" s="304"/>
      <c r="D973" s="365"/>
      <c r="E973" s="302"/>
      <c r="F973" s="303"/>
      <c r="G973" s="304"/>
      <c r="H973" s="365"/>
      <c r="I973" s="302"/>
      <c r="J973" s="303"/>
      <c r="K973" s="304"/>
      <c r="L973" s="365"/>
      <c r="M973" s="302"/>
      <c r="N973" s="303"/>
      <c r="O973" s="304"/>
      <c r="P973" s="365"/>
      <c r="Q973" s="186"/>
      <c r="R973" s="18"/>
      <c r="S973" s="374"/>
      <c r="T973" s="372"/>
      <c r="U973" s="186"/>
      <c r="V973" s="18"/>
      <c r="W973" s="374"/>
      <c r="X973" s="372"/>
      <c r="Y973" s="186"/>
      <c r="Z973" s="18"/>
      <c r="AA973" s="374"/>
      <c r="AB973" s="372"/>
      <c r="AC973" s="186"/>
      <c r="AD973" s="18"/>
      <c r="AE973" s="374"/>
      <c r="AF973" s="372"/>
      <c r="AG973" s="188"/>
      <c r="AH973" s="188"/>
      <c r="AI973" s="188"/>
      <c r="AJ973" s="188"/>
      <c r="AK973" s="365"/>
      <c r="AL973" s="365"/>
      <c r="AM973" s="365"/>
      <c r="AN973" s="365"/>
      <c r="AO973" s="365"/>
      <c r="AP973" s="365"/>
    </row>
    <row r="974">
      <c r="A974" s="302"/>
      <c r="B974" s="303"/>
      <c r="C974" s="304"/>
      <c r="D974" s="365"/>
      <c r="E974" s="302"/>
      <c r="F974" s="303"/>
      <c r="G974" s="304"/>
      <c r="H974" s="365"/>
      <c r="I974" s="302"/>
      <c r="J974" s="303"/>
      <c r="K974" s="304"/>
      <c r="L974" s="365"/>
      <c r="M974" s="302"/>
      <c r="N974" s="303"/>
      <c r="O974" s="304"/>
      <c r="P974" s="365"/>
      <c r="Q974" s="186"/>
      <c r="R974" s="18"/>
      <c r="S974" s="374"/>
      <c r="T974" s="372"/>
      <c r="U974" s="186"/>
      <c r="V974" s="18"/>
      <c r="W974" s="374"/>
      <c r="X974" s="372"/>
      <c r="Y974" s="186"/>
      <c r="Z974" s="18"/>
      <c r="AA974" s="374"/>
      <c r="AB974" s="372"/>
      <c r="AC974" s="186"/>
      <c r="AD974" s="18"/>
      <c r="AE974" s="374"/>
      <c r="AF974" s="372"/>
      <c r="AG974" s="188"/>
      <c r="AH974" s="188"/>
      <c r="AI974" s="188"/>
      <c r="AJ974" s="188"/>
      <c r="AK974" s="365"/>
      <c r="AL974" s="365"/>
      <c r="AM974" s="365"/>
      <c r="AN974" s="365"/>
      <c r="AO974" s="365"/>
      <c r="AP974" s="365"/>
    </row>
    <row r="975">
      <c r="A975" s="302"/>
      <c r="B975" s="303"/>
      <c r="C975" s="304"/>
      <c r="D975" s="365"/>
      <c r="E975" s="302"/>
      <c r="F975" s="303"/>
      <c r="G975" s="304"/>
      <c r="H975" s="365"/>
      <c r="I975" s="302"/>
      <c r="J975" s="303"/>
      <c r="K975" s="304"/>
      <c r="L975" s="365"/>
      <c r="M975" s="302"/>
      <c r="N975" s="303"/>
      <c r="O975" s="304"/>
      <c r="P975" s="365"/>
      <c r="Q975" s="186"/>
      <c r="R975" s="18"/>
      <c r="S975" s="374"/>
      <c r="T975" s="372"/>
      <c r="U975" s="186"/>
      <c r="V975" s="18"/>
      <c r="W975" s="374"/>
      <c r="X975" s="372"/>
      <c r="Y975" s="186"/>
      <c r="Z975" s="18"/>
      <c r="AA975" s="374"/>
      <c r="AB975" s="372"/>
      <c r="AC975" s="186"/>
      <c r="AD975" s="18"/>
      <c r="AE975" s="374"/>
      <c r="AF975" s="372"/>
      <c r="AG975" s="188"/>
      <c r="AH975" s="188"/>
      <c r="AI975" s="188"/>
      <c r="AJ975" s="188"/>
      <c r="AK975" s="365"/>
      <c r="AL975" s="365"/>
      <c r="AM975" s="365"/>
      <c r="AN975" s="365"/>
      <c r="AO975" s="365"/>
      <c r="AP975" s="365"/>
    </row>
    <row r="976">
      <c r="A976" s="302"/>
      <c r="B976" s="303"/>
      <c r="C976" s="304"/>
      <c r="D976" s="365"/>
      <c r="E976" s="302"/>
      <c r="F976" s="303"/>
      <c r="G976" s="304"/>
      <c r="H976" s="365"/>
      <c r="I976" s="302"/>
      <c r="J976" s="303"/>
      <c r="K976" s="304"/>
      <c r="L976" s="365"/>
      <c r="M976" s="302"/>
      <c r="N976" s="303"/>
      <c r="O976" s="304"/>
      <c r="P976" s="365"/>
      <c r="Q976" s="186"/>
      <c r="R976" s="18"/>
      <c r="S976" s="374"/>
      <c r="T976" s="372"/>
      <c r="U976" s="186"/>
      <c r="V976" s="18"/>
      <c r="W976" s="374"/>
      <c r="X976" s="372"/>
      <c r="Y976" s="186"/>
      <c r="Z976" s="18"/>
      <c r="AA976" s="374"/>
      <c r="AB976" s="372"/>
      <c r="AC976" s="186"/>
      <c r="AD976" s="18"/>
      <c r="AE976" s="374"/>
      <c r="AF976" s="372"/>
      <c r="AG976" s="188"/>
      <c r="AH976" s="188"/>
      <c r="AI976" s="188"/>
      <c r="AJ976" s="188"/>
      <c r="AK976" s="365"/>
      <c r="AL976" s="365"/>
      <c r="AM976" s="365"/>
      <c r="AN976" s="365"/>
      <c r="AO976" s="365"/>
      <c r="AP976" s="365"/>
    </row>
    <row r="977">
      <c r="A977" s="302"/>
      <c r="B977" s="303"/>
      <c r="C977" s="304"/>
      <c r="D977" s="365"/>
      <c r="E977" s="302"/>
      <c r="F977" s="303"/>
      <c r="G977" s="304"/>
      <c r="H977" s="365"/>
      <c r="I977" s="302"/>
      <c r="J977" s="303"/>
      <c r="K977" s="304"/>
      <c r="L977" s="365"/>
      <c r="M977" s="302"/>
      <c r="N977" s="303"/>
      <c r="O977" s="304"/>
      <c r="P977" s="365"/>
      <c r="Q977" s="186"/>
      <c r="R977" s="18"/>
      <c r="S977" s="374"/>
      <c r="T977" s="372"/>
      <c r="U977" s="186"/>
      <c r="V977" s="18"/>
      <c r="W977" s="374"/>
      <c r="X977" s="372"/>
      <c r="Y977" s="186"/>
      <c r="Z977" s="18"/>
      <c r="AA977" s="374"/>
      <c r="AB977" s="372"/>
      <c r="AC977" s="186"/>
      <c r="AD977" s="18"/>
      <c r="AE977" s="374"/>
      <c r="AF977" s="372"/>
      <c r="AG977" s="188"/>
      <c r="AH977" s="188"/>
      <c r="AI977" s="188"/>
      <c r="AJ977" s="188"/>
      <c r="AK977" s="365"/>
      <c r="AL977" s="365"/>
      <c r="AM977" s="365"/>
      <c r="AN977" s="365"/>
      <c r="AO977" s="365"/>
      <c r="AP977" s="365"/>
    </row>
    <row r="978">
      <c r="A978" s="302"/>
      <c r="B978" s="303"/>
      <c r="C978" s="304"/>
      <c r="D978" s="365"/>
      <c r="E978" s="302"/>
      <c r="F978" s="303"/>
      <c r="G978" s="304"/>
      <c r="H978" s="365"/>
      <c r="I978" s="302"/>
      <c r="J978" s="303"/>
      <c r="K978" s="304"/>
      <c r="L978" s="365"/>
      <c r="M978" s="302"/>
      <c r="N978" s="303"/>
      <c r="O978" s="304"/>
      <c r="P978" s="365"/>
      <c r="Q978" s="186"/>
      <c r="R978" s="18"/>
      <c r="S978" s="374"/>
      <c r="T978" s="372"/>
      <c r="U978" s="186"/>
      <c r="V978" s="18"/>
      <c r="W978" s="374"/>
      <c r="X978" s="372"/>
      <c r="Y978" s="186"/>
      <c r="Z978" s="18"/>
      <c r="AA978" s="374"/>
      <c r="AB978" s="372"/>
      <c r="AC978" s="186"/>
      <c r="AD978" s="18"/>
      <c r="AE978" s="374"/>
      <c r="AF978" s="372"/>
      <c r="AG978" s="188"/>
      <c r="AH978" s="188"/>
      <c r="AI978" s="188"/>
      <c r="AJ978" s="188"/>
      <c r="AK978" s="365"/>
      <c r="AL978" s="365"/>
      <c r="AM978" s="365"/>
      <c r="AN978" s="365"/>
      <c r="AO978" s="365"/>
      <c r="AP978" s="365"/>
    </row>
    <row r="979">
      <c r="A979" s="302"/>
      <c r="B979" s="303"/>
      <c r="C979" s="304"/>
      <c r="D979" s="365"/>
      <c r="E979" s="302"/>
      <c r="F979" s="303"/>
      <c r="G979" s="304"/>
      <c r="H979" s="365"/>
      <c r="I979" s="302"/>
      <c r="J979" s="303"/>
      <c r="K979" s="304"/>
      <c r="L979" s="365"/>
      <c r="M979" s="302"/>
      <c r="N979" s="303"/>
      <c r="O979" s="304"/>
      <c r="P979" s="365"/>
      <c r="Q979" s="186"/>
      <c r="R979" s="18"/>
      <c r="S979" s="374"/>
      <c r="T979" s="372"/>
      <c r="U979" s="186"/>
      <c r="V979" s="18"/>
      <c r="W979" s="374"/>
      <c r="X979" s="372"/>
      <c r="Y979" s="186"/>
      <c r="Z979" s="18"/>
      <c r="AA979" s="374"/>
      <c r="AB979" s="372"/>
      <c r="AC979" s="186"/>
      <c r="AD979" s="18"/>
      <c r="AE979" s="374"/>
      <c r="AF979" s="372"/>
      <c r="AG979" s="188"/>
      <c r="AH979" s="188"/>
      <c r="AI979" s="188"/>
      <c r="AJ979" s="188"/>
      <c r="AK979" s="365"/>
      <c r="AL979" s="365"/>
      <c r="AM979" s="365"/>
      <c r="AN979" s="365"/>
      <c r="AO979" s="365"/>
      <c r="AP979" s="365"/>
    </row>
    <row r="980">
      <c r="A980" s="302"/>
      <c r="B980" s="303"/>
      <c r="C980" s="304"/>
      <c r="D980" s="365"/>
      <c r="E980" s="302"/>
      <c r="F980" s="303"/>
      <c r="G980" s="304"/>
      <c r="H980" s="365"/>
      <c r="I980" s="302"/>
      <c r="J980" s="303"/>
      <c r="K980" s="304"/>
      <c r="L980" s="365"/>
      <c r="M980" s="302"/>
      <c r="N980" s="303"/>
      <c r="O980" s="304"/>
      <c r="P980" s="365"/>
      <c r="Q980" s="186"/>
      <c r="R980" s="18"/>
      <c r="S980" s="374"/>
      <c r="T980" s="372"/>
      <c r="U980" s="186"/>
      <c r="V980" s="18"/>
      <c r="W980" s="374"/>
      <c r="X980" s="372"/>
      <c r="Y980" s="186"/>
      <c r="Z980" s="18"/>
      <c r="AA980" s="374"/>
      <c r="AB980" s="372"/>
      <c r="AC980" s="186"/>
      <c r="AD980" s="18"/>
      <c r="AE980" s="374"/>
      <c r="AF980" s="372"/>
      <c r="AG980" s="188"/>
      <c r="AH980" s="188"/>
      <c r="AI980" s="188"/>
      <c r="AJ980" s="188"/>
      <c r="AK980" s="365"/>
      <c r="AL980" s="365"/>
      <c r="AM980" s="365"/>
      <c r="AN980" s="365"/>
      <c r="AO980" s="365"/>
      <c r="AP980" s="365"/>
    </row>
    <row r="981">
      <c r="A981" s="302"/>
      <c r="B981" s="303"/>
      <c r="C981" s="304"/>
      <c r="D981" s="365"/>
      <c r="E981" s="302"/>
      <c r="F981" s="303"/>
      <c r="G981" s="304"/>
      <c r="H981" s="365"/>
      <c r="I981" s="302"/>
      <c r="J981" s="303"/>
      <c r="K981" s="304"/>
      <c r="L981" s="365"/>
      <c r="M981" s="302"/>
      <c r="N981" s="303"/>
      <c r="O981" s="304"/>
      <c r="P981" s="365"/>
      <c r="Q981" s="186"/>
      <c r="R981" s="18"/>
      <c r="S981" s="374"/>
      <c r="T981" s="372"/>
      <c r="U981" s="186"/>
      <c r="V981" s="18"/>
      <c r="W981" s="374"/>
      <c r="X981" s="372"/>
      <c r="Y981" s="186"/>
      <c r="Z981" s="18"/>
      <c r="AA981" s="374"/>
      <c r="AB981" s="372"/>
      <c r="AC981" s="186"/>
      <c r="AD981" s="18"/>
      <c r="AE981" s="374"/>
      <c r="AF981" s="372"/>
      <c r="AG981" s="188"/>
      <c r="AH981" s="188"/>
      <c r="AI981" s="188"/>
      <c r="AJ981" s="188"/>
      <c r="AK981" s="365"/>
      <c r="AL981" s="365"/>
      <c r="AM981" s="365"/>
      <c r="AN981" s="365"/>
      <c r="AO981" s="365"/>
      <c r="AP981" s="365"/>
    </row>
    <row r="982">
      <c r="A982" s="302"/>
      <c r="B982" s="303"/>
      <c r="C982" s="304"/>
      <c r="D982" s="365"/>
      <c r="E982" s="302"/>
      <c r="F982" s="303"/>
      <c r="G982" s="304"/>
      <c r="H982" s="365"/>
      <c r="I982" s="302"/>
      <c r="J982" s="303"/>
      <c r="K982" s="304"/>
      <c r="L982" s="365"/>
      <c r="M982" s="302"/>
      <c r="N982" s="303"/>
      <c r="O982" s="304"/>
      <c r="P982" s="365"/>
      <c r="Q982" s="186"/>
      <c r="R982" s="18"/>
      <c r="S982" s="374"/>
      <c r="T982" s="372"/>
      <c r="U982" s="186"/>
      <c r="V982" s="18"/>
      <c r="W982" s="374"/>
      <c r="X982" s="372"/>
      <c r="Y982" s="186"/>
      <c r="Z982" s="18"/>
      <c r="AA982" s="374"/>
      <c r="AB982" s="372"/>
      <c r="AC982" s="186"/>
      <c r="AD982" s="18"/>
      <c r="AE982" s="374"/>
      <c r="AF982" s="372"/>
      <c r="AG982" s="188"/>
      <c r="AH982" s="188"/>
      <c r="AI982" s="188"/>
      <c r="AJ982" s="188"/>
      <c r="AK982" s="365"/>
      <c r="AL982" s="365"/>
      <c r="AM982" s="365"/>
      <c r="AN982" s="365"/>
      <c r="AO982" s="365"/>
      <c r="AP982" s="365"/>
    </row>
    <row r="983">
      <c r="A983" s="302"/>
      <c r="B983" s="303"/>
      <c r="C983" s="304"/>
      <c r="D983" s="365"/>
      <c r="E983" s="302"/>
      <c r="F983" s="303"/>
      <c r="G983" s="304"/>
      <c r="H983" s="365"/>
      <c r="I983" s="302"/>
      <c r="J983" s="303"/>
      <c r="K983" s="304"/>
      <c r="L983" s="365"/>
      <c r="M983" s="302"/>
      <c r="N983" s="303"/>
      <c r="O983" s="304"/>
      <c r="P983" s="365"/>
      <c r="Q983" s="186"/>
      <c r="R983" s="18"/>
      <c r="S983" s="374"/>
      <c r="T983" s="372"/>
      <c r="U983" s="186"/>
      <c r="V983" s="18"/>
      <c r="W983" s="374"/>
      <c r="X983" s="372"/>
      <c r="Y983" s="186"/>
      <c r="Z983" s="18"/>
      <c r="AA983" s="374"/>
      <c r="AB983" s="372"/>
      <c r="AC983" s="186"/>
      <c r="AD983" s="18"/>
      <c r="AE983" s="374"/>
      <c r="AF983" s="372"/>
      <c r="AG983" s="188"/>
      <c r="AH983" s="188"/>
      <c r="AI983" s="188"/>
      <c r="AJ983" s="188"/>
      <c r="AK983" s="365"/>
      <c r="AL983" s="365"/>
      <c r="AM983" s="365"/>
      <c r="AN983" s="365"/>
      <c r="AO983" s="365"/>
      <c r="AP983" s="365"/>
    </row>
    <row r="984">
      <c r="A984" s="302"/>
      <c r="B984" s="303"/>
      <c r="C984" s="304"/>
      <c r="D984" s="365"/>
      <c r="E984" s="302"/>
      <c r="F984" s="303"/>
      <c r="G984" s="304"/>
      <c r="H984" s="365"/>
      <c r="I984" s="302"/>
      <c r="J984" s="303"/>
      <c r="K984" s="304"/>
      <c r="L984" s="365"/>
      <c r="M984" s="302"/>
      <c r="N984" s="303"/>
      <c r="O984" s="304"/>
      <c r="P984" s="365"/>
      <c r="Q984" s="186"/>
      <c r="R984" s="18"/>
      <c r="S984" s="374"/>
      <c r="T984" s="372"/>
      <c r="U984" s="186"/>
      <c r="V984" s="18"/>
      <c r="W984" s="374"/>
      <c r="X984" s="372"/>
      <c r="Y984" s="186"/>
      <c r="Z984" s="18"/>
      <c r="AA984" s="374"/>
      <c r="AB984" s="372"/>
      <c r="AC984" s="186"/>
      <c r="AD984" s="18"/>
      <c r="AE984" s="374"/>
      <c r="AF984" s="372"/>
      <c r="AG984" s="188"/>
      <c r="AH984" s="188"/>
      <c r="AI984" s="188"/>
      <c r="AJ984" s="188"/>
      <c r="AK984" s="365"/>
      <c r="AL984" s="365"/>
      <c r="AM984" s="365"/>
      <c r="AN984" s="365"/>
      <c r="AO984" s="365"/>
      <c r="AP984" s="365"/>
    </row>
    <row r="985">
      <c r="A985" s="302"/>
      <c r="B985" s="303"/>
      <c r="C985" s="304"/>
      <c r="D985" s="365"/>
      <c r="E985" s="302"/>
      <c r="F985" s="303"/>
      <c r="G985" s="304"/>
      <c r="H985" s="365"/>
      <c r="I985" s="302"/>
      <c r="J985" s="303"/>
      <c r="K985" s="304"/>
      <c r="L985" s="365"/>
      <c r="M985" s="302"/>
      <c r="N985" s="303"/>
      <c r="O985" s="304"/>
      <c r="P985" s="365"/>
      <c r="Q985" s="186"/>
      <c r="R985" s="18"/>
      <c r="S985" s="374"/>
      <c r="T985" s="372"/>
      <c r="U985" s="186"/>
      <c r="V985" s="18"/>
      <c r="W985" s="374"/>
      <c r="X985" s="372"/>
      <c r="Y985" s="186"/>
      <c r="Z985" s="18"/>
      <c r="AA985" s="374"/>
      <c r="AB985" s="372"/>
      <c r="AC985" s="186"/>
      <c r="AD985" s="18"/>
      <c r="AE985" s="374"/>
      <c r="AF985" s="372"/>
      <c r="AG985" s="188"/>
      <c r="AH985" s="188"/>
      <c r="AI985" s="188"/>
      <c r="AJ985" s="188"/>
      <c r="AK985" s="365"/>
      <c r="AL985" s="365"/>
      <c r="AM985" s="365"/>
      <c r="AN985" s="365"/>
      <c r="AO985" s="365"/>
      <c r="AP985" s="365"/>
    </row>
    <row r="986">
      <c r="A986" s="302"/>
      <c r="B986" s="303"/>
      <c r="C986" s="304"/>
      <c r="D986" s="365"/>
      <c r="E986" s="302"/>
      <c r="F986" s="303"/>
      <c r="G986" s="304"/>
      <c r="H986" s="365"/>
      <c r="I986" s="302"/>
      <c r="J986" s="303"/>
      <c r="K986" s="304"/>
      <c r="L986" s="365"/>
      <c r="M986" s="302"/>
      <c r="N986" s="303"/>
      <c r="O986" s="304"/>
      <c r="P986" s="365"/>
      <c r="Q986" s="186"/>
      <c r="R986" s="18"/>
      <c r="S986" s="374"/>
      <c r="T986" s="372"/>
      <c r="U986" s="186"/>
      <c r="V986" s="18"/>
      <c r="W986" s="374"/>
      <c r="X986" s="372"/>
      <c r="Y986" s="186"/>
      <c r="Z986" s="18"/>
      <c r="AA986" s="374"/>
      <c r="AB986" s="372"/>
      <c r="AC986" s="186"/>
      <c r="AD986" s="18"/>
      <c r="AE986" s="374"/>
      <c r="AF986" s="372"/>
      <c r="AG986" s="188"/>
      <c r="AH986" s="188"/>
      <c r="AI986" s="188"/>
      <c r="AJ986" s="188"/>
      <c r="AK986" s="365"/>
      <c r="AL986" s="365"/>
      <c r="AM986" s="365"/>
      <c r="AN986" s="365"/>
      <c r="AO986" s="365"/>
      <c r="AP986" s="365"/>
    </row>
    <row r="987">
      <c r="A987" s="302"/>
      <c r="B987" s="303"/>
      <c r="C987" s="304"/>
      <c r="D987" s="365"/>
      <c r="E987" s="302"/>
      <c r="F987" s="303"/>
      <c r="G987" s="304"/>
      <c r="H987" s="365"/>
      <c r="I987" s="302"/>
      <c r="J987" s="303"/>
      <c r="K987" s="304"/>
      <c r="L987" s="365"/>
      <c r="M987" s="302"/>
      <c r="N987" s="303"/>
      <c r="O987" s="304"/>
      <c r="P987" s="365"/>
      <c r="Q987" s="186"/>
      <c r="R987" s="18"/>
      <c r="S987" s="374"/>
      <c r="T987" s="372"/>
      <c r="U987" s="186"/>
      <c r="V987" s="18"/>
      <c r="W987" s="374"/>
      <c r="X987" s="372"/>
      <c r="Y987" s="186"/>
      <c r="Z987" s="18"/>
      <c r="AA987" s="374"/>
      <c r="AB987" s="372"/>
      <c r="AC987" s="186"/>
      <c r="AD987" s="18"/>
      <c r="AE987" s="374"/>
      <c r="AF987" s="372"/>
      <c r="AG987" s="188"/>
      <c r="AH987" s="188"/>
      <c r="AI987" s="188"/>
      <c r="AJ987" s="188"/>
      <c r="AK987" s="365"/>
      <c r="AL987" s="365"/>
      <c r="AM987" s="365"/>
      <c r="AN987" s="365"/>
      <c r="AO987" s="365"/>
      <c r="AP987" s="365"/>
    </row>
    <row r="988">
      <c r="A988" s="302"/>
      <c r="B988" s="303"/>
      <c r="C988" s="304"/>
      <c r="D988" s="365"/>
      <c r="E988" s="302"/>
      <c r="F988" s="303"/>
      <c r="G988" s="304"/>
      <c r="H988" s="365"/>
      <c r="I988" s="302"/>
      <c r="J988" s="303"/>
      <c r="K988" s="304"/>
      <c r="L988" s="365"/>
      <c r="M988" s="302"/>
      <c r="N988" s="303"/>
      <c r="O988" s="304"/>
      <c r="P988" s="365"/>
      <c r="Q988" s="186"/>
      <c r="R988" s="18"/>
      <c r="S988" s="374"/>
      <c r="T988" s="372"/>
      <c r="U988" s="186"/>
      <c r="V988" s="18"/>
      <c r="W988" s="374"/>
      <c r="X988" s="372"/>
      <c r="Y988" s="186"/>
      <c r="Z988" s="18"/>
      <c r="AA988" s="374"/>
      <c r="AB988" s="372"/>
      <c r="AC988" s="186"/>
      <c r="AD988" s="18"/>
      <c r="AE988" s="374"/>
      <c r="AF988" s="372"/>
      <c r="AG988" s="188"/>
      <c r="AH988" s="188"/>
      <c r="AI988" s="188"/>
      <c r="AJ988" s="188"/>
      <c r="AK988" s="365"/>
      <c r="AL988" s="365"/>
      <c r="AM988" s="365"/>
      <c r="AN988" s="365"/>
      <c r="AO988" s="365"/>
      <c r="AP988" s="365"/>
    </row>
    <row r="989">
      <c r="A989" s="302"/>
      <c r="B989" s="303"/>
      <c r="C989" s="304"/>
      <c r="D989" s="365"/>
      <c r="E989" s="302"/>
      <c r="F989" s="303"/>
      <c r="G989" s="304"/>
      <c r="H989" s="365"/>
      <c r="I989" s="302"/>
      <c r="J989" s="303"/>
      <c r="K989" s="304"/>
      <c r="L989" s="365"/>
      <c r="M989" s="302"/>
      <c r="N989" s="303"/>
      <c r="O989" s="304"/>
      <c r="P989" s="365"/>
      <c r="Q989" s="186"/>
      <c r="R989" s="18"/>
      <c r="S989" s="374"/>
      <c r="T989" s="372"/>
      <c r="U989" s="186"/>
      <c r="V989" s="18"/>
      <c r="W989" s="374"/>
      <c r="X989" s="372"/>
      <c r="Y989" s="186"/>
      <c r="Z989" s="18"/>
      <c r="AA989" s="374"/>
      <c r="AB989" s="372"/>
      <c r="AC989" s="186"/>
      <c r="AD989" s="18"/>
      <c r="AE989" s="374"/>
      <c r="AF989" s="372"/>
      <c r="AG989" s="188"/>
      <c r="AH989" s="188"/>
      <c r="AI989" s="188"/>
      <c r="AJ989" s="188"/>
      <c r="AK989" s="365"/>
      <c r="AL989" s="365"/>
      <c r="AM989" s="365"/>
      <c r="AN989" s="365"/>
      <c r="AO989" s="365"/>
      <c r="AP989" s="365"/>
    </row>
    <row r="990">
      <c r="A990" s="302"/>
      <c r="B990" s="303"/>
      <c r="C990" s="304"/>
      <c r="D990" s="365"/>
      <c r="E990" s="302"/>
      <c r="F990" s="303"/>
      <c r="G990" s="304"/>
      <c r="H990" s="365"/>
      <c r="I990" s="302"/>
      <c r="J990" s="303"/>
      <c r="K990" s="304"/>
      <c r="L990" s="365"/>
      <c r="M990" s="302"/>
      <c r="N990" s="303"/>
      <c r="O990" s="304"/>
      <c r="P990" s="365"/>
      <c r="Q990" s="186"/>
      <c r="R990" s="18"/>
      <c r="S990" s="374"/>
      <c r="T990" s="372"/>
      <c r="U990" s="186"/>
      <c r="V990" s="18"/>
      <c r="W990" s="374"/>
      <c r="X990" s="372"/>
      <c r="Y990" s="186"/>
      <c r="Z990" s="18"/>
      <c r="AA990" s="374"/>
      <c r="AB990" s="372"/>
      <c r="AC990" s="186"/>
      <c r="AD990" s="18"/>
      <c r="AE990" s="374"/>
      <c r="AF990" s="372"/>
      <c r="AG990" s="188"/>
      <c r="AH990" s="188"/>
      <c r="AI990" s="188"/>
      <c r="AJ990" s="188"/>
      <c r="AK990" s="365"/>
      <c r="AL990" s="365"/>
      <c r="AM990" s="365"/>
      <c r="AN990" s="365"/>
      <c r="AO990" s="365"/>
      <c r="AP990" s="365"/>
    </row>
    <row r="991">
      <c r="A991" s="302"/>
      <c r="B991" s="303"/>
      <c r="C991" s="304"/>
      <c r="D991" s="365"/>
      <c r="E991" s="302"/>
      <c r="F991" s="303"/>
      <c r="G991" s="304"/>
      <c r="H991" s="365"/>
      <c r="I991" s="302"/>
      <c r="J991" s="303"/>
      <c r="K991" s="304"/>
      <c r="L991" s="365"/>
      <c r="M991" s="302"/>
      <c r="N991" s="303"/>
      <c r="O991" s="304"/>
      <c r="P991" s="365"/>
      <c r="Q991" s="186"/>
      <c r="R991" s="18"/>
      <c r="S991" s="374"/>
      <c r="T991" s="372"/>
      <c r="U991" s="186"/>
      <c r="V991" s="18"/>
      <c r="W991" s="374"/>
      <c r="X991" s="372"/>
      <c r="Y991" s="186"/>
      <c r="Z991" s="18"/>
      <c r="AA991" s="374"/>
      <c r="AB991" s="372"/>
      <c r="AC991" s="186"/>
      <c r="AD991" s="18"/>
      <c r="AE991" s="374"/>
      <c r="AF991" s="372"/>
      <c r="AG991" s="188"/>
      <c r="AH991" s="188"/>
      <c r="AI991" s="188"/>
      <c r="AJ991" s="188"/>
      <c r="AK991" s="365"/>
      <c r="AL991" s="365"/>
      <c r="AM991" s="365"/>
      <c r="AN991" s="365"/>
      <c r="AO991" s="365"/>
      <c r="AP991" s="365"/>
    </row>
    <row r="992">
      <c r="A992" s="302"/>
      <c r="B992" s="303"/>
      <c r="C992" s="304"/>
      <c r="D992" s="365"/>
      <c r="E992" s="302"/>
      <c r="F992" s="303"/>
      <c r="G992" s="304"/>
      <c r="H992" s="365"/>
      <c r="I992" s="302"/>
      <c r="J992" s="303"/>
      <c r="K992" s="304"/>
      <c r="L992" s="365"/>
      <c r="M992" s="302"/>
      <c r="N992" s="303"/>
      <c r="O992" s="304"/>
      <c r="P992" s="365"/>
      <c r="Q992" s="186"/>
      <c r="R992" s="18"/>
      <c r="S992" s="374"/>
      <c r="T992" s="372"/>
      <c r="U992" s="186"/>
      <c r="V992" s="18"/>
      <c r="W992" s="374"/>
      <c r="X992" s="372"/>
      <c r="Y992" s="186"/>
      <c r="Z992" s="18"/>
      <c r="AA992" s="374"/>
      <c r="AB992" s="372"/>
      <c r="AC992" s="186"/>
      <c r="AD992" s="18"/>
      <c r="AE992" s="374"/>
      <c r="AF992" s="372"/>
      <c r="AG992" s="188"/>
      <c r="AH992" s="188"/>
      <c r="AI992" s="188"/>
      <c r="AJ992" s="188"/>
      <c r="AK992" s="365"/>
      <c r="AL992" s="365"/>
      <c r="AM992" s="365"/>
      <c r="AN992" s="365"/>
      <c r="AO992" s="365"/>
      <c r="AP992" s="365"/>
    </row>
    <row r="993">
      <c r="A993" s="302"/>
      <c r="B993" s="303"/>
      <c r="C993" s="304"/>
      <c r="D993" s="365"/>
      <c r="E993" s="302"/>
      <c r="F993" s="303"/>
      <c r="G993" s="304"/>
      <c r="H993" s="365"/>
      <c r="I993" s="302"/>
      <c r="J993" s="303"/>
      <c r="K993" s="304"/>
      <c r="L993" s="365"/>
      <c r="M993" s="302"/>
      <c r="N993" s="303"/>
      <c r="O993" s="304"/>
      <c r="P993" s="365"/>
      <c r="Q993" s="186"/>
      <c r="R993" s="18"/>
      <c r="S993" s="374"/>
      <c r="T993" s="372"/>
      <c r="U993" s="186"/>
      <c r="V993" s="18"/>
      <c r="W993" s="374"/>
      <c r="X993" s="372"/>
      <c r="Y993" s="186"/>
      <c r="Z993" s="18"/>
      <c r="AA993" s="374"/>
      <c r="AB993" s="372"/>
      <c r="AC993" s="186"/>
      <c r="AD993" s="18"/>
      <c r="AE993" s="374"/>
      <c r="AF993" s="372"/>
      <c r="AG993" s="188"/>
      <c r="AH993" s="188"/>
      <c r="AI993" s="188"/>
      <c r="AJ993" s="188"/>
      <c r="AK993" s="365"/>
      <c r="AL993" s="365"/>
      <c r="AM993" s="365"/>
      <c r="AN993" s="365"/>
      <c r="AO993" s="365"/>
      <c r="AP993" s="365"/>
    </row>
    <row r="994">
      <c r="A994" s="302"/>
      <c r="B994" s="303"/>
      <c r="C994" s="304"/>
      <c r="D994" s="365"/>
      <c r="E994" s="302"/>
      <c r="F994" s="303"/>
      <c r="G994" s="304"/>
      <c r="H994" s="365"/>
      <c r="I994" s="302"/>
      <c r="J994" s="303"/>
      <c r="K994" s="304"/>
      <c r="L994" s="365"/>
      <c r="M994" s="302"/>
      <c r="N994" s="303"/>
      <c r="O994" s="304"/>
      <c r="P994" s="365"/>
      <c r="Q994" s="186"/>
      <c r="R994" s="18"/>
      <c r="S994" s="374"/>
      <c r="T994" s="372"/>
      <c r="U994" s="186"/>
      <c r="V994" s="18"/>
      <c r="W994" s="374"/>
      <c r="X994" s="372"/>
      <c r="Y994" s="186"/>
      <c r="Z994" s="18"/>
      <c r="AA994" s="374"/>
      <c r="AB994" s="372"/>
      <c r="AC994" s="186"/>
      <c r="AD994" s="18"/>
      <c r="AE994" s="374"/>
      <c r="AF994" s="372"/>
      <c r="AG994" s="188"/>
      <c r="AH994" s="188"/>
      <c r="AI994" s="188"/>
      <c r="AJ994" s="188"/>
      <c r="AK994" s="365"/>
      <c r="AL994" s="365"/>
      <c r="AM994" s="365"/>
      <c r="AN994" s="365"/>
      <c r="AO994" s="365"/>
      <c r="AP994" s="365"/>
    </row>
    <row r="995">
      <c r="A995" s="302"/>
      <c r="B995" s="303"/>
      <c r="C995" s="304"/>
      <c r="D995" s="365"/>
      <c r="E995" s="302"/>
      <c r="F995" s="303"/>
      <c r="G995" s="304"/>
      <c r="H995" s="365"/>
      <c r="I995" s="302"/>
      <c r="J995" s="303"/>
      <c r="K995" s="304"/>
      <c r="L995" s="365"/>
      <c r="M995" s="302"/>
      <c r="N995" s="303"/>
      <c r="O995" s="304"/>
      <c r="P995" s="365"/>
      <c r="Q995" s="186"/>
      <c r="R995" s="18"/>
      <c r="S995" s="374"/>
      <c r="T995" s="372"/>
      <c r="U995" s="186"/>
      <c r="V995" s="18"/>
      <c r="W995" s="374"/>
      <c r="X995" s="372"/>
      <c r="Y995" s="186"/>
      <c r="Z995" s="18"/>
      <c r="AA995" s="374"/>
      <c r="AB995" s="372"/>
      <c r="AC995" s="186"/>
      <c r="AD995" s="18"/>
      <c r="AE995" s="374"/>
      <c r="AF995" s="372"/>
      <c r="AG995" s="188"/>
      <c r="AH995" s="188"/>
      <c r="AI995" s="188"/>
      <c r="AJ995" s="188"/>
      <c r="AK995" s="365"/>
      <c r="AL995" s="365"/>
      <c r="AM995" s="365"/>
      <c r="AN995" s="365"/>
      <c r="AO995" s="365"/>
      <c r="AP995" s="365"/>
    </row>
    <row r="996">
      <c r="A996" s="302"/>
      <c r="B996" s="303"/>
      <c r="C996" s="304"/>
      <c r="D996" s="365"/>
      <c r="E996" s="302"/>
      <c r="F996" s="303"/>
      <c r="G996" s="304"/>
      <c r="H996" s="365"/>
      <c r="I996" s="302"/>
      <c r="J996" s="303"/>
      <c r="K996" s="304"/>
      <c r="L996" s="365"/>
      <c r="M996" s="302"/>
      <c r="N996" s="303"/>
      <c r="O996" s="304"/>
      <c r="P996" s="365"/>
      <c r="Q996" s="186"/>
      <c r="R996" s="18"/>
      <c r="S996" s="374"/>
      <c r="T996" s="372"/>
      <c r="U996" s="186"/>
      <c r="V996" s="18"/>
      <c r="W996" s="374"/>
      <c r="X996" s="372"/>
      <c r="Y996" s="186"/>
      <c r="Z996" s="18"/>
      <c r="AA996" s="374"/>
      <c r="AB996" s="372"/>
      <c r="AC996" s="186"/>
      <c r="AD996" s="18"/>
      <c r="AE996" s="374"/>
      <c r="AF996" s="372"/>
      <c r="AG996" s="188"/>
      <c r="AH996" s="188"/>
      <c r="AI996" s="188"/>
      <c r="AJ996" s="188"/>
      <c r="AK996" s="365"/>
      <c r="AL996" s="365"/>
      <c r="AM996" s="365"/>
      <c r="AN996" s="365"/>
      <c r="AO996" s="365"/>
      <c r="AP996" s="365"/>
    </row>
    <row r="997">
      <c r="A997" s="302"/>
      <c r="B997" s="303"/>
      <c r="C997" s="304"/>
      <c r="D997" s="365"/>
      <c r="E997" s="302"/>
      <c r="F997" s="303"/>
      <c r="G997" s="304"/>
      <c r="H997" s="365"/>
      <c r="I997" s="302"/>
      <c r="J997" s="303"/>
      <c r="K997" s="304"/>
      <c r="L997" s="365"/>
      <c r="M997" s="302"/>
      <c r="N997" s="303"/>
      <c r="O997" s="304"/>
      <c r="P997" s="365"/>
      <c r="Q997" s="186"/>
      <c r="R997" s="18"/>
      <c r="S997" s="374"/>
      <c r="T997" s="372"/>
      <c r="U997" s="186"/>
      <c r="V997" s="18"/>
      <c r="W997" s="374"/>
      <c r="X997" s="372"/>
      <c r="Y997" s="186"/>
      <c r="Z997" s="18"/>
      <c r="AA997" s="374"/>
      <c r="AB997" s="372"/>
      <c r="AC997" s="186"/>
      <c r="AD997" s="18"/>
      <c r="AE997" s="374"/>
      <c r="AF997" s="372"/>
      <c r="AG997" s="188"/>
      <c r="AH997" s="188"/>
      <c r="AI997" s="188"/>
      <c r="AJ997" s="188"/>
      <c r="AK997" s="365"/>
      <c r="AL997" s="365"/>
      <c r="AM997" s="365"/>
      <c r="AN997" s="365"/>
      <c r="AO997" s="365"/>
      <c r="AP997" s="365"/>
    </row>
    <row r="998">
      <c r="A998" s="302"/>
      <c r="B998" s="303"/>
      <c r="C998" s="304"/>
      <c r="D998" s="365"/>
      <c r="E998" s="302"/>
      <c r="F998" s="303"/>
      <c r="G998" s="304"/>
      <c r="H998" s="365"/>
      <c r="I998" s="302"/>
      <c r="J998" s="303"/>
      <c r="K998" s="304"/>
      <c r="L998" s="365"/>
      <c r="M998" s="302"/>
      <c r="N998" s="303"/>
      <c r="O998" s="304"/>
      <c r="P998" s="365"/>
      <c r="Q998" s="186"/>
      <c r="R998" s="18"/>
      <c r="S998" s="374"/>
      <c r="T998" s="372"/>
      <c r="U998" s="186"/>
      <c r="V998" s="18"/>
      <c r="W998" s="374"/>
      <c r="X998" s="372"/>
      <c r="Y998" s="186"/>
      <c r="Z998" s="18"/>
      <c r="AA998" s="374"/>
      <c r="AB998" s="372"/>
      <c r="AC998" s="186"/>
      <c r="AD998" s="18"/>
      <c r="AE998" s="374"/>
      <c r="AF998" s="372"/>
      <c r="AG998" s="188"/>
      <c r="AH998" s="188"/>
      <c r="AI998" s="188"/>
      <c r="AJ998" s="188"/>
      <c r="AK998" s="365"/>
      <c r="AL998" s="365"/>
      <c r="AM998" s="365"/>
      <c r="AN998" s="365"/>
      <c r="AO998" s="365"/>
      <c r="AP998" s="365"/>
    </row>
    <row r="999">
      <c r="A999" s="302"/>
      <c r="B999" s="303"/>
      <c r="C999" s="304"/>
      <c r="D999" s="365"/>
      <c r="E999" s="302"/>
      <c r="F999" s="303"/>
      <c r="G999" s="304"/>
      <c r="H999" s="365"/>
      <c r="I999" s="302"/>
      <c r="J999" s="303"/>
      <c r="K999" s="304"/>
      <c r="L999" s="365"/>
      <c r="M999" s="302"/>
      <c r="N999" s="303"/>
      <c r="O999" s="304"/>
      <c r="P999" s="365"/>
      <c r="Q999" s="186"/>
      <c r="R999" s="18"/>
      <c r="S999" s="374"/>
      <c r="T999" s="372"/>
      <c r="U999" s="186"/>
      <c r="V999" s="18"/>
      <c r="W999" s="374"/>
      <c r="X999" s="372"/>
      <c r="Y999" s="186"/>
      <c r="Z999" s="18"/>
      <c r="AA999" s="374"/>
      <c r="AB999" s="372"/>
      <c r="AC999" s="186"/>
      <c r="AD999" s="18"/>
      <c r="AE999" s="374"/>
      <c r="AF999" s="372"/>
      <c r="AG999" s="188"/>
      <c r="AH999" s="188"/>
      <c r="AI999" s="188"/>
      <c r="AJ999" s="188"/>
      <c r="AK999" s="365"/>
      <c r="AL999" s="365"/>
      <c r="AM999" s="365"/>
      <c r="AN999" s="365"/>
      <c r="AO999" s="365"/>
      <c r="AP999" s="365"/>
    </row>
    <row r="1000">
      <c r="A1000" s="302"/>
      <c r="B1000" s="303"/>
      <c r="C1000" s="304"/>
      <c r="D1000" s="365"/>
      <c r="E1000" s="302"/>
      <c r="F1000" s="303"/>
      <c r="G1000" s="304"/>
      <c r="H1000" s="365"/>
      <c r="I1000" s="302"/>
      <c r="J1000" s="303"/>
      <c r="K1000" s="304"/>
      <c r="L1000" s="365"/>
      <c r="M1000" s="302"/>
      <c r="N1000" s="303"/>
      <c r="O1000" s="304"/>
      <c r="P1000" s="365"/>
      <c r="Q1000" s="186"/>
      <c r="R1000" s="18"/>
      <c r="S1000" s="374"/>
      <c r="T1000" s="372"/>
      <c r="U1000" s="186"/>
      <c r="V1000" s="18"/>
      <c r="W1000" s="374"/>
      <c r="X1000" s="372"/>
      <c r="Y1000" s="186"/>
      <c r="Z1000" s="18"/>
      <c r="AA1000" s="374"/>
      <c r="AB1000" s="372"/>
      <c r="AC1000" s="186"/>
      <c r="AD1000" s="18"/>
      <c r="AE1000" s="374"/>
      <c r="AF1000" s="372"/>
      <c r="AG1000" s="188"/>
      <c r="AH1000" s="188"/>
      <c r="AI1000" s="188"/>
      <c r="AJ1000" s="188"/>
      <c r="AK1000" s="365"/>
      <c r="AL1000" s="365"/>
      <c r="AM1000" s="365"/>
      <c r="AN1000" s="365"/>
      <c r="AO1000" s="365"/>
      <c r="AP1000" s="365"/>
    </row>
    <row r="1001">
      <c r="A1001" s="302"/>
      <c r="B1001" s="303"/>
      <c r="C1001" s="304"/>
      <c r="D1001" s="365"/>
      <c r="E1001" s="302"/>
      <c r="F1001" s="303"/>
      <c r="G1001" s="304"/>
      <c r="H1001" s="365"/>
      <c r="I1001" s="302"/>
      <c r="J1001" s="303"/>
      <c r="K1001" s="304"/>
      <c r="L1001" s="365"/>
      <c r="M1001" s="302"/>
      <c r="N1001" s="303"/>
      <c r="O1001" s="304"/>
      <c r="P1001" s="365"/>
      <c r="Q1001" s="186"/>
      <c r="R1001" s="18"/>
      <c r="S1001" s="374"/>
      <c r="T1001" s="372"/>
      <c r="U1001" s="186"/>
      <c r="V1001" s="18"/>
      <c r="W1001" s="374"/>
      <c r="X1001" s="372"/>
      <c r="Y1001" s="186"/>
      <c r="Z1001" s="18"/>
      <c r="AA1001" s="374"/>
      <c r="AB1001" s="372"/>
      <c r="AC1001" s="186"/>
      <c r="AD1001" s="18"/>
      <c r="AE1001" s="374"/>
      <c r="AF1001" s="372"/>
      <c r="AG1001" s="188"/>
      <c r="AH1001" s="188"/>
      <c r="AI1001" s="188"/>
      <c r="AJ1001" s="188"/>
      <c r="AK1001" s="365"/>
      <c r="AL1001" s="365"/>
      <c r="AM1001" s="365"/>
      <c r="AN1001" s="365"/>
      <c r="AO1001" s="365"/>
      <c r="AP1001" s="365"/>
    </row>
    <row r="1002">
      <c r="A1002" s="302"/>
      <c r="B1002" s="303"/>
      <c r="C1002" s="304"/>
      <c r="D1002" s="365"/>
      <c r="E1002" s="302"/>
      <c r="F1002" s="303"/>
      <c r="G1002" s="304"/>
      <c r="H1002" s="365"/>
      <c r="I1002" s="302"/>
      <c r="J1002" s="303"/>
      <c r="K1002" s="304"/>
      <c r="L1002" s="365"/>
      <c r="M1002" s="302"/>
      <c r="N1002" s="303"/>
      <c r="O1002" s="304"/>
      <c r="P1002" s="365"/>
      <c r="Q1002" s="186"/>
      <c r="R1002" s="18"/>
      <c r="S1002" s="374"/>
      <c r="T1002" s="372"/>
      <c r="U1002" s="186"/>
      <c r="V1002" s="18"/>
      <c r="W1002" s="374"/>
      <c r="X1002" s="372"/>
      <c r="Y1002" s="186"/>
      <c r="Z1002" s="18"/>
      <c r="AA1002" s="374"/>
      <c r="AB1002" s="372"/>
      <c r="AC1002" s="186"/>
      <c r="AD1002" s="18"/>
      <c r="AE1002" s="374"/>
      <c r="AF1002" s="372"/>
      <c r="AG1002" s="188"/>
      <c r="AH1002" s="188"/>
      <c r="AI1002" s="188"/>
      <c r="AJ1002" s="188"/>
      <c r="AK1002" s="365"/>
      <c r="AL1002" s="365"/>
      <c r="AM1002" s="365"/>
      <c r="AN1002" s="365"/>
      <c r="AO1002" s="365"/>
      <c r="AP1002" s="365"/>
    </row>
    <row r="1003">
      <c r="A1003" s="302"/>
      <c r="B1003" s="303"/>
      <c r="C1003" s="304"/>
      <c r="D1003" s="365"/>
      <c r="E1003" s="302"/>
      <c r="F1003" s="303"/>
      <c r="G1003" s="304"/>
      <c r="H1003" s="365"/>
      <c r="I1003" s="302"/>
      <c r="J1003" s="303"/>
      <c r="K1003" s="304"/>
      <c r="L1003" s="365"/>
      <c r="M1003" s="302"/>
      <c r="N1003" s="303"/>
      <c r="O1003" s="304"/>
      <c r="P1003" s="365"/>
      <c r="Q1003" s="186"/>
      <c r="R1003" s="18"/>
      <c r="S1003" s="374"/>
      <c r="T1003" s="372"/>
      <c r="U1003" s="186"/>
      <c r="V1003" s="18"/>
      <c r="W1003" s="374"/>
      <c r="X1003" s="372"/>
      <c r="Y1003" s="186"/>
      <c r="Z1003" s="18"/>
      <c r="AA1003" s="374"/>
      <c r="AB1003" s="372"/>
      <c r="AC1003" s="186"/>
      <c r="AD1003" s="18"/>
      <c r="AE1003" s="374"/>
      <c r="AF1003" s="372"/>
      <c r="AG1003" s="302"/>
      <c r="AH1003" s="303"/>
      <c r="AI1003" s="304"/>
      <c r="AJ1003" s="365"/>
      <c r="AK1003" s="365"/>
      <c r="AL1003" s="365"/>
      <c r="AM1003" s="365"/>
      <c r="AN1003" s="365"/>
      <c r="AO1003" s="365"/>
      <c r="AP1003" s="365"/>
    </row>
    <row r="1004">
      <c r="A1004" s="302"/>
      <c r="B1004" s="303"/>
      <c r="C1004" s="304"/>
      <c r="D1004" s="365"/>
      <c r="E1004" s="302"/>
      <c r="F1004" s="303"/>
      <c r="G1004" s="304"/>
      <c r="H1004" s="365"/>
      <c r="I1004" s="302"/>
      <c r="J1004" s="303"/>
      <c r="K1004" s="304"/>
      <c r="L1004" s="365"/>
      <c r="M1004" s="302"/>
      <c r="N1004" s="303"/>
      <c r="O1004" s="304"/>
      <c r="P1004" s="365"/>
      <c r="Q1004" s="186"/>
      <c r="R1004" s="18"/>
      <c r="S1004" s="374"/>
      <c r="T1004" s="372"/>
      <c r="U1004" s="186"/>
      <c r="V1004" s="18"/>
      <c r="W1004" s="374"/>
      <c r="X1004" s="372"/>
      <c r="Y1004" s="186"/>
      <c r="Z1004" s="18"/>
      <c r="AA1004" s="374"/>
      <c r="AB1004" s="372"/>
      <c r="AC1004" s="186"/>
      <c r="AD1004" s="18"/>
      <c r="AE1004" s="374"/>
      <c r="AF1004" s="372"/>
      <c r="AG1004" s="302"/>
      <c r="AH1004" s="303"/>
      <c r="AI1004" s="304"/>
      <c r="AJ1004" s="365"/>
      <c r="AK1004" s="365"/>
      <c r="AL1004" s="365"/>
      <c r="AM1004" s="365"/>
      <c r="AN1004" s="365"/>
      <c r="AO1004" s="365"/>
      <c r="AP1004" s="365"/>
    </row>
    <row r="1005">
      <c r="A1005" s="302"/>
      <c r="B1005" s="303"/>
      <c r="C1005" s="304"/>
      <c r="D1005" s="365"/>
      <c r="E1005" s="302"/>
      <c r="F1005" s="303"/>
      <c r="G1005" s="304"/>
      <c r="H1005" s="365"/>
      <c r="I1005" s="302"/>
      <c r="J1005" s="303"/>
      <c r="K1005" s="304"/>
      <c r="L1005" s="365"/>
      <c r="M1005" s="302"/>
      <c r="N1005" s="303"/>
      <c r="O1005" s="304"/>
      <c r="P1005" s="365"/>
      <c r="Q1005" s="186"/>
      <c r="R1005" s="18"/>
      <c r="S1005" s="374"/>
      <c r="T1005" s="372"/>
      <c r="U1005" s="186"/>
      <c r="V1005" s="18"/>
      <c r="W1005" s="374"/>
      <c r="X1005" s="372"/>
      <c r="Y1005" s="186"/>
      <c r="Z1005" s="18"/>
      <c r="AA1005" s="374"/>
      <c r="AB1005" s="372"/>
      <c r="AC1005" s="186"/>
      <c r="AD1005" s="18"/>
      <c r="AE1005" s="374"/>
      <c r="AF1005" s="372"/>
      <c r="AG1005" s="302"/>
      <c r="AH1005" s="303"/>
      <c r="AI1005" s="304"/>
      <c r="AJ1005" s="365"/>
      <c r="AK1005" s="365"/>
      <c r="AL1005" s="365"/>
      <c r="AM1005" s="365"/>
      <c r="AN1005" s="365"/>
      <c r="AO1005" s="365"/>
      <c r="AP1005" s="365"/>
    </row>
    <row r="1006">
      <c r="A1006" s="302"/>
      <c r="B1006" s="303"/>
      <c r="C1006" s="304"/>
      <c r="D1006" s="365"/>
      <c r="E1006" s="302"/>
      <c r="F1006" s="303"/>
      <c r="G1006" s="304"/>
      <c r="H1006" s="365"/>
      <c r="I1006" s="302"/>
      <c r="J1006" s="303"/>
      <c r="K1006" s="304"/>
      <c r="L1006" s="365"/>
      <c r="M1006" s="302"/>
      <c r="N1006" s="303"/>
      <c r="O1006" s="304"/>
      <c r="P1006" s="365"/>
      <c r="Q1006" s="186"/>
      <c r="R1006" s="18"/>
      <c r="S1006" s="374"/>
      <c r="T1006" s="372"/>
      <c r="U1006" s="186"/>
      <c r="V1006" s="18"/>
      <c r="W1006" s="374"/>
      <c r="X1006" s="372"/>
      <c r="Y1006" s="186"/>
      <c r="Z1006" s="18"/>
      <c r="AA1006" s="374"/>
      <c r="AB1006" s="372"/>
      <c r="AC1006" s="186"/>
      <c r="AD1006" s="18"/>
      <c r="AE1006" s="374"/>
      <c r="AF1006" s="372"/>
      <c r="AG1006" s="302"/>
      <c r="AH1006" s="303"/>
      <c r="AI1006" s="304"/>
      <c r="AJ1006" s="365"/>
      <c r="AK1006" s="365"/>
      <c r="AL1006" s="365"/>
      <c r="AM1006" s="365"/>
      <c r="AN1006" s="365"/>
      <c r="AO1006" s="365"/>
      <c r="AP1006" s="365"/>
    </row>
    <row r="1007">
      <c r="A1007" s="302"/>
      <c r="B1007" s="303"/>
      <c r="C1007" s="304"/>
      <c r="D1007" s="365"/>
      <c r="E1007" s="302"/>
      <c r="F1007" s="303"/>
      <c r="G1007" s="304"/>
      <c r="H1007" s="365"/>
      <c r="I1007" s="302"/>
      <c r="J1007" s="303"/>
      <c r="K1007" s="304"/>
      <c r="L1007" s="365"/>
      <c r="M1007" s="302"/>
      <c r="N1007" s="303"/>
      <c r="O1007" s="304"/>
      <c r="P1007" s="365"/>
      <c r="Q1007" s="186"/>
      <c r="R1007" s="18"/>
      <c r="S1007" s="374"/>
      <c r="T1007" s="372"/>
      <c r="U1007" s="186"/>
      <c r="V1007" s="18"/>
      <c r="W1007" s="374"/>
      <c r="X1007" s="372"/>
      <c r="Y1007" s="186"/>
      <c r="Z1007" s="18"/>
      <c r="AA1007" s="374"/>
      <c r="AB1007" s="372"/>
      <c r="AC1007" s="186"/>
      <c r="AD1007" s="18"/>
      <c r="AE1007" s="374"/>
      <c r="AF1007" s="372"/>
      <c r="AG1007" s="302"/>
      <c r="AH1007" s="303"/>
      <c r="AI1007" s="304"/>
      <c r="AJ1007" s="365"/>
      <c r="AK1007" s="365"/>
      <c r="AL1007" s="365"/>
      <c r="AM1007" s="365"/>
      <c r="AN1007" s="365"/>
      <c r="AO1007" s="365"/>
      <c r="AP1007" s="365"/>
    </row>
    <row r="1008">
      <c r="A1008" s="302"/>
      <c r="B1008" s="303"/>
      <c r="C1008" s="304"/>
      <c r="D1008" s="365"/>
      <c r="E1008" s="302"/>
      <c r="F1008" s="303"/>
      <c r="G1008" s="304"/>
      <c r="H1008" s="365"/>
      <c r="I1008" s="302"/>
      <c r="J1008" s="303"/>
      <c r="K1008" s="304"/>
      <c r="L1008" s="365"/>
      <c r="M1008" s="302"/>
      <c r="N1008" s="303"/>
      <c r="O1008" s="304"/>
      <c r="P1008" s="365"/>
      <c r="Q1008" s="186"/>
      <c r="R1008" s="18"/>
      <c r="S1008" s="374"/>
      <c r="T1008" s="372"/>
      <c r="U1008" s="186"/>
      <c r="V1008" s="18"/>
      <c r="W1008" s="374"/>
      <c r="X1008" s="372"/>
      <c r="Y1008" s="186"/>
      <c r="Z1008" s="18"/>
      <c r="AA1008" s="374"/>
      <c r="AB1008" s="372"/>
      <c r="AC1008" s="186"/>
      <c r="AD1008" s="18"/>
      <c r="AE1008" s="374"/>
      <c r="AF1008" s="372"/>
      <c r="AG1008" s="302"/>
      <c r="AH1008" s="303"/>
      <c r="AI1008" s="304"/>
      <c r="AJ1008" s="365"/>
      <c r="AK1008" s="365"/>
      <c r="AL1008" s="365"/>
      <c r="AM1008" s="365"/>
      <c r="AN1008" s="365"/>
      <c r="AO1008" s="365"/>
      <c r="AP1008" s="365"/>
    </row>
    <row r="1009">
      <c r="A1009" s="302"/>
      <c r="B1009" s="303"/>
      <c r="C1009" s="304"/>
      <c r="D1009" s="365"/>
      <c r="E1009" s="302"/>
      <c r="F1009" s="303"/>
      <c r="G1009" s="304"/>
      <c r="H1009" s="365"/>
      <c r="I1009" s="302"/>
      <c r="J1009" s="303"/>
      <c r="K1009" s="304"/>
      <c r="L1009" s="365"/>
      <c r="M1009" s="302"/>
      <c r="N1009" s="303"/>
      <c r="O1009" s="304"/>
      <c r="P1009" s="365"/>
      <c r="Q1009" s="186"/>
      <c r="R1009" s="18"/>
      <c r="S1009" s="374"/>
      <c r="T1009" s="372"/>
      <c r="U1009" s="186"/>
      <c r="V1009" s="18"/>
      <c r="W1009" s="374"/>
      <c r="X1009" s="372"/>
      <c r="Y1009" s="186"/>
      <c r="Z1009" s="18"/>
      <c r="AA1009" s="374"/>
      <c r="AB1009" s="372"/>
      <c r="AC1009" s="186"/>
      <c r="AD1009" s="18"/>
      <c r="AE1009" s="374"/>
      <c r="AF1009" s="372"/>
      <c r="AG1009" s="302"/>
      <c r="AH1009" s="303"/>
      <c r="AI1009" s="304"/>
      <c r="AJ1009" s="365"/>
      <c r="AK1009" s="365"/>
      <c r="AL1009" s="365"/>
      <c r="AM1009" s="365"/>
      <c r="AN1009" s="365"/>
      <c r="AO1009" s="365"/>
      <c r="AP1009" s="365"/>
    </row>
    <row r="1010">
      <c r="A1010" s="302"/>
      <c r="B1010" s="303"/>
      <c r="C1010" s="304"/>
      <c r="D1010" s="365"/>
      <c r="E1010" s="302"/>
      <c r="F1010" s="303"/>
      <c r="G1010" s="304"/>
      <c r="H1010" s="365"/>
      <c r="I1010" s="302"/>
      <c r="J1010" s="303"/>
      <c r="K1010" s="304"/>
      <c r="L1010" s="365"/>
      <c r="M1010" s="302"/>
      <c r="N1010" s="303"/>
      <c r="O1010" s="304"/>
      <c r="P1010" s="365"/>
      <c r="Q1010" s="186"/>
      <c r="R1010" s="18"/>
      <c r="S1010" s="374"/>
      <c r="T1010" s="372"/>
      <c r="U1010" s="186"/>
      <c r="V1010" s="18"/>
      <c r="W1010" s="374"/>
      <c r="X1010" s="372"/>
      <c r="Y1010" s="186"/>
      <c r="Z1010" s="18"/>
      <c r="AA1010" s="374"/>
      <c r="AB1010" s="372"/>
      <c r="AC1010" s="186"/>
      <c r="AD1010" s="18"/>
      <c r="AE1010" s="374"/>
      <c r="AF1010" s="372"/>
      <c r="AG1010" s="302"/>
      <c r="AH1010" s="303"/>
      <c r="AI1010" s="304"/>
      <c r="AJ1010" s="365"/>
      <c r="AK1010" s="365"/>
      <c r="AL1010" s="365"/>
      <c r="AM1010" s="365"/>
      <c r="AN1010" s="365"/>
      <c r="AO1010" s="365"/>
      <c r="AP1010" s="365"/>
    </row>
    <row r="1011">
      <c r="A1011" s="302"/>
      <c r="B1011" s="303"/>
      <c r="C1011" s="304"/>
      <c r="D1011" s="365"/>
      <c r="E1011" s="302"/>
      <c r="F1011" s="303"/>
      <c r="G1011" s="304"/>
      <c r="H1011" s="365"/>
      <c r="I1011" s="302"/>
      <c r="J1011" s="303"/>
      <c r="K1011" s="304"/>
      <c r="L1011" s="365"/>
      <c r="M1011" s="302"/>
      <c r="N1011" s="303"/>
      <c r="O1011" s="304"/>
      <c r="P1011" s="365"/>
      <c r="Q1011" s="186"/>
      <c r="R1011" s="18"/>
      <c r="S1011" s="374"/>
      <c r="T1011" s="372"/>
      <c r="U1011" s="186"/>
      <c r="V1011" s="18"/>
      <c r="W1011" s="374"/>
      <c r="X1011" s="372"/>
      <c r="Y1011" s="186"/>
      <c r="Z1011" s="18"/>
      <c r="AA1011" s="374"/>
      <c r="AB1011" s="372"/>
      <c r="AC1011" s="186"/>
      <c r="AD1011" s="18"/>
      <c r="AE1011" s="374"/>
      <c r="AF1011" s="372"/>
      <c r="AG1011" s="302"/>
      <c r="AH1011" s="303"/>
      <c r="AI1011" s="304"/>
      <c r="AJ1011" s="365"/>
      <c r="AK1011" s="365"/>
      <c r="AL1011" s="365"/>
      <c r="AM1011" s="365"/>
      <c r="AN1011" s="365"/>
      <c r="AO1011" s="365"/>
      <c r="AP1011" s="365"/>
    </row>
    <row r="1012">
      <c r="A1012" s="302"/>
      <c r="B1012" s="303"/>
      <c r="C1012" s="304"/>
      <c r="D1012" s="365"/>
      <c r="E1012" s="302"/>
      <c r="F1012" s="303"/>
      <c r="G1012" s="304"/>
      <c r="H1012" s="365"/>
      <c r="I1012" s="302"/>
      <c r="J1012" s="303"/>
      <c r="K1012" s="304"/>
      <c r="L1012" s="365"/>
      <c r="M1012" s="302"/>
      <c r="N1012" s="303"/>
      <c r="O1012" s="304"/>
      <c r="P1012" s="365"/>
      <c r="Q1012" s="186"/>
      <c r="R1012" s="18"/>
      <c r="S1012" s="374"/>
      <c r="T1012" s="372"/>
      <c r="U1012" s="186"/>
      <c r="V1012" s="18"/>
      <c r="W1012" s="374"/>
      <c r="X1012" s="372"/>
      <c r="Y1012" s="186"/>
      <c r="Z1012" s="18"/>
      <c r="AA1012" s="374"/>
      <c r="AB1012" s="372"/>
      <c r="AC1012" s="186"/>
      <c r="AD1012" s="18"/>
      <c r="AE1012" s="374"/>
      <c r="AF1012" s="372"/>
      <c r="AG1012" s="302"/>
      <c r="AH1012" s="303"/>
      <c r="AI1012" s="304"/>
      <c r="AJ1012" s="365"/>
      <c r="AK1012" s="365"/>
      <c r="AL1012" s="365"/>
      <c r="AM1012" s="365"/>
      <c r="AN1012" s="365"/>
      <c r="AO1012" s="365"/>
      <c r="AP1012" s="365"/>
    </row>
    <row r="1013">
      <c r="A1013" s="302"/>
      <c r="B1013" s="303"/>
      <c r="C1013" s="304"/>
      <c r="D1013" s="365"/>
      <c r="E1013" s="302"/>
      <c r="F1013" s="303"/>
      <c r="G1013" s="304"/>
      <c r="H1013" s="365"/>
      <c r="I1013" s="302"/>
      <c r="J1013" s="303"/>
      <c r="K1013" s="304"/>
      <c r="L1013" s="365"/>
      <c r="M1013" s="302"/>
      <c r="N1013" s="303"/>
      <c r="O1013" s="304"/>
      <c r="P1013" s="365"/>
      <c r="Q1013" s="186"/>
      <c r="R1013" s="18"/>
      <c r="S1013" s="374"/>
      <c r="T1013" s="372"/>
      <c r="U1013" s="186"/>
      <c r="V1013" s="18"/>
      <c r="W1013" s="374"/>
      <c r="X1013" s="372"/>
      <c r="Y1013" s="186"/>
      <c r="Z1013" s="18"/>
      <c r="AA1013" s="374"/>
      <c r="AB1013" s="372"/>
      <c r="AC1013" s="186"/>
      <c r="AD1013" s="18"/>
      <c r="AE1013" s="374"/>
      <c r="AF1013" s="372"/>
      <c r="AG1013" s="302"/>
      <c r="AH1013" s="303"/>
      <c r="AI1013" s="304"/>
      <c r="AJ1013" s="365"/>
      <c r="AK1013" s="365"/>
      <c r="AL1013" s="365"/>
      <c r="AM1013" s="365"/>
      <c r="AN1013" s="365"/>
      <c r="AO1013" s="365"/>
      <c r="AP1013" s="365"/>
    </row>
    <row r="1014">
      <c r="A1014" s="302"/>
      <c r="B1014" s="303"/>
      <c r="C1014" s="304"/>
      <c r="D1014" s="365"/>
      <c r="E1014" s="302"/>
      <c r="F1014" s="303"/>
      <c r="G1014" s="304"/>
      <c r="H1014" s="365"/>
      <c r="I1014" s="302"/>
      <c r="J1014" s="303"/>
      <c r="K1014" s="304"/>
      <c r="L1014" s="365"/>
      <c r="M1014" s="302"/>
      <c r="N1014" s="303"/>
      <c r="O1014" s="304"/>
      <c r="P1014" s="365"/>
      <c r="Q1014" s="186"/>
      <c r="R1014" s="18"/>
      <c r="S1014" s="374"/>
      <c r="T1014" s="372"/>
      <c r="U1014" s="186"/>
      <c r="V1014" s="18"/>
      <c r="W1014" s="374"/>
      <c r="X1014" s="372"/>
      <c r="Y1014" s="186"/>
      <c r="Z1014" s="18"/>
      <c r="AA1014" s="374"/>
      <c r="AB1014" s="372"/>
      <c r="AC1014" s="186"/>
      <c r="AD1014" s="18"/>
      <c r="AE1014" s="374"/>
      <c r="AF1014" s="372"/>
      <c r="AG1014" s="302"/>
      <c r="AH1014" s="303"/>
      <c r="AI1014" s="304"/>
      <c r="AJ1014" s="365"/>
      <c r="AK1014" s="365"/>
      <c r="AL1014" s="365"/>
      <c r="AM1014" s="365"/>
      <c r="AN1014" s="365"/>
      <c r="AO1014" s="365"/>
      <c r="AP1014" s="365"/>
    </row>
    <row r="1015">
      <c r="A1015" s="302"/>
      <c r="B1015" s="303"/>
      <c r="C1015" s="304"/>
      <c r="D1015" s="365"/>
      <c r="E1015" s="302"/>
      <c r="F1015" s="303"/>
      <c r="G1015" s="304"/>
      <c r="H1015" s="365"/>
      <c r="I1015" s="302"/>
      <c r="J1015" s="303"/>
      <c r="K1015" s="304"/>
      <c r="L1015" s="365"/>
      <c r="M1015" s="302"/>
      <c r="N1015" s="303"/>
      <c r="O1015" s="304"/>
      <c r="P1015" s="365"/>
      <c r="Q1015" s="186"/>
      <c r="R1015" s="18"/>
      <c r="S1015" s="374"/>
      <c r="T1015" s="372"/>
      <c r="U1015" s="186"/>
      <c r="V1015" s="18"/>
      <c r="W1015" s="374"/>
      <c r="X1015" s="372"/>
      <c r="Y1015" s="186"/>
      <c r="Z1015" s="18"/>
      <c r="AA1015" s="374"/>
      <c r="AB1015" s="372"/>
      <c r="AC1015" s="186"/>
      <c r="AD1015" s="18"/>
      <c r="AE1015" s="374"/>
      <c r="AF1015" s="372"/>
      <c r="AG1015" s="302"/>
      <c r="AH1015" s="303"/>
      <c r="AI1015" s="304"/>
      <c r="AJ1015" s="365"/>
      <c r="AK1015" s="365"/>
      <c r="AL1015" s="365"/>
      <c r="AM1015" s="365"/>
      <c r="AN1015" s="365"/>
      <c r="AO1015" s="365"/>
      <c r="AP1015" s="365"/>
    </row>
    <row r="1016">
      <c r="A1016" s="302"/>
      <c r="B1016" s="303"/>
      <c r="C1016" s="304"/>
      <c r="D1016" s="365"/>
      <c r="E1016" s="302"/>
      <c r="F1016" s="303"/>
      <c r="G1016" s="304"/>
      <c r="H1016" s="365"/>
      <c r="I1016" s="302"/>
      <c r="J1016" s="303"/>
      <c r="K1016" s="304"/>
      <c r="L1016" s="365"/>
      <c r="M1016" s="302"/>
      <c r="N1016" s="303"/>
      <c r="O1016" s="304"/>
      <c r="P1016" s="365"/>
      <c r="Q1016" s="186"/>
      <c r="R1016" s="18"/>
      <c r="S1016" s="374"/>
      <c r="T1016" s="372"/>
      <c r="U1016" s="186"/>
      <c r="V1016" s="18"/>
      <c r="W1016" s="374"/>
      <c r="X1016" s="372"/>
      <c r="Y1016" s="186"/>
      <c r="Z1016" s="18"/>
      <c r="AA1016" s="374"/>
      <c r="AB1016" s="372"/>
      <c r="AC1016" s="186"/>
      <c r="AD1016" s="18"/>
      <c r="AE1016" s="374"/>
      <c r="AF1016" s="372"/>
      <c r="AG1016" s="302"/>
      <c r="AH1016" s="303"/>
      <c r="AI1016" s="304"/>
      <c r="AJ1016" s="365"/>
      <c r="AK1016" s="365"/>
      <c r="AL1016" s="365"/>
      <c r="AM1016" s="365"/>
      <c r="AN1016" s="365"/>
      <c r="AO1016" s="365"/>
      <c r="AP1016" s="365"/>
    </row>
    <row r="1017">
      <c r="A1017" s="302"/>
      <c r="B1017" s="303"/>
      <c r="C1017" s="304"/>
      <c r="D1017" s="365"/>
      <c r="E1017" s="302"/>
      <c r="F1017" s="303"/>
      <c r="G1017" s="304"/>
      <c r="H1017" s="365"/>
      <c r="I1017" s="302"/>
      <c r="J1017" s="303"/>
      <c r="K1017" s="304"/>
      <c r="L1017" s="365"/>
      <c r="M1017" s="302"/>
      <c r="N1017" s="303"/>
      <c r="O1017" s="304"/>
      <c r="P1017" s="365"/>
      <c r="Q1017" s="186"/>
      <c r="R1017" s="18"/>
      <c r="S1017" s="374"/>
      <c r="T1017" s="372"/>
      <c r="U1017" s="186"/>
      <c r="V1017" s="18"/>
      <c r="W1017" s="374"/>
      <c r="X1017" s="372"/>
      <c r="Y1017" s="186"/>
      <c r="Z1017" s="18"/>
      <c r="AA1017" s="374"/>
      <c r="AB1017" s="372"/>
      <c r="AC1017" s="186"/>
      <c r="AD1017" s="18"/>
      <c r="AE1017" s="374"/>
      <c r="AF1017" s="372"/>
      <c r="AG1017" s="302"/>
      <c r="AH1017" s="303"/>
      <c r="AI1017" s="304"/>
      <c r="AJ1017" s="365"/>
      <c r="AK1017" s="365"/>
      <c r="AL1017" s="365"/>
      <c r="AM1017" s="365"/>
      <c r="AN1017" s="365"/>
      <c r="AO1017" s="365"/>
      <c r="AP1017" s="365"/>
    </row>
    <row r="1018">
      <c r="A1018" s="302"/>
      <c r="B1018" s="303"/>
      <c r="C1018" s="304"/>
      <c r="D1018" s="365"/>
      <c r="E1018" s="302"/>
      <c r="F1018" s="303"/>
      <c r="G1018" s="304"/>
      <c r="H1018" s="365"/>
      <c r="I1018" s="302"/>
      <c r="J1018" s="303"/>
      <c r="K1018" s="304"/>
      <c r="L1018" s="365"/>
      <c r="M1018" s="302"/>
      <c r="N1018" s="303"/>
      <c r="O1018" s="304"/>
      <c r="P1018" s="365"/>
      <c r="Q1018" s="186"/>
      <c r="R1018" s="18"/>
      <c r="S1018" s="374"/>
      <c r="T1018" s="372"/>
      <c r="U1018" s="186"/>
      <c r="V1018" s="18"/>
      <c r="W1018" s="374"/>
      <c r="X1018" s="372"/>
      <c r="Y1018" s="186"/>
      <c r="Z1018" s="18"/>
      <c r="AA1018" s="374"/>
      <c r="AB1018" s="372"/>
      <c r="AC1018" s="186"/>
      <c r="AD1018" s="18"/>
      <c r="AE1018" s="374"/>
      <c r="AF1018" s="372"/>
      <c r="AG1018" s="302"/>
      <c r="AH1018" s="303"/>
      <c r="AI1018" s="304"/>
      <c r="AJ1018" s="365"/>
      <c r="AK1018" s="365"/>
      <c r="AL1018" s="365"/>
      <c r="AM1018" s="365"/>
      <c r="AN1018" s="365"/>
      <c r="AO1018" s="365"/>
      <c r="AP1018" s="36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79" t="s">
        <v>8238</v>
      </c>
      <c r="B1" s="38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8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82"/>
      <c r="E1" s="383"/>
      <c r="F1" s="383"/>
      <c r="G1" s="383"/>
      <c r="H1" s="383"/>
      <c r="I1" s="383"/>
      <c r="J1" s="383"/>
      <c r="K1" s="383"/>
      <c r="L1" s="383"/>
      <c r="M1" s="383"/>
      <c r="N1" s="383"/>
      <c r="O1" s="383"/>
      <c r="P1" s="383"/>
      <c r="Q1" s="383"/>
      <c r="R1" s="383"/>
      <c r="S1" s="383"/>
      <c r="T1" s="383"/>
      <c r="U1" s="383"/>
      <c r="V1" s="383"/>
      <c r="W1" s="383"/>
      <c r="X1" s="383"/>
      <c r="Y1" s="383"/>
      <c r="Z1" s="383"/>
    </row>
    <row r="2">
      <c r="A2" s="384" t="s">
        <v>8239</v>
      </c>
      <c r="B2" s="39" t="str">
        <f>IFERROR(__xludf.DUMMYFUNCTION("GOOGLETRANSLATE(A2,""zh-tw"",""ja"")"),"公式Discordグループ:
https://discord.gg/2Bt7RWknyH")</f>
        <v>公式Discordグループ:
https://discord.gg/2Bt7RWknyH</v>
      </c>
      <c r="C2" s="385" t="str">
        <f>IFERROR(__xludf.DUMMYFUNCTION("GOOGLETRANSLATE(A2,""zh-tw"",""en"")"),"Official Discord group:
https://discord.gg/2Bt7RWknyH")</f>
        <v>Official Discord group:
https://discord.gg/2Bt7RWknyH</v>
      </c>
      <c r="E2" s="383"/>
      <c r="F2" s="383"/>
      <c r="G2" s="383"/>
      <c r="H2" s="383"/>
      <c r="I2" s="383"/>
      <c r="J2" s="383"/>
      <c r="K2" s="383"/>
      <c r="L2" s="383"/>
      <c r="M2" s="383"/>
      <c r="N2" s="383"/>
      <c r="O2" s="383"/>
      <c r="P2" s="383"/>
      <c r="Q2" s="383"/>
      <c r="R2" s="383"/>
      <c r="S2" s="383"/>
      <c r="T2" s="383"/>
      <c r="U2" s="383"/>
      <c r="V2" s="383"/>
      <c r="W2" s="383"/>
      <c r="X2" s="383"/>
      <c r="Y2" s="383"/>
      <c r="Z2" s="383"/>
    </row>
    <row r="3">
      <c r="A3" s="14" t="s">
        <v>8240</v>
      </c>
      <c r="B3" s="39" t="s">
        <v>8240</v>
      </c>
      <c r="C3" s="385" t="s">
        <v>8240</v>
      </c>
      <c r="E3" s="383"/>
      <c r="F3" s="383"/>
      <c r="G3" s="383"/>
      <c r="H3" s="383"/>
      <c r="I3" s="383"/>
      <c r="J3" s="383"/>
      <c r="K3" s="383"/>
      <c r="L3" s="383"/>
      <c r="M3" s="383"/>
      <c r="N3" s="383"/>
      <c r="O3" s="383"/>
      <c r="P3" s="383"/>
      <c r="Q3" s="383"/>
      <c r="R3" s="383"/>
      <c r="S3" s="383"/>
      <c r="T3" s="383"/>
      <c r="U3" s="383"/>
      <c r="V3" s="383"/>
      <c r="W3" s="383"/>
      <c r="X3" s="383"/>
      <c r="Y3" s="383"/>
      <c r="Z3" s="383"/>
    </row>
    <row r="4">
      <c r="A4" s="386"/>
      <c r="E4" s="383"/>
      <c r="F4" s="383"/>
      <c r="G4" s="383"/>
      <c r="H4" s="383"/>
      <c r="I4" s="383"/>
      <c r="J4" s="383"/>
      <c r="K4" s="383"/>
      <c r="L4" s="383"/>
      <c r="M4" s="383"/>
      <c r="N4" s="383"/>
      <c r="O4" s="383"/>
      <c r="P4" s="383"/>
      <c r="Q4" s="383"/>
      <c r="R4" s="383"/>
      <c r="S4" s="383"/>
      <c r="T4" s="383"/>
      <c r="U4" s="383"/>
      <c r="V4" s="383"/>
      <c r="W4" s="383"/>
      <c r="X4" s="383"/>
      <c r="Y4" s="383"/>
      <c r="Z4" s="383"/>
    </row>
    <row r="5">
      <c r="A5" s="384" t="s">
        <v>8241</v>
      </c>
      <c r="B5" s="39" t="str">
        <f>IFERROR(__xludf.DUMMYFUNCTION("GOOGLETRANSLATE(A5,""zh-tw"",""ja"")"),"公式YouTubeチャンネル")</f>
        <v>公式YouTubeチャンネル</v>
      </c>
      <c r="C5" s="385" t="str">
        <f>IFERROR(__xludf.DUMMYFUNCTION("GOOGLETRANSLATE(A5,""zh-tw"",""en"")"),"Official YouTube channel")</f>
        <v>Official YouTube channel</v>
      </c>
      <c r="D5" s="138" t="s">
        <v>8242</v>
      </c>
      <c r="E5" s="383"/>
      <c r="F5" s="383"/>
      <c r="G5" s="383"/>
      <c r="H5" s="383"/>
      <c r="I5" s="383"/>
      <c r="J5" s="383"/>
      <c r="K5" s="383"/>
      <c r="L5" s="383"/>
      <c r="M5" s="383"/>
      <c r="N5" s="383"/>
      <c r="O5" s="383"/>
      <c r="P5" s="383"/>
      <c r="Q5" s="383"/>
      <c r="R5" s="383"/>
      <c r="S5" s="383"/>
      <c r="T5" s="383"/>
      <c r="U5" s="383"/>
      <c r="V5" s="383"/>
      <c r="W5" s="383"/>
      <c r="X5" s="383"/>
      <c r="Y5" s="383"/>
      <c r="Z5" s="383"/>
    </row>
    <row r="6">
      <c r="A6" s="384" t="s">
        <v>8243</v>
      </c>
      <c r="B6" s="39" t="str">
        <f>IFERROR(__xludf.DUMMYFUNCTION("GOOGLETRANSLATE(A6,""zh-tw"",""ja"")"),"公式法案")</f>
        <v>公式法案</v>
      </c>
      <c r="C6" s="385" t="str">
        <f>IFERROR(__xludf.DUMMYFUNCTION("GOOGLETRANSLATE(A6,""zh-tw"",""en"")"),"Official bill")</f>
        <v>Official bill</v>
      </c>
      <c r="D6" s="138" t="s">
        <v>8242</v>
      </c>
      <c r="E6" s="383"/>
      <c r="F6" s="383"/>
      <c r="G6" s="383"/>
      <c r="H6" s="383"/>
      <c r="I6" s="383"/>
      <c r="J6" s="383"/>
      <c r="K6" s="383"/>
      <c r="L6" s="383"/>
      <c r="M6" s="383"/>
      <c r="N6" s="383"/>
      <c r="O6" s="383"/>
      <c r="P6" s="383"/>
      <c r="Q6" s="383"/>
      <c r="R6" s="383"/>
      <c r="S6" s="383"/>
      <c r="T6" s="383"/>
      <c r="U6" s="383"/>
      <c r="V6" s="383"/>
      <c r="W6" s="383"/>
      <c r="X6" s="383"/>
      <c r="Y6" s="383"/>
      <c r="Z6" s="383"/>
    </row>
    <row r="7">
      <c r="A7" s="384" t="s">
        <v>8244</v>
      </c>
      <c r="B7" s="39" t="str">
        <f>IFERROR(__xludf.DUMMYFUNCTION("GOOGLETRANSLATE(A7,""zh-tw"",""ja"")"),"片桐亜希のYouTubeチャンネル
（妹の声優）")</f>
        <v>片桐亜希のYouTubeチャンネル
（妹の声優）</v>
      </c>
      <c r="C7" s="385" t="str">
        <f>IFERROR(__xludf.DUMMYFUNCTION("GOOGLETRANSLATE(A7,""zh-tw"",""en"")"),"Aki Katagiri's YouTube channel
(Voice actress for her younger sister)")</f>
        <v>Aki Katagiri's YouTube channel
(Voice actress for her younger sister)</v>
      </c>
      <c r="D7" s="138" t="s">
        <v>8245</v>
      </c>
      <c r="E7" s="383"/>
      <c r="F7" s="383"/>
      <c r="G7" s="383"/>
      <c r="H7" s="383"/>
      <c r="I7" s="383"/>
      <c r="J7" s="383"/>
      <c r="K7" s="383"/>
      <c r="L7" s="383"/>
      <c r="M7" s="383"/>
      <c r="N7" s="383"/>
      <c r="O7" s="383"/>
      <c r="P7" s="383"/>
      <c r="Q7" s="383"/>
      <c r="R7" s="383"/>
      <c r="S7" s="383"/>
      <c r="T7" s="383"/>
      <c r="U7" s="383"/>
      <c r="V7" s="383"/>
      <c r="W7" s="383"/>
      <c r="X7" s="383"/>
      <c r="Y7" s="383"/>
      <c r="Z7" s="383"/>
    </row>
    <row r="8">
      <c r="A8" s="384" t="s">
        <v>8246</v>
      </c>
      <c r="B8" s="39" t="str">
        <f>IFERROR(__xludf.DUMMYFUNCTION("GOOGLETRANSLATE(A8,""zh-tw"",""ja"")"),"片桐亜樹（ビルビルチャンネル）
（妹役の声優）")</f>
        <v>片桐亜樹（ビルビルチャンネル）
（妹役の声優）</v>
      </c>
      <c r="C8" s="385" t="str">
        <f>IFERROR(__xludf.DUMMYFUNCTION("GOOGLETRANSLATE(A8,""zh-tw"",""en"")"),"Aki Katagiri (bilbill channel)
(Voice actress for the younger sister)")</f>
        <v>Aki Katagiri (bilbill channel)
(Voice actress for the younger sister)</v>
      </c>
      <c r="D8" s="138" t="s">
        <v>8245</v>
      </c>
      <c r="E8" s="383"/>
      <c r="F8" s="383"/>
      <c r="G8" s="383"/>
      <c r="H8" s="383"/>
      <c r="I8" s="383"/>
      <c r="J8" s="383"/>
      <c r="K8" s="383"/>
      <c r="L8" s="383"/>
      <c r="M8" s="383"/>
      <c r="N8" s="383"/>
      <c r="O8" s="383"/>
      <c r="P8" s="383"/>
      <c r="Q8" s="383"/>
      <c r="R8" s="383"/>
      <c r="S8" s="383"/>
      <c r="T8" s="383"/>
      <c r="U8" s="383"/>
      <c r="V8" s="383"/>
      <c r="W8" s="383"/>
      <c r="X8" s="383"/>
      <c r="Y8" s="383"/>
      <c r="Z8" s="383"/>
    </row>
    <row r="9">
      <c r="A9" s="384" t="s">
        <v>8247</v>
      </c>
      <c r="B9" s="39" t="str">
        <f>IFERROR(__xludf.DUMMYFUNCTION("GOOGLETRANSLATE(A9,""zh-tw"",""ja"")"),"ROROのYouTubeチャンネル（攻略ガイド作成チャンネル、現在準備中、登録大歓迎）")</f>
        <v>ROROのYouTubeチャンネル（攻略ガイド作成チャンネル、現在準備中、登録大歓迎）</v>
      </c>
      <c r="C9" s="385" t="str">
        <f>IFERROR(__xludf.DUMMYFUNCTION("GOOGLETRANSLATE(A9,""zh-tw"",""en"")"),"RORO's YouTube channel (Strategy guide creator channel, currently in preparation, welcome to subscribe)")</f>
        <v>RORO's YouTube channel (Strategy guide creator channel, currently in preparation, welcome to subscribe)</v>
      </c>
      <c r="D9" s="138" t="s">
        <v>8248</v>
      </c>
      <c r="E9" s="383"/>
      <c r="F9" s="383"/>
      <c r="G9" s="383"/>
      <c r="H9" s="383"/>
      <c r="I9" s="383"/>
      <c r="J9" s="383"/>
      <c r="K9" s="383"/>
      <c r="L9" s="383"/>
      <c r="M9" s="383"/>
      <c r="N9" s="383"/>
      <c r="O9" s="383"/>
      <c r="P9" s="383"/>
      <c r="Q9" s="383"/>
      <c r="R9" s="383"/>
      <c r="S9" s="383"/>
      <c r="T9" s="383"/>
      <c r="U9" s="383"/>
      <c r="V9" s="383"/>
      <c r="W9" s="383"/>
      <c r="X9" s="383"/>
      <c r="Y9" s="383"/>
      <c r="Z9" s="383"/>
    </row>
    <row r="10">
      <c r="A10" s="386"/>
      <c r="E10" s="383"/>
      <c r="F10" s="383"/>
      <c r="G10" s="383"/>
      <c r="H10" s="383"/>
      <c r="I10" s="383"/>
      <c r="J10" s="383"/>
      <c r="K10" s="383"/>
      <c r="L10" s="383"/>
      <c r="M10" s="383"/>
      <c r="N10" s="383"/>
      <c r="O10" s="383"/>
      <c r="P10" s="383"/>
      <c r="Q10" s="383"/>
      <c r="R10" s="383"/>
      <c r="S10" s="383"/>
      <c r="T10" s="383"/>
      <c r="U10" s="383"/>
      <c r="V10" s="383"/>
      <c r="W10" s="383"/>
      <c r="X10" s="383"/>
      <c r="Y10" s="383"/>
      <c r="Z10" s="383"/>
    </row>
    <row r="11">
      <c r="A11" s="387" t="s">
        <v>8249</v>
      </c>
      <c r="B11" s="39" t="str">
        <f>IFERROR(__xludf.DUMMYFUNCTION("GOOGLETRANSLATE(A11,""zh-tw"",""ja"")"),"プレイヤーの投稿（準備中、投稿は大歓迎です）")</f>
        <v>プレイヤーの投稿（準備中、投稿は大歓迎です）</v>
      </c>
      <c r="C11" s="385" t="str">
        <f>IFERROR(__xludf.DUMMYFUNCTION("GOOGLETRANSLATE(A11,""zh-tw"",""en"")"),"Player submissions (in preparation, submissions are welcome)")</f>
        <v>Player submissions (in preparation, submissions are welcome)</v>
      </c>
      <c r="D11" s="388" t="s">
        <v>8250</v>
      </c>
      <c r="E11" s="383"/>
      <c r="F11" s="383"/>
      <c r="G11" s="383"/>
      <c r="H11" s="383"/>
      <c r="I11" s="383"/>
      <c r="J11" s="383"/>
      <c r="K11" s="383"/>
      <c r="L11" s="383"/>
      <c r="M11" s="383"/>
      <c r="N11" s="383"/>
      <c r="O11" s="383"/>
      <c r="P11" s="383"/>
      <c r="Q11" s="383"/>
      <c r="R11" s="383"/>
      <c r="S11" s="383"/>
      <c r="T11" s="383"/>
      <c r="U11" s="383"/>
      <c r="V11" s="383"/>
      <c r="W11" s="383"/>
      <c r="X11" s="383"/>
      <c r="Y11" s="383"/>
      <c r="Z11" s="383"/>
    </row>
    <row r="12">
      <c r="A12" s="389"/>
      <c r="B12" s="390"/>
      <c r="C12" s="391"/>
      <c r="D12" s="392"/>
      <c r="E12" s="383"/>
      <c r="F12" s="383"/>
      <c r="G12" s="383"/>
      <c r="H12" s="383"/>
      <c r="I12" s="383"/>
      <c r="J12" s="383"/>
      <c r="K12" s="383"/>
      <c r="L12" s="383"/>
      <c r="M12" s="383"/>
      <c r="N12" s="383"/>
      <c r="O12" s="383"/>
      <c r="P12" s="383"/>
      <c r="Q12" s="383"/>
      <c r="R12" s="383"/>
      <c r="S12" s="383"/>
      <c r="T12" s="383"/>
      <c r="U12" s="383"/>
      <c r="V12" s="383"/>
      <c r="W12" s="383"/>
      <c r="X12" s="383"/>
      <c r="Y12" s="383"/>
      <c r="Z12" s="383"/>
    </row>
    <row r="13">
      <c r="A13" s="389"/>
      <c r="B13" s="390"/>
      <c r="C13" s="391"/>
      <c r="D13" s="392"/>
      <c r="E13" s="383"/>
      <c r="F13" s="383"/>
      <c r="G13" s="383"/>
      <c r="H13" s="383"/>
      <c r="I13" s="383"/>
      <c r="J13" s="383"/>
      <c r="K13" s="383"/>
      <c r="L13" s="383"/>
      <c r="M13" s="383"/>
      <c r="N13" s="383"/>
      <c r="O13" s="383"/>
      <c r="P13" s="383"/>
      <c r="Q13" s="383"/>
      <c r="R13" s="383"/>
      <c r="S13" s="383"/>
      <c r="T13" s="383"/>
      <c r="U13" s="383"/>
      <c r="V13" s="383"/>
      <c r="W13" s="383"/>
      <c r="X13" s="383"/>
      <c r="Y13" s="383"/>
      <c r="Z13" s="383"/>
    </row>
    <row r="14">
      <c r="A14" s="389"/>
      <c r="B14" s="390"/>
      <c r="C14" s="391"/>
      <c r="D14" s="392"/>
      <c r="E14" s="383"/>
      <c r="F14" s="383"/>
      <c r="G14" s="383"/>
      <c r="H14" s="383"/>
      <c r="I14" s="383"/>
      <c r="J14" s="383"/>
      <c r="K14" s="383"/>
      <c r="L14" s="383"/>
      <c r="M14" s="383"/>
      <c r="N14" s="383"/>
      <c r="O14" s="383"/>
      <c r="P14" s="383"/>
      <c r="Q14" s="383"/>
      <c r="R14" s="383"/>
      <c r="S14" s="383"/>
      <c r="T14" s="383"/>
      <c r="U14" s="383"/>
      <c r="V14" s="383"/>
      <c r="W14" s="383"/>
      <c r="X14" s="383"/>
      <c r="Y14" s="383"/>
      <c r="Z14" s="383"/>
    </row>
    <row r="15">
      <c r="A15" s="389"/>
      <c r="B15" s="390"/>
      <c r="C15" s="391"/>
      <c r="D15" s="392"/>
      <c r="E15" s="383"/>
      <c r="F15" s="383"/>
      <c r="G15" s="383"/>
      <c r="H15" s="383"/>
      <c r="I15" s="383"/>
      <c r="J15" s="383"/>
      <c r="K15" s="383"/>
      <c r="L15" s="383"/>
      <c r="M15" s="383"/>
      <c r="N15" s="383"/>
      <c r="O15" s="383"/>
      <c r="P15" s="383"/>
      <c r="Q15" s="383"/>
      <c r="R15" s="383"/>
      <c r="S15" s="383"/>
      <c r="T15" s="383"/>
      <c r="U15" s="383"/>
      <c r="V15" s="383"/>
      <c r="W15" s="383"/>
      <c r="X15" s="383"/>
      <c r="Y15" s="383"/>
      <c r="Z15" s="383"/>
    </row>
    <row r="16">
      <c r="A16" s="389"/>
      <c r="B16" s="390"/>
      <c r="C16" s="391"/>
      <c r="D16" s="392"/>
      <c r="E16" s="383"/>
      <c r="F16" s="383"/>
      <c r="G16" s="383"/>
      <c r="H16" s="383"/>
      <c r="I16" s="383"/>
      <c r="J16" s="383"/>
      <c r="K16" s="383"/>
      <c r="L16" s="383"/>
      <c r="M16" s="383"/>
      <c r="N16" s="383"/>
      <c r="O16" s="383"/>
      <c r="P16" s="383"/>
      <c r="Q16" s="383"/>
      <c r="R16" s="383"/>
      <c r="S16" s="383"/>
      <c r="T16" s="383"/>
      <c r="U16" s="383"/>
      <c r="V16" s="383"/>
      <c r="W16" s="383"/>
      <c r="X16" s="383"/>
      <c r="Y16" s="383"/>
      <c r="Z16" s="383"/>
    </row>
    <row r="17">
      <c r="A17" s="389"/>
      <c r="B17" s="390"/>
      <c r="C17" s="391"/>
      <c r="D17" s="392"/>
      <c r="E17" s="383"/>
      <c r="F17" s="383"/>
      <c r="G17" s="383"/>
      <c r="H17" s="383"/>
      <c r="I17" s="383"/>
      <c r="J17" s="383"/>
      <c r="K17" s="383"/>
      <c r="L17" s="383"/>
      <c r="M17" s="383"/>
      <c r="N17" s="383"/>
      <c r="O17" s="383"/>
      <c r="P17" s="383"/>
      <c r="Q17" s="383"/>
      <c r="R17" s="383"/>
      <c r="S17" s="383"/>
      <c r="T17" s="383"/>
      <c r="U17" s="383"/>
      <c r="V17" s="383"/>
      <c r="W17" s="383"/>
      <c r="X17" s="383"/>
      <c r="Y17" s="383"/>
      <c r="Z17" s="383"/>
    </row>
    <row r="18">
      <c r="A18" s="389"/>
      <c r="B18" s="390"/>
      <c r="C18" s="391"/>
      <c r="D18" s="392"/>
      <c r="E18" s="383"/>
      <c r="F18" s="383"/>
      <c r="G18" s="383"/>
      <c r="H18" s="383"/>
      <c r="I18" s="383"/>
      <c r="J18" s="383"/>
      <c r="K18" s="383"/>
      <c r="L18" s="383"/>
      <c r="M18" s="383"/>
      <c r="N18" s="383"/>
      <c r="O18" s="383"/>
      <c r="P18" s="383"/>
      <c r="Q18" s="383"/>
      <c r="R18" s="383"/>
      <c r="S18" s="383"/>
      <c r="T18" s="383"/>
      <c r="U18" s="383"/>
      <c r="V18" s="383"/>
      <c r="W18" s="383"/>
      <c r="X18" s="383"/>
      <c r="Y18" s="383"/>
      <c r="Z18" s="383"/>
    </row>
    <row r="19">
      <c r="A19" s="389"/>
      <c r="B19" s="390"/>
      <c r="C19" s="391"/>
      <c r="D19" s="392"/>
      <c r="E19" s="383"/>
      <c r="F19" s="383"/>
      <c r="G19" s="383"/>
      <c r="H19" s="383"/>
      <c r="I19" s="383"/>
      <c r="J19" s="383"/>
      <c r="K19" s="383"/>
      <c r="L19" s="383"/>
      <c r="M19" s="383"/>
      <c r="N19" s="383"/>
      <c r="O19" s="383"/>
      <c r="P19" s="383"/>
      <c r="Q19" s="383"/>
      <c r="R19" s="383"/>
      <c r="S19" s="383"/>
      <c r="T19" s="383"/>
      <c r="U19" s="383"/>
      <c r="V19" s="383"/>
      <c r="W19" s="383"/>
      <c r="X19" s="383"/>
      <c r="Y19" s="383"/>
      <c r="Z19" s="383"/>
    </row>
    <row r="20">
      <c r="A20" s="389"/>
      <c r="B20" s="390"/>
      <c r="C20" s="391"/>
      <c r="D20" s="392"/>
      <c r="E20" s="383"/>
      <c r="F20" s="383"/>
      <c r="G20" s="383"/>
      <c r="H20" s="383"/>
      <c r="I20" s="383"/>
      <c r="J20" s="383"/>
      <c r="K20" s="383"/>
      <c r="L20" s="383"/>
      <c r="M20" s="383"/>
      <c r="N20" s="383"/>
      <c r="O20" s="383"/>
      <c r="P20" s="383"/>
      <c r="Q20" s="383"/>
      <c r="R20" s="383"/>
      <c r="S20" s="383"/>
      <c r="T20" s="383"/>
      <c r="U20" s="383"/>
      <c r="V20" s="383"/>
      <c r="W20" s="383"/>
      <c r="X20" s="383"/>
      <c r="Y20" s="383"/>
      <c r="Z20" s="383"/>
    </row>
    <row r="21">
      <c r="A21" s="389"/>
      <c r="B21" s="390"/>
      <c r="C21" s="391"/>
      <c r="D21" s="392"/>
      <c r="E21" s="383"/>
      <c r="F21" s="383"/>
      <c r="G21" s="383"/>
      <c r="H21" s="383"/>
      <c r="I21" s="383"/>
      <c r="J21" s="383"/>
      <c r="K21" s="383"/>
      <c r="L21" s="383"/>
      <c r="M21" s="383"/>
      <c r="N21" s="383"/>
      <c r="O21" s="383"/>
      <c r="P21" s="383"/>
      <c r="Q21" s="383"/>
      <c r="R21" s="383"/>
      <c r="S21" s="383"/>
      <c r="T21" s="383"/>
      <c r="U21" s="383"/>
      <c r="V21" s="383"/>
      <c r="W21" s="383"/>
      <c r="X21" s="383"/>
      <c r="Y21" s="383"/>
      <c r="Z21" s="383"/>
    </row>
    <row r="22">
      <c r="A22" s="389"/>
      <c r="B22" s="390"/>
      <c r="C22" s="391"/>
      <c r="D22" s="392"/>
      <c r="E22" s="383"/>
      <c r="F22" s="383"/>
      <c r="G22" s="383"/>
      <c r="H22" s="383"/>
      <c r="I22" s="383"/>
      <c r="J22" s="383"/>
      <c r="K22" s="383"/>
      <c r="L22" s="383"/>
      <c r="M22" s="383"/>
      <c r="N22" s="383"/>
      <c r="O22" s="383"/>
      <c r="P22" s="383"/>
      <c r="Q22" s="383"/>
      <c r="R22" s="383"/>
      <c r="S22" s="383"/>
      <c r="T22" s="383"/>
      <c r="U22" s="383"/>
      <c r="V22" s="383"/>
      <c r="W22" s="383"/>
      <c r="X22" s="383"/>
      <c r="Y22" s="383"/>
      <c r="Z22" s="383"/>
    </row>
    <row r="23">
      <c r="A23" s="389"/>
      <c r="B23" s="390"/>
      <c r="C23" s="391"/>
      <c r="D23" s="392"/>
      <c r="E23" s="383"/>
      <c r="F23" s="383"/>
      <c r="G23" s="383"/>
      <c r="H23" s="383"/>
      <c r="I23" s="383"/>
      <c r="J23" s="383"/>
      <c r="K23" s="383"/>
      <c r="L23" s="383"/>
      <c r="M23" s="383"/>
      <c r="N23" s="383"/>
      <c r="O23" s="383"/>
      <c r="P23" s="383"/>
      <c r="Q23" s="383"/>
      <c r="R23" s="383"/>
      <c r="S23" s="383"/>
      <c r="T23" s="383"/>
      <c r="U23" s="383"/>
      <c r="V23" s="383"/>
      <c r="W23" s="383"/>
      <c r="X23" s="383"/>
      <c r="Y23" s="383"/>
      <c r="Z23" s="383"/>
    </row>
    <row r="24">
      <c r="A24" s="389"/>
      <c r="B24" s="390"/>
      <c r="C24" s="391"/>
      <c r="D24" s="392"/>
      <c r="E24" s="383"/>
      <c r="F24" s="383"/>
      <c r="G24" s="383"/>
      <c r="H24" s="383"/>
      <c r="I24" s="383"/>
      <c r="J24" s="383"/>
      <c r="K24" s="383"/>
      <c r="L24" s="383"/>
      <c r="M24" s="383"/>
      <c r="N24" s="383"/>
      <c r="O24" s="383"/>
      <c r="P24" s="383"/>
      <c r="Q24" s="383"/>
      <c r="R24" s="383"/>
      <c r="S24" s="383"/>
      <c r="T24" s="383"/>
      <c r="U24" s="383"/>
      <c r="V24" s="383"/>
      <c r="W24" s="383"/>
      <c r="X24" s="383"/>
      <c r="Y24" s="383"/>
      <c r="Z24" s="383"/>
    </row>
    <row r="25">
      <c r="A25" s="389"/>
      <c r="B25" s="390"/>
      <c r="C25" s="391"/>
      <c r="D25" s="392"/>
      <c r="E25" s="383"/>
      <c r="F25" s="383"/>
      <c r="G25" s="383"/>
      <c r="H25" s="383"/>
      <c r="I25" s="383"/>
      <c r="J25" s="383"/>
      <c r="K25" s="383"/>
      <c r="L25" s="383"/>
      <c r="M25" s="383"/>
      <c r="N25" s="383"/>
      <c r="O25" s="383"/>
      <c r="P25" s="383"/>
      <c r="Q25" s="383"/>
      <c r="R25" s="383"/>
      <c r="S25" s="383"/>
      <c r="T25" s="383"/>
      <c r="U25" s="383"/>
      <c r="V25" s="383"/>
      <c r="W25" s="383"/>
      <c r="X25" s="383"/>
      <c r="Y25" s="383"/>
      <c r="Z25" s="383"/>
    </row>
    <row r="26">
      <c r="A26" s="389"/>
      <c r="B26" s="390"/>
      <c r="C26" s="391"/>
      <c r="D26" s="392"/>
      <c r="E26" s="383"/>
      <c r="F26" s="383"/>
      <c r="G26" s="383"/>
      <c r="H26" s="383"/>
      <c r="I26" s="383"/>
      <c r="J26" s="383"/>
      <c r="K26" s="383"/>
      <c r="L26" s="383"/>
      <c r="M26" s="383"/>
      <c r="N26" s="383"/>
      <c r="O26" s="383"/>
      <c r="P26" s="383"/>
      <c r="Q26" s="383"/>
      <c r="R26" s="383"/>
      <c r="S26" s="383"/>
      <c r="T26" s="383"/>
      <c r="U26" s="383"/>
      <c r="V26" s="383"/>
      <c r="W26" s="383"/>
      <c r="X26" s="383"/>
      <c r="Y26" s="383"/>
      <c r="Z26" s="383"/>
    </row>
    <row r="27">
      <c r="A27" s="389"/>
      <c r="B27" s="390"/>
      <c r="C27" s="391"/>
      <c r="D27" s="392"/>
      <c r="E27" s="383"/>
      <c r="F27" s="383"/>
      <c r="G27" s="383"/>
      <c r="H27" s="383"/>
      <c r="I27" s="383"/>
      <c r="J27" s="383"/>
      <c r="K27" s="383"/>
      <c r="L27" s="383"/>
      <c r="M27" s="383"/>
      <c r="N27" s="383"/>
      <c r="O27" s="383"/>
      <c r="P27" s="383"/>
      <c r="Q27" s="383"/>
      <c r="R27" s="383"/>
      <c r="S27" s="383"/>
      <c r="T27" s="383"/>
      <c r="U27" s="383"/>
      <c r="V27" s="383"/>
      <c r="W27" s="383"/>
      <c r="X27" s="383"/>
      <c r="Y27" s="383"/>
      <c r="Z27" s="383"/>
    </row>
    <row r="28">
      <c r="A28" s="389"/>
      <c r="B28" s="390"/>
      <c r="C28" s="391"/>
      <c r="D28" s="392"/>
      <c r="E28" s="383"/>
      <c r="F28" s="383"/>
      <c r="G28" s="383"/>
      <c r="H28" s="383"/>
      <c r="I28" s="383"/>
      <c r="J28" s="383"/>
      <c r="K28" s="383"/>
      <c r="L28" s="383"/>
      <c r="M28" s="383"/>
      <c r="N28" s="383"/>
      <c r="O28" s="383"/>
      <c r="P28" s="383"/>
      <c r="Q28" s="383"/>
      <c r="R28" s="383"/>
      <c r="S28" s="383"/>
      <c r="T28" s="383"/>
      <c r="U28" s="383"/>
      <c r="V28" s="383"/>
      <c r="W28" s="383"/>
      <c r="X28" s="383"/>
      <c r="Y28" s="383"/>
      <c r="Z28" s="383"/>
    </row>
    <row r="29">
      <c r="A29" s="389"/>
      <c r="B29" s="390"/>
      <c r="C29" s="391"/>
      <c r="D29" s="392"/>
      <c r="E29" s="383"/>
      <c r="F29" s="383"/>
      <c r="G29" s="383"/>
      <c r="H29" s="383"/>
      <c r="I29" s="383"/>
      <c r="J29" s="383"/>
      <c r="K29" s="383"/>
      <c r="L29" s="383"/>
      <c r="M29" s="383"/>
      <c r="N29" s="383"/>
      <c r="O29" s="383"/>
      <c r="P29" s="383"/>
      <c r="Q29" s="383"/>
      <c r="R29" s="383"/>
      <c r="S29" s="383"/>
      <c r="T29" s="383"/>
      <c r="U29" s="383"/>
      <c r="V29" s="383"/>
      <c r="W29" s="383"/>
      <c r="X29" s="383"/>
      <c r="Y29" s="383"/>
      <c r="Z29" s="383"/>
    </row>
    <row r="30">
      <c r="A30" s="389"/>
      <c r="B30" s="390"/>
      <c r="C30" s="391"/>
      <c r="D30" s="392"/>
      <c r="E30" s="383"/>
      <c r="F30" s="383"/>
      <c r="G30" s="383"/>
      <c r="H30" s="383"/>
      <c r="I30" s="383"/>
      <c r="J30" s="383"/>
      <c r="K30" s="383"/>
      <c r="L30" s="383"/>
      <c r="M30" s="383"/>
      <c r="N30" s="383"/>
      <c r="O30" s="383"/>
      <c r="P30" s="383"/>
      <c r="Q30" s="383"/>
      <c r="R30" s="383"/>
      <c r="S30" s="383"/>
      <c r="T30" s="383"/>
      <c r="U30" s="383"/>
      <c r="V30" s="383"/>
      <c r="W30" s="383"/>
      <c r="X30" s="383"/>
      <c r="Y30" s="383"/>
      <c r="Z30" s="383"/>
    </row>
    <row r="31">
      <c r="A31" s="389"/>
      <c r="B31" s="390"/>
      <c r="C31" s="391"/>
      <c r="D31" s="392"/>
      <c r="E31" s="383"/>
      <c r="F31" s="383"/>
      <c r="G31" s="383"/>
      <c r="H31" s="383"/>
      <c r="I31" s="383"/>
      <c r="J31" s="383"/>
      <c r="K31" s="383"/>
      <c r="L31" s="383"/>
      <c r="M31" s="383"/>
      <c r="N31" s="383"/>
      <c r="O31" s="383"/>
      <c r="P31" s="383"/>
      <c r="Q31" s="383"/>
      <c r="R31" s="383"/>
      <c r="S31" s="383"/>
      <c r="T31" s="383"/>
      <c r="U31" s="383"/>
      <c r="V31" s="383"/>
      <c r="W31" s="383"/>
      <c r="X31" s="383"/>
      <c r="Y31" s="383"/>
      <c r="Z31" s="383"/>
    </row>
    <row r="32">
      <c r="A32" s="389"/>
      <c r="B32" s="390"/>
      <c r="C32" s="391"/>
      <c r="D32" s="392"/>
      <c r="E32" s="383"/>
      <c r="F32" s="383"/>
      <c r="G32" s="383"/>
      <c r="H32" s="383"/>
      <c r="I32" s="383"/>
      <c r="J32" s="383"/>
      <c r="K32" s="383"/>
      <c r="L32" s="383"/>
      <c r="M32" s="383"/>
      <c r="N32" s="383"/>
      <c r="O32" s="383"/>
      <c r="P32" s="383"/>
      <c r="Q32" s="383"/>
      <c r="R32" s="383"/>
      <c r="S32" s="383"/>
      <c r="T32" s="383"/>
      <c r="U32" s="383"/>
      <c r="V32" s="383"/>
      <c r="W32" s="383"/>
      <c r="X32" s="383"/>
      <c r="Y32" s="383"/>
      <c r="Z32" s="383"/>
    </row>
    <row r="33">
      <c r="A33" s="389"/>
      <c r="B33" s="390"/>
      <c r="C33" s="391"/>
      <c r="D33" s="392"/>
      <c r="E33" s="383"/>
      <c r="F33" s="383"/>
      <c r="G33" s="383"/>
      <c r="H33" s="383"/>
      <c r="I33" s="383"/>
      <c r="J33" s="383"/>
      <c r="K33" s="383"/>
      <c r="L33" s="383"/>
      <c r="M33" s="383"/>
      <c r="N33" s="383"/>
      <c r="O33" s="383"/>
      <c r="P33" s="383"/>
      <c r="Q33" s="383"/>
      <c r="R33" s="383"/>
      <c r="S33" s="383"/>
      <c r="T33" s="383"/>
      <c r="U33" s="383"/>
      <c r="V33" s="383"/>
      <c r="W33" s="383"/>
      <c r="X33" s="383"/>
      <c r="Y33" s="383"/>
      <c r="Z33" s="383"/>
    </row>
    <row r="34">
      <c r="A34" s="389"/>
      <c r="B34" s="390"/>
      <c r="C34" s="391"/>
      <c r="D34" s="392"/>
      <c r="E34" s="383"/>
      <c r="F34" s="383"/>
      <c r="G34" s="383"/>
      <c r="H34" s="383"/>
      <c r="I34" s="383"/>
      <c r="J34" s="383"/>
      <c r="K34" s="383"/>
      <c r="L34" s="383"/>
      <c r="M34" s="383"/>
      <c r="N34" s="383"/>
      <c r="O34" s="383"/>
      <c r="P34" s="383"/>
      <c r="Q34" s="383"/>
      <c r="R34" s="383"/>
      <c r="S34" s="383"/>
      <c r="T34" s="383"/>
      <c r="U34" s="383"/>
      <c r="V34" s="383"/>
      <c r="W34" s="383"/>
      <c r="X34" s="383"/>
      <c r="Y34" s="383"/>
      <c r="Z34" s="383"/>
    </row>
    <row r="35">
      <c r="A35" s="389"/>
      <c r="B35" s="390"/>
      <c r="C35" s="391"/>
      <c r="D35" s="392"/>
      <c r="E35" s="383"/>
      <c r="F35" s="383"/>
      <c r="G35" s="383"/>
      <c r="H35" s="383"/>
      <c r="I35" s="383"/>
      <c r="J35" s="383"/>
      <c r="K35" s="383"/>
      <c r="L35" s="383"/>
      <c r="M35" s="383"/>
      <c r="N35" s="383"/>
      <c r="O35" s="383"/>
      <c r="P35" s="383"/>
      <c r="Q35" s="383"/>
      <c r="R35" s="383"/>
      <c r="S35" s="383"/>
      <c r="T35" s="383"/>
      <c r="U35" s="383"/>
      <c r="V35" s="383"/>
      <c r="W35" s="383"/>
      <c r="X35" s="383"/>
      <c r="Y35" s="383"/>
      <c r="Z35" s="383"/>
    </row>
    <row r="36">
      <c r="A36" s="389"/>
      <c r="B36" s="390"/>
      <c r="C36" s="391"/>
      <c r="D36" s="392"/>
      <c r="E36" s="383"/>
      <c r="F36" s="383"/>
      <c r="G36" s="383"/>
      <c r="H36" s="383"/>
      <c r="I36" s="383"/>
      <c r="J36" s="383"/>
      <c r="K36" s="383"/>
      <c r="L36" s="383"/>
      <c r="M36" s="383"/>
      <c r="N36" s="383"/>
      <c r="O36" s="383"/>
      <c r="P36" s="383"/>
      <c r="Q36" s="383"/>
      <c r="R36" s="383"/>
      <c r="S36" s="383"/>
      <c r="T36" s="383"/>
      <c r="U36" s="383"/>
      <c r="V36" s="383"/>
      <c r="W36" s="383"/>
      <c r="X36" s="383"/>
      <c r="Y36" s="383"/>
      <c r="Z36" s="383"/>
    </row>
    <row r="37">
      <c r="A37" s="389"/>
      <c r="B37" s="390"/>
      <c r="C37" s="391"/>
      <c r="D37" s="392"/>
      <c r="E37" s="383"/>
      <c r="F37" s="383"/>
      <c r="G37" s="383"/>
      <c r="H37" s="383"/>
      <c r="I37" s="383"/>
      <c r="J37" s="383"/>
      <c r="K37" s="383"/>
      <c r="L37" s="383"/>
      <c r="M37" s="383"/>
      <c r="N37" s="383"/>
      <c r="O37" s="383"/>
      <c r="P37" s="383"/>
      <c r="Q37" s="383"/>
      <c r="R37" s="383"/>
      <c r="S37" s="383"/>
      <c r="T37" s="383"/>
      <c r="U37" s="383"/>
      <c r="V37" s="383"/>
      <c r="W37" s="383"/>
      <c r="X37" s="383"/>
      <c r="Y37" s="383"/>
      <c r="Z37" s="383"/>
    </row>
    <row r="38">
      <c r="A38" s="389"/>
      <c r="B38" s="390"/>
      <c r="C38" s="391"/>
      <c r="D38" s="392"/>
      <c r="E38" s="383"/>
      <c r="F38" s="383"/>
      <c r="G38" s="383"/>
      <c r="H38" s="383"/>
      <c r="I38" s="383"/>
      <c r="J38" s="383"/>
      <c r="K38" s="383"/>
      <c r="L38" s="383"/>
      <c r="M38" s="383"/>
      <c r="N38" s="383"/>
      <c r="O38" s="383"/>
      <c r="P38" s="383"/>
      <c r="Q38" s="383"/>
      <c r="R38" s="383"/>
      <c r="S38" s="383"/>
      <c r="T38" s="383"/>
      <c r="U38" s="383"/>
      <c r="V38" s="383"/>
      <c r="W38" s="383"/>
      <c r="X38" s="383"/>
      <c r="Y38" s="383"/>
      <c r="Z38" s="383"/>
    </row>
    <row r="39">
      <c r="A39" s="389"/>
      <c r="B39" s="390"/>
      <c r="C39" s="391"/>
      <c r="D39" s="392"/>
      <c r="E39" s="383"/>
      <c r="F39" s="383"/>
      <c r="G39" s="383"/>
      <c r="H39" s="383"/>
      <c r="I39" s="383"/>
      <c r="J39" s="383"/>
      <c r="K39" s="383"/>
      <c r="L39" s="383"/>
      <c r="M39" s="383"/>
      <c r="N39" s="383"/>
      <c r="O39" s="383"/>
      <c r="P39" s="383"/>
      <c r="Q39" s="383"/>
      <c r="R39" s="383"/>
      <c r="S39" s="383"/>
      <c r="T39" s="383"/>
      <c r="U39" s="383"/>
      <c r="V39" s="383"/>
      <c r="W39" s="383"/>
      <c r="X39" s="383"/>
      <c r="Y39" s="383"/>
      <c r="Z39" s="383"/>
    </row>
    <row r="40">
      <c r="A40" s="389"/>
      <c r="B40" s="390"/>
      <c r="C40" s="391"/>
      <c r="D40" s="392"/>
      <c r="E40" s="383"/>
      <c r="F40" s="383"/>
      <c r="G40" s="383"/>
      <c r="H40" s="383"/>
      <c r="I40" s="383"/>
      <c r="J40" s="383"/>
      <c r="K40" s="383"/>
      <c r="L40" s="383"/>
      <c r="M40" s="383"/>
      <c r="N40" s="383"/>
      <c r="O40" s="383"/>
      <c r="P40" s="383"/>
      <c r="Q40" s="383"/>
      <c r="R40" s="383"/>
      <c r="S40" s="383"/>
      <c r="T40" s="383"/>
      <c r="U40" s="383"/>
      <c r="V40" s="383"/>
      <c r="W40" s="383"/>
      <c r="X40" s="383"/>
      <c r="Y40" s="383"/>
      <c r="Z40" s="383"/>
    </row>
    <row r="41">
      <c r="A41" s="389"/>
      <c r="B41" s="390"/>
      <c r="C41" s="391"/>
      <c r="D41" s="392"/>
      <c r="E41" s="383"/>
      <c r="F41" s="383"/>
      <c r="G41" s="383"/>
      <c r="H41" s="383"/>
      <c r="I41" s="383"/>
      <c r="J41" s="383"/>
      <c r="K41" s="383"/>
      <c r="L41" s="383"/>
      <c r="M41" s="383"/>
      <c r="N41" s="383"/>
      <c r="O41" s="383"/>
      <c r="P41" s="383"/>
      <c r="Q41" s="383"/>
      <c r="R41" s="383"/>
      <c r="S41" s="383"/>
      <c r="T41" s="383"/>
      <c r="U41" s="383"/>
      <c r="V41" s="383"/>
      <c r="W41" s="383"/>
      <c r="X41" s="383"/>
      <c r="Y41" s="383"/>
      <c r="Z41" s="383"/>
    </row>
    <row r="42">
      <c r="A42" s="389"/>
      <c r="B42" s="390"/>
      <c r="C42" s="391"/>
      <c r="D42" s="392"/>
      <c r="E42" s="383"/>
      <c r="F42" s="383"/>
      <c r="G42" s="383"/>
      <c r="H42" s="383"/>
      <c r="I42" s="383"/>
      <c r="J42" s="383"/>
      <c r="K42" s="383"/>
      <c r="L42" s="383"/>
      <c r="M42" s="383"/>
      <c r="N42" s="383"/>
      <c r="O42" s="383"/>
      <c r="P42" s="383"/>
      <c r="Q42" s="383"/>
      <c r="R42" s="383"/>
      <c r="S42" s="383"/>
      <c r="T42" s="383"/>
      <c r="U42" s="383"/>
      <c r="V42" s="383"/>
      <c r="W42" s="383"/>
      <c r="X42" s="383"/>
      <c r="Y42" s="383"/>
      <c r="Z42" s="383"/>
    </row>
    <row r="43">
      <c r="A43" s="389"/>
      <c r="B43" s="390"/>
      <c r="C43" s="391"/>
      <c r="D43" s="392"/>
      <c r="E43" s="383"/>
      <c r="F43" s="383"/>
      <c r="G43" s="383"/>
      <c r="H43" s="383"/>
      <c r="I43" s="383"/>
      <c r="J43" s="383"/>
      <c r="K43" s="383"/>
      <c r="L43" s="383"/>
      <c r="M43" s="383"/>
      <c r="N43" s="383"/>
      <c r="O43" s="383"/>
      <c r="P43" s="383"/>
      <c r="Q43" s="383"/>
      <c r="R43" s="383"/>
      <c r="S43" s="383"/>
      <c r="T43" s="383"/>
      <c r="U43" s="383"/>
      <c r="V43" s="383"/>
      <c r="W43" s="383"/>
      <c r="X43" s="383"/>
      <c r="Y43" s="383"/>
      <c r="Z43" s="383"/>
    </row>
    <row r="44">
      <c r="A44" s="389"/>
      <c r="B44" s="390"/>
      <c r="C44" s="391"/>
      <c r="D44" s="392"/>
      <c r="E44" s="383"/>
      <c r="F44" s="383"/>
      <c r="G44" s="383"/>
      <c r="H44" s="383"/>
      <c r="I44" s="383"/>
      <c r="J44" s="383"/>
      <c r="K44" s="383"/>
      <c r="L44" s="383"/>
      <c r="M44" s="383"/>
      <c r="N44" s="383"/>
      <c r="O44" s="383"/>
      <c r="P44" s="383"/>
      <c r="Q44" s="383"/>
      <c r="R44" s="383"/>
      <c r="S44" s="383"/>
      <c r="T44" s="383"/>
      <c r="U44" s="383"/>
      <c r="V44" s="383"/>
      <c r="W44" s="383"/>
      <c r="X44" s="383"/>
      <c r="Y44" s="383"/>
      <c r="Z44" s="383"/>
    </row>
    <row r="45">
      <c r="A45" s="389"/>
      <c r="B45" s="390"/>
      <c r="C45" s="391"/>
      <c r="D45" s="392"/>
      <c r="E45" s="383"/>
      <c r="F45" s="383"/>
      <c r="G45" s="383"/>
      <c r="H45" s="383"/>
      <c r="I45" s="383"/>
      <c r="J45" s="383"/>
      <c r="K45" s="383"/>
      <c r="L45" s="383"/>
      <c r="M45" s="383"/>
      <c r="N45" s="383"/>
      <c r="O45" s="383"/>
      <c r="P45" s="383"/>
      <c r="Q45" s="383"/>
      <c r="R45" s="383"/>
      <c r="S45" s="383"/>
      <c r="T45" s="383"/>
      <c r="U45" s="383"/>
      <c r="V45" s="383"/>
      <c r="W45" s="383"/>
      <c r="X45" s="383"/>
      <c r="Y45" s="383"/>
      <c r="Z45" s="383"/>
    </row>
    <row r="46">
      <c r="A46" s="389"/>
      <c r="B46" s="390"/>
      <c r="C46" s="391"/>
      <c r="D46" s="392"/>
      <c r="E46" s="383"/>
      <c r="F46" s="383"/>
      <c r="G46" s="383"/>
      <c r="H46" s="383"/>
      <c r="I46" s="383"/>
      <c r="J46" s="383"/>
      <c r="K46" s="383"/>
      <c r="L46" s="383"/>
      <c r="M46" s="383"/>
      <c r="N46" s="383"/>
      <c r="O46" s="383"/>
      <c r="P46" s="383"/>
      <c r="Q46" s="383"/>
      <c r="R46" s="383"/>
      <c r="S46" s="383"/>
      <c r="T46" s="383"/>
      <c r="U46" s="383"/>
      <c r="V46" s="383"/>
      <c r="W46" s="383"/>
      <c r="X46" s="383"/>
      <c r="Y46" s="383"/>
      <c r="Z46" s="383"/>
    </row>
    <row r="47">
      <c r="A47" s="389"/>
      <c r="B47" s="390"/>
      <c r="C47" s="391"/>
      <c r="D47" s="392"/>
      <c r="E47" s="383"/>
      <c r="F47" s="383"/>
      <c r="G47" s="383"/>
      <c r="H47" s="383"/>
      <c r="I47" s="383"/>
      <c r="J47" s="383"/>
      <c r="K47" s="383"/>
      <c r="L47" s="383"/>
      <c r="M47" s="383"/>
      <c r="N47" s="383"/>
      <c r="O47" s="383"/>
      <c r="P47" s="383"/>
      <c r="Q47" s="383"/>
      <c r="R47" s="383"/>
      <c r="S47" s="383"/>
      <c r="T47" s="383"/>
      <c r="U47" s="383"/>
      <c r="V47" s="383"/>
      <c r="W47" s="383"/>
      <c r="X47" s="383"/>
      <c r="Y47" s="383"/>
      <c r="Z47" s="383"/>
    </row>
    <row r="48">
      <c r="A48" s="389"/>
      <c r="B48" s="390"/>
      <c r="C48" s="391"/>
      <c r="D48" s="392"/>
      <c r="E48" s="383"/>
      <c r="F48" s="383"/>
      <c r="G48" s="383"/>
      <c r="H48" s="383"/>
      <c r="I48" s="383"/>
      <c r="J48" s="383"/>
      <c r="K48" s="383"/>
      <c r="L48" s="383"/>
      <c r="M48" s="383"/>
      <c r="N48" s="383"/>
      <c r="O48" s="383"/>
      <c r="P48" s="383"/>
      <c r="Q48" s="383"/>
      <c r="R48" s="383"/>
      <c r="S48" s="383"/>
      <c r="T48" s="383"/>
      <c r="U48" s="383"/>
      <c r="V48" s="383"/>
      <c r="W48" s="383"/>
      <c r="X48" s="383"/>
      <c r="Y48" s="383"/>
      <c r="Z48" s="383"/>
    </row>
    <row r="49">
      <c r="A49" s="389"/>
      <c r="B49" s="390"/>
      <c r="C49" s="391"/>
      <c r="D49" s="392"/>
      <c r="E49" s="383"/>
      <c r="F49" s="383"/>
      <c r="G49" s="383"/>
      <c r="H49" s="383"/>
      <c r="I49" s="383"/>
      <c r="J49" s="383"/>
      <c r="K49" s="383"/>
      <c r="L49" s="383"/>
      <c r="M49" s="383"/>
      <c r="N49" s="383"/>
      <c r="O49" s="383"/>
      <c r="P49" s="383"/>
      <c r="Q49" s="383"/>
      <c r="R49" s="383"/>
      <c r="S49" s="383"/>
      <c r="T49" s="383"/>
      <c r="U49" s="383"/>
      <c r="V49" s="383"/>
      <c r="W49" s="383"/>
      <c r="X49" s="383"/>
      <c r="Y49" s="383"/>
      <c r="Z49" s="383"/>
    </row>
    <row r="50">
      <c r="A50" s="389"/>
      <c r="B50" s="390"/>
      <c r="C50" s="391"/>
      <c r="D50" s="392"/>
      <c r="E50" s="383"/>
      <c r="F50" s="383"/>
      <c r="G50" s="383"/>
      <c r="H50" s="383"/>
      <c r="I50" s="383"/>
      <c r="J50" s="383"/>
      <c r="K50" s="383"/>
      <c r="L50" s="383"/>
      <c r="M50" s="383"/>
      <c r="N50" s="383"/>
      <c r="O50" s="383"/>
      <c r="P50" s="383"/>
      <c r="Q50" s="383"/>
      <c r="R50" s="383"/>
      <c r="S50" s="383"/>
      <c r="T50" s="383"/>
      <c r="U50" s="383"/>
      <c r="V50" s="383"/>
      <c r="W50" s="383"/>
      <c r="X50" s="383"/>
      <c r="Y50" s="383"/>
      <c r="Z50" s="383"/>
    </row>
    <row r="51">
      <c r="A51" s="389"/>
      <c r="B51" s="390"/>
      <c r="C51" s="391"/>
      <c r="D51" s="392"/>
      <c r="E51" s="383"/>
      <c r="F51" s="383"/>
      <c r="G51" s="383"/>
      <c r="H51" s="383"/>
      <c r="I51" s="383"/>
      <c r="J51" s="383"/>
      <c r="K51" s="383"/>
      <c r="L51" s="383"/>
      <c r="M51" s="383"/>
      <c r="N51" s="383"/>
      <c r="O51" s="383"/>
      <c r="P51" s="383"/>
      <c r="Q51" s="383"/>
      <c r="R51" s="383"/>
      <c r="S51" s="383"/>
      <c r="T51" s="383"/>
      <c r="U51" s="383"/>
      <c r="V51" s="383"/>
      <c r="W51" s="383"/>
      <c r="X51" s="383"/>
      <c r="Y51" s="383"/>
      <c r="Z51" s="383"/>
    </row>
    <row r="52">
      <c r="A52" s="389"/>
      <c r="B52" s="390"/>
      <c r="C52" s="391"/>
      <c r="D52" s="392"/>
      <c r="E52" s="383"/>
      <c r="F52" s="383"/>
      <c r="G52" s="383"/>
      <c r="H52" s="383"/>
      <c r="I52" s="383"/>
      <c r="J52" s="383"/>
      <c r="K52" s="383"/>
      <c r="L52" s="383"/>
      <c r="M52" s="383"/>
      <c r="N52" s="383"/>
      <c r="O52" s="383"/>
      <c r="P52" s="383"/>
      <c r="Q52" s="383"/>
      <c r="R52" s="383"/>
      <c r="S52" s="383"/>
      <c r="T52" s="383"/>
      <c r="U52" s="383"/>
      <c r="V52" s="383"/>
      <c r="W52" s="383"/>
      <c r="X52" s="383"/>
      <c r="Y52" s="383"/>
      <c r="Z52" s="383"/>
    </row>
    <row r="53">
      <c r="A53" s="389"/>
      <c r="B53" s="390"/>
      <c r="C53" s="391"/>
      <c r="D53" s="392"/>
      <c r="E53" s="383"/>
      <c r="F53" s="383"/>
      <c r="G53" s="383"/>
      <c r="H53" s="383"/>
      <c r="I53" s="383"/>
      <c r="J53" s="383"/>
      <c r="K53" s="383"/>
      <c r="L53" s="383"/>
      <c r="M53" s="383"/>
      <c r="N53" s="383"/>
      <c r="O53" s="383"/>
      <c r="P53" s="383"/>
      <c r="Q53" s="383"/>
      <c r="R53" s="383"/>
      <c r="S53" s="383"/>
      <c r="T53" s="383"/>
      <c r="U53" s="383"/>
      <c r="V53" s="383"/>
      <c r="W53" s="383"/>
      <c r="X53" s="383"/>
      <c r="Y53" s="383"/>
      <c r="Z53" s="383"/>
    </row>
    <row r="54">
      <c r="A54" s="389"/>
      <c r="B54" s="390"/>
      <c r="C54" s="391"/>
      <c r="D54" s="392"/>
      <c r="E54" s="383"/>
      <c r="F54" s="383"/>
      <c r="G54" s="383"/>
      <c r="H54" s="383"/>
      <c r="I54" s="383"/>
      <c r="J54" s="383"/>
      <c r="K54" s="383"/>
      <c r="L54" s="383"/>
      <c r="M54" s="383"/>
      <c r="N54" s="383"/>
      <c r="O54" s="383"/>
      <c r="P54" s="383"/>
      <c r="Q54" s="383"/>
      <c r="R54" s="383"/>
      <c r="S54" s="383"/>
      <c r="T54" s="383"/>
      <c r="U54" s="383"/>
      <c r="V54" s="383"/>
      <c r="W54" s="383"/>
      <c r="X54" s="383"/>
      <c r="Y54" s="383"/>
      <c r="Z54" s="383"/>
    </row>
    <row r="55">
      <c r="A55" s="389"/>
      <c r="B55" s="390"/>
      <c r="C55" s="391"/>
      <c r="D55" s="392"/>
      <c r="E55" s="383"/>
      <c r="F55" s="383"/>
      <c r="G55" s="383"/>
      <c r="H55" s="383"/>
      <c r="I55" s="383"/>
      <c r="J55" s="383"/>
      <c r="K55" s="383"/>
      <c r="L55" s="383"/>
      <c r="M55" s="383"/>
      <c r="N55" s="383"/>
      <c r="O55" s="383"/>
      <c r="P55" s="383"/>
      <c r="Q55" s="383"/>
      <c r="R55" s="383"/>
      <c r="S55" s="383"/>
      <c r="T55" s="383"/>
      <c r="U55" s="383"/>
      <c r="V55" s="383"/>
      <c r="W55" s="383"/>
      <c r="X55" s="383"/>
      <c r="Y55" s="383"/>
      <c r="Z55" s="383"/>
    </row>
    <row r="56">
      <c r="A56" s="389"/>
      <c r="B56" s="390"/>
      <c r="C56" s="391"/>
      <c r="D56" s="392"/>
      <c r="E56" s="383"/>
      <c r="F56" s="383"/>
      <c r="G56" s="383"/>
      <c r="H56" s="383"/>
      <c r="I56" s="383"/>
      <c r="J56" s="383"/>
      <c r="K56" s="383"/>
      <c r="L56" s="383"/>
      <c r="M56" s="383"/>
      <c r="N56" s="383"/>
      <c r="O56" s="383"/>
      <c r="P56" s="383"/>
      <c r="Q56" s="383"/>
      <c r="R56" s="383"/>
      <c r="S56" s="383"/>
      <c r="T56" s="383"/>
      <c r="U56" s="383"/>
      <c r="V56" s="383"/>
      <c r="W56" s="383"/>
      <c r="X56" s="383"/>
      <c r="Y56" s="383"/>
      <c r="Z56" s="383"/>
    </row>
    <row r="57">
      <c r="A57" s="389"/>
      <c r="B57" s="390"/>
      <c r="C57" s="391"/>
      <c r="D57" s="392"/>
      <c r="E57" s="383"/>
      <c r="F57" s="383"/>
      <c r="G57" s="383"/>
      <c r="H57" s="383"/>
      <c r="I57" s="383"/>
      <c r="J57" s="383"/>
      <c r="K57" s="383"/>
      <c r="L57" s="383"/>
      <c r="M57" s="383"/>
      <c r="N57" s="383"/>
      <c r="O57" s="383"/>
      <c r="P57" s="383"/>
      <c r="Q57" s="383"/>
      <c r="R57" s="383"/>
      <c r="S57" s="383"/>
      <c r="T57" s="383"/>
      <c r="U57" s="383"/>
      <c r="V57" s="383"/>
      <c r="W57" s="383"/>
      <c r="X57" s="383"/>
      <c r="Y57" s="383"/>
      <c r="Z57" s="383"/>
    </row>
    <row r="58">
      <c r="A58" s="389"/>
      <c r="B58" s="390"/>
      <c r="C58" s="391"/>
      <c r="D58" s="392"/>
      <c r="E58" s="383"/>
      <c r="F58" s="383"/>
      <c r="G58" s="383"/>
      <c r="H58" s="383"/>
      <c r="I58" s="383"/>
      <c r="J58" s="383"/>
      <c r="K58" s="383"/>
      <c r="L58" s="383"/>
      <c r="M58" s="383"/>
      <c r="N58" s="383"/>
      <c r="O58" s="383"/>
      <c r="P58" s="383"/>
      <c r="Q58" s="383"/>
      <c r="R58" s="383"/>
      <c r="S58" s="383"/>
      <c r="T58" s="383"/>
      <c r="U58" s="383"/>
      <c r="V58" s="383"/>
      <c r="W58" s="383"/>
      <c r="X58" s="383"/>
      <c r="Y58" s="383"/>
      <c r="Z58" s="383"/>
    </row>
    <row r="59">
      <c r="A59" s="389"/>
      <c r="B59" s="390"/>
      <c r="C59" s="391"/>
      <c r="D59" s="392"/>
      <c r="E59" s="383"/>
      <c r="F59" s="383"/>
      <c r="G59" s="383"/>
      <c r="H59" s="383"/>
      <c r="I59" s="383"/>
      <c r="J59" s="383"/>
      <c r="K59" s="383"/>
      <c r="L59" s="383"/>
      <c r="M59" s="383"/>
      <c r="N59" s="383"/>
      <c r="O59" s="383"/>
      <c r="P59" s="383"/>
      <c r="Q59" s="383"/>
      <c r="R59" s="383"/>
      <c r="S59" s="383"/>
      <c r="T59" s="383"/>
      <c r="U59" s="383"/>
      <c r="V59" s="383"/>
      <c r="W59" s="383"/>
      <c r="X59" s="383"/>
      <c r="Y59" s="383"/>
      <c r="Z59" s="383"/>
    </row>
    <row r="60">
      <c r="A60" s="389"/>
      <c r="B60" s="390"/>
      <c r="C60" s="391"/>
      <c r="D60" s="392"/>
      <c r="E60" s="383"/>
      <c r="F60" s="383"/>
      <c r="G60" s="383"/>
      <c r="H60" s="383"/>
      <c r="I60" s="383"/>
      <c r="J60" s="383"/>
      <c r="K60" s="383"/>
      <c r="L60" s="383"/>
      <c r="M60" s="383"/>
      <c r="N60" s="383"/>
      <c r="O60" s="383"/>
      <c r="P60" s="383"/>
      <c r="Q60" s="383"/>
      <c r="R60" s="383"/>
      <c r="S60" s="383"/>
      <c r="T60" s="383"/>
      <c r="U60" s="383"/>
      <c r="V60" s="383"/>
      <c r="W60" s="383"/>
      <c r="X60" s="383"/>
      <c r="Y60" s="383"/>
      <c r="Z60" s="383"/>
    </row>
    <row r="61">
      <c r="A61" s="389"/>
      <c r="B61" s="390"/>
      <c r="C61" s="391"/>
      <c r="D61" s="392"/>
      <c r="E61" s="383"/>
      <c r="F61" s="383"/>
      <c r="G61" s="383"/>
      <c r="H61" s="383"/>
      <c r="I61" s="383"/>
      <c r="J61" s="383"/>
      <c r="K61" s="383"/>
      <c r="L61" s="383"/>
      <c r="M61" s="383"/>
      <c r="N61" s="383"/>
      <c r="O61" s="383"/>
      <c r="P61" s="383"/>
      <c r="Q61" s="383"/>
      <c r="R61" s="383"/>
      <c r="S61" s="383"/>
      <c r="T61" s="383"/>
      <c r="U61" s="383"/>
      <c r="V61" s="383"/>
      <c r="W61" s="383"/>
      <c r="X61" s="383"/>
      <c r="Y61" s="383"/>
      <c r="Z61" s="383"/>
    </row>
    <row r="62">
      <c r="A62" s="389"/>
      <c r="B62" s="390"/>
      <c r="C62" s="391"/>
      <c r="D62" s="392"/>
      <c r="E62" s="383"/>
      <c r="F62" s="383"/>
      <c r="G62" s="383"/>
      <c r="H62" s="383"/>
      <c r="I62" s="383"/>
      <c r="J62" s="383"/>
      <c r="K62" s="383"/>
      <c r="L62" s="383"/>
      <c r="M62" s="383"/>
      <c r="N62" s="383"/>
      <c r="O62" s="383"/>
      <c r="P62" s="383"/>
      <c r="Q62" s="383"/>
      <c r="R62" s="383"/>
      <c r="S62" s="383"/>
      <c r="T62" s="383"/>
      <c r="U62" s="383"/>
      <c r="V62" s="383"/>
      <c r="W62" s="383"/>
      <c r="X62" s="383"/>
      <c r="Y62" s="383"/>
      <c r="Z62" s="383"/>
    </row>
    <row r="63">
      <c r="A63" s="389"/>
      <c r="B63" s="390"/>
      <c r="C63" s="391"/>
      <c r="D63" s="392"/>
      <c r="E63" s="383"/>
      <c r="F63" s="383"/>
      <c r="G63" s="383"/>
      <c r="H63" s="383"/>
      <c r="I63" s="383"/>
      <c r="J63" s="383"/>
      <c r="K63" s="383"/>
      <c r="L63" s="383"/>
      <c r="M63" s="383"/>
      <c r="N63" s="383"/>
      <c r="O63" s="383"/>
      <c r="P63" s="383"/>
      <c r="Q63" s="383"/>
      <c r="R63" s="383"/>
      <c r="S63" s="383"/>
      <c r="T63" s="383"/>
      <c r="U63" s="383"/>
      <c r="V63" s="383"/>
      <c r="W63" s="383"/>
      <c r="X63" s="383"/>
      <c r="Y63" s="383"/>
      <c r="Z63" s="383"/>
    </row>
    <row r="64">
      <c r="A64" s="389"/>
      <c r="B64" s="390"/>
      <c r="C64" s="391"/>
      <c r="D64" s="392"/>
      <c r="E64" s="383"/>
      <c r="F64" s="383"/>
      <c r="G64" s="383"/>
      <c r="H64" s="383"/>
      <c r="I64" s="383"/>
      <c r="J64" s="383"/>
      <c r="K64" s="383"/>
      <c r="L64" s="383"/>
      <c r="M64" s="383"/>
      <c r="N64" s="383"/>
      <c r="O64" s="383"/>
      <c r="P64" s="383"/>
      <c r="Q64" s="383"/>
      <c r="R64" s="383"/>
      <c r="S64" s="383"/>
      <c r="T64" s="383"/>
      <c r="U64" s="383"/>
      <c r="V64" s="383"/>
      <c r="W64" s="383"/>
      <c r="X64" s="383"/>
      <c r="Y64" s="383"/>
      <c r="Z64" s="383"/>
    </row>
    <row r="65">
      <c r="A65" s="389"/>
      <c r="B65" s="390"/>
      <c r="C65" s="391"/>
      <c r="D65" s="392"/>
      <c r="E65" s="383"/>
      <c r="F65" s="383"/>
      <c r="G65" s="383"/>
      <c r="H65" s="383"/>
      <c r="I65" s="383"/>
      <c r="J65" s="383"/>
      <c r="K65" s="383"/>
      <c r="L65" s="383"/>
      <c r="M65" s="383"/>
      <c r="N65" s="383"/>
      <c r="O65" s="383"/>
      <c r="P65" s="383"/>
      <c r="Q65" s="383"/>
      <c r="R65" s="383"/>
      <c r="S65" s="383"/>
      <c r="T65" s="383"/>
      <c r="U65" s="383"/>
      <c r="V65" s="383"/>
      <c r="W65" s="383"/>
      <c r="X65" s="383"/>
      <c r="Y65" s="383"/>
      <c r="Z65" s="383"/>
    </row>
    <row r="66">
      <c r="A66" s="389"/>
      <c r="B66" s="390"/>
      <c r="C66" s="391"/>
      <c r="D66" s="392"/>
      <c r="E66" s="383"/>
      <c r="F66" s="383"/>
      <c r="G66" s="383"/>
      <c r="H66" s="383"/>
      <c r="I66" s="383"/>
      <c r="J66" s="383"/>
      <c r="K66" s="383"/>
      <c r="L66" s="383"/>
      <c r="M66" s="383"/>
      <c r="N66" s="383"/>
      <c r="O66" s="383"/>
      <c r="P66" s="383"/>
      <c r="Q66" s="383"/>
      <c r="R66" s="383"/>
      <c r="S66" s="383"/>
      <c r="T66" s="383"/>
      <c r="U66" s="383"/>
      <c r="V66" s="383"/>
      <c r="W66" s="383"/>
      <c r="X66" s="383"/>
      <c r="Y66" s="383"/>
      <c r="Z66" s="383"/>
    </row>
    <row r="67">
      <c r="A67" s="389"/>
      <c r="B67" s="390"/>
      <c r="C67" s="391"/>
      <c r="D67" s="392"/>
      <c r="E67" s="383"/>
      <c r="F67" s="383"/>
      <c r="G67" s="383"/>
      <c r="H67" s="383"/>
      <c r="I67" s="383"/>
      <c r="J67" s="383"/>
      <c r="K67" s="383"/>
      <c r="L67" s="383"/>
      <c r="M67" s="383"/>
      <c r="N67" s="383"/>
      <c r="O67" s="383"/>
      <c r="P67" s="383"/>
      <c r="Q67" s="383"/>
      <c r="R67" s="383"/>
      <c r="S67" s="383"/>
      <c r="T67" s="383"/>
      <c r="U67" s="383"/>
      <c r="V67" s="383"/>
      <c r="W67" s="383"/>
      <c r="X67" s="383"/>
      <c r="Y67" s="383"/>
      <c r="Z67" s="383"/>
    </row>
    <row r="68">
      <c r="A68" s="389"/>
      <c r="B68" s="390"/>
      <c r="C68" s="391"/>
      <c r="D68" s="392"/>
      <c r="E68" s="383"/>
      <c r="F68" s="383"/>
      <c r="G68" s="383"/>
      <c r="H68" s="383"/>
      <c r="I68" s="383"/>
      <c r="J68" s="383"/>
      <c r="K68" s="383"/>
      <c r="L68" s="383"/>
      <c r="M68" s="383"/>
      <c r="N68" s="383"/>
      <c r="O68" s="383"/>
      <c r="P68" s="383"/>
      <c r="Q68" s="383"/>
      <c r="R68" s="383"/>
      <c r="S68" s="383"/>
      <c r="T68" s="383"/>
      <c r="U68" s="383"/>
      <c r="V68" s="383"/>
      <c r="W68" s="383"/>
      <c r="X68" s="383"/>
      <c r="Y68" s="383"/>
      <c r="Z68" s="383"/>
    </row>
    <row r="69">
      <c r="A69" s="389"/>
      <c r="B69" s="390"/>
      <c r="C69" s="391"/>
      <c r="D69" s="392"/>
      <c r="E69" s="383"/>
      <c r="F69" s="383"/>
      <c r="G69" s="383"/>
      <c r="H69" s="383"/>
      <c r="I69" s="383"/>
      <c r="J69" s="383"/>
      <c r="K69" s="383"/>
      <c r="L69" s="383"/>
      <c r="M69" s="383"/>
      <c r="N69" s="383"/>
      <c r="O69" s="383"/>
      <c r="P69" s="383"/>
      <c r="Q69" s="383"/>
      <c r="R69" s="383"/>
      <c r="S69" s="383"/>
      <c r="T69" s="383"/>
      <c r="U69" s="383"/>
      <c r="V69" s="383"/>
      <c r="W69" s="383"/>
      <c r="X69" s="383"/>
      <c r="Y69" s="383"/>
      <c r="Z69" s="383"/>
    </row>
    <row r="70">
      <c r="A70" s="389"/>
      <c r="B70" s="390"/>
      <c r="C70" s="391"/>
      <c r="D70" s="392"/>
      <c r="E70" s="383"/>
      <c r="F70" s="383"/>
      <c r="G70" s="383"/>
      <c r="H70" s="383"/>
      <c r="I70" s="383"/>
      <c r="J70" s="383"/>
      <c r="K70" s="383"/>
      <c r="L70" s="383"/>
      <c r="M70" s="383"/>
      <c r="N70" s="383"/>
      <c r="O70" s="383"/>
      <c r="P70" s="383"/>
      <c r="Q70" s="383"/>
      <c r="R70" s="383"/>
      <c r="S70" s="383"/>
      <c r="T70" s="383"/>
      <c r="U70" s="383"/>
      <c r="V70" s="383"/>
      <c r="W70" s="383"/>
      <c r="X70" s="383"/>
      <c r="Y70" s="383"/>
      <c r="Z70" s="383"/>
    </row>
    <row r="71">
      <c r="A71" s="389"/>
      <c r="B71" s="390"/>
      <c r="C71" s="391"/>
      <c r="D71" s="392"/>
      <c r="E71" s="383"/>
      <c r="F71" s="383"/>
      <c r="G71" s="383"/>
      <c r="H71" s="383"/>
      <c r="I71" s="383"/>
      <c r="J71" s="383"/>
      <c r="K71" s="383"/>
      <c r="L71" s="383"/>
      <c r="M71" s="383"/>
      <c r="N71" s="383"/>
      <c r="O71" s="383"/>
      <c r="P71" s="383"/>
      <c r="Q71" s="383"/>
      <c r="R71" s="383"/>
      <c r="S71" s="383"/>
      <c r="T71" s="383"/>
      <c r="U71" s="383"/>
      <c r="V71" s="383"/>
      <c r="W71" s="383"/>
      <c r="X71" s="383"/>
      <c r="Y71" s="383"/>
      <c r="Z71" s="383"/>
    </row>
    <row r="72">
      <c r="A72" s="389"/>
      <c r="B72" s="390"/>
      <c r="C72" s="391"/>
      <c r="D72" s="392"/>
      <c r="E72" s="383"/>
      <c r="F72" s="383"/>
      <c r="G72" s="383"/>
      <c r="H72" s="383"/>
      <c r="I72" s="383"/>
      <c r="J72" s="383"/>
      <c r="K72" s="383"/>
      <c r="L72" s="383"/>
      <c r="M72" s="383"/>
      <c r="N72" s="383"/>
      <c r="O72" s="383"/>
      <c r="P72" s="383"/>
      <c r="Q72" s="383"/>
      <c r="R72" s="383"/>
      <c r="S72" s="383"/>
      <c r="T72" s="383"/>
      <c r="U72" s="383"/>
      <c r="V72" s="383"/>
      <c r="W72" s="383"/>
      <c r="X72" s="383"/>
      <c r="Y72" s="383"/>
      <c r="Z72" s="383"/>
    </row>
    <row r="73">
      <c r="A73" s="389"/>
      <c r="B73" s="390"/>
      <c r="C73" s="391"/>
      <c r="D73" s="392"/>
      <c r="E73" s="383"/>
      <c r="F73" s="383"/>
      <c r="G73" s="383"/>
      <c r="H73" s="383"/>
      <c r="I73" s="383"/>
      <c r="J73" s="383"/>
      <c r="K73" s="383"/>
      <c r="L73" s="383"/>
      <c r="M73" s="383"/>
      <c r="N73" s="383"/>
      <c r="O73" s="383"/>
      <c r="P73" s="383"/>
      <c r="Q73" s="383"/>
      <c r="R73" s="383"/>
      <c r="S73" s="383"/>
      <c r="T73" s="383"/>
      <c r="U73" s="383"/>
      <c r="V73" s="383"/>
      <c r="W73" s="383"/>
      <c r="X73" s="383"/>
      <c r="Y73" s="383"/>
      <c r="Z73" s="383"/>
    </row>
    <row r="74">
      <c r="A74" s="389"/>
      <c r="B74" s="390"/>
      <c r="C74" s="391"/>
      <c r="D74" s="392"/>
      <c r="E74" s="383"/>
      <c r="F74" s="383"/>
      <c r="G74" s="383"/>
      <c r="H74" s="383"/>
      <c r="I74" s="383"/>
      <c r="J74" s="383"/>
      <c r="K74" s="383"/>
      <c r="L74" s="383"/>
      <c r="M74" s="383"/>
      <c r="N74" s="383"/>
      <c r="O74" s="383"/>
      <c r="P74" s="383"/>
      <c r="Q74" s="383"/>
      <c r="R74" s="383"/>
      <c r="S74" s="383"/>
      <c r="T74" s="383"/>
      <c r="U74" s="383"/>
      <c r="V74" s="383"/>
      <c r="W74" s="383"/>
      <c r="X74" s="383"/>
      <c r="Y74" s="383"/>
      <c r="Z74" s="383"/>
    </row>
    <row r="75">
      <c r="A75" s="389"/>
      <c r="B75" s="390"/>
      <c r="C75" s="391"/>
      <c r="D75" s="392"/>
      <c r="E75" s="383"/>
      <c r="F75" s="383"/>
      <c r="G75" s="383"/>
      <c r="H75" s="383"/>
      <c r="I75" s="383"/>
      <c r="J75" s="383"/>
      <c r="K75" s="383"/>
      <c r="L75" s="383"/>
      <c r="M75" s="383"/>
      <c r="N75" s="383"/>
      <c r="O75" s="383"/>
      <c r="P75" s="383"/>
      <c r="Q75" s="383"/>
      <c r="R75" s="383"/>
      <c r="S75" s="383"/>
      <c r="T75" s="383"/>
      <c r="U75" s="383"/>
      <c r="V75" s="383"/>
      <c r="W75" s="383"/>
      <c r="X75" s="383"/>
      <c r="Y75" s="383"/>
      <c r="Z75" s="383"/>
    </row>
    <row r="76">
      <c r="A76" s="389"/>
      <c r="B76" s="390"/>
      <c r="C76" s="391"/>
      <c r="D76" s="392"/>
      <c r="E76" s="383"/>
      <c r="F76" s="383"/>
      <c r="G76" s="383"/>
      <c r="H76" s="383"/>
      <c r="I76" s="383"/>
      <c r="J76" s="383"/>
      <c r="K76" s="383"/>
      <c r="L76" s="383"/>
      <c r="M76" s="383"/>
      <c r="N76" s="383"/>
      <c r="O76" s="383"/>
      <c r="P76" s="383"/>
      <c r="Q76" s="383"/>
      <c r="R76" s="383"/>
      <c r="S76" s="383"/>
      <c r="T76" s="383"/>
      <c r="U76" s="383"/>
      <c r="V76" s="383"/>
      <c r="W76" s="383"/>
      <c r="X76" s="383"/>
      <c r="Y76" s="383"/>
      <c r="Z76" s="383"/>
    </row>
    <row r="77">
      <c r="A77" s="389"/>
      <c r="B77" s="390"/>
      <c r="C77" s="391"/>
      <c r="D77" s="392"/>
      <c r="E77" s="383"/>
      <c r="F77" s="383"/>
      <c r="G77" s="383"/>
      <c r="H77" s="383"/>
      <c r="I77" s="383"/>
      <c r="J77" s="383"/>
      <c r="K77" s="383"/>
      <c r="L77" s="383"/>
      <c r="M77" s="383"/>
      <c r="N77" s="383"/>
      <c r="O77" s="383"/>
      <c r="P77" s="383"/>
      <c r="Q77" s="383"/>
      <c r="R77" s="383"/>
      <c r="S77" s="383"/>
      <c r="T77" s="383"/>
      <c r="U77" s="383"/>
      <c r="V77" s="383"/>
      <c r="W77" s="383"/>
      <c r="X77" s="383"/>
      <c r="Y77" s="383"/>
      <c r="Z77" s="383"/>
    </row>
    <row r="78">
      <c r="A78" s="389"/>
      <c r="B78" s="390"/>
      <c r="C78" s="391"/>
      <c r="D78" s="392"/>
      <c r="E78" s="383"/>
      <c r="F78" s="383"/>
      <c r="G78" s="383"/>
      <c r="H78" s="383"/>
      <c r="I78" s="383"/>
      <c r="J78" s="383"/>
      <c r="K78" s="383"/>
      <c r="L78" s="383"/>
      <c r="M78" s="383"/>
      <c r="N78" s="383"/>
      <c r="O78" s="383"/>
      <c r="P78" s="383"/>
      <c r="Q78" s="383"/>
      <c r="R78" s="383"/>
      <c r="S78" s="383"/>
      <c r="T78" s="383"/>
      <c r="U78" s="383"/>
      <c r="V78" s="383"/>
      <c r="W78" s="383"/>
      <c r="X78" s="383"/>
      <c r="Y78" s="383"/>
      <c r="Z78" s="383"/>
    </row>
    <row r="79">
      <c r="A79" s="389"/>
      <c r="B79" s="390"/>
      <c r="C79" s="391"/>
      <c r="D79" s="392"/>
      <c r="E79" s="383"/>
      <c r="F79" s="383"/>
      <c r="G79" s="383"/>
      <c r="H79" s="383"/>
      <c r="I79" s="383"/>
      <c r="J79" s="383"/>
      <c r="K79" s="383"/>
      <c r="L79" s="383"/>
      <c r="M79" s="383"/>
      <c r="N79" s="383"/>
      <c r="O79" s="383"/>
      <c r="P79" s="383"/>
      <c r="Q79" s="383"/>
      <c r="R79" s="383"/>
      <c r="S79" s="383"/>
      <c r="T79" s="383"/>
      <c r="U79" s="383"/>
      <c r="V79" s="383"/>
      <c r="W79" s="383"/>
      <c r="X79" s="383"/>
      <c r="Y79" s="383"/>
      <c r="Z79" s="383"/>
    </row>
    <row r="80">
      <c r="A80" s="389"/>
      <c r="B80" s="390"/>
      <c r="C80" s="391"/>
      <c r="D80" s="392"/>
      <c r="E80" s="383"/>
      <c r="F80" s="383"/>
      <c r="G80" s="383"/>
      <c r="H80" s="383"/>
      <c r="I80" s="383"/>
      <c r="J80" s="383"/>
      <c r="K80" s="383"/>
      <c r="L80" s="383"/>
      <c r="M80" s="383"/>
      <c r="N80" s="383"/>
      <c r="O80" s="383"/>
      <c r="P80" s="383"/>
      <c r="Q80" s="383"/>
      <c r="R80" s="383"/>
      <c r="S80" s="383"/>
      <c r="T80" s="383"/>
      <c r="U80" s="383"/>
      <c r="V80" s="383"/>
      <c r="W80" s="383"/>
      <c r="X80" s="383"/>
      <c r="Y80" s="383"/>
      <c r="Z80" s="383"/>
    </row>
    <row r="81">
      <c r="A81" s="389"/>
      <c r="B81" s="390"/>
      <c r="C81" s="391"/>
      <c r="D81" s="392"/>
      <c r="E81" s="383"/>
      <c r="F81" s="383"/>
      <c r="G81" s="383"/>
      <c r="H81" s="383"/>
      <c r="I81" s="383"/>
      <c r="J81" s="383"/>
      <c r="K81" s="383"/>
      <c r="L81" s="383"/>
      <c r="M81" s="383"/>
      <c r="N81" s="383"/>
      <c r="O81" s="383"/>
      <c r="P81" s="383"/>
      <c r="Q81" s="383"/>
      <c r="R81" s="383"/>
      <c r="S81" s="383"/>
      <c r="T81" s="383"/>
      <c r="U81" s="383"/>
      <c r="V81" s="383"/>
      <c r="W81" s="383"/>
      <c r="X81" s="383"/>
      <c r="Y81" s="383"/>
      <c r="Z81" s="383"/>
    </row>
    <row r="82">
      <c r="A82" s="389"/>
      <c r="B82" s="390"/>
      <c r="C82" s="391"/>
      <c r="D82" s="392"/>
      <c r="E82" s="383"/>
      <c r="F82" s="383"/>
      <c r="G82" s="383"/>
      <c r="H82" s="383"/>
      <c r="I82" s="383"/>
      <c r="J82" s="383"/>
      <c r="K82" s="383"/>
      <c r="L82" s="383"/>
      <c r="M82" s="383"/>
      <c r="N82" s="383"/>
      <c r="O82" s="383"/>
      <c r="P82" s="383"/>
      <c r="Q82" s="383"/>
      <c r="R82" s="383"/>
      <c r="S82" s="383"/>
      <c r="T82" s="383"/>
      <c r="U82" s="383"/>
      <c r="V82" s="383"/>
      <c r="W82" s="383"/>
      <c r="X82" s="383"/>
      <c r="Y82" s="383"/>
      <c r="Z82" s="383"/>
    </row>
    <row r="83">
      <c r="A83" s="389"/>
      <c r="B83" s="390"/>
      <c r="C83" s="391"/>
      <c r="D83" s="392"/>
      <c r="E83" s="383"/>
      <c r="F83" s="383"/>
      <c r="G83" s="383"/>
      <c r="H83" s="383"/>
      <c r="I83" s="383"/>
      <c r="J83" s="383"/>
      <c r="K83" s="383"/>
      <c r="L83" s="383"/>
      <c r="M83" s="383"/>
      <c r="N83" s="383"/>
      <c r="O83" s="383"/>
      <c r="P83" s="383"/>
      <c r="Q83" s="383"/>
      <c r="R83" s="383"/>
      <c r="S83" s="383"/>
      <c r="T83" s="383"/>
      <c r="U83" s="383"/>
      <c r="V83" s="383"/>
      <c r="W83" s="383"/>
      <c r="X83" s="383"/>
      <c r="Y83" s="383"/>
      <c r="Z83" s="383"/>
    </row>
    <row r="84">
      <c r="A84" s="389"/>
      <c r="B84" s="390"/>
      <c r="C84" s="391"/>
      <c r="D84" s="392"/>
      <c r="E84" s="383"/>
      <c r="F84" s="383"/>
      <c r="G84" s="383"/>
      <c r="H84" s="383"/>
      <c r="I84" s="383"/>
      <c r="J84" s="383"/>
      <c r="K84" s="383"/>
      <c r="L84" s="383"/>
      <c r="M84" s="383"/>
      <c r="N84" s="383"/>
      <c r="O84" s="383"/>
      <c r="P84" s="383"/>
      <c r="Q84" s="383"/>
      <c r="R84" s="383"/>
      <c r="S84" s="383"/>
      <c r="T84" s="383"/>
      <c r="U84" s="383"/>
      <c r="V84" s="383"/>
      <c r="W84" s="383"/>
      <c r="X84" s="383"/>
      <c r="Y84" s="383"/>
      <c r="Z84" s="383"/>
    </row>
    <row r="85">
      <c r="A85" s="389"/>
      <c r="B85" s="390"/>
      <c r="C85" s="391"/>
      <c r="D85" s="392"/>
      <c r="E85" s="383"/>
      <c r="F85" s="383"/>
      <c r="G85" s="383"/>
      <c r="H85" s="383"/>
      <c r="I85" s="383"/>
      <c r="J85" s="383"/>
      <c r="K85" s="383"/>
      <c r="L85" s="383"/>
      <c r="M85" s="383"/>
      <c r="N85" s="383"/>
      <c r="O85" s="383"/>
      <c r="P85" s="383"/>
      <c r="Q85" s="383"/>
      <c r="R85" s="383"/>
      <c r="S85" s="383"/>
      <c r="T85" s="383"/>
      <c r="U85" s="383"/>
      <c r="V85" s="383"/>
      <c r="W85" s="383"/>
      <c r="X85" s="383"/>
      <c r="Y85" s="383"/>
      <c r="Z85" s="383"/>
    </row>
    <row r="86">
      <c r="A86" s="389"/>
      <c r="B86" s="390"/>
      <c r="C86" s="391"/>
      <c r="D86" s="392"/>
      <c r="E86" s="383"/>
      <c r="F86" s="383"/>
      <c r="G86" s="383"/>
      <c r="H86" s="383"/>
      <c r="I86" s="383"/>
      <c r="J86" s="383"/>
      <c r="K86" s="383"/>
      <c r="L86" s="383"/>
      <c r="M86" s="383"/>
      <c r="N86" s="383"/>
      <c r="O86" s="383"/>
      <c r="P86" s="383"/>
      <c r="Q86" s="383"/>
      <c r="R86" s="383"/>
      <c r="S86" s="383"/>
      <c r="T86" s="383"/>
      <c r="U86" s="383"/>
      <c r="V86" s="383"/>
      <c r="W86" s="383"/>
      <c r="X86" s="383"/>
      <c r="Y86" s="383"/>
      <c r="Z86" s="383"/>
    </row>
    <row r="87">
      <c r="A87" s="389"/>
      <c r="B87" s="390"/>
      <c r="C87" s="391"/>
      <c r="D87" s="392"/>
      <c r="E87" s="383"/>
      <c r="F87" s="383"/>
      <c r="G87" s="383"/>
      <c r="H87" s="383"/>
      <c r="I87" s="383"/>
      <c r="J87" s="383"/>
      <c r="K87" s="383"/>
      <c r="L87" s="383"/>
      <c r="M87" s="383"/>
      <c r="N87" s="383"/>
      <c r="O87" s="383"/>
      <c r="P87" s="383"/>
      <c r="Q87" s="383"/>
      <c r="R87" s="383"/>
      <c r="S87" s="383"/>
      <c r="T87" s="383"/>
      <c r="U87" s="383"/>
      <c r="V87" s="383"/>
      <c r="W87" s="383"/>
      <c r="X87" s="383"/>
      <c r="Y87" s="383"/>
      <c r="Z87" s="383"/>
    </row>
    <row r="88">
      <c r="A88" s="389"/>
      <c r="B88" s="390"/>
      <c r="C88" s="391"/>
      <c r="D88" s="392"/>
      <c r="E88" s="383"/>
      <c r="F88" s="383"/>
      <c r="G88" s="383"/>
      <c r="H88" s="383"/>
      <c r="I88" s="383"/>
      <c r="J88" s="383"/>
      <c r="K88" s="383"/>
      <c r="L88" s="383"/>
      <c r="M88" s="383"/>
      <c r="N88" s="383"/>
      <c r="O88" s="383"/>
      <c r="P88" s="383"/>
      <c r="Q88" s="383"/>
      <c r="R88" s="383"/>
      <c r="S88" s="383"/>
      <c r="T88" s="383"/>
      <c r="U88" s="383"/>
      <c r="V88" s="383"/>
      <c r="W88" s="383"/>
      <c r="X88" s="383"/>
      <c r="Y88" s="383"/>
      <c r="Z88" s="383"/>
    </row>
    <row r="89">
      <c r="A89" s="389"/>
      <c r="B89" s="390"/>
      <c r="C89" s="391"/>
      <c r="D89" s="392"/>
      <c r="E89" s="383"/>
      <c r="F89" s="383"/>
      <c r="G89" s="383"/>
      <c r="H89" s="383"/>
      <c r="I89" s="383"/>
      <c r="J89" s="383"/>
      <c r="K89" s="383"/>
      <c r="L89" s="383"/>
      <c r="M89" s="383"/>
      <c r="N89" s="383"/>
      <c r="O89" s="383"/>
      <c r="P89" s="383"/>
      <c r="Q89" s="383"/>
      <c r="R89" s="383"/>
      <c r="S89" s="383"/>
      <c r="T89" s="383"/>
      <c r="U89" s="383"/>
      <c r="V89" s="383"/>
      <c r="W89" s="383"/>
      <c r="X89" s="383"/>
      <c r="Y89" s="383"/>
      <c r="Z89" s="383"/>
    </row>
    <row r="90">
      <c r="A90" s="389"/>
      <c r="B90" s="390"/>
      <c r="C90" s="391"/>
      <c r="D90" s="392"/>
      <c r="E90" s="383"/>
      <c r="F90" s="383"/>
      <c r="G90" s="383"/>
      <c r="H90" s="383"/>
      <c r="I90" s="383"/>
      <c r="J90" s="383"/>
      <c r="K90" s="383"/>
      <c r="L90" s="383"/>
      <c r="M90" s="383"/>
      <c r="N90" s="383"/>
      <c r="O90" s="383"/>
      <c r="P90" s="383"/>
      <c r="Q90" s="383"/>
      <c r="R90" s="383"/>
      <c r="S90" s="383"/>
      <c r="T90" s="383"/>
      <c r="U90" s="383"/>
      <c r="V90" s="383"/>
      <c r="W90" s="383"/>
      <c r="X90" s="383"/>
      <c r="Y90" s="383"/>
      <c r="Z90" s="383"/>
    </row>
    <row r="91">
      <c r="A91" s="389"/>
      <c r="B91" s="390"/>
      <c r="C91" s="391"/>
      <c r="D91" s="392"/>
      <c r="E91" s="383"/>
      <c r="F91" s="383"/>
      <c r="G91" s="383"/>
      <c r="H91" s="383"/>
      <c r="I91" s="383"/>
      <c r="J91" s="383"/>
      <c r="K91" s="383"/>
      <c r="L91" s="383"/>
      <c r="M91" s="383"/>
      <c r="N91" s="383"/>
      <c r="O91" s="383"/>
      <c r="P91" s="383"/>
      <c r="Q91" s="383"/>
      <c r="R91" s="383"/>
      <c r="S91" s="383"/>
      <c r="T91" s="383"/>
      <c r="U91" s="383"/>
      <c r="V91" s="383"/>
      <c r="W91" s="383"/>
      <c r="X91" s="383"/>
      <c r="Y91" s="383"/>
      <c r="Z91" s="383"/>
    </row>
    <row r="92">
      <c r="A92" s="389"/>
      <c r="B92" s="390"/>
      <c r="C92" s="391"/>
      <c r="D92" s="392"/>
      <c r="E92" s="383"/>
      <c r="F92" s="383"/>
      <c r="G92" s="383"/>
      <c r="H92" s="383"/>
      <c r="I92" s="383"/>
      <c r="J92" s="383"/>
      <c r="K92" s="383"/>
      <c r="L92" s="383"/>
      <c r="M92" s="383"/>
      <c r="N92" s="383"/>
      <c r="O92" s="383"/>
      <c r="P92" s="383"/>
      <c r="Q92" s="383"/>
      <c r="R92" s="383"/>
      <c r="S92" s="383"/>
      <c r="T92" s="383"/>
      <c r="U92" s="383"/>
      <c r="V92" s="383"/>
      <c r="W92" s="383"/>
      <c r="X92" s="383"/>
      <c r="Y92" s="383"/>
      <c r="Z92" s="383"/>
    </row>
    <row r="93">
      <c r="A93" s="389"/>
      <c r="B93" s="390"/>
      <c r="C93" s="391"/>
      <c r="D93" s="392"/>
      <c r="E93" s="383"/>
      <c r="F93" s="383"/>
      <c r="G93" s="383"/>
      <c r="H93" s="383"/>
      <c r="I93" s="383"/>
      <c r="J93" s="383"/>
      <c r="K93" s="383"/>
      <c r="L93" s="383"/>
      <c r="M93" s="383"/>
      <c r="N93" s="383"/>
      <c r="O93" s="383"/>
      <c r="P93" s="383"/>
      <c r="Q93" s="383"/>
      <c r="R93" s="383"/>
      <c r="S93" s="383"/>
      <c r="T93" s="383"/>
      <c r="U93" s="383"/>
      <c r="V93" s="383"/>
      <c r="W93" s="383"/>
      <c r="X93" s="383"/>
      <c r="Y93" s="383"/>
      <c r="Z93" s="383"/>
    </row>
    <row r="94">
      <c r="A94" s="389"/>
      <c r="B94" s="390"/>
      <c r="C94" s="391"/>
      <c r="D94" s="392"/>
      <c r="E94" s="383"/>
      <c r="F94" s="383"/>
      <c r="G94" s="383"/>
      <c r="H94" s="383"/>
      <c r="I94" s="383"/>
      <c r="J94" s="383"/>
      <c r="K94" s="383"/>
      <c r="L94" s="383"/>
      <c r="M94" s="383"/>
      <c r="N94" s="383"/>
      <c r="O94" s="383"/>
      <c r="P94" s="383"/>
      <c r="Q94" s="383"/>
      <c r="R94" s="383"/>
      <c r="S94" s="383"/>
      <c r="T94" s="383"/>
      <c r="U94" s="383"/>
      <c r="V94" s="383"/>
      <c r="W94" s="383"/>
      <c r="X94" s="383"/>
      <c r="Y94" s="383"/>
      <c r="Z94" s="383"/>
    </row>
    <row r="95">
      <c r="A95" s="389"/>
      <c r="B95" s="390"/>
      <c r="C95" s="391"/>
      <c r="D95" s="392"/>
      <c r="E95" s="383"/>
      <c r="F95" s="383"/>
      <c r="G95" s="383"/>
      <c r="H95" s="383"/>
      <c r="I95" s="383"/>
      <c r="J95" s="383"/>
      <c r="K95" s="383"/>
      <c r="L95" s="383"/>
      <c r="M95" s="383"/>
      <c r="N95" s="383"/>
      <c r="O95" s="383"/>
      <c r="P95" s="383"/>
      <c r="Q95" s="383"/>
      <c r="R95" s="383"/>
      <c r="S95" s="383"/>
      <c r="T95" s="383"/>
      <c r="U95" s="383"/>
      <c r="V95" s="383"/>
      <c r="W95" s="383"/>
      <c r="X95" s="383"/>
      <c r="Y95" s="383"/>
      <c r="Z95" s="383"/>
    </row>
    <row r="96">
      <c r="A96" s="389"/>
      <c r="B96" s="390"/>
      <c r="C96" s="391"/>
      <c r="D96" s="392"/>
      <c r="E96" s="383"/>
      <c r="F96" s="383"/>
      <c r="G96" s="383"/>
      <c r="H96" s="383"/>
      <c r="I96" s="383"/>
      <c r="J96" s="383"/>
      <c r="K96" s="383"/>
      <c r="L96" s="383"/>
      <c r="M96" s="383"/>
      <c r="N96" s="383"/>
      <c r="O96" s="383"/>
      <c r="P96" s="383"/>
      <c r="Q96" s="383"/>
      <c r="R96" s="383"/>
      <c r="S96" s="383"/>
      <c r="T96" s="383"/>
      <c r="U96" s="383"/>
      <c r="V96" s="383"/>
      <c r="W96" s="383"/>
      <c r="X96" s="383"/>
      <c r="Y96" s="383"/>
      <c r="Z96" s="383"/>
    </row>
    <row r="97">
      <c r="A97" s="389"/>
      <c r="B97" s="390"/>
      <c r="C97" s="391"/>
      <c r="D97" s="392"/>
      <c r="E97" s="383"/>
      <c r="F97" s="383"/>
      <c r="G97" s="383"/>
      <c r="H97" s="383"/>
      <c r="I97" s="383"/>
      <c r="J97" s="383"/>
      <c r="K97" s="383"/>
      <c r="L97" s="383"/>
      <c r="M97" s="383"/>
      <c r="N97" s="383"/>
      <c r="O97" s="383"/>
      <c r="P97" s="383"/>
      <c r="Q97" s="383"/>
      <c r="R97" s="383"/>
      <c r="S97" s="383"/>
      <c r="T97" s="383"/>
      <c r="U97" s="383"/>
      <c r="V97" s="383"/>
      <c r="W97" s="383"/>
      <c r="X97" s="383"/>
      <c r="Y97" s="383"/>
      <c r="Z97" s="383"/>
    </row>
    <row r="98">
      <c r="A98" s="389"/>
      <c r="B98" s="390"/>
      <c r="C98" s="391"/>
      <c r="D98" s="392"/>
      <c r="E98" s="383"/>
      <c r="F98" s="383"/>
      <c r="G98" s="383"/>
      <c r="H98" s="383"/>
      <c r="I98" s="383"/>
      <c r="J98" s="383"/>
      <c r="K98" s="383"/>
      <c r="L98" s="383"/>
      <c r="M98" s="383"/>
      <c r="N98" s="383"/>
      <c r="O98" s="383"/>
      <c r="P98" s="383"/>
      <c r="Q98" s="383"/>
      <c r="R98" s="383"/>
      <c r="S98" s="383"/>
      <c r="T98" s="383"/>
      <c r="U98" s="383"/>
      <c r="V98" s="383"/>
      <c r="W98" s="383"/>
      <c r="X98" s="383"/>
      <c r="Y98" s="383"/>
      <c r="Z98" s="383"/>
    </row>
    <row r="99">
      <c r="A99" s="389"/>
      <c r="B99" s="390"/>
      <c r="C99" s="391"/>
      <c r="D99" s="392"/>
      <c r="E99" s="383"/>
      <c r="F99" s="383"/>
      <c r="G99" s="383"/>
      <c r="H99" s="383"/>
      <c r="I99" s="383"/>
      <c r="J99" s="383"/>
      <c r="K99" s="383"/>
      <c r="L99" s="383"/>
      <c r="M99" s="383"/>
      <c r="N99" s="383"/>
      <c r="O99" s="383"/>
      <c r="P99" s="383"/>
      <c r="Q99" s="383"/>
      <c r="R99" s="383"/>
      <c r="S99" s="383"/>
      <c r="T99" s="383"/>
      <c r="U99" s="383"/>
      <c r="V99" s="383"/>
      <c r="W99" s="383"/>
      <c r="X99" s="383"/>
      <c r="Y99" s="383"/>
      <c r="Z99" s="383"/>
    </row>
    <row r="100">
      <c r="A100" s="389"/>
      <c r="B100" s="390"/>
      <c r="C100" s="391"/>
      <c r="D100" s="392"/>
      <c r="E100" s="383"/>
      <c r="F100" s="383"/>
      <c r="G100" s="383"/>
      <c r="H100" s="383"/>
      <c r="I100" s="383"/>
      <c r="J100" s="383"/>
      <c r="K100" s="383"/>
      <c r="L100" s="383"/>
      <c r="M100" s="383"/>
      <c r="N100" s="383"/>
      <c r="O100" s="383"/>
      <c r="P100" s="383"/>
      <c r="Q100" s="383"/>
      <c r="R100" s="383"/>
      <c r="S100" s="383"/>
      <c r="T100" s="383"/>
      <c r="U100" s="383"/>
      <c r="V100" s="383"/>
      <c r="W100" s="383"/>
      <c r="X100" s="383"/>
      <c r="Y100" s="383"/>
      <c r="Z100" s="383"/>
    </row>
    <row r="101">
      <c r="A101" s="389"/>
      <c r="B101" s="390"/>
      <c r="C101" s="391"/>
      <c r="D101" s="392"/>
      <c r="E101" s="383"/>
      <c r="F101" s="383"/>
      <c r="G101" s="383"/>
      <c r="H101" s="383"/>
      <c r="I101" s="383"/>
      <c r="J101" s="383"/>
      <c r="K101" s="383"/>
      <c r="L101" s="383"/>
      <c r="M101" s="383"/>
      <c r="N101" s="383"/>
      <c r="O101" s="383"/>
      <c r="P101" s="383"/>
      <c r="Q101" s="383"/>
      <c r="R101" s="383"/>
      <c r="S101" s="383"/>
      <c r="T101" s="383"/>
      <c r="U101" s="383"/>
      <c r="V101" s="383"/>
      <c r="W101" s="383"/>
      <c r="X101" s="383"/>
      <c r="Y101" s="383"/>
      <c r="Z101" s="383"/>
    </row>
    <row r="102">
      <c r="A102" s="389"/>
      <c r="B102" s="390"/>
      <c r="C102" s="391"/>
      <c r="D102" s="392"/>
      <c r="E102" s="383"/>
      <c r="F102" s="383"/>
      <c r="G102" s="383"/>
      <c r="H102" s="383"/>
      <c r="I102" s="383"/>
      <c r="J102" s="383"/>
      <c r="K102" s="383"/>
      <c r="L102" s="383"/>
      <c r="M102" s="383"/>
      <c r="N102" s="383"/>
      <c r="O102" s="383"/>
      <c r="P102" s="383"/>
      <c r="Q102" s="383"/>
      <c r="R102" s="383"/>
      <c r="S102" s="383"/>
      <c r="T102" s="383"/>
      <c r="U102" s="383"/>
      <c r="V102" s="383"/>
      <c r="W102" s="383"/>
      <c r="X102" s="383"/>
      <c r="Y102" s="383"/>
      <c r="Z102" s="383"/>
    </row>
    <row r="103">
      <c r="A103" s="389"/>
      <c r="B103" s="390"/>
      <c r="C103" s="391"/>
      <c r="D103" s="392"/>
      <c r="E103" s="383"/>
      <c r="F103" s="383"/>
      <c r="G103" s="383"/>
      <c r="H103" s="383"/>
      <c r="I103" s="383"/>
      <c r="J103" s="383"/>
      <c r="K103" s="383"/>
      <c r="L103" s="383"/>
      <c r="M103" s="383"/>
      <c r="N103" s="383"/>
      <c r="O103" s="383"/>
      <c r="P103" s="383"/>
      <c r="Q103" s="383"/>
      <c r="R103" s="383"/>
      <c r="S103" s="383"/>
      <c r="T103" s="383"/>
      <c r="U103" s="383"/>
      <c r="V103" s="383"/>
      <c r="W103" s="383"/>
      <c r="X103" s="383"/>
      <c r="Y103" s="383"/>
      <c r="Z103" s="383"/>
    </row>
    <row r="104">
      <c r="A104" s="389"/>
      <c r="B104" s="390"/>
      <c r="C104" s="391"/>
      <c r="D104" s="392"/>
      <c r="E104" s="383"/>
      <c r="F104" s="383"/>
      <c r="G104" s="383"/>
      <c r="H104" s="383"/>
      <c r="I104" s="383"/>
      <c r="J104" s="383"/>
      <c r="K104" s="383"/>
      <c r="L104" s="383"/>
      <c r="M104" s="383"/>
      <c r="N104" s="383"/>
      <c r="O104" s="383"/>
      <c r="P104" s="383"/>
      <c r="Q104" s="383"/>
      <c r="R104" s="383"/>
      <c r="S104" s="383"/>
      <c r="T104" s="383"/>
      <c r="U104" s="383"/>
      <c r="V104" s="383"/>
      <c r="W104" s="383"/>
      <c r="X104" s="383"/>
      <c r="Y104" s="383"/>
      <c r="Z104" s="383"/>
    </row>
    <row r="105">
      <c r="A105" s="389"/>
      <c r="B105" s="390"/>
      <c r="C105" s="391"/>
      <c r="D105" s="392"/>
      <c r="E105" s="383"/>
      <c r="F105" s="383"/>
      <c r="G105" s="383"/>
      <c r="H105" s="383"/>
      <c r="I105" s="383"/>
      <c r="J105" s="383"/>
      <c r="K105" s="383"/>
      <c r="L105" s="383"/>
      <c r="M105" s="383"/>
      <c r="N105" s="383"/>
      <c r="O105" s="383"/>
      <c r="P105" s="383"/>
      <c r="Q105" s="383"/>
      <c r="R105" s="383"/>
      <c r="S105" s="383"/>
      <c r="T105" s="383"/>
      <c r="U105" s="383"/>
      <c r="V105" s="383"/>
      <c r="W105" s="383"/>
      <c r="X105" s="383"/>
      <c r="Y105" s="383"/>
      <c r="Z105" s="383"/>
    </row>
    <row r="106">
      <c r="A106" s="389"/>
      <c r="B106" s="390"/>
      <c r="C106" s="391"/>
      <c r="D106" s="392"/>
      <c r="E106" s="383"/>
      <c r="F106" s="383"/>
      <c r="G106" s="383"/>
      <c r="H106" s="383"/>
      <c r="I106" s="383"/>
      <c r="J106" s="383"/>
      <c r="K106" s="383"/>
      <c r="L106" s="383"/>
      <c r="M106" s="383"/>
      <c r="N106" s="383"/>
      <c r="O106" s="383"/>
      <c r="P106" s="383"/>
      <c r="Q106" s="383"/>
      <c r="R106" s="383"/>
      <c r="S106" s="383"/>
      <c r="T106" s="383"/>
      <c r="U106" s="383"/>
      <c r="V106" s="383"/>
      <c r="W106" s="383"/>
      <c r="X106" s="383"/>
      <c r="Y106" s="383"/>
      <c r="Z106" s="383"/>
    </row>
    <row r="107">
      <c r="A107" s="389"/>
      <c r="B107" s="390"/>
      <c r="C107" s="391"/>
      <c r="D107" s="392"/>
      <c r="E107" s="383"/>
      <c r="F107" s="383"/>
      <c r="G107" s="383"/>
      <c r="H107" s="383"/>
      <c r="I107" s="383"/>
      <c r="J107" s="383"/>
      <c r="K107" s="383"/>
      <c r="L107" s="383"/>
      <c r="M107" s="383"/>
      <c r="N107" s="383"/>
      <c r="O107" s="383"/>
      <c r="P107" s="383"/>
      <c r="Q107" s="383"/>
      <c r="R107" s="383"/>
      <c r="S107" s="383"/>
      <c r="T107" s="383"/>
      <c r="U107" s="383"/>
      <c r="V107" s="383"/>
      <c r="W107" s="383"/>
      <c r="X107" s="383"/>
      <c r="Y107" s="383"/>
      <c r="Z107" s="383"/>
    </row>
    <row r="108">
      <c r="A108" s="389"/>
      <c r="B108" s="390"/>
      <c r="C108" s="391"/>
      <c r="D108" s="392"/>
      <c r="E108" s="383"/>
      <c r="F108" s="383"/>
      <c r="G108" s="383"/>
      <c r="H108" s="383"/>
      <c r="I108" s="383"/>
      <c r="J108" s="383"/>
      <c r="K108" s="383"/>
      <c r="L108" s="383"/>
      <c r="M108" s="383"/>
      <c r="N108" s="383"/>
      <c r="O108" s="383"/>
      <c r="P108" s="383"/>
      <c r="Q108" s="383"/>
      <c r="R108" s="383"/>
      <c r="S108" s="383"/>
      <c r="T108" s="383"/>
      <c r="U108" s="383"/>
      <c r="V108" s="383"/>
      <c r="W108" s="383"/>
      <c r="X108" s="383"/>
      <c r="Y108" s="383"/>
      <c r="Z108" s="383"/>
    </row>
    <row r="109">
      <c r="A109" s="389"/>
      <c r="B109" s="390"/>
      <c r="C109" s="391"/>
      <c r="D109" s="392"/>
      <c r="E109" s="383"/>
      <c r="F109" s="383"/>
      <c r="G109" s="383"/>
      <c r="H109" s="383"/>
      <c r="I109" s="383"/>
      <c r="J109" s="383"/>
      <c r="K109" s="383"/>
      <c r="L109" s="383"/>
      <c r="M109" s="383"/>
      <c r="N109" s="383"/>
      <c r="O109" s="383"/>
      <c r="P109" s="383"/>
      <c r="Q109" s="383"/>
      <c r="R109" s="383"/>
      <c r="S109" s="383"/>
      <c r="T109" s="383"/>
      <c r="U109" s="383"/>
      <c r="V109" s="383"/>
      <c r="W109" s="383"/>
      <c r="X109" s="383"/>
      <c r="Y109" s="383"/>
      <c r="Z109" s="383"/>
    </row>
    <row r="110">
      <c r="A110" s="389"/>
      <c r="B110" s="390"/>
      <c r="C110" s="391"/>
      <c r="D110" s="392"/>
      <c r="E110" s="383"/>
      <c r="F110" s="383"/>
      <c r="G110" s="383"/>
      <c r="H110" s="383"/>
      <c r="I110" s="383"/>
      <c r="J110" s="383"/>
      <c r="K110" s="383"/>
      <c r="L110" s="383"/>
      <c r="M110" s="383"/>
      <c r="N110" s="383"/>
      <c r="O110" s="383"/>
      <c r="P110" s="383"/>
      <c r="Q110" s="383"/>
      <c r="R110" s="383"/>
      <c r="S110" s="383"/>
      <c r="T110" s="383"/>
      <c r="U110" s="383"/>
      <c r="V110" s="383"/>
      <c r="W110" s="383"/>
      <c r="X110" s="383"/>
      <c r="Y110" s="383"/>
      <c r="Z110" s="383"/>
    </row>
    <row r="111">
      <c r="A111" s="389"/>
      <c r="B111" s="390"/>
      <c r="C111" s="391"/>
      <c r="D111" s="392"/>
      <c r="E111" s="383"/>
      <c r="F111" s="383"/>
      <c r="G111" s="383"/>
      <c r="H111" s="383"/>
      <c r="I111" s="383"/>
      <c r="J111" s="383"/>
      <c r="K111" s="383"/>
      <c r="L111" s="383"/>
      <c r="M111" s="383"/>
      <c r="N111" s="383"/>
      <c r="O111" s="383"/>
      <c r="P111" s="383"/>
      <c r="Q111" s="383"/>
      <c r="R111" s="383"/>
      <c r="S111" s="383"/>
      <c r="T111" s="383"/>
      <c r="U111" s="383"/>
      <c r="V111" s="383"/>
      <c r="W111" s="383"/>
      <c r="X111" s="383"/>
      <c r="Y111" s="383"/>
      <c r="Z111" s="383"/>
    </row>
    <row r="112">
      <c r="A112" s="389"/>
      <c r="B112" s="390"/>
      <c r="C112" s="391"/>
      <c r="D112" s="392"/>
      <c r="E112" s="383"/>
      <c r="F112" s="383"/>
      <c r="G112" s="383"/>
      <c r="H112" s="383"/>
      <c r="I112" s="383"/>
      <c r="J112" s="383"/>
      <c r="K112" s="383"/>
      <c r="L112" s="383"/>
      <c r="M112" s="383"/>
      <c r="N112" s="383"/>
      <c r="O112" s="383"/>
      <c r="P112" s="383"/>
      <c r="Q112" s="383"/>
      <c r="R112" s="383"/>
      <c r="S112" s="383"/>
      <c r="T112" s="383"/>
      <c r="U112" s="383"/>
      <c r="V112" s="383"/>
      <c r="W112" s="383"/>
      <c r="X112" s="383"/>
      <c r="Y112" s="383"/>
      <c r="Z112" s="383"/>
    </row>
    <row r="113">
      <c r="A113" s="389"/>
      <c r="B113" s="390"/>
      <c r="C113" s="391"/>
      <c r="D113" s="392"/>
      <c r="E113" s="383"/>
      <c r="F113" s="383"/>
      <c r="G113" s="383"/>
      <c r="H113" s="383"/>
      <c r="I113" s="383"/>
      <c r="J113" s="383"/>
      <c r="K113" s="383"/>
      <c r="L113" s="383"/>
      <c r="M113" s="383"/>
      <c r="N113" s="383"/>
      <c r="O113" s="383"/>
      <c r="P113" s="383"/>
      <c r="Q113" s="383"/>
      <c r="R113" s="383"/>
      <c r="S113" s="383"/>
      <c r="T113" s="383"/>
      <c r="U113" s="383"/>
      <c r="V113" s="383"/>
      <c r="W113" s="383"/>
      <c r="X113" s="383"/>
      <c r="Y113" s="383"/>
      <c r="Z113" s="383"/>
    </row>
    <row r="114">
      <c r="A114" s="389"/>
      <c r="B114" s="390"/>
      <c r="C114" s="391"/>
      <c r="D114" s="392"/>
      <c r="E114" s="383"/>
      <c r="F114" s="383"/>
      <c r="G114" s="383"/>
      <c r="H114" s="383"/>
      <c r="I114" s="383"/>
      <c r="J114" s="383"/>
      <c r="K114" s="383"/>
      <c r="L114" s="383"/>
      <c r="M114" s="383"/>
      <c r="N114" s="383"/>
      <c r="O114" s="383"/>
      <c r="P114" s="383"/>
      <c r="Q114" s="383"/>
      <c r="R114" s="383"/>
      <c r="S114" s="383"/>
      <c r="T114" s="383"/>
      <c r="U114" s="383"/>
      <c r="V114" s="383"/>
      <c r="W114" s="383"/>
      <c r="X114" s="383"/>
      <c r="Y114" s="383"/>
      <c r="Z114" s="383"/>
    </row>
    <row r="115">
      <c r="A115" s="389"/>
      <c r="B115" s="390"/>
      <c r="C115" s="391"/>
      <c r="D115" s="392"/>
      <c r="E115" s="383"/>
      <c r="F115" s="383"/>
      <c r="G115" s="383"/>
      <c r="H115" s="383"/>
      <c r="I115" s="383"/>
      <c r="J115" s="383"/>
      <c r="K115" s="383"/>
      <c r="L115" s="383"/>
      <c r="M115" s="383"/>
      <c r="N115" s="383"/>
      <c r="O115" s="383"/>
      <c r="P115" s="383"/>
      <c r="Q115" s="383"/>
      <c r="R115" s="383"/>
      <c r="S115" s="383"/>
      <c r="T115" s="383"/>
      <c r="U115" s="383"/>
      <c r="V115" s="383"/>
      <c r="W115" s="383"/>
      <c r="X115" s="383"/>
      <c r="Y115" s="383"/>
      <c r="Z115" s="383"/>
    </row>
    <row r="116">
      <c r="A116" s="389"/>
      <c r="B116" s="390"/>
      <c r="C116" s="391"/>
      <c r="D116" s="392"/>
      <c r="E116" s="383"/>
      <c r="F116" s="383"/>
      <c r="G116" s="383"/>
      <c r="H116" s="383"/>
      <c r="I116" s="383"/>
      <c r="J116" s="383"/>
      <c r="K116" s="383"/>
      <c r="L116" s="383"/>
      <c r="M116" s="383"/>
      <c r="N116" s="383"/>
      <c r="O116" s="383"/>
      <c r="P116" s="383"/>
      <c r="Q116" s="383"/>
      <c r="R116" s="383"/>
      <c r="S116" s="383"/>
      <c r="T116" s="383"/>
      <c r="U116" s="383"/>
      <c r="V116" s="383"/>
      <c r="W116" s="383"/>
      <c r="X116" s="383"/>
      <c r="Y116" s="383"/>
      <c r="Z116" s="383"/>
    </row>
    <row r="117">
      <c r="A117" s="389"/>
      <c r="B117" s="390"/>
      <c r="C117" s="391"/>
      <c r="D117" s="392"/>
      <c r="E117" s="383"/>
      <c r="F117" s="383"/>
      <c r="G117" s="383"/>
      <c r="H117" s="383"/>
      <c r="I117" s="383"/>
      <c r="J117" s="383"/>
      <c r="K117" s="383"/>
      <c r="L117" s="383"/>
      <c r="M117" s="383"/>
      <c r="N117" s="383"/>
      <c r="O117" s="383"/>
      <c r="P117" s="383"/>
      <c r="Q117" s="383"/>
      <c r="R117" s="383"/>
      <c r="S117" s="383"/>
      <c r="T117" s="383"/>
      <c r="U117" s="383"/>
      <c r="V117" s="383"/>
      <c r="W117" s="383"/>
      <c r="X117" s="383"/>
      <c r="Y117" s="383"/>
      <c r="Z117" s="383"/>
    </row>
    <row r="118">
      <c r="A118" s="389"/>
      <c r="B118" s="390"/>
      <c r="C118" s="391"/>
      <c r="D118" s="392"/>
      <c r="E118" s="383"/>
      <c r="F118" s="383"/>
      <c r="G118" s="383"/>
      <c r="H118" s="383"/>
      <c r="I118" s="383"/>
      <c r="J118" s="383"/>
      <c r="K118" s="383"/>
      <c r="L118" s="383"/>
      <c r="M118" s="383"/>
      <c r="N118" s="383"/>
      <c r="O118" s="383"/>
      <c r="P118" s="383"/>
      <c r="Q118" s="383"/>
      <c r="R118" s="383"/>
      <c r="S118" s="383"/>
      <c r="T118" s="383"/>
      <c r="U118" s="383"/>
      <c r="V118" s="383"/>
      <c r="W118" s="383"/>
      <c r="X118" s="383"/>
      <c r="Y118" s="383"/>
      <c r="Z118" s="383"/>
    </row>
    <row r="119">
      <c r="A119" s="389"/>
      <c r="B119" s="390"/>
      <c r="C119" s="391"/>
      <c r="D119" s="392"/>
      <c r="E119" s="383"/>
      <c r="F119" s="383"/>
      <c r="G119" s="383"/>
      <c r="H119" s="383"/>
      <c r="I119" s="383"/>
      <c r="J119" s="383"/>
      <c r="K119" s="383"/>
      <c r="L119" s="383"/>
      <c r="M119" s="383"/>
      <c r="N119" s="383"/>
      <c r="O119" s="383"/>
      <c r="P119" s="383"/>
      <c r="Q119" s="383"/>
      <c r="R119" s="383"/>
      <c r="S119" s="383"/>
      <c r="T119" s="383"/>
      <c r="U119" s="383"/>
      <c r="V119" s="383"/>
      <c r="W119" s="383"/>
      <c r="X119" s="383"/>
      <c r="Y119" s="383"/>
      <c r="Z119" s="383"/>
    </row>
    <row r="120">
      <c r="A120" s="389"/>
      <c r="B120" s="390"/>
      <c r="C120" s="391"/>
      <c r="D120" s="392"/>
      <c r="E120" s="383"/>
      <c r="F120" s="383"/>
      <c r="G120" s="383"/>
      <c r="H120" s="383"/>
      <c r="I120" s="383"/>
      <c r="J120" s="383"/>
      <c r="K120" s="383"/>
      <c r="L120" s="383"/>
      <c r="M120" s="383"/>
      <c r="N120" s="383"/>
      <c r="O120" s="383"/>
      <c r="P120" s="383"/>
      <c r="Q120" s="383"/>
      <c r="R120" s="383"/>
      <c r="S120" s="383"/>
      <c r="T120" s="383"/>
      <c r="U120" s="383"/>
      <c r="V120" s="383"/>
      <c r="W120" s="383"/>
      <c r="X120" s="383"/>
      <c r="Y120" s="383"/>
      <c r="Z120" s="383"/>
    </row>
    <row r="121">
      <c r="A121" s="389"/>
      <c r="B121" s="390"/>
      <c r="C121" s="391"/>
      <c r="D121" s="392"/>
      <c r="E121" s="383"/>
      <c r="F121" s="383"/>
      <c r="G121" s="383"/>
      <c r="H121" s="383"/>
      <c r="I121" s="383"/>
      <c r="J121" s="383"/>
      <c r="K121" s="383"/>
      <c r="L121" s="383"/>
      <c r="M121" s="383"/>
      <c r="N121" s="383"/>
      <c r="O121" s="383"/>
      <c r="P121" s="383"/>
      <c r="Q121" s="383"/>
      <c r="R121" s="383"/>
      <c r="S121" s="383"/>
      <c r="T121" s="383"/>
      <c r="U121" s="383"/>
      <c r="V121" s="383"/>
      <c r="W121" s="383"/>
      <c r="X121" s="383"/>
      <c r="Y121" s="383"/>
      <c r="Z121" s="383"/>
    </row>
    <row r="122">
      <c r="A122" s="389"/>
      <c r="B122" s="390"/>
      <c r="C122" s="391"/>
      <c r="D122" s="392"/>
      <c r="E122" s="383"/>
      <c r="F122" s="383"/>
      <c r="G122" s="383"/>
      <c r="H122" s="383"/>
      <c r="I122" s="383"/>
      <c r="J122" s="383"/>
      <c r="K122" s="383"/>
      <c r="L122" s="383"/>
      <c r="M122" s="383"/>
      <c r="N122" s="383"/>
      <c r="O122" s="383"/>
      <c r="P122" s="383"/>
      <c r="Q122" s="383"/>
      <c r="R122" s="383"/>
      <c r="S122" s="383"/>
      <c r="T122" s="383"/>
      <c r="U122" s="383"/>
      <c r="V122" s="383"/>
      <c r="W122" s="383"/>
      <c r="X122" s="383"/>
      <c r="Y122" s="383"/>
      <c r="Z122" s="383"/>
    </row>
    <row r="123">
      <c r="A123" s="389"/>
      <c r="B123" s="390"/>
      <c r="C123" s="391"/>
      <c r="D123" s="392"/>
      <c r="E123" s="383"/>
      <c r="F123" s="383"/>
      <c r="G123" s="383"/>
      <c r="H123" s="383"/>
      <c r="I123" s="383"/>
      <c r="J123" s="383"/>
      <c r="K123" s="383"/>
      <c r="L123" s="383"/>
      <c r="M123" s="383"/>
      <c r="N123" s="383"/>
      <c r="O123" s="383"/>
      <c r="P123" s="383"/>
      <c r="Q123" s="383"/>
      <c r="R123" s="383"/>
      <c r="S123" s="383"/>
      <c r="T123" s="383"/>
      <c r="U123" s="383"/>
      <c r="V123" s="383"/>
      <c r="W123" s="383"/>
      <c r="X123" s="383"/>
      <c r="Y123" s="383"/>
      <c r="Z123" s="383"/>
    </row>
    <row r="124">
      <c r="A124" s="389"/>
      <c r="B124" s="390"/>
      <c r="C124" s="391"/>
      <c r="D124" s="392"/>
      <c r="E124" s="383"/>
      <c r="F124" s="383"/>
      <c r="G124" s="383"/>
      <c r="H124" s="383"/>
      <c r="I124" s="383"/>
      <c r="J124" s="383"/>
      <c r="K124" s="383"/>
      <c r="L124" s="383"/>
      <c r="M124" s="383"/>
      <c r="N124" s="383"/>
      <c r="O124" s="383"/>
      <c r="P124" s="383"/>
      <c r="Q124" s="383"/>
      <c r="R124" s="383"/>
      <c r="S124" s="383"/>
      <c r="T124" s="383"/>
      <c r="U124" s="383"/>
      <c r="V124" s="383"/>
      <c r="W124" s="383"/>
      <c r="X124" s="383"/>
      <c r="Y124" s="383"/>
      <c r="Z124" s="383"/>
    </row>
    <row r="125">
      <c r="A125" s="389"/>
      <c r="B125" s="390"/>
      <c r="C125" s="391"/>
      <c r="D125" s="392"/>
      <c r="E125" s="383"/>
      <c r="F125" s="383"/>
      <c r="G125" s="383"/>
      <c r="H125" s="383"/>
      <c r="I125" s="383"/>
      <c r="J125" s="383"/>
      <c r="K125" s="383"/>
      <c r="L125" s="383"/>
      <c r="M125" s="383"/>
      <c r="N125" s="383"/>
      <c r="O125" s="383"/>
      <c r="P125" s="383"/>
      <c r="Q125" s="383"/>
      <c r="R125" s="383"/>
      <c r="S125" s="383"/>
      <c r="T125" s="383"/>
      <c r="U125" s="383"/>
      <c r="V125" s="383"/>
      <c r="W125" s="383"/>
      <c r="X125" s="383"/>
      <c r="Y125" s="383"/>
      <c r="Z125" s="383"/>
    </row>
    <row r="126">
      <c r="A126" s="389"/>
      <c r="B126" s="390"/>
      <c r="C126" s="391"/>
      <c r="D126" s="392"/>
      <c r="E126" s="383"/>
      <c r="F126" s="383"/>
      <c r="G126" s="383"/>
      <c r="H126" s="383"/>
      <c r="I126" s="383"/>
      <c r="J126" s="383"/>
      <c r="K126" s="383"/>
      <c r="L126" s="383"/>
      <c r="M126" s="383"/>
      <c r="N126" s="383"/>
      <c r="O126" s="383"/>
      <c r="P126" s="383"/>
      <c r="Q126" s="383"/>
      <c r="R126" s="383"/>
      <c r="S126" s="383"/>
      <c r="T126" s="383"/>
      <c r="U126" s="383"/>
      <c r="V126" s="383"/>
      <c r="W126" s="383"/>
      <c r="X126" s="383"/>
      <c r="Y126" s="383"/>
      <c r="Z126" s="383"/>
    </row>
    <row r="127">
      <c r="A127" s="389"/>
      <c r="B127" s="390"/>
      <c r="C127" s="391"/>
      <c r="D127" s="392"/>
      <c r="E127" s="383"/>
      <c r="F127" s="383"/>
      <c r="G127" s="383"/>
      <c r="H127" s="383"/>
      <c r="I127" s="383"/>
      <c r="J127" s="383"/>
      <c r="K127" s="383"/>
      <c r="L127" s="383"/>
      <c r="M127" s="383"/>
      <c r="N127" s="383"/>
      <c r="O127" s="383"/>
      <c r="P127" s="383"/>
      <c r="Q127" s="383"/>
      <c r="R127" s="383"/>
      <c r="S127" s="383"/>
      <c r="T127" s="383"/>
      <c r="U127" s="383"/>
      <c r="V127" s="383"/>
      <c r="W127" s="383"/>
      <c r="X127" s="383"/>
      <c r="Y127" s="383"/>
      <c r="Z127" s="383"/>
    </row>
    <row r="128">
      <c r="A128" s="389"/>
      <c r="B128" s="390"/>
      <c r="C128" s="391"/>
      <c r="D128" s="392"/>
      <c r="E128" s="383"/>
      <c r="F128" s="383"/>
      <c r="G128" s="383"/>
      <c r="H128" s="383"/>
      <c r="I128" s="383"/>
      <c r="J128" s="383"/>
      <c r="K128" s="383"/>
      <c r="L128" s="383"/>
      <c r="M128" s="383"/>
      <c r="N128" s="383"/>
      <c r="O128" s="383"/>
      <c r="P128" s="383"/>
      <c r="Q128" s="383"/>
      <c r="R128" s="383"/>
      <c r="S128" s="383"/>
      <c r="T128" s="383"/>
      <c r="U128" s="383"/>
      <c r="V128" s="383"/>
      <c r="W128" s="383"/>
      <c r="X128" s="383"/>
      <c r="Y128" s="383"/>
      <c r="Z128" s="383"/>
    </row>
    <row r="129">
      <c r="A129" s="389"/>
      <c r="B129" s="390"/>
      <c r="C129" s="391"/>
      <c r="D129" s="392"/>
      <c r="E129" s="383"/>
      <c r="F129" s="383"/>
      <c r="G129" s="383"/>
      <c r="H129" s="383"/>
      <c r="I129" s="383"/>
      <c r="J129" s="383"/>
      <c r="K129" s="383"/>
      <c r="L129" s="383"/>
      <c r="M129" s="383"/>
      <c r="N129" s="383"/>
      <c r="O129" s="383"/>
      <c r="P129" s="383"/>
      <c r="Q129" s="383"/>
      <c r="R129" s="383"/>
      <c r="S129" s="383"/>
      <c r="T129" s="383"/>
      <c r="U129" s="383"/>
      <c r="V129" s="383"/>
      <c r="W129" s="383"/>
      <c r="X129" s="383"/>
      <c r="Y129" s="383"/>
      <c r="Z129" s="383"/>
    </row>
    <row r="130">
      <c r="A130" s="389"/>
      <c r="B130" s="390"/>
      <c r="C130" s="391"/>
      <c r="D130" s="392"/>
      <c r="E130" s="383"/>
      <c r="F130" s="383"/>
      <c r="G130" s="383"/>
      <c r="H130" s="383"/>
      <c r="I130" s="383"/>
      <c r="J130" s="383"/>
      <c r="K130" s="383"/>
      <c r="L130" s="383"/>
      <c r="M130" s="383"/>
      <c r="N130" s="383"/>
      <c r="O130" s="383"/>
      <c r="P130" s="383"/>
      <c r="Q130" s="383"/>
      <c r="R130" s="383"/>
      <c r="S130" s="383"/>
      <c r="T130" s="383"/>
      <c r="U130" s="383"/>
      <c r="V130" s="383"/>
      <c r="W130" s="383"/>
      <c r="X130" s="383"/>
      <c r="Y130" s="383"/>
      <c r="Z130" s="383"/>
    </row>
    <row r="131">
      <c r="A131" s="389"/>
      <c r="B131" s="390"/>
      <c r="C131" s="391"/>
      <c r="D131" s="392"/>
      <c r="E131" s="383"/>
      <c r="F131" s="383"/>
      <c r="G131" s="383"/>
      <c r="H131" s="383"/>
      <c r="I131" s="383"/>
      <c r="J131" s="383"/>
      <c r="K131" s="383"/>
      <c r="L131" s="383"/>
      <c r="M131" s="383"/>
      <c r="N131" s="383"/>
      <c r="O131" s="383"/>
      <c r="P131" s="383"/>
      <c r="Q131" s="383"/>
      <c r="R131" s="383"/>
      <c r="S131" s="383"/>
      <c r="T131" s="383"/>
      <c r="U131" s="383"/>
      <c r="V131" s="383"/>
      <c r="W131" s="383"/>
      <c r="X131" s="383"/>
      <c r="Y131" s="383"/>
      <c r="Z131" s="383"/>
    </row>
    <row r="132">
      <c r="A132" s="389"/>
      <c r="B132" s="390"/>
      <c r="C132" s="391"/>
      <c r="D132" s="392"/>
      <c r="E132" s="383"/>
      <c r="F132" s="383"/>
      <c r="G132" s="383"/>
      <c r="H132" s="383"/>
      <c r="I132" s="383"/>
      <c r="J132" s="383"/>
      <c r="K132" s="383"/>
      <c r="L132" s="383"/>
      <c r="M132" s="383"/>
      <c r="N132" s="383"/>
      <c r="O132" s="383"/>
      <c r="P132" s="383"/>
      <c r="Q132" s="383"/>
      <c r="R132" s="383"/>
      <c r="S132" s="383"/>
      <c r="T132" s="383"/>
      <c r="U132" s="383"/>
      <c r="V132" s="383"/>
      <c r="W132" s="383"/>
      <c r="X132" s="383"/>
      <c r="Y132" s="383"/>
      <c r="Z132" s="383"/>
    </row>
    <row r="133">
      <c r="A133" s="389"/>
      <c r="B133" s="390"/>
      <c r="C133" s="391"/>
      <c r="D133" s="392"/>
      <c r="E133" s="383"/>
      <c r="F133" s="383"/>
      <c r="G133" s="383"/>
      <c r="H133" s="383"/>
      <c r="I133" s="383"/>
      <c r="J133" s="383"/>
      <c r="K133" s="383"/>
      <c r="L133" s="383"/>
      <c r="M133" s="383"/>
      <c r="N133" s="383"/>
      <c r="O133" s="383"/>
      <c r="P133" s="383"/>
      <c r="Q133" s="383"/>
      <c r="R133" s="383"/>
      <c r="S133" s="383"/>
      <c r="T133" s="383"/>
      <c r="U133" s="383"/>
      <c r="V133" s="383"/>
      <c r="W133" s="383"/>
      <c r="X133" s="383"/>
      <c r="Y133" s="383"/>
      <c r="Z133" s="383"/>
    </row>
    <row r="134">
      <c r="A134" s="389"/>
      <c r="B134" s="390"/>
      <c r="C134" s="391"/>
      <c r="D134" s="392"/>
      <c r="E134" s="383"/>
      <c r="F134" s="383"/>
      <c r="G134" s="383"/>
      <c r="H134" s="383"/>
      <c r="I134" s="383"/>
      <c r="J134" s="383"/>
      <c r="K134" s="383"/>
      <c r="L134" s="383"/>
      <c r="M134" s="383"/>
      <c r="N134" s="383"/>
      <c r="O134" s="383"/>
      <c r="P134" s="383"/>
      <c r="Q134" s="383"/>
      <c r="R134" s="383"/>
      <c r="S134" s="383"/>
      <c r="T134" s="383"/>
      <c r="U134" s="383"/>
      <c r="V134" s="383"/>
      <c r="W134" s="383"/>
      <c r="X134" s="383"/>
      <c r="Y134" s="383"/>
      <c r="Z134" s="383"/>
    </row>
    <row r="135">
      <c r="A135" s="389"/>
      <c r="B135" s="390"/>
      <c r="C135" s="391"/>
      <c r="D135" s="392"/>
      <c r="E135" s="383"/>
      <c r="F135" s="383"/>
      <c r="G135" s="383"/>
      <c r="H135" s="383"/>
      <c r="I135" s="383"/>
      <c r="J135" s="383"/>
      <c r="K135" s="383"/>
      <c r="L135" s="383"/>
      <c r="M135" s="383"/>
      <c r="N135" s="383"/>
      <c r="O135" s="383"/>
      <c r="P135" s="383"/>
      <c r="Q135" s="383"/>
      <c r="R135" s="383"/>
      <c r="S135" s="383"/>
      <c r="T135" s="383"/>
      <c r="U135" s="383"/>
      <c r="V135" s="383"/>
      <c r="W135" s="383"/>
      <c r="X135" s="383"/>
      <c r="Y135" s="383"/>
      <c r="Z135" s="383"/>
    </row>
    <row r="136">
      <c r="A136" s="389"/>
      <c r="B136" s="390"/>
      <c r="C136" s="391"/>
      <c r="D136" s="392"/>
      <c r="E136" s="383"/>
      <c r="F136" s="383"/>
      <c r="G136" s="383"/>
      <c r="H136" s="383"/>
      <c r="I136" s="383"/>
      <c r="J136" s="383"/>
      <c r="K136" s="383"/>
      <c r="L136" s="383"/>
      <c r="M136" s="383"/>
      <c r="N136" s="383"/>
      <c r="O136" s="383"/>
      <c r="P136" s="383"/>
      <c r="Q136" s="383"/>
      <c r="R136" s="383"/>
      <c r="S136" s="383"/>
      <c r="T136" s="383"/>
      <c r="U136" s="383"/>
      <c r="V136" s="383"/>
      <c r="W136" s="383"/>
      <c r="X136" s="383"/>
      <c r="Y136" s="383"/>
      <c r="Z136" s="383"/>
    </row>
    <row r="137">
      <c r="A137" s="389"/>
      <c r="B137" s="390"/>
      <c r="C137" s="391"/>
      <c r="D137" s="392"/>
      <c r="E137" s="383"/>
      <c r="F137" s="383"/>
      <c r="G137" s="383"/>
      <c r="H137" s="383"/>
      <c r="I137" s="383"/>
      <c r="J137" s="383"/>
      <c r="K137" s="383"/>
      <c r="L137" s="383"/>
      <c r="M137" s="383"/>
      <c r="N137" s="383"/>
      <c r="O137" s="383"/>
      <c r="P137" s="383"/>
      <c r="Q137" s="383"/>
      <c r="R137" s="383"/>
      <c r="S137" s="383"/>
      <c r="T137" s="383"/>
      <c r="U137" s="383"/>
      <c r="V137" s="383"/>
      <c r="W137" s="383"/>
      <c r="X137" s="383"/>
      <c r="Y137" s="383"/>
      <c r="Z137" s="383"/>
    </row>
    <row r="138">
      <c r="A138" s="389"/>
      <c r="B138" s="390"/>
      <c r="C138" s="391"/>
      <c r="D138" s="392"/>
      <c r="E138" s="383"/>
      <c r="F138" s="383"/>
      <c r="G138" s="383"/>
      <c r="H138" s="383"/>
      <c r="I138" s="383"/>
      <c r="J138" s="383"/>
      <c r="K138" s="383"/>
      <c r="L138" s="383"/>
      <c r="M138" s="383"/>
      <c r="N138" s="383"/>
      <c r="O138" s="383"/>
      <c r="P138" s="383"/>
      <c r="Q138" s="383"/>
      <c r="R138" s="383"/>
      <c r="S138" s="383"/>
      <c r="T138" s="383"/>
      <c r="U138" s="383"/>
      <c r="V138" s="383"/>
      <c r="W138" s="383"/>
      <c r="X138" s="383"/>
      <c r="Y138" s="383"/>
      <c r="Z138" s="383"/>
    </row>
    <row r="139">
      <c r="A139" s="389"/>
      <c r="B139" s="390"/>
      <c r="C139" s="391"/>
      <c r="D139" s="392"/>
      <c r="E139" s="383"/>
      <c r="F139" s="383"/>
      <c r="G139" s="383"/>
      <c r="H139" s="383"/>
      <c r="I139" s="383"/>
      <c r="J139" s="383"/>
      <c r="K139" s="383"/>
      <c r="L139" s="383"/>
      <c r="M139" s="383"/>
      <c r="N139" s="383"/>
      <c r="O139" s="383"/>
      <c r="P139" s="383"/>
      <c r="Q139" s="383"/>
      <c r="R139" s="383"/>
      <c r="S139" s="383"/>
      <c r="T139" s="383"/>
      <c r="U139" s="383"/>
      <c r="V139" s="383"/>
      <c r="W139" s="383"/>
      <c r="X139" s="383"/>
      <c r="Y139" s="383"/>
      <c r="Z139" s="383"/>
    </row>
    <row r="140">
      <c r="A140" s="389"/>
      <c r="B140" s="390"/>
      <c r="C140" s="391"/>
      <c r="D140" s="392"/>
      <c r="E140" s="383"/>
      <c r="F140" s="383"/>
      <c r="G140" s="383"/>
      <c r="H140" s="383"/>
      <c r="I140" s="383"/>
      <c r="J140" s="383"/>
      <c r="K140" s="383"/>
      <c r="L140" s="383"/>
      <c r="M140" s="383"/>
      <c r="N140" s="383"/>
      <c r="O140" s="383"/>
      <c r="P140" s="383"/>
      <c r="Q140" s="383"/>
      <c r="R140" s="383"/>
      <c r="S140" s="383"/>
      <c r="T140" s="383"/>
      <c r="U140" s="383"/>
      <c r="V140" s="383"/>
      <c r="W140" s="383"/>
      <c r="X140" s="383"/>
      <c r="Y140" s="383"/>
      <c r="Z140" s="383"/>
    </row>
    <row r="141">
      <c r="A141" s="389"/>
      <c r="B141" s="390"/>
      <c r="C141" s="391"/>
      <c r="D141" s="392"/>
      <c r="E141" s="383"/>
      <c r="F141" s="383"/>
      <c r="G141" s="383"/>
      <c r="H141" s="383"/>
      <c r="I141" s="383"/>
      <c r="J141" s="383"/>
      <c r="K141" s="383"/>
      <c r="L141" s="383"/>
      <c r="M141" s="383"/>
      <c r="N141" s="383"/>
      <c r="O141" s="383"/>
      <c r="P141" s="383"/>
      <c r="Q141" s="383"/>
      <c r="R141" s="383"/>
      <c r="S141" s="383"/>
      <c r="T141" s="383"/>
      <c r="U141" s="383"/>
      <c r="V141" s="383"/>
      <c r="W141" s="383"/>
      <c r="X141" s="383"/>
      <c r="Y141" s="383"/>
      <c r="Z141" s="383"/>
    </row>
    <row r="142">
      <c r="A142" s="389"/>
      <c r="B142" s="390"/>
      <c r="C142" s="391"/>
      <c r="D142" s="392"/>
      <c r="E142" s="383"/>
      <c r="F142" s="383"/>
      <c r="G142" s="383"/>
      <c r="H142" s="383"/>
      <c r="I142" s="383"/>
      <c r="J142" s="383"/>
      <c r="K142" s="383"/>
      <c r="L142" s="383"/>
      <c r="M142" s="383"/>
      <c r="N142" s="383"/>
      <c r="O142" s="383"/>
      <c r="P142" s="383"/>
      <c r="Q142" s="383"/>
      <c r="R142" s="383"/>
      <c r="S142" s="383"/>
      <c r="T142" s="383"/>
      <c r="U142" s="383"/>
      <c r="V142" s="383"/>
      <c r="W142" s="383"/>
      <c r="X142" s="383"/>
      <c r="Y142" s="383"/>
      <c r="Z142" s="383"/>
    </row>
    <row r="143">
      <c r="A143" s="389"/>
      <c r="B143" s="390"/>
      <c r="C143" s="391"/>
      <c r="D143" s="392"/>
      <c r="E143" s="383"/>
      <c r="F143" s="383"/>
      <c r="G143" s="383"/>
      <c r="H143" s="383"/>
      <c r="I143" s="383"/>
      <c r="J143" s="383"/>
      <c r="K143" s="383"/>
      <c r="L143" s="383"/>
      <c r="M143" s="383"/>
      <c r="N143" s="383"/>
      <c r="O143" s="383"/>
      <c r="P143" s="383"/>
      <c r="Q143" s="383"/>
      <c r="R143" s="383"/>
      <c r="S143" s="383"/>
      <c r="T143" s="383"/>
      <c r="U143" s="383"/>
      <c r="V143" s="383"/>
      <c r="W143" s="383"/>
      <c r="X143" s="383"/>
      <c r="Y143" s="383"/>
      <c r="Z143" s="383"/>
    </row>
    <row r="144">
      <c r="A144" s="389"/>
      <c r="B144" s="390"/>
      <c r="C144" s="391"/>
      <c r="D144" s="392"/>
      <c r="E144" s="383"/>
      <c r="F144" s="383"/>
      <c r="G144" s="383"/>
      <c r="H144" s="383"/>
      <c r="I144" s="383"/>
      <c r="J144" s="383"/>
      <c r="K144" s="383"/>
      <c r="L144" s="383"/>
      <c r="M144" s="383"/>
      <c r="N144" s="383"/>
      <c r="O144" s="383"/>
      <c r="P144" s="383"/>
      <c r="Q144" s="383"/>
      <c r="R144" s="383"/>
      <c r="S144" s="383"/>
      <c r="T144" s="383"/>
      <c r="U144" s="383"/>
      <c r="V144" s="383"/>
      <c r="W144" s="383"/>
      <c r="X144" s="383"/>
      <c r="Y144" s="383"/>
      <c r="Z144" s="383"/>
    </row>
    <row r="145">
      <c r="A145" s="389"/>
      <c r="B145" s="390"/>
      <c r="C145" s="391"/>
      <c r="D145" s="392"/>
      <c r="E145" s="383"/>
      <c r="F145" s="383"/>
      <c r="G145" s="383"/>
      <c r="H145" s="383"/>
      <c r="I145" s="383"/>
      <c r="J145" s="383"/>
      <c r="K145" s="383"/>
      <c r="L145" s="383"/>
      <c r="M145" s="383"/>
      <c r="N145" s="383"/>
      <c r="O145" s="383"/>
      <c r="P145" s="383"/>
      <c r="Q145" s="383"/>
      <c r="R145" s="383"/>
      <c r="S145" s="383"/>
      <c r="T145" s="383"/>
      <c r="U145" s="383"/>
      <c r="V145" s="383"/>
      <c r="W145" s="383"/>
      <c r="X145" s="383"/>
      <c r="Y145" s="383"/>
      <c r="Z145" s="383"/>
    </row>
    <row r="146">
      <c r="A146" s="389"/>
      <c r="B146" s="390"/>
      <c r="C146" s="391"/>
      <c r="D146" s="392"/>
      <c r="E146" s="383"/>
      <c r="F146" s="383"/>
      <c r="G146" s="383"/>
      <c r="H146" s="383"/>
      <c r="I146" s="383"/>
      <c r="J146" s="383"/>
      <c r="K146" s="383"/>
      <c r="L146" s="383"/>
      <c r="M146" s="383"/>
      <c r="N146" s="383"/>
      <c r="O146" s="383"/>
      <c r="P146" s="383"/>
      <c r="Q146" s="383"/>
      <c r="R146" s="383"/>
      <c r="S146" s="383"/>
      <c r="T146" s="383"/>
      <c r="U146" s="383"/>
      <c r="V146" s="383"/>
      <c r="W146" s="383"/>
      <c r="X146" s="383"/>
      <c r="Y146" s="383"/>
      <c r="Z146" s="383"/>
    </row>
    <row r="147">
      <c r="A147" s="389"/>
      <c r="B147" s="390"/>
      <c r="C147" s="391"/>
      <c r="D147" s="392"/>
      <c r="E147" s="383"/>
      <c r="F147" s="383"/>
      <c r="G147" s="383"/>
      <c r="H147" s="383"/>
      <c r="I147" s="383"/>
      <c r="J147" s="383"/>
      <c r="K147" s="383"/>
      <c r="L147" s="383"/>
      <c r="M147" s="383"/>
      <c r="N147" s="383"/>
      <c r="O147" s="383"/>
      <c r="P147" s="383"/>
      <c r="Q147" s="383"/>
      <c r="R147" s="383"/>
      <c r="S147" s="383"/>
      <c r="T147" s="383"/>
      <c r="U147" s="383"/>
      <c r="V147" s="383"/>
      <c r="W147" s="383"/>
      <c r="X147" s="383"/>
      <c r="Y147" s="383"/>
      <c r="Z147" s="383"/>
    </row>
    <row r="148">
      <c r="A148" s="389"/>
      <c r="B148" s="390"/>
      <c r="C148" s="391"/>
      <c r="D148" s="392"/>
      <c r="E148" s="383"/>
      <c r="F148" s="383"/>
      <c r="G148" s="383"/>
      <c r="H148" s="383"/>
      <c r="I148" s="383"/>
      <c r="J148" s="383"/>
      <c r="K148" s="383"/>
      <c r="L148" s="383"/>
      <c r="M148" s="383"/>
      <c r="N148" s="383"/>
      <c r="O148" s="383"/>
      <c r="P148" s="383"/>
      <c r="Q148" s="383"/>
      <c r="R148" s="383"/>
      <c r="S148" s="383"/>
      <c r="T148" s="383"/>
      <c r="U148" s="383"/>
      <c r="V148" s="383"/>
      <c r="W148" s="383"/>
      <c r="X148" s="383"/>
      <c r="Y148" s="383"/>
      <c r="Z148" s="383"/>
    </row>
    <row r="149">
      <c r="A149" s="389"/>
      <c r="B149" s="390"/>
      <c r="C149" s="391"/>
      <c r="D149" s="392"/>
      <c r="E149" s="383"/>
      <c r="F149" s="383"/>
      <c r="G149" s="383"/>
      <c r="H149" s="383"/>
      <c r="I149" s="383"/>
      <c r="J149" s="383"/>
      <c r="K149" s="383"/>
      <c r="L149" s="383"/>
      <c r="M149" s="383"/>
      <c r="N149" s="383"/>
      <c r="O149" s="383"/>
      <c r="P149" s="383"/>
      <c r="Q149" s="383"/>
      <c r="R149" s="383"/>
      <c r="S149" s="383"/>
      <c r="T149" s="383"/>
      <c r="U149" s="383"/>
      <c r="V149" s="383"/>
      <c r="W149" s="383"/>
      <c r="X149" s="383"/>
      <c r="Y149" s="383"/>
      <c r="Z149" s="383"/>
    </row>
    <row r="150">
      <c r="A150" s="389"/>
      <c r="B150" s="390"/>
      <c r="C150" s="391"/>
      <c r="D150" s="392"/>
      <c r="E150" s="383"/>
      <c r="F150" s="383"/>
      <c r="G150" s="383"/>
      <c r="H150" s="383"/>
      <c r="I150" s="383"/>
      <c r="J150" s="383"/>
      <c r="K150" s="383"/>
      <c r="L150" s="383"/>
      <c r="M150" s="383"/>
      <c r="N150" s="383"/>
      <c r="O150" s="383"/>
      <c r="P150" s="383"/>
      <c r="Q150" s="383"/>
      <c r="R150" s="383"/>
      <c r="S150" s="383"/>
      <c r="T150" s="383"/>
      <c r="U150" s="383"/>
      <c r="V150" s="383"/>
      <c r="W150" s="383"/>
      <c r="X150" s="383"/>
      <c r="Y150" s="383"/>
      <c r="Z150" s="383"/>
    </row>
    <row r="151">
      <c r="A151" s="389"/>
      <c r="B151" s="390"/>
      <c r="C151" s="391"/>
      <c r="D151" s="392"/>
      <c r="E151" s="383"/>
      <c r="F151" s="383"/>
      <c r="G151" s="383"/>
      <c r="H151" s="383"/>
      <c r="I151" s="383"/>
      <c r="J151" s="383"/>
      <c r="K151" s="383"/>
      <c r="L151" s="383"/>
      <c r="M151" s="383"/>
      <c r="N151" s="383"/>
      <c r="O151" s="383"/>
      <c r="P151" s="383"/>
      <c r="Q151" s="383"/>
      <c r="R151" s="383"/>
      <c r="S151" s="383"/>
      <c r="T151" s="383"/>
      <c r="U151" s="383"/>
      <c r="V151" s="383"/>
      <c r="W151" s="383"/>
      <c r="X151" s="383"/>
      <c r="Y151" s="383"/>
      <c r="Z151" s="383"/>
    </row>
    <row r="152">
      <c r="A152" s="389"/>
      <c r="B152" s="390"/>
      <c r="C152" s="391"/>
      <c r="D152" s="392"/>
      <c r="E152" s="383"/>
      <c r="F152" s="383"/>
      <c r="G152" s="383"/>
      <c r="H152" s="383"/>
      <c r="I152" s="383"/>
      <c r="J152" s="383"/>
      <c r="K152" s="383"/>
      <c r="L152" s="383"/>
      <c r="M152" s="383"/>
      <c r="N152" s="383"/>
      <c r="O152" s="383"/>
      <c r="P152" s="383"/>
      <c r="Q152" s="383"/>
      <c r="R152" s="383"/>
      <c r="S152" s="383"/>
      <c r="T152" s="383"/>
      <c r="U152" s="383"/>
      <c r="V152" s="383"/>
      <c r="W152" s="383"/>
      <c r="X152" s="383"/>
      <c r="Y152" s="383"/>
      <c r="Z152" s="383"/>
    </row>
    <row r="153">
      <c r="A153" s="389"/>
      <c r="B153" s="390"/>
      <c r="C153" s="391"/>
      <c r="D153" s="392"/>
      <c r="E153" s="383"/>
      <c r="F153" s="383"/>
      <c r="G153" s="383"/>
      <c r="H153" s="383"/>
      <c r="I153" s="383"/>
      <c r="J153" s="383"/>
      <c r="K153" s="383"/>
      <c r="L153" s="383"/>
      <c r="M153" s="383"/>
      <c r="N153" s="383"/>
      <c r="O153" s="383"/>
      <c r="P153" s="383"/>
      <c r="Q153" s="383"/>
      <c r="R153" s="383"/>
      <c r="S153" s="383"/>
      <c r="T153" s="383"/>
      <c r="U153" s="383"/>
      <c r="V153" s="383"/>
      <c r="W153" s="383"/>
      <c r="X153" s="383"/>
      <c r="Y153" s="383"/>
      <c r="Z153" s="383"/>
    </row>
    <row r="154">
      <c r="A154" s="389"/>
      <c r="B154" s="390"/>
      <c r="C154" s="391"/>
      <c r="D154" s="392"/>
      <c r="E154" s="383"/>
      <c r="F154" s="383"/>
      <c r="G154" s="383"/>
      <c r="H154" s="383"/>
      <c r="I154" s="383"/>
      <c r="J154" s="383"/>
      <c r="K154" s="383"/>
      <c r="L154" s="383"/>
      <c r="M154" s="383"/>
      <c r="N154" s="383"/>
      <c r="O154" s="383"/>
      <c r="P154" s="383"/>
      <c r="Q154" s="383"/>
      <c r="R154" s="383"/>
      <c r="S154" s="383"/>
      <c r="T154" s="383"/>
      <c r="U154" s="383"/>
      <c r="V154" s="383"/>
      <c r="W154" s="383"/>
      <c r="X154" s="383"/>
      <c r="Y154" s="383"/>
      <c r="Z154" s="383"/>
    </row>
    <row r="155">
      <c r="A155" s="389"/>
      <c r="B155" s="390"/>
      <c r="C155" s="391"/>
      <c r="D155" s="392"/>
      <c r="E155" s="383"/>
      <c r="F155" s="383"/>
      <c r="G155" s="383"/>
      <c r="H155" s="383"/>
      <c r="I155" s="383"/>
      <c r="J155" s="383"/>
      <c r="K155" s="383"/>
      <c r="L155" s="383"/>
      <c r="M155" s="383"/>
      <c r="N155" s="383"/>
      <c r="O155" s="383"/>
      <c r="P155" s="383"/>
      <c r="Q155" s="383"/>
      <c r="R155" s="383"/>
      <c r="S155" s="383"/>
      <c r="T155" s="383"/>
      <c r="U155" s="383"/>
      <c r="V155" s="383"/>
      <c r="W155" s="383"/>
      <c r="X155" s="383"/>
      <c r="Y155" s="383"/>
      <c r="Z155" s="383"/>
    </row>
    <row r="156">
      <c r="A156" s="389"/>
      <c r="B156" s="390"/>
      <c r="C156" s="391"/>
      <c r="D156" s="392"/>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row>
    <row r="157">
      <c r="A157" s="389"/>
      <c r="B157" s="390"/>
      <c r="C157" s="391"/>
      <c r="D157" s="392"/>
      <c r="E157" s="383"/>
      <c r="F157" s="383"/>
      <c r="G157" s="383"/>
      <c r="H157" s="383"/>
      <c r="I157" s="383"/>
      <c r="J157" s="383"/>
      <c r="K157" s="383"/>
      <c r="L157" s="383"/>
      <c r="M157" s="383"/>
      <c r="N157" s="383"/>
      <c r="O157" s="383"/>
      <c r="P157" s="383"/>
      <c r="Q157" s="383"/>
      <c r="R157" s="383"/>
      <c r="S157" s="383"/>
      <c r="T157" s="383"/>
      <c r="U157" s="383"/>
      <c r="V157" s="383"/>
      <c r="W157" s="383"/>
      <c r="X157" s="383"/>
      <c r="Y157" s="383"/>
      <c r="Z157" s="383"/>
    </row>
    <row r="158">
      <c r="A158" s="389"/>
      <c r="B158" s="390"/>
      <c r="C158" s="391"/>
      <c r="D158" s="392"/>
      <c r="E158" s="383"/>
      <c r="F158" s="383"/>
      <c r="G158" s="383"/>
      <c r="H158" s="383"/>
      <c r="I158" s="383"/>
      <c r="J158" s="383"/>
      <c r="K158" s="383"/>
      <c r="L158" s="383"/>
      <c r="M158" s="383"/>
      <c r="N158" s="383"/>
      <c r="O158" s="383"/>
      <c r="P158" s="383"/>
      <c r="Q158" s="383"/>
      <c r="R158" s="383"/>
      <c r="S158" s="383"/>
      <c r="T158" s="383"/>
      <c r="U158" s="383"/>
      <c r="V158" s="383"/>
      <c r="W158" s="383"/>
      <c r="X158" s="383"/>
      <c r="Y158" s="383"/>
      <c r="Z158" s="383"/>
    </row>
    <row r="159">
      <c r="A159" s="389"/>
      <c r="B159" s="390"/>
      <c r="C159" s="391"/>
      <c r="D159" s="392"/>
      <c r="E159" s="383"/>
      <c r="F159" s="383"/>
      <c r="G159" s="383"/>
      <c r="H159" s="383"/>
      <c r="I159" s="383"/>
      <c r="J159" s="383"/>
      <c r="K159" s="383"/>
      <c r="L159" s="383"/>
      <c r="M159" s="383"/>
      <c r="N159" s="383"/>
      <c r="O159" s="383"/>
      <c r="P159" s="383"/>
      <c r="Q159" s="383"/>
      <c r="R159" s="383"/>
      <c r="S159" s="383"/>
      <c r="T159" s="383"/>
      <c r="U159" s="383"/>
      <c r="V159" s="383"/>
      <c r="W159" s="383"/>
      <c r="X159" s="383"/>
      <c r="Y159" s="383"/>
      <c r="Z159" s="383"/>
    </row>
    <row r="160">
      <c r="A160" s="389"/>
      <c r="B160" s="390"/>
      <c r="C160" s="391"/>
      <c r="D160" s="392"/>
      <c r="E160" s="383"/>
      <c r="F160" s="383"/>
      <c r="G160" s="383"/>
      <c r="H160" s="383"/>
      <c r="I160" s="383"/>
      <c r="J160" s="383"/>
      <c r="K160" s="383"/>
      <c r="L160" s="383"/>
      <c r="M160" s="383"/>
      <c r="N160" s="383"/>
      <c r="O160" s="383"/>
      <c r="P160" s="383"/>
      <c r="Q160" s="383"/>
      <c r="R160" s="383"/>
      <c r="S160" s="383"/>
      <c r="T160" s="383"/>
      <c r="U160" s="383"/>
      <c r="V160" s="383"/>
      <c r="W160" s="383"/>
      <c r="X160" s="383"/>
      <c r="Y160" s="383"/>
      <c r="Z160" s="383"/>
    </row>
    <row r="161">
      <c r="A161" s="389"/>
      <c r="B161" s="390"/>
      <c r="C161" s="391"/>
      <c r="D161" s="392"/>
      <c r="E161" s="383"/>
      <c r="F161" s="383"/>
      <c r="G161" s="383"/>
      <c r="H161" s="383"/>
      <c r="I161" s="383"/>
      <c r="J161" s="383"/>
      <c r="K161" s="383"/>
      <c r="L161" s="383"/>
      <c r="M161" s="383"/>
      <c r="N161" s="383"/>
      <c r="O161" s="383"/>
      <c r="P161" s="383"/>
      <c r="Q161" s="383"/>
      <c r="R161" s="383"/>
      <c r="S161" s="383"/>
      <c r="T161" s="383"/>
      <c r="U161" s="383"/>
      <c r="V161" s="383"/>
      <c r="W161" s="383"/>
      <c r="X161" s="383"/>
      <c r="Y161" s="383"/>
      <c r="Z161" s="383"/>
    </row>
    <row r="162">
      <c r="A162" s="389"/>
      <c r="B162" s="390"/>
      <c r="C162" s="391"/>
      <c r="D162" s="392"/>
      <c r="E162" s="383"/>
      <c r="F162" s="383"/>
      <c r="G162" s="383"/>
      <c r="H162" s="383"/>
      <c r="I162" s="383"/>
      <c r="J162" s="383"/>
      <c r="K162" s="383"/>
      <c r="L162" s="383"/>
      <c r="M162" s="383"/>
      <c r="N162" s="383"/>
      <c r="O162" s="383"/>
      <c r="P162" s="383"/>
      <c r="Q162" s="383"/>
      <c r="R162" s="383"/>
      <c r="S162" s="383"/>
      <c r="T162" s="383"/>
      <c r="U162" s="383"/>
      <c r="V162" s="383"/>
      <c r="W162" s="383"/>
      <c r="X162" s="383"/>
      <c r="Y162" s="383"/>
      <c r="Z162" s="383"/>
    </row>
    <row r="163">
      <c r="A163" s="389"/>
      <c r="B163" s="390"/>
      <c r="C163" s="391"/>
      <c r="D163" s="392"/>
      <c r="E163" s="383"/>
      <c r="F163" s="383"/>
      <c r="G163" s="383"/>
      <c r="H163" s="383"/>
      <c r="I163" s="383"/>
      <c r="J163" s="383"/>
      <c r="K163" s="383"/>
      <c r="L163" s="383"/>
      <c r="M163" s="383"/>
      <c r="N163" s="383"/>
      <c r="O163" s="383"/>
      <c r="P163" s="383"/>
      <c r="Q163" s="383"/>
      <c r="R163" s="383"/>
      <c r="S163" s="383"/>
      <c r="T163" s="383"/>
      <c r="U163" s="383"/>
      <c r="V163" s="383"/>
      <c r="W163" s="383"/>
      <c r="X163" s="383"/>
      <c r="Y163" s="383"/>
      <c r="Z163" s="383"/>
    </row>
    <row r="164">
      <c r="A164" s="389"/>
      <c r="B164" s="390"/>
      <c r="C164" s="391"/>
      <c r="D164" s="392"/>
      <c r="E164" s="383"/>
      <c r="F164" s="383"/>
      <c r="G164" s="383"/>
      <c r="H164" s="383"/>
      <c r="I164" s="383"/>
      <c r="J164" s="383"/>
      <c r="K164" s="383"/>
      <c r="L164" s="383"/>
      <c r="M164" s="383"/>
      <c r="N164" s="383"/>
      <c r="O164" s="383"/>
      <c r="P164" s="383"/>
      <c r="Q164" s="383"/>
      <c r="R164" s="383"/>
      <c r="S164" s="383"/>
      <c r="T164" s="383"/>
      <c r="U164" s="383"/>
      <c r="V164" s="383"/>
      <c r="W164" s="383"/>
      <c r="X164" s="383"/>
      <c r="Y164" s="383"/>
      <c r="Z164" s="383"/>
    </row>
    <row r="165">
      <c r="A165" s="389"/>
      <c r="B165" s="390"/>
      <c r="C165" s="391"/>
      <c r="D165" s="392"/>
      <c r="E165" s="383"/>
      <c r="F165" s="383"/>
      <c r="G165" s="383"/>
      <c r="H165" s="383"/>
      <c r="I165" s="383"/>
      <c r="J165" s="383"/>
      <c r="K165" s="383"/>
      <c r="L165" s="383"/>
      <c r="M165" s="383"/>
      <c r="N165" s="383"/>
      <c r="O165" s="383"/>
      <c r="P165" s="383"/>
      <c r="Q165" s="383"/>
      <c r="R165" s="383"/>
      <c r="S165" s="383"/>
      <c r="T165" s="383"/>
      <c r="U165" s="383"/>
      <c r="V165" s="383"/>
      <c r="W165" s="383"/>
      <c r="X165" s="383"/>
      <c r="Y165" s="383"/>
      <c r="Z165" s="383"/>
    </row>
    <row r="166">
      <c r="A166" s="389"/>
      <c r="B166" s="390"/>
      <c r="C166" s="391"/>
      <c r="D166" s="392"/>
      <c r="E166" s="383"/>
      <c r="F166" s="383"/>
      <c r="G166" s="383"/>
      <c r="H166" s="383"/>
      <c r="I166" s="383"/>
      <c r="J166" s="383"/>
      <c r="K166" s="383"/>
      <c r="L166" s="383"/>
      <c r="M166" s="383"/>
      <c r="N166" s="383"/>
      <c r="O166" s="383"/>
      <c r="P166" s="383"/>
      <c r="Q166" s="383"/>
      <c r="R166" s="383"/>
      <c r="S166" s="383"/>
      <c r="T166" s="383"/>
      <c r="U166" s="383"/>
      <c r="V166" s="383"/>
      <c r="W166" s="383"/>
      <c r="X166" s="383"/>
      <c r="Y166" s="383"/>
      <c r="Z166" s="383"/>
    </row>
    <row r="167">
      <c r="A167" s="389"/>
      <c r="B167" s="390"/>
      <c r="C167" s="391"/>
      <c r="D167" s="392"/>
      <c r="E167" s="383"/>
      <c r="F167" s="383"/>
      <c r="G167" s="383"/>
      <c r="H167" s="383"/>
      <c r="I167" s="383"/>
      <c r="J167" s="383"/>
      <c r="K167" s="383"/>
      <c r="L167" s="383"/>
      <c r="M167" s="383"/>
      <c r="N167" s="383"/>
      <c r="O167" s="383"/>
      <c r="P167" s="383"/>
      <c r="Q167" s="383"/>
      <c r="R167" s="383"/>
      <c r="S167" s="383"/>
      <c r="T167" s="383"/>
      <c r="U167" s="383"/>
      <c r="V167" s="383"/>
      <c r="W167" s="383"/>
      <c r="X167" s="383"/>
      <c r="Y167" s="383"/>
      <c r="Z167" s="383"/>
    </row>
    <row r="168">
      <c r="A168" s="389"/>
      <c r="B168" s="390"/>
      <c r="C168" s="391"/>
      <c r="D168" s="392"/>
      <c r="E168" s="383"/>
      <c r="F168" s="383"/>
      <c r="G168" s="383"/>
      <c r="H168" s="383"/>
      <c r="I168" s="383"/>
      <c r="J168" s="383"/>
      <c r="K168" s="383"/>
      <c r="L168" s="383"/>
      <c r="M168" s="383"/>
      <c r="N168" s="383"/>
      <c r="O168" s="383"/>
      <c r="P168" s="383"/>
      <c r="Q168" s="383"/>
      <c r="R168" s="383"/>
      <c r="S168" s="383"/>
      <c r="T168" s="383"/>
      <c r="U168" s="383"/>
      <c r="V168" s="383"/>
      <c r="W168" s="383"/>
      <c r="X168" s="383"/>
      <c r="Y168" s="383"/>
      <c r="Z168" s="383"/>
    </row>
    <row r="169">
      <c r="A169" s="389"/>
      <c r="B169" s="390"/>
      <c r="C169" s="391"/>
      <c r="D169" s="392"/>
      <c r="E169" s="383"/>
      <c r="F169" s="383"/>
      <c r="G169" s="383"/>
      <c r="H169" s="383"/>
      <c r="I169" s="383"/>
      <c r="J169" s="383"/>
      <c r="K169" s="383"/>
      <c r="L169" s="383"/>
      <c r="M169" s="383"/>
      <c r="N169" s="383"/>
      <c r="O169" s="383"/>
      <c r="P169" s="383"/>
      <c r="Q169" s="383"/>
      <c r="R169" s="383"/>
      <c r="S169" s="383"/>
      <c r="T169" s="383"/>
      <c r="U169" s="383"/>
      <c r="V169" s="383"/>
      <c r="W169" s="383"/>
      <c r="X169" s="383"/>
      <c r="Y169" s="383"/>
      <c r="Z169" s="383"/>
    </row>
    <row r="170">
      <c r="A170" s="389"/>
      <c r="B170" s="390"/>
      <c r="C170" s="391"/>
      <c r="D170" s="392"/>
      <c r="E170" s="383"/>
      <c r="F170" s="383"/>
      <c r="G170" s="383"/>
      <c r="H170" s="383"/>
      <c r="I170" s="383"/>
      <c r="J170" s="383"/>
      <c r="K170" s="383"/>
      <c r="L170" s="383"/>
      <c r="M170" s="383"/>
      <c r="N170" s="383"/>
      <c r="O170" s="383"/>
      <c r="P170" s="383"/>
      <c r="Q170" s="383"/>
      <c r="R170" s="383"/>
      <c r="S170" s="383"/>
      <c r="T170" s="383"/>
      <c r="U170" s="383"/>
      <c r="V170" s="383"/>
      <c r="W170" s="383"/>
      <c r="X170" s="383"/>
      <c r="Y170" s="383"/>
      <c r="Z170" s="383"/>
    </row>
    <row r="171">
      <c r="A171" s="389"/>
      <c r="B171" s="390"/>
      <c r="C171" s="391"/>
      <c r="D171" s="392"/>
      <c r="E171" s="383"/>
      <c r="F171" s="383"/>
      <c r="G171" s="383"/>
      <c r="H171" s="383"/>
      <c r="I171" s="383"/>
      <c r="J171" s="383"/>
      <c r="K171" s="383"/>
      <c r="L171" s="383"/>
      <c r="M171" s="383"/>
      <c r="N171" s="383"/>
      <c r="O171" s="383"/>
      <c r="P171" s="383"/>
      <c r="Q171" s="383"/>
      <c r="R171" s="383"/>
      <c r="S171" s="383"/>
      <c r="T171" s="383"/>
      <c r="U171" s="383"/>
      <c r="V171" s="383"/>
      <c r="W171" s="383"/>
      <c r="X171" s="383"/>
      <c r="Y171" s="383"/>
      <c r="Z171" s="383"/>
    </row>
    <row r="172">
      <c r="A172" s="389"/>
      <c r="B172" s="390"/>
      <c r="C172" s="391"/>
      <c r="D172" s="392"/>
      <c r="E172" s="383"/>
      <c r="F172" s="383"/>
      <c r="G172" s="383"/>
      <c r="H172" s="383"/>
      <c r="I172" s="383"/>
      <c r="J172" s="383"/>
      <c r="K172" s="383"/>
      <c r="L172" s="383"/>
      <c r="M172" s="383"/>
      <c r="N172" s="383"/>
      <c r="O172" s="383"/>
      <c r="P172" s="383"/>
      <c r="Q172" s="383"/>
      <c r="R172" s="383"/>
      <c r="S172" s="383"/>
      <c r="T172" s="383"/>
      <c r="U172" s="383"/>
      <c r="V172" s="383"/>
      <c r="W172" s="383"/>
      <c r="X172" s="383"/>
      <c r="Y172" s="383"/>
      <c r="Z172" s="383"/>
    </row>
    <row r="173">
      <c r="A173" s="389"/>
      <c r="B173" s="390"/>
      <c r="C173" s="391"/>
      <c r="D173" s="392"/>
      <c r="E173" s="383"/>
      <c r="F173" s="383"/>
      <c r="G173" s="383"/>
      <c r="H173" s="383"/>
      <c r="I173" s="383"/>
      <c r="J173" s="383"/>
      <c r="K173" s="383"/>
      <c r="L173" s="383"/>
      <c r="M173" s="383"/>
      <c r="N173" s="383"/>
      <c r="O173" s="383"/>
      <c r="P173" s="383"/>
      <c r="Q173" s="383"/>
      <c r="R173" s="383"/>
      <c r="S173" s="383"/>
      <c r="T173" s="383"/>
      <c r="U173" s="383"/>
      <c r="V173" s="383"/>
      <c r="W173" s="383"/>
      <c r="X173" s="383"/>
      <c r="Y173" s="383"/>
      <c r="Z173" s="383"/>
    </row>
    <row r="174">
      <c r="A174" s="389"/>
      <c r="B174" s="390"/>
      <c r="C174" s="391"/>
      <c r="D174" s="392"/>
      <c r="E174" s="383"/>
      <c r="F174" s="383"/>
      <c r="G174" s="383"/>
      <c r="H174" s="383"/>
      <c r="I174" s="383"/>
      <c r="J174" s="383"/>
      <c r="K174" s="383"/>
      <c r="L174" s="383"/>
      <c r="M174" s="383"/>
      <c r="N174" s="383"/>
      <c r="O174" s="383"/>
      <c r="P174" s="383"/>
      <c r="Q174" s="383"/>
      <c r="R174" s="383"/>
      <c r="S174" s="383"/>
      <c r="T174" s="383"/>
      <c r="U174" s="383"/>
      <c r="V174" s="383"/>
      <c r="W174" s="383"/>
      <c r="X174" s="383"/>
      <c r="Y174" s="383"/>
      <c r="Z174" s="383"/>
    </row>
    <row r="175">
      <c r="A175" s="389"/>
      <c r="B175" s="390"/>
      <c r="C175" s="391"/>
      <c r="D175" s="392"/>
      <c r="E175" s="383"/>
      <c r="F175" s="383"/>
      <c r="G175" s="383"/>
      <c r="H175" s="383"/>
      <c r="I175" s="383"/>
      <c r="J175" s="383"/>
      <c r="K175" s="383"/>
      <c r="L175" s="383"/>
      <c r="M175" s="383"/>
      <c r="N175" s="383"/>
      <c r="O175" s="383"/>
      <c r="P175" s="383"/>
      <c r="Q175" s="383"/>
      <c r="R175" s="383"/>
      <c r="S175" s="383"/>
      <c r="T175" s="383"/>
      <c r="U175" s="383"/>
      <c r="V175" s="383"/>
      <c r="W175" s="383"/>
      <c r="X175" s="383"/>
      <c r="Y175" s="383"/>
      <c r="Z175" s="383"/>
    </row>
    <row r="176">
      <c r="A176" s="389"/>
      <c r="B176" s="390"/>
      <c r="C176" s="391"/>
      <c r="D176" s="392"/>
      <c r="E176" s="383"/>
      <c r="F176" s="383"/>
      <c r="G176" s="383"/>
      <c r="H176" s="383"/>
      <c r="I176" s="383"/>
      <c r="J176" s="383"/>
      <c r="K176" s="383"/>
      <c r="L176" s="383"/>
      <c r="M176" s="383"/>
      <c r="N176" s="383"/>
      <c r="O176" s="383"/>
      <c r="P176" s="383"/>
      <c r="Q176" s="383"/>
      <c r="R176" s="383"/>
      <c r="S176" s="383"/>
      <c r="T176" s="383"/>
      <c r="U176" s="383"/>
      <c r="V176" s="383"/>
      <c r="W176" s="383"/>
      <c r="X176" s="383"/>
      <c r="Y176" s="383"/>
      <c r="Z176" s="383"/>
    </row>
    <row r="177">
      <c r="A177" s="389"/>
      <c r="B177" s="390"/>
      <c r="C177" s="391"/>
      <c r="D177" s="392"/>
      <c r="E177" s="383"/>
      <c r="F177" s="383"/>
      <c r="G177" s="383"/>
      <c r="H177" s="383"/>
      <c r="I177" s="383"/>
      <c r="J177" s="383"/>
      <c r="K177" s="383"/>
      <c r="L177" s="383"/>
      <c r="M177" s="383"/>
      <c r="N177" s="383"/>
      <c r="O177" s="383"/>
      <c r="P177" s="383"/>
      <c r="Q177" s="383"/>
      <c r="R177" s="383"/>
      <c r="S177" s="383"/>
      <c r="T177" s="383"/>
      <c r="U177" s="383"/>
      <c r="V177" s="383"/>
      <c r="W177" s="383"/>
      <c r="X177" s="383"/>
      <c r="Y177" s="383"/>
      <c r="Z177" s="383"/>
    </row>
    <row r="178">
      <c r="A178" s="389"/>
      <c r="B178" s="390"/>
      <c r="C178" s="391"/>
      <c r="D178" s="392"/>
      <c r="E178" s="383"/>
      <c r="F178" s="383"/>
      <c r="G178" s="383"/>
      <c r="H178" s="383"/>
      <c r="I178" s="383"/>
      <c r="J178" s="383"/>
      <c r="K178" s="383"/>
      <c r="L178" s="383"/>
      <c r="M178" s="383"/>
      <c r="N178" s="383"/>
      <c r="O178" s="383"/>
      <c r="P178" s="383"/>
      <c r="Q178" s="383"/>
      <c r="R178" s="383"/>
      <c r="S178" s="383"/>
      <c r="T178" s="383"/>
      <c r="U178" s="383"/>
      <c r="V178" s="383"/>
      <c r="W178" s="383"/>
      <c r="X178" s="383"/>
      <c r="Y178" s="383"/>
      <c r="Z178" s="383"/>
    </row>
    <row r="179">
      <c r="A179" s="389"/>
      <c r="B179" s="390"/>
      <c r="C179" s="391"/>
      <c r="D179" s="392"/>
      <c r="E179" s="383"/>
      <c r="F179" s="383"/>
      <c r="G179" s="383"/>
      <c r="H179" s="383"/>
      <c r="I179" s="383"/>
      <c r="J179" s="383"/>
      <c r="K179" s="383"/>
      <c r="L179" s="383"/>
      <c r="M179" s="383"/>
      <c r="N179" s="383"/>
      <c r="O179" s="383"/>
      <c r="P179" s="383"/>
      <c r="Q179" s="383"/>
      <c r="R179" s="383"/>
      <c r="S179" s="383"/>
      <c r="T179" s="383"/>
      <c r="U179" s="383"/>
      <c r="V179" s="383"/>
      <c r="W179" s="383"/>
      <c r="X179" s="383"/>
      <c r="Y179" s="383"/>
      <c r="Z179" s="383"/>
    </row>
    <row r="180">
      <c r="A180" s="389"/>
      <c r="B180" s="390"/>
      <c r="C180" s="391"/>
      <c r="D180" s="392"/>
      <c r="E180" s="383"/>
      <c r="F180" s="383"/>
      <c r="G180" s="383"/>
      <c r="H180" s="383"/>
      <c r="I180" s="383"/>
      <c r="J180" s="383"/>
      <c r="K180" s="383"/>
      <c r="L180" s="383"/>
      <c r="M180" s="383"/>
      <c r="N180" s="383"/>
      <c r="O180" s="383"/>
      <c r="P180" s="383"/>
      <c r="Q180" s="383"/>
      <c r="R180" s="383"/>
      <c r="S180" s="383"/>
      <c r="T180" s="383"/>
      <c r="U180" s="383"/>
      <c r="V180" s="383"/>
      <c r="W180" s="383"/>
      <c r="X180" s="383"/>
      <c r="Y180" s="383"/>
      <c r="Z180" s="383"/>
    </row>
    <row r="181">
      <c r="A181" s="389"/>
      <c r="B181" s="390"/>
      <c r="C181" s="391"/>
      <c r="D181" s="392"/>
      <c r="E181" s="383"/>
      <c r="F181" s="383"/>
      <c r="G181" s="383"/>
      <c r="H181" s="383"/>
      <c r="I181" s="383"/>
      <c r="J181" s="383"/>
      <c r="K181" s="383"/>
      <c r="L181" s="383"/>
      <c r="M181" s="383"/>
      <c r="N181" s="383"/>
      <c r="O181" s="383"/>
      <c r="P181" s="383"/>
      <c r="Q181" s="383"/>
      <c r="R181" s="383"/>
      <c r="S181" s="383"/>
      <c r="T181" s="383"/>
      <c r="U181" s="383"/>
      <c r="V181" s="383"/>
      <c r="W181" s="383"/>
      <c r="X181" s="383"/>
      <c r="Y181" s="383"/>
      <c r="Z181" s="383"/>
    </row>
    <row r="182">
      <c r="A182" s="389"/>
      <c r="B182" s="390"/>
      <c r="C182" s="391"/>
      <c r="D182" s="392"/>
      <c r="E182" s="383"/>
      <c r="F182" s="383"/>
      <c r="G182" s="383"/>
      <c r="H182" s="383"/>
      <c r="I182" s="383"/>
      <c r="J182" s="383"/>
      <c r="K182" s="383"/>
      <c r="L182" s="383"/>
      <c r="M182" s="383"/>
      <c r="N182" s="383"/>
      <c r="O182" s="383"/>
      <c r="P182" s="383"/>
      <c r="Q182" s="383"/>
      <c r="R182" s="383"/>
      <c r="S182" s="383"/>
      <c r="T182" s="383"/>
      <c r="U182" s="383"/>
      <c r="V182" s="383"/>
      <c r="W182" s="383"/>
      <c r="X182" s="383"/>
      <c r="Y182" s="383"/>
      <c r="Z182" s="383"/>
    </row>
    <row r="183">
      <c r="A183" s="389"/>
      <c r="B183" s="390"/>
      <c r="C183" s="391"/>
      <c r="D183" s="392"/>
      <c r="E183" s="383"/>
      <c r="F183" s="383"/>
      <c r="G183" s="383"/>
      <c r="H183" s="383"/>
      <c r="I183" s="383"/>
      <c r="J183" s="383"/>
      <c r="K183" s="383"/>
      <c r="L183" s="383"/>
      <c r="M183" s="383"/>
      <c r="N183" s="383"/>
      <c r="O183" s="383"/>
      <c r="P183" s="383"/>
      <c r="Q183" s="383"/>
      <c r="R183" s="383"/>
      <c r="S183" s="383"/>
      <c r="T183" s="383"/>
      <c r="U183" s="383"/>
      <c r="V183" s="383"/>
      <c r="W183" s="383"/>
      <c r="X183" s="383"/>
      <c r="Y183" s="383"/>
      <c r="Z183" s="383"/>
    </row>
    <row r="184">
      <c r="A184" s="389"/>
      <c r="B184" s="390"/>
      <c r="C184" s="391"/>
      <c r="D184" s="392"/>
      <c r="E184" s="383"/>
      <c r="F184" s="383"/>
      <c r="G184" s="383"/>
      <c r="H184" s="383"/>
      <c r="I184" s="383"/>
      <c r="J184" s="383"/>
      <c r="K184" s="383"/>
      <c r="L184" s="383"/>
      <c r="M184" s="383"/>
      <c r="N184" s="383"/>
      <c r="O184" s="383"/>
      <c r="P184" s="383"/>
      <c r="Q184" s="383"/>
      <c r="R184" s="383"/>
      <c r="S184" s="383"/>
      <c r="T184" s="383"/>
      <c r="U184" s="383"/>
      <c r="V184" s="383"/>
      <c r="W184" s="383"/>
      <c r="X184" s="383"/>
      <c r="Y184" s="383"/>
      <c r="Z184" s="383"/>
    </row>
    <row r="185">
      <c r="A185" s="389"/>
      <c r="B185" s="390"/>
      <c r="C185" s="391"/>
      <c r="D185" s="392"/>
      <c r="E185" s="383"/>
      <c r="F185" s="383"/>
      <c r="G185" s="383"/>
      <c r="H185" s="383"/>
      <c r="I185" s="383"/>
      <c r="J185" s="383"/>
      <c r="K185" s="383"/>
      <c r="L185" s="383"/>
      <c r="M185" s="383"/>
      <c r="N185" s="383"/>
      <c r="O185" s="383"/>
      <c r="P185" s="383"/>
      <c r="Q185" s="383"/>
      <c r="R185" s="383"/>
      <c r="S185" s="383"/>
      <c r="T185" s="383"/>
      <c r="U185" s="383"/>
      <c r="V185" s="383"/>
      <c r="W185" s="383"/>
      <c r="X185" s="383"/>
      <c r="Y185" s="383"/>
      <c r="Z185" s="383"/>
    </row>
    <row r="186">
      <c r="A186" s="389"/>
      <c r="B186" s="390"/>
      <c r="C186" s="391"/>
      <c r="D186" s="392"/>
      <c r="E186" s="383"/>
      <c r="F186" s="383"/>
      <c r="G186" s="383"/>
      <c r="H186" s="383"/>
      <c r="I186" s="383"/>
      <c r="J186" s="383"/>
      <c r="K186" s="383"/>
      <c r="L186" s="383"/>
      <c r="M186" s="383"/>
      <c r="N186" s="383"/>
      <c r="O186" s="383"/>
      <c r="P186" s="383"/>
      <c r="Q186" s="383"/>
      <c r="R186" s="383"/>
      <c r="S186" s="383"/>
      <c r="T186" s="383"/>
      <c r="U186" s="383"/>
      <c r="V186" s="383"/>
      <c r="W186" s="383"/>
      <c r="X186" s="383"/>
      <c r="Y186" s="383"/>
      <c r="Z186" s="383"/>
    </row>
    <row r="187">
      <c r="A187" s="389"/>
      <c r="B187" s="390"/>
      <c r="C187" s="391"/>
      <c r="D187" s="392"/>
      <c r="E187" s="383"/>
      <c r="F187" s="383"/>
      <c r="G187" s="383"/>
      <c r="H187" s="383"/>
      <c r="I187" s="383"/>
      <c r="J187" s="383"/>
      <c r="K187" s="383"/>
      <c r="L187" s="383"/>
      <c r="M187" s="383"/>
      <c r="N187" s="383"/>
      <c r="O187" s="383"/>
      <c r="P187" s="383"/>
      <c r="Q187" s="383"/>
      <c r="R187" s="383"/>
      <c r="S187" s="383"/>
      <c r="T187" s="383"/>
      <c r="U187" s="383"/>
      <c r="V187" s="383"/>
      <c r="W187" s="383"/>
      <c r="X187" s="383"/>
      <c r="Y187" s="383"/>
      <c r="Z187" s="383"/>
    </row>
    <row r="188">
      <c r="A188" s="389"/>
      <c r="B188" s="390"/>
      <c r="C188" s="391"/>
      <c r="D188" s="392"/>
      <c r="E188" s="383"/>
      <c r="F188" s="383"/>
      <c r="G188" s="383"/>
      <c r="H188" s="383"/>
      <c r="I188" s="383"/>
      <c r="J188" s="383"/>
      <c r="K188" s="383"/>
      <c r="L188" s="383"/>
      <c r="M188" s="383"/>
      <c r="N188" s="383"/>
      <c r="O188" s="383"/>
      <c r="P188" s="383"/>
      <c r="Q188" s="383"/>
      <c r="R188" s="383"/>
      <c r="S188" s="383"/>
      <c r="T188" s="383"/>
      <c r="U188" s="383"/>
      <c r="V188" s="383"/>
      <c r="W188" s="383"/>
      <c r="X188" s="383"/>
      <c r="Y188" s="383"/>
      <c r="Z188" s="383"/>
    </row>
    <row r="189">
      <c r="A189" s="389"/>
      <c r="B189" s="390"/>
      <c r="C189" s="391"/>
      <c r="D189" s="392"/>
      <c r="E189" s="383"/>
      <c r="F189" s="383"/>
      <c r="G189" s="383"/>
      <c r="H189" s="383"/>
      <c r="I189" s="383"/>
      <c r="J189" s="383"/>
      <c r="K189" s="383"/>
      <c r="L189" s="383"/>
      <c r="M189" s="383"/>
      <c r="N189" s="383"/>
      <c r="O189" s="383"/>
      <c r="P189" s="383"/>
      <c r="Q189" s="383"/>
      <c r="R189" s="383"/>
      <c r="S189" s="383"/>
      <c r="T189" s="383"/>
      <c r="U189" s="383"/>
      <c r="V189" s="383"/>
      <c r="W189" s="383"/>
      <c r="X189" s="383"/>
      <c r="Y189" s="383"/>
      <c r="Z189" s="383"/>
    </row>
    <row r="190">
      <c r="A190" s="389"/>
      <c r="B190" s="390"/>
      <c r="C190" s="391"/>
      <c r="D190" s="392"/>
      <c r="E190" s="383"/>
      <c r="F190" s="383"/>
      <c r="G190" s="383"/>
      <c r="H190" s="383"/>
      <c r="I190" s="383"/>
      <c r="J190" s="383"/>
      <c r="K190" s="383"/>
      <c r="L190" s="383"/>
      <c r="M190" s="383"/>
      <c r="N190" s="383"/>
      <c r="O190" s="383"/>
      <c r="P190" s="383"/>
      <c r="Q190" s="383"/>
      <c r="R190" s="383"/>
      <c r="S190" s="383"/>
      <c r="T190" s="383"/>
      <c r="U190" s="383"/>
      <c r="V190" s="383"/>
      <c r="W190" s="383"/>
      <c r="X190" s="383"/>
      <c r="Y190" s="383"/>
      <c r="Z190" s="383"/>
    </row>
    <row r="191">
      <c r="A191" s="389"/>
      <c r="B191" s="390"/>
      <c r="C191" s="391"/>
      <c r="D191" s="392"/>
      <c r="E191" s="383"/>
      <c r="F191" s="383"/>
      <c r="G191" s="383"/>
      <c r="H191" s="383"/>
      <c r="I191" s="383"/>
      <c r="J191" s="383"/>
      <c r="K191" s="383"/>
      <c r="L191" s="383"/>
      <c r="M191" s="383"/>
      <c r="N191" s="383"/>
      <c r="O191" s="383"/>
      <c r="P191" s="383"/>
      <c r="Q191" s="383"/>
      <c r="R191" s="383"/>
      <c r="S191" s="383"/>
      <c r="T191" s="383"/>
      <c r="U191" s="383"/>
      <c r="V191" s="383"/>
      <c r="W191" s="383"/>
      <c r="X191" s="383"/>
      <c r="Y191" s="383"/>
      <c r="Z191" s="383"/>
    </row>
    <row r="192">
      <c r="A192" s="389"/>
      <c r="B192" s="390"/>
      <c r="C192" s="391"/>
      <c r="D192" s="392"/>
      <c r="E192" s="383"/>
      <c r="F192" s="383"/>
      <c r="G192" s="383"/>
      <c r="H192" s="383"/>
      <c r="I192" s="383"/>
      <c r="J192" s="383"/>
      <c r="K192" s="383"/>
      <c r="L192" s="383"/>
      <c r="M192" s="383"/>
      <c r="N192" s="383"/>
      <c r="O192" s="383"/>
      <c r="P192" s="383"/>
      <c r="Q192" s="383"/>
      <c r="R192" s="383"/>
      <c r="S192" s="383"/>
      <c r="T192" s="383"/>
      <c r="U192" s="383"/>
      <c r="V192" s="383"/>
      <c r="W192" s="383"/>
      <c r="X192" s="383"/>
      <c r="Y192" s="383"/>
      <c r="Z192" s="383"/>
    </row>
    <row r="193">
      <c r="A193" s="389"/>
      <c r="B193" s="390"/>
      <c r="C193" s="391"/>
      <c r="D193" s="392"/>
      <c r="E193" s="383"/>
      <c r="F193" s="383"/>
      <c r="G193" s="383"/>
      <c r="H193" s="383"/>
      <c r="I193" s="383"/>
      <c r="J193" s="383"/>
      <c r="K193" s="383"/>
      <c r="L193" s="383"/>
      <c r="M193" s="383"/>
      <c r="N193" s="383"/>
      <c r="O193" s="383"/>
      <c r="P193" s="383"/>
      <c r="Q193" s="383"/>
      <c r="R193" s="383"/>
      <c r="S193" s="383"/>
      <c r="T193" s="383"/>
      <c r="U193" s="383"/>
      <c r="V193" s="383"/>
      <c r="W193" s="383"/>
      <c r="X193" s="383"/>
      <c r="Y193" s="383"/>
      <c r="Z193" s="383"/>
    </row>
    <row r="194">
      <c r="A194" s="389"/>
      <c r="B194" s="390"/>
      <c r="C194" s="391"/>
      <c r="D194" s="392"/>
      <c r="E194" s="383"/>
      <c r="F194" s="383"/>
      <c r="G194" s="383"/>
      <c r="H194" s="383"/>
      <c r="I194" s="383"/>
      <c r="J194" s="383"/>
      <c r="K194" s="383"/>
      <c r="L194" s="383"/>
      <c r="M194" s="383"/>
      <c r="N194" s="383"/>
      <c r="O194" s="383"/>
      <c r="P194" s="383"/>
      <c r="Q194" s="383"/>
      <c r="R194" s="383"/>
      <c r="S194" s="383"/>
      <c r="T194" s="383"/>
      <c r="U194" s="383"/>
      <c r="V194" s="383"/>
      <c r="W194" s="383"/>
      <c r="X194" s="383"/>
      <c r="Y194" s="383"/>
      <c r="Z194" s="383"/>
    </row>
    <row r="195">
      <c r="A195" s="389"/>
      <c r="B195" s="390"/>
      <c r="C195" s="391"/>
      <c r="D195" s="392"/>
      <c r="E195" s="383"/>
      <c r="F195" s="383"/>
      <c r="G195" s="383"/>
      <c r="H195" s="383"/>
      <c r="I195" s="383"/>
      <c r="J195" s="383"/>
      <c r="K195" s="383"/>
      <c r="L195" s="383"/>
      <c r="M195" s="383"/>
      <c r="N195" s="383"/>
      <c r="O195" s="383"/>
      <c r="P195" s="383"/>
      <c r="Q195" s="383"/>
      <c r="R195" s="383"/>
      <c r="S195" s="383"/>
      <c r="T195" s="383"/>
      <c r="U195" s="383"/>
      <c r="V195" s="383"/>
      <c r="W195" s="383"/>
      <c r="X195" s="383"/>
      <c r="Y195" s="383"/>
      <c r="Z195" s="383"/>
    </row>
    <row r="196">
      <c r="A196" s="389"/>
      <c r="B196" s="390"/>
      <c r="C196" s="391"/>
      <c r="D196" s="392"/>
      <c r="E196" s="383"/>
      <c r="F196" s="383"/>
      <c r="G196" s="383"/>
      <c r="H196" s="383"/>
      <c r="I196" s="383"/>
      <c r="J196" s="383"/>
      <c r="K196" s="383"/>
      <c r="L196" s="383"/>
      <c r="M196" s="383"/>
      <c r="N196" s="383"/>
      <c r="O196" s="383"/>
      <c r="P196" s="383"/>
      <c r="Q196" s="383"/>
      <c r="R196" s="383"/>
      <c r="S196" s="383"/>
      <c r="T196" s="383"/>
      <c r="U196" s="383"/>
      <c r="V196" s="383"/>
      <c r="W196" s="383"/>
      <c r="X196" s="383"/>
      <c r="Y196" s="383"/>
      <c r="Z196" s="383"/>
    </row>
    <row r="197">
      <c r="A197" s="389"/>
      <c r="B197" s="390"/>
      <c r="C197" s="391"/>
      <c r="D197" s="392"/>
      <c r="E197" s="383"/>
      <c r="F197" s="383"/>
      <c r="G197" s="383"/>
      <c r="H197" s="383"/>
      <c r="I197" s="383"/>
      <c r="J197" s="383"/>
      <c r="K197" s="383"/>
      <c r="L197" s="383"/>
      <c r="M197" s="383"/>
      <c r="N197" s="383"/>
      <c r="O197" s="383"/>
      <c r="P197" s="383"/>
      <c r="Q197" s="383"/>
      <c r="R197" s="383"/>
      <c r="S197" s="383"/>
      <c r="T197" s="383"/>
      <c r="U197" s="383"/>
      <c r="V197" s="383"/>
      <c r="W197" s="383"/>
      <c r="X197" s="383"/>
      <c r="Y197" s="383"/>
      <c r="Z197" s="383"/>
    </row>
    <row r="198">
      <c r="A198" s="389"/>
      <c r="B198" s="390"/>
      <c r="C198" s="391"/>
      <c r="D198" s="392"/>
      <c r="E198" s="383"/>
      <c r="F198" s="383"/>
      <c r="G198" s="383"/>
      <c r="H198" s="383"/>
      <c r="I198" s="383"/>
      <c r="J198" s="383"/>
      <c r="K198" s="383"/>
      <c r="L198" s="383"/>
      <c r="M198" s="383"/>
      <c r="N198" s="383"/>
      <c r="O198" s="383"/>
      <c r="P198" s="383"/>
      <c r="Q198" s="383"/>
      <c r="R198" s="383"/>
      <c r="S198" s="383"/>
      <c r="T198" s="383"/>
      <c r="U198" s="383"/>
      <c r="V198" s="383"/>
      <c r="W198" s="383"/>
      <c r="X198" s="383"/>
      <c r="Y198" s="383"/>
      <c r="Z198" s="383"/>
    </row>
    <row r="199">
      <c r="A199" s="389"/>
      <c r="B199" s="390"/>
      <c r="C199" s="391"/>
      <c r="D199" s="392"/>
      <c r="E199" s="383"/>
      <c r="F199" s="383"/>
      <c r="G199" s="383"/>
      <c r="H199" s="383"/>
      <c r="I199" s="383"/>
      <c r="J199" s="383"/>
      <c r="K199" s="383"/>
      <c r="L199" s="383"/>
      <c r="M199" s="383"/>
      <c r="N199" s="383"/>
      <c r="O199" s="383"/>
      <c r="P199" s="383"/>
      <c r="Q199" s="383"/>
      <c r="R199" s="383"/>
      <c r="S199" s="383"/>
      <c r="T199" s="383"/>
      <c r="U199" s="383"/>
      <c r="V199" s="383"/>
      <c r="W199" s="383"/>
      <c r="X199" s="383"/>
      <c r="Y199" s="383"/>
      <c r="Z199" s="383"/>
    </row>
    <row r="200">
      <c r="A200" s="389"/>
      <c r="B200" s="390"/>
      <c r="C200" s="391"/>
      <c r="D200" s="392"/>
      <c r="E200" s="383"/>
      <c r="F200" s="383"/>
      <c r="G200" s="383"/>
      <c r="H200" s="383"/>
      <c r="I200" s="383"/>
      <c r="J200" s="383"/>
      <c r="K200" s="383"/>
      <c r="L200" s="383"/>
      <c r="M200" s="383"/>
      <c r="N200" s="383"/>
      <c r="O200" s="383"/>
      <c r="P200" s="383"/>
      <c r="Q200" s="383"/>
      <c r="R200" s="383"/>
      <c r="S200" s="383"/>
      <c r="T200" s="383"/>
      <c r="U200" s="383"/>
      <c r="V200" s="383"/>
      <c r="W200" s="383"/>
      <c r="X200" s="383"/>
      <c r="Y200" s="383"/>
      <c r="Z200" s="383"/>
    </row>
    <row r="201">
      <c r="A201" s="389"/>
      <c r="B201" s="390"/>
      <c r="C201" s="391"/>
      <c r="D201" s="392"/>
      <c r="E201" s="383"/>
      <c r="F201" s="383"/>
      <c r="G201" s="383"/>
      <c r="H201" s="383"/>
      <c r="I201" s="383"/>
      <c r="J201" s="383"/>
      <c r="K201" s="383"/>
      <c r="L201" s="383"/>
      <c r="M201" s="383"/>
      <c r="N201" s="383"/>
      <c r="O201" s="383"/>
      <c r="P201" s="383"/>
      <c r="Q201" s="383"/>
      <c r="R201" s="383"/>
      <c r="S201" s="383"/>
      <c r="T201" s="383"/>
      <c r="U201" s="383"/>
      <c r="V201" s="383"/>
      <c r="W201" s="383"/>
      <c r="X201" s="383"/>
      <c r="Y201" s="383"/>
      <c r="Z201" s="383"/>
    </row>
    <row r="202">
      <c r="A202" s="389"/>
      <c r="B202" s="390"/>
      <c r="C202" s="391"/>
      <c r="D202" s="392"/>
      <c r="E202" s="383"/>
      <c r="F202" s="383"/>
      <c r="G202" s="383"/>
      <c r="H202" s="383"/>
      <c r="I202" s="383"/>
      <c r="J202" s="383"/>
      <c r="K202" s="383"/>
      <c r="L202" s="383"/>
      <c r="M202" s="383"/>
      <c r="N202" s="383"/>
      <c r="O202" s="383"/>
      <c r="P202" s="383"/>
      <c r="Q202" s="383"/>
      <c r="R202" s="383"/>
      <c r="S202" s="383"/>
      <c r="T202" s="383"/>
      <c r="U202" s="383"/>
      <c r="V202" s="383"/>
      <c r="W202" s="383"/>
      <c r="X202" s="383"/>
      <c r="Y202" s="383"/>
      <c r="Z202" s="383"/>
    </row>
    <row r="203">
      <c r="A203" s="389"/>
      <c r="B203" s="390"/>
      <c r="C203" s="391"/>
      <c r="D203" s="392"/>
      <c r="E203" s="383"/>
      <c r="F203" s="383"/>
      <c r="G203" s="383"/>
      <c r="H203" s="383"/>
      <c r="I203" s="383"/>
      <c r="J203" s="383"/>
      <c r="K203" s="383"/>
      <c r="L203" s="383"/>
      <c r="M203" s="383"/>
      <c r="N203" s="383"/>
      <c r="O203" s="383"/>
      <c r="P203" s="383"/>
      <c r="Q203" s="383"/>
      <c r="R203" s="383"/>
      <c r="S203" s="383"/>
      <c r="T203" s="383"/>
      <c r="U203" s="383"/>
      <c r="V203" s="383"/>
      <c r="W203" s="383"/>
      <c r="X203" s="383"/>
      <c r="Y203" s="383"/>
      <c r="Z203" s="383"/>
    </row>
    <row r="204">
      <c r="A204" s="389"/>
      <c r="B204" s="390"/>
      <c r="C204" s="391"/>
      <c r="D204" s="392"/>
      <c r="E204" s="383"/>
      <c r="F204" s="383"/>
      <c r="G204" s="383"/>
      <c r="H204" s="383"/>
      <c r="I204" s="383"/>
      <c r="J204" s="383"/>
      <c r="K204" s="383"/>
      <c r="L204" s="383"/>
      <c r="M204" s="383"/>
      <c r="N204" s="383"/>
      <c r="O204" s="383"/>
      <c r="P204" s="383"/>
      <c r="Q204" s="383"/>
      <c r="R204" s="383"/>
      <c r="S204" s="383"/>
      <c r="T204" s="383"/>
      <c r="U204" s="383"/>
      <c r="V204" s="383"/>
      <c r="W204" s="383"/>
      <c r="X204" s="383"/>
      <c r="Y204" s="383"/>
      <c r="Z204" s="383"/>
    </row>
    <row r="205">
      <c r="A205" s="389"/>
      <c r="B205" s="390"/>
      <c r="C205" s="391"/>
      <c r="D205" s="392"/>
      <c r="E205" s="383"/>
      <c r="F205" s="383"/>
      <c r="G205" s="383"/>
      <c r="H205" s="383"/>
      <c r="I205" s="383"/>
      <c r="J205" s="383"/>
      <c r="K205" s="383"/>
      <c r="L205" s="383"/>
      <c r="M205" s="383"/>
      <c r="N205" s="383"/>
      <c r="O205" s="383"/>
      <c r="P205" s="383"/>
      <c r="Q205" s="383"/>
      <c r="R205" s="383"/>
      <c r="S205" s="383"/>
      <c r="T205" s="383"/>
      <c r="U205" s="383"/>
      <c r="V205" s="383"/>
      <c r="W205" s="383"/>
      <c r="X205" s="383"/>
      <c r="Y205" s="383"/>
      <c r="Z205" s="383"/>
    </row>
    <row r="206">
      <c r="A206" s="389"/>
      <c r="B206" s="390"/>
      <c r="C206" s="391"/>
      <c r="D206" s="392"/>
      <c r="E206" s="383"/>
      <c r="F206" s="383"/>
      <c r="G206" s="383"/>
      <c r="H206" s="383"/>
      <c r="I206" s="383"/>
      <c r="J206" s="383"/>
      <c r="K206" s="383"/>
      <c r="L206" s="383"/>
      <c r="M206" s="383"/>
      <c r="N206" s="383"/>
      <c r="O206" s="383"/>
      <c r="P206" s="383"/>
      <c r="Q206" s="383"/>
      <c r="R206" s="383"/>
      <c r="S206" s="383"/>
      <c r="T206" s="383"/>
      <c r="U206" s="383"/>
      <c r="V206" s="383"/>
      <c r="W206" s="383"/>
      <c r="X206" s="383"/>
      <c r="Y206" s="383"/>
      <c r="Z206" s="383"/>
    </row>
    <row r="207">
      <c r="A207" s="389"/>
      <c r="B207" s="390"/>
      <c r="C207" s="391"/>
      <c r="D207" s="392"/>
      <c r="E207" s="383"/>
      <c r="F207" s="383"/>
      <c r="G207" s="383"/>
      <c r="H207" s="383"/>
      <c r="I207" s="383"/>
      <c r="J207" s="383"/>
      <c r="K207" s="383"/>
      <c r="L207" s="383"/>
      <c r="M207" s="383"/>
      <c r="N207" s="383"/>
      <c r="O207" s="383"/>
      <c r="P207" s="383"/>
      <c r="Q207" s="383"/>
      <c r="R207" s="383"/>
      <c r="S207" s="383"/>
      <c r="T207" s="383"/>
      <c r="U207" s="383"/>
      <c r="V207" s="383"/>
      <c r="W207" s="383"/>
      <c r="X207" s="383"/>
      <c r="Y207" s="383"/>
      <c r="Z207" s="383"/>
    </row>
    <row r="208">
      <c r="A208" s="389"/>
      <c r="B208" s="390"/>
      <c r="C208" s="391"/>
      <c r="D208" s="392"/>
      <c r="E208" s="383"/>
      <c r="F208" s="383"/>
      <c r="G208" s="383"/>
      <c r="H208" s="383"/>
      <c r="I208" s="383"/>
      <c r="J208" s="383"/>
      <c r="K208" s="383"/>
      <c r="L208" s="383"/>
      <c r="M208" s="383"/>
      <c r="N208" s="383"/>
      <c r="O208" s="383"/>
      <c r="P208" s="383"/>
      <c r="Q208" s="383"/>
      <c r="R208" s="383"/>
      <c r="S208" s="383"/>
      <c r="T208" s="383"/>
      <c r="U208" s="383"/>
      <c r="V208" s="383"/>
      <c r="W208" s="383"/>
      <c r="X208" s="383"/>
      <c r="Y208" s="383"/>
      <c r="Z208" s="383"/>
    </row>
    <row r="209">
      <c r="A209" s="389"/>
      <c r="B209" s="390"/>
      <c r="C209" s="391"/>
      <c r="D209" s="392"/>
      <c r="E209" s="383"/>
      <c r="F209" s="383"/>
      <c r="G209" s="383"/>
      <c r="H209" s="383"/>
      <c r="I209" s="383"/>
      <c r="J209" s="383"/>
      <c r="K209" s="383"/>
      <c r="L209" s="383"/>
      <c r="M209" s="383"/>
      <c r="N209" s="383"/>
      <c r="O209" s="383"/>
      <c r="P209" s="383"/>
      <c r="Q209" s="383"/>
      <c r="R209" s="383"/>
      <c r="S209" s="383"/>
      <c r="T209" s="383"/>
      <c r="U209" s="383"/>
      <c r="V209" s="383"/>
      <c r="W209" s="383"/>
      <c r="X209" s="383"/>
      <c r="Y209" s="383"/>
      <c r="Z209" s="383"/>
    </row>
    <row r="210">
      <c r="A210" s="389"/>
      <c r="B210" s="390"/>
      <c r="C210" s="391"/>
      <c r="D210" s="392"/>
      <c r="E210" s="383"/>
      <c r="F210" s="383"/>
      <c r="G210" s="383"/>
      <c r="H210" s="383"/>
      <c r="I210" s="383"/>
      <c r="J210" s="383"/>
      <c r="K210" s="383"/>
      <c r="L210" s="383"/>
      <c r="M210" s="383"/>
      <c r="N210" s="383"/>
      <c r="O210" s="383"/>
      <c r="P210" s="383"/>
      <c r="Q210" s="383"/>
      <c r="R210" s="383"/>
      <c r="S210" s="383"/>
      <c r="T210" s="383"/>
      <c r="U210" s="383"/>
      <c r="V210" s="383"/>
      <c r="W210" s="383"/>
      <c r="X210" s="383"/>
      <c r="Y210" s="383"/>
      <c r="Z210" s="383"/>
    </row>
    <row r="211">
      <c r="A211" s="389"/>
      <c r="B211" s="390"/>
      <c r="C211" s="391"/>
      <c r="D211" s="392"/>
      <c r="E211" s="383"/>
      <c r="F211" s="383"/>
      <c r="G211" s="383"/>
      <c r="H211" s="383"/>
      <c r="I211" s="383"/>
      <c r="J211" s="383"/>
      <c r="K211" s="383"/>
      <c r="L211" s="383"/>
      <c r="M211" s="383"/>
      <c r="N211" s="383"/>
      <c r="O211" s="383"/>
      <c r="P211" s="383"/>
      <c r="Q211" s="383"/>
      <c r="R211" s="383"/>
      <c r="S211" s="383"/>
      <c r="T211" s="383"/>
      <c r="U211" s="383"/>
      <c r="V211" s="383"/>
      <c r="W211" s="383"/>
      <c r="X211" s="383"/>
      <c r="Y211" s="383"/>
      <c r="Z211" s="383"/>
    </row>
    <row r="212">
      <c r="A212" s="389"/>
      <c r="B212" s="390"/>
      <c r="C212" s="391"/>
      <c r="D212" s="392"/>
      <c r="E212" s="383"/>
      <c r="F212" s="383"/>
      <c r="G212" s="383"/>
      <c r="H212" s="383"/>
      <c r="I212" s="383"/>
      <c r="J212" s="383"/>
      <c r="K212" s="383"/>
      <c r="L212" s="383"/>
      <c r="M212" s="383"/>
      <c r="N212" s="383"/>
      <c r="O212" s="383"/>
      <c r="P212" s="383"/>
      <c r="Q212" s="383"/>
      <c r="R212" s="383"/>
      <c r="S212" s="383"/>
      <c r="T212" s="383"/>
      <c r="U212" s="383"/>
      <c r="V212" s="383"/>
      <c r="W212" s="383"/>
      <c r="X212" s="383"/>
      <c r="Y212" s="383"/>
      <c r="Z212" s="383"/>
    </row>
    <row r="213">
      <c r="A213" s="389"/>
      <c r="B213" s="390"/>
      <c r="C213" s="391"/>
      <c r="D213" s="392"/>
      <c r="E213" s="383"/>
      <c r="F213" s="383"/>
      <c r="G213" s="383"/>
      <c r="H213" s="383"/>
      <c r="I213" s="383"/>
      <c r="J213" s="383"/>
      <c r="K213" s="383"/>
      <c r="L213" s="383"/>
      <c r="M213" s="383"/>
      <c r="N213" s="383"/>
      <c r="O213" s="383"/>
      <c r="P213" s="383"/>
      <c r="Q213" s="383"/>
      <c r="R213" s="383"/>
      <c r="S213" s="383"/>
      <c r="T213" s="383"/>
      <c r="U213" s="383"/>
      <c r="V213" s="383"/>
      <c r="W213" s="383"/>
      <c r="X213" s="383"/>
      <c r="Y213" s="383"/>
      <c r="Z213" s="383"/>
    </row>
    <row r="214">
      <c r="A214" s="389"/>
      <c r="B214" s="390"/>
      <c r="C214" s="391"/>
      <c r="D214" s="392"/>
      <c r="E214" s="383"/>
      <c r="F214" s="383"/>
      <c r="G214" s="383"/>
      <c r="H214" s="383"/>
      <c r="I214" s="383"/>
      <c r="J214" s="383"/>
      <c r="K214" s="383"/>
      <c r="L214" s="383"/>
      <c r="M214" s="383"/>
      <c r="N214" s="383"/>
      <c r="O214" s="383"/>
      <c r="P214" s="383"/>
      <c r="Q214" s="383"/>
      <c r="R214" s="383"/>
      <c r="S214" s="383"/>
      <c r="T214" s="383"/>
      <c r="U214" s="383"/>
      <c r="V214" s="383"/>
      <c r="W214" s="383"/>
      <c r="X214" s="383"/>
      <c r="Y214" s="383"/>
      <c r="Z214" s="383"/>
    </row>
    <row r="215">
      <c r="A215" s="389"/>
      <c r="B215" s="390"/>
      <c r="C215" s="391"/>
      <c r="D215" s="392"/>
      <c r="E215" s="383"/>
      <c r="F215" s="383"/>
      <c r="G215" s="383"/>
      <c r="H215" s="383"/>
      <c r="I215" s="383"/>
      <c r="J215" s="383"/>
      <c r="K215" s="383"/>
      <c r="L215" s="383"/>
      <c r="M215" s="383"/>
      <c r="N215" s="383"/>
      <c r="O215" s="383"/>
      <c r="P215" s="383"/>
      <c r="Q215" s="383"/>
      <c r="R215" s="383"/>
      <c r="S215" s="383"/>
      <c r="T215" s="383"/>
      <c r="U215" s="383"/>
      <c r="V215" s="383"/>
      <c r="W215" s="383"/>
      <c r="X215" s="383"/>
      <c r="Y215" s="383"/>
      <c r="Z215" s="383"/>
    </row>
    <row r="216">
      <c r="A216" s="389"/>
      <c r="B216" s="390"/>
      <c r="C216" s="391"/>
      <c r="D216" s="392"/>
      <c r="E216" s="383"/>
      <c r="F216" s="383"/>
      <c r="G216" s="383"/>
      <c r="H216" s="383"/>
      <c r="I216" s="383"/>
      <c r="J216" s="383"/>
      <c r="K216" s="383"/>
      <c r="L216" s="383"/>
      <c r="M216" s="383"/>
      <c r="N216" s="383"/>
      <c r="O216" s="383"/>
      <c r="P216" s="383"/>
      <c r="Q216" s="383"/>
      <c r="R216" s="383"/>
      <c r="S216" s="383"/>
      <c r="T216" s="383"/>
      <c r="U216" s="383"/>
      <c r="V216" s="383"/>
      <c r="W216" s="383"/>
      <c r="X216" s="383"/>
      <c r="Y216" s="383"/>
      <c r="Z216" s="383"/>
    </row>
    <row r="217">
      <c r="A217" s="389"/>
      <c r="B217" s="390"/>
      <c r="C217" s="391"/>
      <c r="D217" s="392"/>
      <c r="E217" s="383"/>
      <c r="F217" s="383"/>
      <c r="G217" s="383"/>
      <c r="H217" s="383"/>
      <c r="I217" s="383"/>
      <c r="J217" s="383"/>
      <c r="K217" s="383"/>
      <c r="L217" s="383"/>
      <c r="M217" s="383"/>
      <c r="N217" s="383"/>
      <c r="O217" s="383"/>
      <c r="P217" s="383"/>
      <c r="Q217" s="383"/>
      <c r="R217" s="383"/>
      <c r="S217" s="383"/>
      <c r="T217" s="383"/>
      <c r="U217" s="383"/>
      <c r="V217" s="383"/>
      <c r="W217" s="383"/>
      <c r="X217" s="383"/>
      <c r="Y217" s="383"/>
      <c r="Z217" s="383"/>
    </row>
    <row r="218">
      <c r="A218" s="389"/>
      <c r="B218" s="390"/>
      <c r="C218" s="391"/>
      <c r="D218" s="392"/>
      <c r="E218" s="383"/>
      <c r="F218" s="383"/>
      <c r="G218" s="383"/>
      <c r="H218" s="383"/>
      <c r="I218" s="383"/>
      <c r="J218" s="383"/>
      <c r="K218" s="383"/>
      <c r="L218" s="383"/>
      <c r="M218" s="383"/>
      <c r="N218" s="383"/>
      <c r="O218" s="383"/>
      <c r="P218" s="383"/>
      <c r="Q218" s="383"/>
      <c r="R218" s="383"/>
      <c r="S218" s="383"/>
      <c r="T218" s="383"/>
      <c r="U218" s="383"/>
      <c r="V218" s="383"/>
      <c r="W218" s="383"/>
      <c r="X218" s="383"/>
      <c r="Y218" s="383"/>
      <c r="Z218" s="383"/>
    </row>
    <row r="219">
      <c r="A219" s="389"/>
      <c r="B219" s="390"/>
      <c r="C219" s="391"/>
      <c r="D219" s="392"/>
      <c r="E219" s="383"/>
      <c r="F219" s="383"/>
      <c r="G219" s="383"/>
      <c r="H219" s="383"/>
      <c r="I219" s="383"/>
      <c r="J219" s="383"/>
      <c r="K219" s="383"/>
      <c r="L219" s="383"/>
      <c r="M219" s="383"/>
      <c r="N219" s="383"/>
      <c r="O219" s="383"/>
      <c r="P219" s="383"/>
      <c r="Q219" s="383"/>
      <c r="R219" s="383"/>
      <c r="S219" s="383"/>
      <c r="T219" s="383"/>
      <c r="U219" s="383"/>
      <c r="V219" s="383"/>
      <c r="W219" s="383"/>
      <c r="X219" s="383"/>
      <c r="Y219" s="383"/>
      <c r="Z219" s="383"/>
    </row>
    <row r="220">
      <c r="A220" s="389"/>
      <c r="B220" s="390"/>
      <c r="C220" s="391"/>
      <c r="D220" s="392"/>
      <c r="E220" s="383"/>
      <c r="F220" s="383"/>
      <c r="G220" s="383"/>
      <c r="H220" s="383"/>
      <c r="I220" s="383"/>
      <c r="J220" s="383"/>
      <c r="K220" s="383"/>
      <c r="L220" s="383"/>
      <c r="M220" s="383"/>
      <c r="N220" s="383"/>
      <c r="O220" s="383"/>
      <c r="P220" s="383"/>
      <c r="Q220" s="383"/>
      <c r="R220" s="383"/>
      <c r="S220" s="383"/>
      <c r="T220" s="383"/>
      <c r="U220" s="383"/>
      <c r="V220" s="383"/>
      <c r="W220" s="383"/>
      <c r="X220" s="383"/>
      <c r="Y220" s="383"/>
      <c r="Z220" s="383"/>
    </row>
    <row r="221">
      <c r="A221" s="389"/>
      <c r="B221" s="390"/>
      <c r="C221" s="391"/>
      <c r="D221" s="392"/>
      <c r="E221" s="383"/>
      <c r="F221" s="383"/>
      <c r="G221" s="383"/>
      <c r="H221" s="383"/>
      <c r="I221" s="383"/>
      <c r="J221" s="383"/>
      <c r="K221" s="383"/>
      <c r="L221" s="383"/>
      <c r="M221" s="383"/>
      <c r="N221" s="383"/>
      <c r="O221" s="383"/>
      <c r="P221" s="383"/>
      <c r="Q221" s="383"/>
      <c r="R221" s="383"/>
      <c r="S221" s="383"/>
      <c r="T221" s="383"/>
      <c r="U221" s="383"/>
      <c r="V221" s="383"/>
      <c r="W221" s="383"/>
      <c r="X221" s="383"/>
      <c r="Y221" s="383"/>
      <c r="Z221" s="383"/>
    </row>
    <row r="222">
      <c r="A222" s="389"/>
      <c r="B222" s="390"/>
      <c r="C222" s="391"/>
      <c r="D222" s="392"/>
      <c r="E222" s="383"/>
      <c r="F222" s="383"/>
      <c r="G222" s="383"/>
      <c r="H222" s="383"/>
      <c r="I222" s="383"/>
      <c r="J222" s="383"/>
      <c r="K222" s="383"/>
      <c r="L222" s="383"/>
      <c r="M222" s="383"/>
      <c r="N222" s="383"/>
      <c r="O222" s="383"/>
      <c r="P222" s="383"/>
      <c r="Q222" s="383"/>
      <c r="R222" s="383"/>
      <c r="S222" s="383"/>
      <c r="T222" s="383"/>
      <c r="U222" s="383"/>
      <c r="V222" s="383"/>
      <c r="W222" s="383"/>
      <c r="X222" s="383"/>
      <c r="Y222" s="383"/>
      <c r="Z222" s="383"/>
    </row>
    <row r="223">
      <c r="A223" s="389"/>
      <c r="B223" s="390"/>
      <c r="C223" s="391"/>
      <c r="D223" s="392"/>
      <c r="E223" s="383"/>
      <c r="F223" s="383"/>
      <c r="G223" s="383"/>
      <c r="H223" s="383"/>
      <c r="I223" s="383"/>
      <c r="J223" s="383"/>
      <c r="K223" s="383"/>
      <c r="L223" s="383"/>
      <c r="M223" s="383"/>
      <c r="N223" s="383"/>
      <c r="O223" s="383"/>
      <c r="P223" s="383"/>
      <c r="Q223" s="383"/>
      <c r="R223" s="383"/>
      <c r="S223" s="383"/>
      <c r="T223" s="383"/>
      <c r="U223" s="383"/>
      <c r="V223" s="383"/>
      <c r="W223" s="383"/>
      <c r="X223" s="383"/>
      <c r="Y223" s="383"/>
      <c r="Z223" s="383"/>
    </row>
    <row r="224">
      <c r="A224" s="389"/>
      <c r="B224" s="390"/>
      <c r="C224" s="391"/>
      <c r="D224" s="392"/>
      <c r="E224" s="383"/>
      <c r="F224" s="383"/>
      <c r="G224" s="383"/>
      <c r="H224" s="383"/>
      <c r="I224" s="383"/>
      <c r="J224" s="383"/>
      <c r="K224" s="383"/>
      <c r="L224" s="383"/>
      <c r="M224" s="383"/>
      <c r="N224" s="383"/>
      <c r="O224" s="383"/>
      <c r="P224" s="383"/>
      <c r="Q224" s="383"/>
      <c r="R224" s="383"/>
      <c r="S224" s="383"/>
      <c r="T224" s="383"/>
      <c r="U224" s="383"/>
      <c r="V224" s="383"/>
      <c r="W224" s="383"/>
      <c r="X224" s="383"/>
      <c r="Y224" s="383"/>
      <c r="Z224" s="383"/>
    </row>
    <row r="225">
      <c r="A225" s="389"/>
      <c r="B225" s="390"/>
      <c r="C225" s="391"/>
      <c r="D225" s="392"/>
      <c r="E225" s="383"/>
      <c r="F225" s="383"/>
      <c r="G225" s="383"/>
      <c r="H225" s="383"/>
      <c r="I225" s="383"/>
      <c r="J225" s="383"/>
      <c r="K225" s="383"/>
      <c r="L225" s="383"/>
      <c r="M225" s="383"/>
      <c r="N225" s="383"/>
      <c r="O225" s="383"/>
      <c r="P225" s="383"/>
      <c r="Q225" s="383"/>
      <c r="R225" s="383"/>
      <c r="S225" s="383"/>
      <c r="T225" s="383"/>
      <c r="U225" s="383"/>
      <c r="V225" s="383"/>
      <c r="W225" s="383"/>
      <c r="X225" s="383"/>
      <c r="Y225" s="383"/>
      <c r="Z225" s="383"/>
    </row>
    <row r="226">
      <c r="A226" s="389"/>
      <c r="B226" s="390"/>
      <c r="C226" s="391"/>
      <c r="D226" s="392"/>
      <c r="E226" s="383"/>
      <c r="F226" s="383"/>
      <c r="G226" s="383"/>
      <c r="H226" s="383"/>
      <c r="I226" s="383"/>
      <c r="J226" s="383"/>
      <c r="K226" s="383"/>
      <c r="L226" s="383"/>
      <c r="M226" s="383"/>
      <c r="N226" s="383"/>
      <c r="O226" s="383"/>
      <c r="P226" s="383"/>
      <c r="Q226" s="383"/>
      <c r="R226" s="383"/>
      <c r="S226" s="383"/>
      <c r="T226" s="383"/>
      <c r="U226" s="383"/>
      <c r="V226" s="383"/>
      <c r="W226" s="383"/>
      <c r="X226" s="383"/>
      <c r="Y226" s="383"/>
      <c r="Z226" s="383"/>
    </row>
    <row r="227">
      <c r="A227" s="389"/>
      <c r="B227" s="390"/>
      <c r="C227" s="391"/>
      <c r="D227" s="392"/>
      <c r="E227" s="383"/>
      <c r="F227" s="383"/>
      <c r="G227" s="383"/>
      <c r="H227" s="383"/>
      <c r="I227" s="383"/>
      <c r="J227" s="383"/>
      <c r="K227" s="383"/>
      <c r="L227" s="383"/>
      <c r="M227" s="383"/>
      <c r="N227" s="383"/>
      <c r="O227" s="383"/>
      <c r="P227" s="383"/>
      <c r="Q227" s="383"/>
      <c r="R227" s="383"/>
      <c r="S227" s="383"/>
      <c r="T227" s="383"/>
      <c r="U227" s="383"/>
      <c r="V227" s="383"/>
      <c r="W227" s="383"/>
      <c r="X227" s="383"/>
      <c r="Y227" s="383"/>
      <c r="Z227" s="383"/>
    </row>
    <row r="228">
      <c r="A228" s="389"/>
      <c r="B228" s="390"/>
      <c r="C228" s="391"/>
      <c r="D228" s="392"/>
      <c r="E228" s="383"/>
      <c r="F228" s="383"/>
      <c r="G228" s="383"/>
      <c r="H228" s="383"/>
      <c r="I228" s="383"/>
      <c r="J228" s="383"/>
      <c r="K228" s="383"/>
      <c r="L228" s="383"/>
      <c r="M228" s="383"/>
      <c r="N228" s="383"/>
      <c r="O228" s="383"/>
      <c r="P228" s="383"/>
      <c r="Q228" s="383"/>
      <c r="R228" s="383"/>
      <c r="S228" s="383"/>
      <c r="T228" s="383"/>
      <c r="U228" s="383"/>
      <c r="V228" s="383"/>
      <c r="W228" s="383"/>
      <c r="X228" s="383"/>
      <c r="Y228" s="383"/>
      <c r="Z228" s="383"/>
    </row>
    <row r="229">
      <c r="A229" s="389"/>
      <c r="B229" s="390"/>
      <c r="C229" s="391"/>
      <c r="D229" s="392"/>
      <c r="E229" s="383"/>
      <c r="F229" s="383"/>
      <c r="G229" s="383"/>
      <c r="H229" s="383"/>
      <c r="I229" s="383"/>
      <c r="J229" s="383"/>
      <c r="K229" s="383"/>
      <c r="L229" s="383"/>
      <c r="M229" s="383"/>
      <c r="N229" s="383"/>
      <c r="O229" s="383"/>
      <c r="P229" s="383"/>
      <c r="Q229" s="383"/>
      <c r="R229" s="383"/>
      <c r="S229" s="383"/>
      <c r="T229" s="383"/>
      <c r="U229" s="383"/>
      <c r="V229" s="383"/>
      <c r="W229" s="383"/>
      <c r="X229" s="383"/>
      <c r="Y229" s="383"/>
      <c r="Z229" s="383"/>
    </row>
    <row r="230">
      <c r="A230" s="389"/>
      <c r="B230" s="390"/>
      <c r="C230" s="391"/>
      <c r="D230" s="392"/>
      <c r="E230" s="383"/>
      <c r="F230" s="383"/>
      <c r="G230" s="383"/>
      <c r="H230" s="383"/>
      <c r="I230" s="383"/>
      <c r="J230" s="383"/>
      <c r="K230" s="383"/>
      <c r="L230" s="383"/>
      <c r="M230" s="383"/>
      <c r="N230" s="383"/>
      <c r="O230" s="383"/>
      <c r="P230" s="383"/>
      <c r="Q230" s="383"/>
      <c r="R230" s="383"/>
      <c r="S230" s="383"/>
      <c r="T230" s="383"/>
      <c r="U230" s="383"/>
      <c r="V230" s="383"/>
      <c r="W230" s="383"/>
      <c r="X230" s="383"/>
      <c r="Y230" s="383"/>
      <c r="Z230" s="383"/>
    </row>
    <row r="231">
      <c r="A231" s="389"/>
      <c r="B231" s="390"/>
      <c r="C231" s="391"/>
      <c r="D231" s="392"/>
      <c r="E231" s="383"/>
      <c r="F231" s="383"/>
      <c r="G231" s="383"/>
      <c r="H231" s="383"/>
      <c r="I231" s="383"/>
      <c r="J231" s="383"/>
      <c r="K231" s="383"/>
      <c r="L231" s="383"/>
      <c r="M231" s="383"/>
      <c r="N231" s="383"/>
      <c r="O231" s="383"/>
      <c r="P231" s="383"/>
      <c r="Q231" s="383"/>
      <c r="R231" s="383"/>
      <c r="S231" s="383"/>
      <c r="T231" s="383"/>
      <c r="U231" s="383"/>
      <c r="V231" s="383"/>
      <c r="W231" s="383"/>
      <c r="X231" s="383"/>
      <c r="Y231" s="383"/>
      <c r="Z231" s="383"/>
    </row>
    <row r="232">
      <c r="A232" s="389"/>
      <c r="B232" s="390"/>
      <c r="C232" s="391"/>
      <c r="D232" s="392"/>
      <c r="E232" s="383"/>
      <c r="F232" s="383"/>
      <c r="G232" s="383"/>
      <c r="H232" s="383"/>
      <c r="I232" s="383"/>
      <c r="J232" s="383"/>
      <c r="K232" s="383"/>
      <c r="L232" s="383"/>
      <c r="M232" s="383"/>
      <c r="N232" s="383"/>
      <c r="O232" s="383"/>
      <c r="P232" s="383"/>
      <c r="Q232" s="383"/>
      <c r="R232" s="383"/>
      <c r="S232" s="383"/>
      <c r="T232" s="383"/>
      <c r="U232" s="383"/>
      <c r="V232" s="383"/>
      <c r="W232" s="383"/>
      <c r="X232" s="383"/>
      <c r="Y232" s="383"/>
      <c r="Z232" s="383"/>
    </row>
    <row r="233">
      <c r="A233" s="389"/>
      <c r="B233" s="390"/>
      <c r="C233" s="391"/>
      <c r="D233" s="392"/>
      <c r="E233" s="383"/>
      <c r="F233" s="383"/>
      <c r="G233" s="383"/>
      <c r="H233" s="383"/>
      <c r="I233" s="383"/>
      <c r="J233" s="383"/>
      <c r="K233" s="383"/>
      <c r="L233" s="383"/>
      <c r="M233" s="383"/>
      <c r="N233" s="383"/>
      <c r="O233" s="383"/>
      <c r="P233" s="383"/>
      <c r="Q233" s="383"/>
      <c r="R233" s="383"/>
      <c r="S233" s="383"/>
      <c r="T233" s="383"/>
      <c r="U233" s="383"/>
      <c r="V233" s="383"/>
      <c r="W233" s="383"/>
      <c r="X233" s="383"/>
      <c r="Y233" s="383"/>
      <c r="Z233" s="383"/>
    </row>
    <row r="234">
      <c r="A234" s="389"/>
      <c r="B234" s="390"/>
      <c r="C234" s="391"/>
      <c r="D234" s="392"/>
      <c r="E234" s="383"/>
      <c r="F234" s="383"/>
      <c r="G234" s="383"/>
      <c r="H234" s="383"/>
      <c r="I234" s="383"/>
      <c r="J234" s="383"/>
      <c r="K234" s="383"/>
      <c r="L234" s="383"/>
      <c r="M234" s="383"/>
      <c r="N234" s="383"/>
      <c r="O234" s="383"/>
      <c r="P234" s="383"/>
      <c r="Q234" s="383"/>
      <c r="R234" s="383"/>
      <c r="S234" s="383"/>
      <c r="T234" s="383"/>
      <c r="U234" s="383"/>
      <c r="V234" s="383"/>
      <c r="W234" s="383"/>
      <c r="X234" s="383"/>
      <c r="Y234" s="383"/>
      <c r="Z234" s="383"/>
    </row>
    <row r="235">
      <c r="A235" s="389"/>
      <c r="B235" s="390"/>
      <c r="C235" s="391"/>
      <c r="D235" s="392"/>
      <c r="E235" s="383"/>
      <c r="F235" s="383"/>
      <c r="G235" s="383"/>
      <c r="H235" s="383"/>
      <c r="I235" s="383"/>
      <c r="J235" s="383"/>
      <c r="K235" s="383"/>
      <c r="L235" s="383"/>
      <c r="M235" s="383"/>
      <c r="N235" s="383"/>
      <c r="O235" s="383"/>
      <c r="P235" s="383"/>
      <c r="Q235" s="383"/>
      <c r="R235" s="383"/>
      <c r="S235" s="383"/>
      <c r="T235" s="383"/>
      <c r="U235" s="383"/>
      <c r="V235" s="383"/>
      <c r="W235" s="383"/>
      <c r="X235" s="383"/>
      <c r="Y235" s="383"/>
      <c r="Z235" s="383"/>
    </row>
    <row r="236">
      <c r="A236" s="389"/>
      <c r="B236" s="390"/>
      <c r="C236" s="391"/>
      <c r="D236" s="392"/>
      <c r="E236" s="383"/>
      <c r="F236" s="383"/>
      <c r="G236" s="383"/>
      <c r="H236" s="383"/>
      <c r="I236" s="383"/>
      <c r="J236" s="383"/>
      <c r="K236" s="383"/>
      <c r="L236" s="383"/>
      <c r="M236" s="383"/>
      <c r="N236" s="383"/>
      <c r="O236" s="383"/>
      <c r="P236" s="383"/>
      <c r="Q236" s="383"/>
      <c r="R236" s="383"/>
      <c r="S236" s="383"/>
      <c r="T236" s="383"/>
      <c r="U236" s="383"/>
      <c r="V236" s="383"/>
      <c r="W236" s="383"/>
      <c r="X236" s="383"/>
      <c r="Y236" s="383"/>
      <c r="Z236" s="383"/>
    </row>
    <row r="237">
      <c r="A237" s="389"/>
      <c r="B237" s="390"/>
      <c r="C237" s="391"/>
      <c r="D237" s="392"/>
      <c r="E237" s="383"/>
      <c r="F237" s="383"/>
      <c r="G237" s="383"/>
      <c r="H237" s="383"/>
      <c r="I237" s="383"/>
      <c r="J237" s="383"/>
      <c r="K237" s="383"/>
      <c r="L237" s="383"/>
      <c r="M237" s="383"/>
      <c r="N237" s="383"/>
      <c r="O237" s="383"/>
      <c r="P237" s="383"/>
      <c r="Q237" s="383"/>
      <c r="R237" s="383"/>
      <c r="S237" s="383"/>
      <c r="T237" s="383"/>
      <c r="U237" s="383"/>
      <c r="V237" s="383"/>
      <c r="W237" s="383"/>
      <c r="X237" s="383"/>
      <c r="Y237" s="383"/>
      <c r="Z237" s="383"/>
    </row>
    <row r="238">
      <c r="A238" s="389"/>
      <c r="B238" s="390"/>
      <c r="C238" s="391"/>
      <c r="D238" s="392"/>
      <c r="E238" s="383"/>
      <c r="F238" s="383"/>
      <c r="G238" s="383"/>
      <c r="H238" s="383"/>
      <c r="I238" s="383"/>
      <c r="J238" s="383"/>
      <c r="K238" s="383"/>
      <c r="L238" s="383"/>
      <c r="M238" s="383"/>
      <c r="N238" s="383"/>
      <c r="O238" s="383"/>
      <c r="P238" s="383"/>
      <c r="Q238" s="383"/>
      <c r="R238" s="383"/>
      <c r="S238" s="383"/>
      <c r="T238" s="383"/>
      <c r="U238" s="383"/>
      <c r="V238" s="383"/>
      <c r="W238" s="383"/>
      <c r="X238" s="383"/>
      <c r="Y238" s="383"/>
      <c r="Z238" s="383"/>
    </row>
    <row r="239">
      <c r="A239" s="389"/>
      <c r="B239" s="390"/>
      <c r="C239" s="391"/>
      <c r="D239" s="392"/>
      <c r="E239" s="383"/>
      <c r="F239" s="383"/>
      <c r="G239" s="383"/>
      <c r="H239" s="383"/>
      <c r="I239" s="383"/>
      <c r="J239" s="383"/>
      <c r="K239" s="383"/>
      <c r="L239" s="383"/>
      <c r="M239" s="383"/>
      <c r="N239" s="383"/>
      <c r="O239" s="383"/>
      <c r="P239" s="383"/>
      <c r="Q239" s="383"/>
      <c r="R239" s="383"/>
      <c r="S239" s="383"/>
      <c r="T239" s="383"/>
      <c r="U239" s="383"/>
      <c r="V239" s="383"/>
      <c r="W239" s="383"/>
      <c r="X239" s="383"/>
      <c r="Y239" s="383"/>
      <c r="Z239" s="383"/>
    </row>
    <row r="240">
      <c r="A240" s="389"/>
      <c r="B240" s="390"/>
      <c r="C240" s="391"/>
      <c r="D240" s="392"/>
      <c r="E240" s="383"/>
      <c r="F240" s="383"/>
      <c r="G240" s="383"/>
      <c r="H240" s="383"/>
      <c r="I240" s="383"/>
      <c r="J240" s="383"/>
      <c r="K240" s="383"/>
      <c r="L240" s="383"/>
      <c r="M240" s="383"/>
      <c r="N240" s="383"/>
      <c r="O240" s="383"/>
      <c r="P240" s="383"/>
      <c r="Q240" s="383"/>
      <c r="R240" s="383"/>
      <c r="S240" s="383"/>
      <c r="T240" s="383"/>
      <c r="U240" s="383"/>
      <c r="V240" s="383"/>
      <c r="W240" s="383"/>
      <c r="X240" s="383"/>
      <c r="Y240" s="383"/>
      <c r="Z240" s="383"/>
    </row>
    <row r="241">
      <c r="A241" s="389"/>
      <c r="B241" s="390"/>
      <c r="C241" s="391"/>
      <c r="D241" s="392"/>
      <c r="E241" s="383"/>
      <c r="F241" s="383"/>
      <c r="G241" s="383"/>
      <c r="H241" s="383"/>
      <c r="I241" s="383"/>
      <c r="J241" s="383"/>
      <c r="K241" s="383"/>
      <c r="L241" s="383"/>
      <c r="M241" s="383"/>
      <c r="N241" s="383"/>
      <c r="O241" s="383"/>
      <c r="P241" s="383"/>
      <c r="Q241" s="383"/>
      <c r="R241" s="383"/>
      <c r="S241" s="383"/>
      <c r="T241" s="383"/>
      <c r="U241" s="383"/>
      <c r="V241" s="383"/>
      <c r="W241" s="383"/>
      <c r="X241" s="383"/>
      <c r="Y241" s="383"/>
      <c r="Z241" s="383"/>
    </row>
    <row r="242">
      <c r="A242" s="389"/>
      <c r="B242" s="390"/>
      <c r="C242" s="391"/>
      <c r="D242" s="392"/>
      <c r="E242" s="383"/>
      <c r="F242" s="383"/>
      <c r="G242" s="383"/>
      <c r="H242" s="383"/>
      <c r="I242" s="383"/>
      <c r="J242" s="383"/>
      <c r="K242" s="383"/>
      <c r="L242" s="383"/>
      <c r="M242" s="383"/>
      <c r="N242" s="383"/>
      <c r="O242" s="383"/>
      <c r="P242" s="383"/>
      <c r="Q242" s="383"/>
      <c r="R242" s="383"/>
      <c r="S242" s="383"/>
      <c r="T242" s="383"/>
      <c r="U242" s="383"/>
      <c r="V242" s="383"/>
      <c r="W242" s="383"/>
      <c r="X242" s="383"/>
      <c r="Y242" s="383"/>
      <c r="Z242" s="383"/>
    </row>
    <row r="243">
      <c r="A243" s="389"/>
      <c r="B243" s="390"/>
      <c r="C243" s="391"/>
      <c r="D243" s="392"/>
      <c r="E243" s="383"/>
      <c r="F243" s="383"/>
      <c r="G243" s="383"/>
      <c r="H243" s="383"/>
      <c r="I243" s="383"/>
      <c r="J243" s="383"/>
      <c r="K243" s="383"/>
      <c r="L243" s="383"/>
      <c r="M243" s="383"/>
      <c r="N243" s="383"/>
      <c r="O243" s="383"/>
      <c r="P243" s="383"/>
      <c r="Q243" s="383"/>
      <c r="R243" s="383"/>
      <c r="S243" s="383"/>
      <c r="T243" s="383"/>
      <c r="U243" s="383"/>
      <c r="V243" s="383"/>
      <c r="W243" s="383"/>
      <c r="X243" s="383"/>
      <c r="Y243" s="383"/>
      <c r="Z243" s="383"/>
    </row>
    <row r="244">
      <c r="A244" s="389"/>
      <c r="B244" s="390"/>
      <c r="C244" s="391"/>
      <c r="D244" s="392"/>
      <c r="E244" s="383"/>
      <c r="F244" s="383"/>
      <c r="G244" s="383"/>
      <c r="H244" s="383"/>
      <c r="I244" s="383"/>
      <c r="J244" s="383"/>
      <c r="K244" s="383"/>
      <c r="L244" s="383"/>
      <c r="M244" s="383"/>
      <c r="N244" s="383"/>
      <c r="O244" s="383"/>
      <c r="P244" s="383"/>
      <c r="Q244" s="383"/>
      <c r="R244" s="383"/>
      <c r="S244" s="383"/>
      <c r="T244" s="383"/>
      <c r="U244" s="383"/>
      <c r="V244" s="383"/>
      <c r="W244" s="383"/>
      <c r="X244" s="383"/>
      <c r="Y244" s="383"/>
      <c r="Z244" s="383"/>
    </row>
    <row r="245">
      <c r="A245" s="389"/>
      <c r="B245" s="390"/>
      <c r="C245" s="391"/>
      <c r="D245" s="392"/>
      <c r="E245" s="383"/>
      <c r="F245" s="383"/>
      <c r="G245" s="383"/>
      <c r="H245" s="383"/>
      <c r="I245" s="383"/>
      <c r="J245" s="383"/>
      <c r="K245" s="383"/>
      <c r="L245" s="383"/>
      <c r="M245" s="383"/>
      <c r="N245" s="383"/>
      <c r="O245" s="383"/>
      <c r="P245" s="383"/>
      <c r="Q245" s="383"/>
      <c r="R245" s="383"/>
      <c r="S245" s="383"/>
      <c r="T245" s="383"/>
      <c r="U245" s="383"/>
      <c r="V245" s="383"/>
      <c r="W245" s="383"/>
      <c r="X245" s="383"/>
      <c r="Y245" s="383"/>
      <c r="Z245" s="383"/>
    </row>
    <row r="246">
      <c r="A246" s="389"/>
      <c r="B246" s="390"/>
      <c r="C246" s="391"/>
      <c r="D246" s="392"/>
      <c r="E246" s="383"/>
      <c r="F246" s="383"/>
      <c r="G246" s="383"/>
      <c r="H246" s="383"/>
      <c r="I246" s="383"/>
      <c r="J246" s="383"/>
      <c r="K246" s="383"/>
      <c r="L246" s="383"/>
      <c r="M246" s="383"/>
      <c r="N246" s="383"/>
      <c r="O246" s="383"/>
      <c r="P246" s="383"/>
      <c r="Q246" s="383"/>
      <c r="R246" s="383"/>
      <c r="S246" s="383"/>
      <c r="T246" s="383"/>
      <c r="U246" s="383"/>
      <c r="V246" s="383"/>
      <c r="W246" s="383"/>
      <c r="X246" s="383"/>
      <c r="Y246" s="383"/>
      <c r="Z246" s="383"/>
    </row>
    <row r="247">
      <c r="A247" s="389"/>
      <c r="B247" s="390"/>
      <c r="C247" s="391"/>
      <c r="D247" s="392"/>
      <c r="E247" s="383"/>
      <c r="F247" s="383"/>
      <c r="G247" s="383"/>
      <c r="H247" s="383"/>
      <c r="I247" s="383"/>
      <c r="J247" s="383"/>
      <c r="K247" s="383"/>
      <c r="L247" s="383"/>
      <c r="M247" s="383"/>
      <c r="N247" s="383"/>
      <c r="O247" s="383"/>
      <c r="P247" s="383"/>
      <c r="Q247" s="383"/>
      <c r="R247" s="383"/>
      <c r="S247" s="383"/>
      <c r="T247" s="383"/>
      <c r="U247" s="383"/>
      <c r="V247" s="383"/>
      <c r="W247" s="383"/>
      <c r="X247" s="383"/>
      <c r="Y247" s="383"/>
      <c r="Z247" s="383"/>
    </row>
    <row r="248">
      <c r="A248" s="389"/>
      <c r="B248" s="390"/>
      <c r="C248" s="391"/>
      <c r="D248" s="392"/>
      <c r="E248" s="383"/>
      <c r="F248" s="383"/>
      <c r="G248" s="383"/>
      <c r="H248" s="383"/>
      <c r="I248" s="383"/>
      <c r="J248" s="383"/>
      <c r="K248" s="383"/>
      <c r="L248" s="383"/>
      <c r="M248" s="383"/>
      <c r="N248" s="383"/>
      <c r="O248" s="383"/>
      <c r="P248" s="383"/>
      <c r="Q248" s="383"/>
      <c r="R248" s="383"/>
      <c r="S248" s="383"/>
      <c r="T248" s="383"/>
      <c r="U248" s="383"/>
      <c r="V248" s="383"/>
      <c r="W248" s="383"/>
      <c r="X248" s="383"/>
      <c r="Y248" s="383"/>
      <c r="Z248" s="383"/>
    </row>
    <row r="249">
      <c r="A249" s="389"/>
      <c r="B249" s="390"/>
      <c r="C249" s="391"/>
      <c r="D249" s="392"/>
      <c r="E249" s="383"/>
      <c r="F249" s="383"/>
      <c r="G249" s="383"/>
      <c r="H249" s="383"/>
      <c r="I249" s="383"/>
      <c r="J249" s="383"/>
      <c r="K249" s="383"/>
      <c r="L249" s="383"/>
      <c r="M249" s="383"/>
      <c r="N249" s="383"/>
      <c r="O249" s="383"/>
      <c r="P249" s="383"/>
      <c r="Q249" s="383"/>
      <c r="R249" s="383"/>
      <c r="S249" s="383"/>
      <c r="T249" s="383"/>
      <c r="U249" s="383"/>
      <c r="V249" s="383"/>
      <c r="W249" s="383"/>
      <c r="X249" s="383"/>
      <c r="Y249" s="383"/>
      <c r="Z249" s="383"/>
    </row>
    <row r="250">
      <c r="A250" s="389"/>
      <c r="B250" s="390"/>
      <c r="C250" s="391"/>
      <c r="D250" s="392"/>
      <c r="E250" s="383"/>
      <c r="F250" s="383"/>
      <c r="G250" s="383"/>
      <c r="H250" s="383"/>
      <c r="I250" s="383"/>
      <c r="J250" s="383"/>
      <c r="K250" s="383"/>
      <c r="L250" s="383"/>
      <c r="M250" s="383"/>
      <c r="N250" s="383"/>
      <c r="O250" s="383"/>
      <c r="P250" s="383"/>
      <c r="Q250" s="383"/>
      <c r="R250" s="383"/>
      <c r="S250" s="383"/>
      <c r="T250" s="383"/>
      <c r="U250" s="383"/>
      <c r="V250" s="383"/>
      <c r="W250" s="383"/>
      <c r="X250" s="383"/>
      <c r="Y250" s="383"/>
      <c r="Z250" s="383"/>
    </row>
    <row r="251">
      <c r="A251" s="389"/>
      <c r="B251" s="390"/>
      <c r="C251" s="391"/>
      <c r="D251" s="392"/>
      <c r="E251" s="383"/>
      <c r="F251" s="383"/>
      <c r="G251" s="383"/>
      <c r="H251" s="383"/>
      <c r="I251" s="383"/>
      <c r="J251" s="383"/>
      <c r="K251" s="383"/>
      <c r="L251" s="383"/>
      <c r="M251" s="383"/>
      <c r="N251" s="383"/>
      <c r="O251" s="383"/>
      <c r="P251" s="383"/>
      <c r="Q251" s="383"/>
      <c r="R251" s="383"/>
      <c r="S251" s="383"/>
      <c r="T251" s="383"/>
      <c r="U251" s="383"/>
      <c r="V251" s="383"/>
      <c r="W251" s="383"/>
      <c r="X251" s="383"/>
      <c r="Y251" s="383"/>
      <c r="Z251" s="383"/>
    </row>
    <row r="252">
      <c r="A252" s="389"/>
      <c r="B252" s="390"/>
      <c r="C252" s="391"/>
      <c r="D252" s="392"/>
      <c r="E252" s="383"/>
      <c r="F252" s="383"/>
      <c r="G252" s="383"/>
      <c r="H252" s="383"/>
      <c r="I252" s="383"/>
      <c r="J252" s="383"/>
      <c r="K252" s="383"/>
      <c r="L252" s="383"/>
      <c r="M252" s="383"/>
      <c r="N252" s="383"/>
      <c r="O252" s="383"/>
      <c r="P252" s="383"/>
      <c r="Q252" s="383"/>
      <c r="R252" s="383"/>
      <c r="S252" s="383"/>
      <c r="T252" s="383"/>
      <c r="U252" s="383"/>
      <c r="V252" s="383"/>
      <c r="W252" s="383"/>
      <c r="X252" s="383"/>
      <c r="Y252" s="383"/>
      <c r="Z252" s="383"/>
    </row>
    <row r="253">
      <c r="A253" s="389"/>
      <c r="B253" s="390"/>
      <c r="C253" s="391"/>
      <c r="D253" s="392"/>
      <c r="E253" s="383"/>
      <c r="F253" s="383"/>
      <c r="G253" s="383"/>
      <c r="H253" s="383"/>
      <c r="I253" s="383"/>
      <c r="J253" s="383"/>
      <c r="K253" s="383"/>
      <c r="L253" s="383"/>
      <c r="M253" s="383"/>
      <c r="N253" s="383"/>
      <c r="O253" s="383"/>
      <c r="P253" s="383"/>
      <c r="Q253" s="383"/>
      <c r="R253" s="383"/>
      <c r="S253" s="383"/>
      <c r="T253" s="383"/>
      <c r="U253" s="383"/>
      <c r="V253" s="383"/>
      <c r="W253" s="383"/>
      <c r="X253" s="383"/>
      <c r="Y253" s="383"/>
      <c r="Z253" s="383"/>
    </row>
    <row r="254">
      <c r="A254" s="389"/>
      <c r="B254" s="390"/>
      <c r="C254" s="391"/>
      <c r="D254" s="392"/>
      <c r="E254" s="383"/>
      <c r="F254" s="383"/>
      <c r="G254" s="383"/>
      <c r="H254" s="383"/>
      <c r="I254" s="383"/>
      <c r="J254" s="383"/>
      <c r="K254" s="383"/>
      <c r="L254" s="383"/>
      <c r="M254" s="383"/>
      <c r="N254" s="383"/>
      <c r="O254" s="383"/>
      <c r="P254" s="383"/>
      <c r="Q254" s="383"/>
      <c r="R254" s="383"/>
      <c r="S254" s="383"/>
      <c r="T254" s="383"/>
      <c r="U254" s="383"/>
      <c r="V254" s="383"/>
      <c r="W254" s="383"/>
      <c r="X254" s="383"/>
      <c r="Y254" s="383"/>
      <c r="Z254" s="383"/>
    </row>
    <row r="255">
      <c r="A255" s="389"/>
      <c r="B255" s="390"/>
      <c r="C255" s="391"/>
      <c r="D255" s="392"/>
      <c r="E255" s="383"/>
      <c r="F255" s="383"/>
      <c r="G255" s="383"/>
      <c r="H255" s="383"/>
      <c r="I255" s="383"/>
      <c r="J255" s="383"/>
      <c r="K255" s="383"/>
      <c r="L255" s="383"/>
      <c r="M255" s="383"/>
      <c r="N255" s="383"/>
      <c r="O255" s="383"/>
      <c r="P255" s="383"/>
      <c r="Q255" s="383"/>
      <c r="R255" s="383"/>
      <c r="S255" s="383"/>
      <c r="T255" s="383"/>
      <c r="U255" s="383"/>
      <c r="V255" s="383"/>
      <c r="W255" s="383"/>
      <c r="X255" s="383"/>
      <c r="Y255" s="383"/>
      <c r="Z255" s="383"/>
    </row>
    <row r="256">
      <c r="A256" s="389"/>
      <c r="B256" s="390"/>
      <c r="C256" s="391"/>
      <c r="D256" s="392"/>
      <c r="E256" s="383"/>
      <c r="F256" s="383"/>
      <c r="G256" s="383"/>
      <c r="H256" s="383"/>
      <c r="I256" s="383"/>
      <c r="J256" s="383"/>
      <c r="K256" s="383"/>
      <c r="L256" s="383"/>
      <c r="M256" s="383"/>
      <c r="N256" s="383"/>
      <c r="O256" s="383"/>
      <c r="P256" s="383"/>
      <c r="Q256" s="383"/>
      <c r="R256" s="383"/>
      <c r="S256" s="383"/>
      <c r="T256" s="383"/>
      <c r="U256" s="383"/>
      <c r="V256" s="383"/>
      <c r="W256" s="383"/>
      <c r="X256" s="383"/>
      <c r="Y256" s="383"/>
      <c r="Z256" s="383"/>
    </row>
    <row r="257">
      <c r="A257" s="389"/>
      <c r="B257" s="390"/>
      <c r="C257" s="391"/>
      <c r="D257" s="392"/>
      <c r="E257" s="383"/>
      <c r="F257" s="383"/>
      <c r="G257" s="383"/>
      <c r="H257" s="383"/>
      <c r="I257" s="383"/>
      <c r="J257" s="383"/>
      <c r="K257" s="383"/>
      <c r="L257" s="383"/>
      <c r="M257" s="383"/>
      <c r="N257" s="383"/>
      <c r="O257" s="383"/>
      <c r="P257" s="383"/>
      <c r="Q257" s="383"/>
      <c r="R257" s="383"/>
      <c r="S257" s="383"/>
      <c r="T257" s="383"/>
      <c r="U257" s="383"/>
      <c r="V257" s="383"/>
      <c r="W257" s="383"/>
      <c r="X257" s="383"/>
      <c r="Y257" s="383"/>
      <c r="Z257" s="383"/>
    </row>
    <row r="258">
      <c r="A258" s="389"/>
      <c r="B258" s="390"/>
      <c r="C258" s="391"/>
      <c r="D258" s="392"/>
      <c r="E258" s="383"/>
      <c r="F258" s="383"/>
      <c r="G258" s="383"/>
      <c r="H258" s="383"/>
      <c r="I258" s="383"/>
      <c r="J258" s="383"/>
      <c r="K258" s="383"/>
      <c r="L258" s="383"/>
      <c r="M258" s="383"/>
      <c r="N258" s="383"/>
      <c r="O258" s="383"/>
      <c r="P258" s="383"/>
      <c r="Q258" s="383"/>
      <c r="R258" s="383"/>
      <c r="S258" s="383"/>
      <c r="T258" s="383"/>
      <c r="U258" s="383"/>
      <c r="V258" s="383"/>
      <c r="W258" s="383"/>
      <c r="X258" s="383"/>
      <c r="Y258" s="383"/>
      <c r="Z258" s="383"/>
    </row>
    <row r="259">
      <c r="A259" s="389"/>
      <c r="B259" s="390"/>
      <c r="C259" s="391"/>
      <c r="D259" s="392"/>
      <c r="E259" s="383"/>
      <c r="F259" s="383"/>
      <c r="G259" s="383"/>
      <c r="H259" s="383"/>
      <c r="I259" s="383"/>
      <c r="J259" s="383"/>
      <c r="K259" s="383"/>
      <c r="L259" s="383"/>
      <c r="M259" s="383"/>
      <c r="N259" s="383"/>
      <c r="O259" s="383"/>
      <c r="P259" s="383"/>
      <c r="Q259" s="383"/>
      <c r="R259" s="383"/>
      <c r="S259" s="383"/>
      <c r="T259" s="383"/>
      <c r="U259" s="383"/>
      <c r="V259" s="383"/>
      <c r="W259" s="383"/>
      <c r="X259" s="383"/>
      <c r="Y259" s="383"/>
      <c r="Z259" s="383"/>
    </row>
    <row r="260">
      <c r="A260" s="389"/>
      <c r="B260" s="390"/>
      <c r="C260" s="391"/>
      <c r="D260" s="392"/>
      <c r="E260" s="383"/>
      <c r="F260" s="383"/>
      <c r="G260" s="383"/>
      <c r="H260" s="383"/>
      <c r="I260" s="383"/>
      <c r="J260" s="383"/>
      <c r="K260" s="383"/>
      <c r="L260" s="383"/>
      <c r="M260" s="383"/>
      <c r="N260" s="383"/>
      <c r="O260" s="383"/>
      <c r="P260" s="383"/>
      <c r="Q260" s="383"/>
      <c r="R260" s="383"/>
      <c r="S260" s="383"/>
      <c r="T260" s="383"/>
      <c r="U260" s="383"/>
      <c r="V260" s="383"/>
      <c r="W260" s="383"/>
      <c r="X260" s="383"/>
      <c r="Y260" s="383"/>
      <c r="Z260" s="383"/>
    </row>
    <row r="261">
      <c r="A261" s="389"/>
      <c r="B261" s="390"/>
      <c r="C261" s="391"/>
      <c r="D261" s="392"/>
      <c r="E261" s="383"/>
      <c r="F261" s="383"/>
      <c r="G261" s="383"/>
      <c r="H261" s="383"/>
      <c r="I261" s="383"/>
      <c r="J261" s="383"/>
      <c r="K261" s="383"/>
      <c r="L261" s="383"/>
      <c r="M261" s="383"/>
      <c r="N261" s="383"/>
      <c r="O261" s="383"/>
      <c r="P261" s="383"/>
      <c r="Q261" s="383"/>
      <c r="R261" s="383"/>
      <c r="S261" s="383"/>
      <c r="T261" s="383"/>
      <c r="U261" s="383"/>
      <c r="V261" s="383"/>
      <c r="W261" s="383"/>
      <c r="X261" s="383"/>
      <c r="Y261" s="383"/>
      <c r="Z261" s="383"/>
    </row>
    <row r="262">
      <c r="A262" s="389"/>
      <c r="B262" s="390"/>
      <c r="C262" s="391"/>
      <c r="D262" s="392"/>
      <c r="E262" s="383"/>
      <c r="F262" s="383"/>
      <c r="G262" s="383"/>
      <c r="H262" s="383"/>
      <c r="I262" s="383"/>
      <c r="J262" s="383"/>
      <c r="K262" s="383"/>
      <c r="L262" s="383"/>
      <c r="M262" s="383"/>
      <c r="N262" s="383"/>
      <c r="O262" s="383"/>
      <c r="P262" s="383"/>
      <c r="Q262" s="383"/>
      <c r="R262" s="383"/>
      <c r="S262" s="383"/>
      <c r="T262" s="383"/>
      <c r="U262" s="383"/>
      <c r="V262" s="383"/>
      <c r="W262" s="383"/>
      <c r="X262" s="383"/>
      <c r="Y262" s="383"/>
      <c r="Z262" s="383"/>
    </row>
    <row r="263">
      <c r="A263" s="389"/>
      <c r="B263" s="390"/>
      <c r="C263" s="391"/>
      <c r="D263" s="392"/>
      <c r="E263" s="383"/>
      <c r="F263" s="383"/>
      <c r="G263" s="383"/>
      <c r="H263" s="383"/>
      <c r="I263" s="383"/>
      <c r="J263" s="383"/>
      <c r="K263" s="383"/>
      <c r="L263" s="383"/>
      <c r="M263" s="383"/>
      <c r="N263" s="383"/>
      <c r="O263" s="383"/>
      <c r="P263" s="383"/>
      <c r="Q263" s="383"/>
      <c r="R263" s="383"/>
      <c r="S263" s="383"/>
      <c r="T263" s="383"/>
      <c r="U263" s="383"/>
      <c r="V263" s="383"/>
      <c r="W263" s="383"/>
      <c r="X263" s="383"/>
      <c r="Y263" s="383"/>
      <c r="Z263" s="383"/>
    </row>
    <row r="264">
      <c r="A264" s="389"/>
      <c r="B264" s="390"/>
      <c r="C264" s="391"/>
      <c r="D264" s="392"/>
      <c r="E264" s="383"/>
      <c r="F264" s="383"/>
      <c r="G264" s="383"/>
      <c r="H264" s="383"/>
      <c r="I264" s="383"/>
      <c r="J264" s="383"/>
      <c r="K264" s="383"/>
      <c r="L264" s="383"/>
      <c r="M264" s="383"/>
      <c r="N264" s="383"/>
      <c r="O264" s="383"/>
      <c r="P264" s="383"/>
      <c r="Q264" s="383"/>
      <c r="R264" s="383"/>
      <c r="S264" s="383"/>
      <c r="T264" s="383"/>
      <c r="U264" s="383"/>
      <c r="V264" s="383"/>
      <c r="W264" s="383"/>
      <c r="X264" s="383"/>
      <c r="Y264" s="383"/>
      <c r="Z264" s="383"/>
    </row>
    <row r="265">
      <c r="A265" s="389"/>
      <c r="B265" s="390"/>
      <c r="C265" s="391"/>
      <c r="D265" s="392"/>
      <c r="E265" s="383"/>
      <c r="F265" s="383"/>
      <c r="G265" s="383"/>
      <c r="H265" s="383"/>
      <c r="I265" s="383"/>
      <c r="J265" s="383"/>
      <c r="K265" s="383"/>
      <c r="L265" s="383"/>
      <c r="M265" s="383"/>
      <c r="N265" s="383"/>
      <c r="O265" s="383"/>
      <c r="P265" s="383"/>
      <c r="Q265" s="383"/>
      <c r="R265" s="383"/>
      <c r="S265" s="383"/>
      <c r="T265" s="383"/>
      <c r="U265" s="383"/>
      <c r="V265" s="383"/>
      <c r="W265" s="383"/>
      <c r="X265" s="383"/>
      <c r="Y265" s="383"/>
      <c r="Z265" s="383"/>
    </row>
    <row r="266">
      <c r="A266" s="389"/>
      <c r="B266" s="390"/>
      <c r="C266" s="391"/>
      <c r="D266" s="392"/>
      <c r="E266" s="383"/>
      <c r="F266" s="383"/>
      <c r="G266" s="383"/>
      <c r="H266" s="383"/>
      <c r="I266" s="383"/>
      <c r="J266" s="383"/>
      <c r="K266" s="383"/>
      <c r="L266" s="383"/>
      <c r="M266" s="383"/>
      <c r="N266" s="383"/>
      <c r="O266" s="383"/>
      <c r="P266" s="383"/>
      <c r="Q266" s="383"/>
      <c r="R266" s="383"/>
      <c r="S266" s="383"/>
      <c r="T266" s="383"/>
      <c r="U266" s="383"/>
      <c r="V266" s="383"/>
      <c r="W266" s="383"/>
      <c r="X266" s="383"/>
      <c r="Y266" s="383"/>
      <c r="Z266" s="383"/>
    </row>
    <row r="267">
      <c r="A267" s="389"/>
      <c r="B267" s="390"/>
      <c r="C267" s="391"/>
      <c r="D267" s="392"/>
      <c r="E267" s="383"/>
      <c r="F267" s="383"/>
      <c r="G267" s="383"/>
      <c r="H267" s="383"/>
      <c r="I267" s="383"/>
      <c r="J267" s="383"/>
      <c r="K267" s="383"/>
      <c r="L267" s="383"/>
      <c r="M267" s="383"/>
      <c r="N267" s="383"/>
      <c r="O267" s="383"/>
      <c r="P267" s="383"/>
      <c r="Q267" s="383"/>
      <c r="R267" s="383"/>
      <c r="S267" s="383"/>
      <c r="T267" s="383"/>
      <c r="U267" s="383"/>
      <c r="V267" s="383"/>
      <c r="W267" s="383"/>
      <c r="X267" s="383"/>
      <c r="Y267" s="383"/>
      <c r="Z267" s="383"/>
    </row>
    <row r="268">
      <c r="A268" s="389"/>
      <c r="B268" s="390"/>
      <c r="C268" s="391"/>
      <c r="D268" s="392"/>
      <c r="E268" s="383"/>
      <c r="F268" s="383"/>
      <c r="G268" s="383"/>
      <c r="H268" s="383"/>
      <c r="I268" s="383"/>
      <c r="J268" s="383"/>
      <c r="K268" s="383"/>
      <c r="L268" s="383"/>
      <c r="M268" s="383"/>
      <c r="N268" s="383"/>
      <c r="O268" s="383"/>
      <c r="P268" s="383"/>
      <c r="Q268" s="383"/>
      <c r="R268" s="383"/>
      <c r="S268" s="383"/>
      <c r="T268" s="383"/>
      <c r="U268" s="383"/>
      <c r="V268" s="383"/>
      <c r="W268" s="383"/>
      <c r="X268" s="383"/>
      <c r="Y268" s="383"/>
      <c r="Z268" s="383"/>
    </row>
    <row r="269">
      <c r="A269" s="389"/>
      <c r="B269" s="390"/>
      <c r="C269" s="391"/>
      <c r="D269" s="392"/>
      <c r="E269" s="383"/>
      <c r="F269" s="383"/>
      <c r="G269" s="383"/>
      <c r="H269" s="383"/>
      <c r="I269" s="383"/>
      <c r="J269" s="383"/>
      <c r="K269" s="383"/>
      <c r="L269" s="383"/>
      <c r="M269" s="383"/>
      <c r="N269" s="383"/>
      <c r="O269" s="383"/>
      <c r="P269" s="383"/>
      <c r="Q269" s="383"/>
      <c r="R269" s="383"/>
      <c r="S269" s="383"/>
      <c r="T269" s="383"/>
      <c r="U269" s="383"/>
      <c r="V269" s="383"/>
      <c r="W269" s="383"/>
      <c r="X269" s="383"/>
      <c r="Y269" s="383"/>
      <c r="Z269" s="383"/>
    </row>
    <row r="270">
      <c r="A270" s="389"/>
      <c r="B270" s="390"/>
      <c r="C270" s="391"/>
      <c r="D270" s="392"/>
      <c r="E270" s="383"/>
      <c r="F270" s="383"/>
      <c r="G270" s="383"/>
      <c r="H270" s="383"/>
      <c r="I270" s="383"/>
      <c r="J270" s="383"/>
      <c r="K270" s="383"/>
      <c r="L270" s="383"/>
      <c r="M270" s="383"/>
      <c r="N270" s="383"/>
      <c r="O270" s="383"/>
      <c r="P270" s="383"/>
      <c r="Q270" s="383"/>
      <c r="R270" s="383"/>
      <c r="S270" s="383"/>
      <c r="T270" s="383"/>
      <c r="U270" s="383"/>
      <c r="V270" s="383"/>
      <c r="W270" s="383"/>
      <c r="X270" s="383"/>
      <c r="Y270" s="383"/>
      <c r="Z270" s="383"/>
    </row>
    <row r="271">
      <c r="A271" s="389"/>
      <c r="B271" s="390"/>
      <c r="C271" s="391"/>
      <c r="D271" s="392"/>
      <c r="E271" s="383"/>
      <c r="F271" s="383"/>
      <c r="G271" s="383"/>
      <c r="H271" s="383"/>
      <c r="I271" s="383"/>
      <c r="J271" s="383"/>
      <c r="K271" s="383"/>
      <c r="L271" s="383"/>
      <c r="M271" s="383"/>
      <c r="N271" s="383"/>
      <c r="O271" s="383"/>
      <c r="P271" s="383"/>
      <c r="Q271" s="383"/>
      <c r="R271" s="383"/>
      <c r="S271" s="383"/>
      <c r="T271" s="383"/>
      <c r="U271" s="383"/>
      <c r="V271" s="383"/>
      <c r="W271" s="383"/>
      <c r="X271" s="383"/>
      <c r="Y271" s="383"/>
      <c r="Z271" s="383"/>
    </row>
    <row r="272">
      <c r="A272" s="389"/>
      <c r="B272" s="390"/>
      <c r="C272" s="391"/>
      <c r="D272" s="392"/>
      <c r="E272" s="383"/>
      <c r="F272" s="383"/>
      <c r="G272" s="383"/>
      <c r="H272" s="383"/>
      <c r="I272" s="383"/>
      <c r="J272" s="383"/>
      <c r="K272" s="383"/>
      <c r="L272" s="383"/>
      <c r="M272" s="383"/>
      <c r="N272" s="383"/>
      <c r="O272" s="383"/>
      <c r="P272" s="383"/>
      <c r="Q272" s="383"/>
      <c r="R272" s="383"/>
      <c r="S272" s="383"/>
      <c r="T272" s="383"/>
      <c r="U272" s="383"/>
      <c r="V272" s="383"/>
      <c r="W272" s="383"/>
      <c r="X272" s="383"/>
      <c r="Y272" s="383"/>
      <c r="Z272" s="383"/>
    </row>
    <row r="273">
      <c r="A273" s="389"/>
      <c r="B273" s="390"/>
      <c r="C273" s="391"/>
      <c r="D273" s="392"/>
      <c r="E273" s="383"/>
      <c r="F273" s="383"/>
      <c r="G273" s="383"/>
      <c r="H273" s="383"/>
      <c r="I273" s="383"/>
      <c r="J273" s="383"/>
      <c r="K273" s="383"/>
      <c r="L273" s="383"/>
      <c r="M273" s="383"/>
      <c r="N273" s="383"/>
      <c r="O273" s="383"/>
      <c r="P273" s="383"/>
      <c r="Q273" s="383"/>
      <c r="R273" s="383"/>
      <c r="S273" s="383"/>
      <c r="T273" s="383"/>
      <c r="U273" s="383"/>
      <c r="V273" s="383"/>
      <c r="W273" s="383"/>
      <c r="X273" s="383"/>
      <c r="Y273" s="383"/>
      <c r="Z273" s="383"/>
    </row>
    <row r="274">
      <c r="A274" s="389"/>
      <c r="B274" s="390"/>
      <c r="C274" s="391"/>
      <c r="D274" s="392"/>
      <c r="E274" s="383"/>
      <c r="F274" s="383"/>
      <c r="G274" s="383"/>
      <c r="H274" s="383"/>
      <c r="I274" s="383"/>
      <c r="J274" s="383"/>
      <c r="K274" s="383"/>
      <c r="L274" s="383"/>
      <c r="M274" s="383"/>
      <c r="N274" s="383"/>
      <c r="O274" s="383"/>
      <c r="P274" s="383"/>
      <c r="Q274" s="383"/>
      <c r="R274" s="383"/>
      <c r="S274" s="383"/>
      <c r="T274" s="383"/>
      <c r="U274" s="383"/>
      <c r="V274" s="383"/>
      <c r="W274" s="383"/>
      <c r="X274" s="383"/>
      <c r="Y274" s="383"/>
      <c r="Z274" s="383"/>
    </row>
    <row r="275">
      <c r="A275" s="389"/>
      <c r="B275" s="390"/>
      <c r="C275" s="391"/>
      <c r="D275" s="392"/>
      <c r="E275" s="383"/>
      <c r="F275" s="383"/>
      <c r="G275" s="383"/>
      <c r="H275" s="383"/>
      <c r="I275" s="383"/>
      <c r="J275" s="383"/>
      <c r="K275" s="383"/>
      <c r="L275" s="383"/>
      <c r="M275" s="383"/>
      <c r="N275" s="383"/>
      <c r="O275" s="383"/>
      <c r="P275" s="383"/>
      <c r="Q275" s="383"/>
      <c r="R275" s="383"/>
      <c r="S275" s="383"/>
      <c r="T275" s="383"/>
      <c r="U275" s="383"/>
      <c r="V275" s="383"/>
      <c r="W275" s="383"/>
      <c r="X275" s="383"/>
      <c r="Y275" s="383"/>
      <c r="Z275" s="383"/>
    </row>
    <row r="276">
      <c r="A276" s="389"/>
      <c r="B276" s="390"/>
      <c r="C276" s="391"/>
      <c r="D276" s="392"/>
      <c r="E276" s="383"/>
      <c r="F276" s="383"/>
      <c r="G276" s="383"/>
      <c r="H276" s="383"/>
      <c r="I276" s="383"/>
      <c r="J276" s="383"/>
      <c r="K276" s="383"/>
      <c r="L276" s="383"/>
      <c r="M276" s="383"/>
      <c r="N276" s="383"/>
      <c r="O276" s="383"/>
      <c r="P276" s="383"/>
      <c r="Q276" s="383"/>
      <c r="R276" s="383"/>
      <c r="S276" s="383"/>
      <c r="T276" s="383"/>
      <c r="U276" s="383"/>
      <c r="V276" s="383"/>
      <c r="W276" s="383"/>
      <c r="X276" s="383"/>
      <c r="Y276" s="383"/>
      <c r="Z276" s="383"/>
    </row>
    <row r="277">
      <c r="A277" s="389"/>
      <c r="B277" s="390"/>
      <c r="C277" s="391"/>
      <c r="D277" s="392"/>
      <c r="E277" s="383"/>
      <c r="F277" s="383"/>
      <c r="G277" s="383"/>
      <c r="H277" s="383"/>
      <c r="I277" s="383"/>
      <c r="J277" s="383"/>
      <c r="K277" s="383"/>
      <c r="L277" s="383"/>
      <c r="M277" s="383"/>
      <c r="N277" s="383"/>
      <c r="O277" s="383"/>
      <c r="P277" s="383"/>
      <c r="Q277" s="383"/>
      <c r="R277" s="383"/>
      <c r="S277" s="383"/>
      <c r="T277" s="383"/>
      <c r="U277" s="383"/>
      <c r="V277" s="383"/>
      <c r="W277" s="383"/>
      <c r="X277" s="383"/>
      <c r="Y277" s="383"/>
      <c r="Z277" s="383"/>
    </row>
    <row r="278">
      <c r="A278" s="389"/>
      <c r="B278" s="390"/>
      <c r="C278" s="391"/>
      <c r="D278" s="392"/>
      <c r="E278" s="383"/>
      <c r="F278" s="383"/>
      <c r="G278" s="383"/>
      <c r="H278" s="383"/>
      <c r="I278" s="383"/>
      <c r="J278" s="383"/>
      <c r="K278" s="383"/>
      <c r="L278" s="383"/>
      <c r="M278" s="383"/>
      <c r="N278" s="383"/>
      <c r="O278" s="383"/>
      <c r="P278" s="383"/>
      <c r="Q278" s="383"/>
      <c r="R278" s="383"/>
      <c r="S278" s="383"/>
      <c r="T278" s="383"/>
      <c r="U278" s="383"/>
      <c r="V278" s="383"/>
      <c r="W278" s="383"/>
      <c r="X278" s="383"/>
      <c r="Y278" s="383"/>
      <c r="Z278" s="383"/>
    </row>
    <row r="279">
      <c r="A279" s="389"/>
      <c r="B279" s="390"/>
      <c r="C279" s="391"/>
      <c r="D279" s="392"/>
      <c r="E279" s="383"/>
      <c r="F279" s="383"/>
      <c r="G279" s="383"/>
      <c r="H279" s="383"/>
      <c r="I279" s="383"/>
      <c r="J279" s="383"/>
      <c r="K279" s="383"/>
      <c r="L279" s="383"/>
      <c r="M279" s="383"/>
      <c r="N279" s="383"/>
      <c r="O279" s="383"/>
      <c r="P279" s="383"/>
      <c r="Q279" s="383"/>
      <c r="R279" s="383"/>
      <c r="S279" s="383"/>
      <c r="T279" s="383"/>
      <c r="U279" s="383"/>
      <c r="V279" s="383"/>
      <c r="W279" s="383"/>
      <c r="X279" s="383"/>
      <c r="Y279" s="383"/>
      <c r="Z279" s="383"/>
    </row>
    <row r="280">
      <c r="A280" s="389"/>
      <c r="B280" s="390"/>
      <c r="C280" s="391"/>
      <c r="D280" s="392"/>
      <c r="E280" s="383"/>
      <c r="F280" s="383"/>
      <c r="G280" s="383"/>
      <c r="H280" s="383"/>
      <c r="I280" s="383"/>
      <c r="J280" s="383"/>
      <c r="K280" s="383"/>
      <c r="L280" s="383"/>
      <c r="M280" s="383"/>
      <c r="N280" s="383"/>
      <c r="O280" s="383"/>
      <c r="P280" s="383"/>
      <c r="Q280" s="383"/>
      <c r="R280" s="383"/>
      <c r="S280" s="383"/>
      <c r="T280" s="383"/>
      <c r="U280" s="383"/>
      <c r="V280" s="383"/>
      <c r="W280" s="383"/>
      <c r="X280" s="383"/>
      <c r="Y280" s="383"/>
      <c r="Z280" s="383"/>
    </row>
    <row r="281">
      <c r="A281" s="389"/>
      <c r="B281" s="390"/>
      <c r="C281" s="391"/>
      <c r="D281" s="392"/>
      <c r="E281" s="383"/>
      <c r="F281" s="383"/>
      <c r="G281" s="383"/>
      <c r="H281" s="383"/>
      <c r="I281" s="383"/>
      <c r="J281" s="383"/>
      <c r="K281" s="383"/>
      <c r="L281" s="383"/>
      <c r="M281" s="383"/>
      <c r="N281" s="383"/>
      <c r="O281" s="383"/>
      <c r="P281" s="383"/>
      <c r="Q281" s="383"/>
      <c r="R281" s="383"/>
      <c r="S281" s="383"/>
      <c r="T281" s="383"/>
      <c r="U281" s="383"/>
      <c r="V281" s="383"/>
      <c r="W281" s="383"/>
      <c r="X281" s="383"/>
      <c r="Y281" s="383"/>
      <c r="Z281" s="383"/>
    </row>
    <row r="282">
      <c r="A282" s="389"/>
      <c r="B282" s="390"/>
      <c r="C282" s="391"/>
      <c r="D282" s="392"/>
      <c r="E282" s="383"/>
      <c r="F282" s="383"/>
      <c r="G282" s="383"/>
      <c r="H282" s="383"/>
      <c r="I282" s="383"/>
      <c r="J282" s="383"/>
      <c r="K282" s="383"/>
      <c r="L282" s="383"/>
      <c r="M282" s="383"/>
      <c r="N282" s="383"/>
      <c r="O282" s="383"/>
      <c r="P282" s="383"/>
      <c r="Q282" s="383"/>
      <c r="R282" s="383"/>
      <c r="S282" s="383"/>
      <c r="T282" s="383"/>
      <c r="U282" s="383"/>
      <c r="V282" s="383"/>
      <c r="W282" s="383"/>
      <c r="X282" s="383"/>
      <c r="Y282" s="383"/>
      <c r="Z282" s="383"/>
    </row>
    <row r="283">
      <c r="A283" s="389"/>
      <c r="B283" s="390"/>
      <c r="C283" s="391"/>
      <c r="D283" s="392"/>
      <c r="E283" s="383"/>
      <c r="F283" s="383"/>
      <c r="G283" s="383"/>
      <c r="H283" s="383"/>
      <c r="I283" s="383"/>
      <c r="J283" s="383"/>
      <c r="K283" s="383"/>
      <c r="L283" s="383"/>
      <c r="M283" s="383"/>
      <c r="N283" s="383"/>
      <c r="O283" s="383"/>
      <c r="P283" s="383"/>
      <c r="Q283" s="383"/>
      <c r="R283" s="383"/>
      <c r="S283" s="383"/>
      <c r="T283" s="383"/>
      <c r="U283" s="383"/>
      <c r="V283" s="383"/>
      <c r="W283" s="383"/>
      <c r="X283" s="383"/>
      <c r="Y283" s="383"/>
      <c r="Z283" s="383"/>
    </row>
    <row r="284">
      <c r="A284" s="389"/>
      <c r="B284" s="390"/>
      <c r="C284" s="391"/>
      <c r="D284" s="392"/>
      <c r="E284" s="383"/>
      <c r="F284" s="383"/>
      <c r="G284" s="383"/>
      <c r="H284" s="383"/>
      <c r="I284" s="383"/>
      <c r="J284" s="383"/>
      <c r="K284" s="383"/>
      <c r="L284" s="383"/>
      <c r="M284" s="383"/>
      <c r="N284" s="383"/>
      <c r="O284" s="383"/>
      <c r="P284" s="383"/>
      <c r="Q284" s="383"/>
      <c r="R284" s="383"/>
      <c r="S284" s="383"/>
      <c r="T284" s="383"/>
      <c r="U284" s="383"/>
      <c r="V284" s="383"/>
      <c r="W284" s="383"/>
      <c r="X284" s="383"/>
      <c r="Y284" s="383"/>
      <c r="Z284" s="383"/>
    </row>
    <row r="285">
      <c r="A285" s="389"/>
      <c r="B285" s="390"/>
      <c r="C285" s="391"/>
      <c r="D285" s="392"/>
      <c r="E285" s="383"/>
      <c r="F285" s="383"/>
      <c r="G285" s="383"/>
      <c r="H285" s="383"/>
      <c r="I285" s="383"/>
      <c r="J285" s="383"/>
      <c r="K285" s="383"/>
      <c r="L285" s="383"/>
      <c r="M285" s="383"/>
      <c r="N285" s="383"/>
      <c r="O285" s="383"/>
      <c r="P285" s="383"/>
      <c r="Q285" s="383"/>
      <c r="R285" s="383"/>
      <c r="S285" s="383"/>
      <c r="T285" s="383"/>
      <c r="U285" s="383"/>
      <c r="V285" s="383"/>
      <c r="W285" s="383"/>
      <c r="X285" s="383"/>
      <c r="Y285" s="383"/>
      <c r="Z285" s="383"/>
    </row>
    <row r="286">
      <c r="A286" s="389"/>
      <c r="B286" s="390"/>
      <c r="C286" s="391"/>
      <c r="D286" s="392"/>
      <c r="E286" s="383"/>
      <c r="F286" s="383"/>
      <c r="G286" s="383"/>
      <c r="H286" s="383"/>
      <c r="I286" s="383"/>
      <c r="J286" s="383"/>
      <c r="K286" s="383"/>
      <c r="L286" s="383"/>
      <c r="M286" s="383"/>
      <c r="N286" s="383"/>
      <c r="O286" s="383"/>
      <c r="P286" s="383"/>
      <c r="Q286" s="383"/>
      <c r="R286" s="383"/>
      <c r="S286" s="383"/>
      <c r="T286" s="383"/>
      <c r="U286" s="383"/>
      <c r="V286" s="383"/>
      <c r="W286" s="383"/>
      <c r="X286" s="383"/>
      <c r="Y286" s="383"/>
      <c r="Z286" s="383"/>
    </row>
    <row r="287">
      <c r="A287" s="389"/>
      <c r="B287" s="390"/>
      <c r="C287" s="391"/>
      <c r="D287" s="392"/>
      <c r="E287" s="383"/>
      <c r="F287" s="383"/>
      <c r="G287" s="383"/>
      <c r="H287" s="383"/>
      <c r="I287" s="383"/>
      <c r="J287" s="383"/>
      <c r="K287" s="383"/>
      <c r="L287" s="383"/>
      <c r="M287" s="383"/>
      <c r="N287" s="383"/>
      <c r="O287" s="383"/>
      <c r="P287" s="383"/>
      <c r="Q287" s="383"/>
      <c r="R287" s="383"/>
      <c r="S287" s="383"/>
      <c r="T287" s="383"/>
      <c r="U287" s="383"/>
      <c r="V287" s="383"/>
      <c r="W287" s="383"/>
      <c r="X287" s="383"/>
      <c r="Y287" s="383"/>
      <c r="Z287" s="383"/>
    </row>
    <row r="288">
      <c r="A288" s="389"/>
      <c r="B288" s="390"/>
      <c r="C288" s="391"/>
      <c r="D288" s="392"/>
      <c r="E288" s="383"/>
      <c r="F288" s="383"/>
      <c r="G288" s="383"/>
      <c r="H288" s="383"/>
      <c r="I288" s="383"/>
      <c r="J288" s="383"/>
      <c r="K288" s="383"/>
      <c r="L288" s="383"/>
      <c r="M288" s="383"/>
      <c r="N288" s="383"/>
      <c r="O288" s="383"/>
      <c r="P288" s="383"/>
      <c r="Q288" s="383"/>
      <c r="R288" s="383"/>
      <c r="S288" s="383"/>
      <c r="T288" s="383"/>
      <c r="U288" s="383"/>
      <c r="V288" s="383"/>
      <c r="W288" s="383"/>
      <c r="X288" s="383"/>
      <c r="Y288" s="383"/>
      <c r="Z288" s="383"/>
    </row>
    <row r="289">
      <c r="A289" s="389"/>
      <c r="B289" s="390"/>
      <c r="C289" s="391"/>
      <c r="D289" s="392"/>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row>
    <row r="290">
      <c r="A290" s="389"/>
      <c r="B290" s="390"/>
      <c r="C290" s="391"/>
      <c r="D290" s="392"/>
      <c r="E290" s="383"/>
      <c r="F290" s="383"/>
      <c r="G290" s="383"/>
      <c r="H290" s="383"/>
      <c r="I290" s="383"/>
      <c r="J290" s="383"/>
      <c r="K290" s="383"/>
      <c r="L290" s="383"/>
      <c r="M290" s="383"/>
      <c r="N290" s="383"/>
      <c r="O290" s="383"/>
      <c r="P290" s="383"/>
      <c r="Q290" s="383"/>
      <c r="R290" s="383"/>
      <c r="S290" s="383"/>
      <c r="T290" s="383"/>
      <c r="U290" s="383"/>
      <c r="V290" s="383"/>
      <c r="W290" s="383"/>
      <c r="X290" s="383"/>
      <c r="Y290" s="383"/>
      <c r="Z290" s="383"/>
    </row>
    <row r="291">
      <c r="A291" s="389"/>
      <c r="B291" s="390"/>
      <c r="C291" s="391"/>
      <c r="D291" s="392"/>
      <c r="E291" s="383"/>
      <c r="F291" s="383"/>
      <c r="G291" s="383"/>
      <c r="H291" s="383"/>
      <c r="I291" s="383"/>
      <c r="J291" s="383"/>
      <c r="K291" s="383"/>
      <c r="L291" s="383"/>
      <c r="M291" s="383"/>
      <c r="N291" s="383"/>
      <c r="O291" s="383"/>
      <c r="P291" s="383"/>
      <c r="Q291" s="383"/>
      <c r="R291" s="383"/>
      <c r="S291" s="383"/>
      <c r="T291" s="383"/>
      <c r="U291" s="383"/>
      <c r="V291" s="383"/>
      <c r="W291" s="383"/>
      <c r="X291" s="383"/>
      <c r="Y291" s="383"/>
      <c r="Z291" s="383"/>
    </row>
    <row r="292">
      <c r="A292" s="389"/>
      <c r="B292" s="390"/>
      <c r="C292" s="391"/>
      <c r="D292" s="392"/>
      <c r="E292" s="383"/>
      <c r="F292" s="383"/>
      <c r="G292" s="383"/>
      <c r="H292" s="383"/>
      <c r="I292" s="383"/>
      <c r="J292" s="383"/>
      <c r="K292" s="383"/>
      <c r="L292" s="383"/>
      <c r="M292" s="383"/>
      <c r="N292" s="383"/>
      <c r="O292" s="383"/>
      <c r="P292" s="383"/>
      <c r="Q292" s="383"/>
      <c r="R292" s="383"/>
      <c r="S292" s="383"/>
      <c r="T292" s="383"/>
      <c r="U292" s="383"/>
      <c r="V292" s="383"/>
      <c r="W292" s="383"/>
      <c r="X292" s="383"/>
      <c r="Y292" s="383"/>
      <c r="Z292" s="383"/>
    </row>
    <row r="293">
      <c r="A293" s="389"/>
      <c r="B293" s="390"/>
      <c r="C293" s="391"/>
      <c r="D293" s="392"/>
      <c r="E293" s="383"/>
      <c r="F293" s="383"/>
      <c r="G293" s="383"/>
      <c r="H293" s="383"/>
      <c r="I293" s="383"/>
      <c r="J293" s="383"/>
      <c r="K293" s="383"/>
      <c r="L293" s="383"/>
      <c r="M293" s="383"/>
      <c r="N293" s="383"/>
      <c r="O293" s="383"/>
      <c r="P293" s="383"/>
      <c r="Q293" s="383"/>
      <c r="R293" s="383"/>
      <c r="S293" s="383"/>
      <c r="T293" s="383"/>
      <c r="U293" s="383"/>
      <c r="V293" s="383"/>
      <c r="W293" s="383"/>
      <c r="X293" s="383"/>
      <c r="Y293" s="383"/>
      <c r="Z293" s="383"/>
    </row>
    <row r="294">
      <c r="A294" s="389"/>
      <c r="B294" s="390"/>
      <c r="C294" s="391"/>
      <c r="D294" s="392"/>
      <c r="E294" s="383"/>
      <c r="F294" s="383"/>
      <c r="G294" s="383"/>
      <c r="H294" s="383"/>
      <c r="I294" s="383"/>
      <c r="J294" s="383"/>
      <c r="K294" s="383"/>
      <c r="L294" s="383"/>
      <c r="M294" s="383"/>
      <c r="N294" s="383"/>
      <c r="O294" s="383"/>
      <c r="P294" s="383"/>
      <c r="Q294" s="383"/>
      <c r="R294" s="383"/>
      <c r="S294" s="383"/>
      <c r="T294" s="383"/>
      <c r="U294" s="383"/>
      <c r="V294" s="383"/>
      <c r="W294" s="383"/>
      <c r="X294" s="383"/>
      <c r="Y294" s="383"/>
      <c r="Z294" s="383"/>
    </row>
    <row r="295">
      <c r="A295" s="389"/>
      <c r="B295" s="390"/>
      <c r="C295" s="391"/>
      <c r="D295" s="392"/>
      <c r="E295" s="383"/>
      <c r="F295" s="383"/>
      <c r="G295" s="383"/>
      <c r="H295" s="383"/>
      <c r="I295" s="383"/>
      <c r="J295" s="383"/>
      <c r="K295" s="383"/>
      <c r="L295" s="383"/>
      <c r="M295" s="383"/>
      <c r="N295" s="383"/>
      <c r="O295" s="383"/>
      <c r="P295" s="383"/>
      <c r="Q295" s="383"/>
      <c r="R295" s="383"/>
      <c r="S295" s="383"/>
      <c r="T295" s="383"/>
      <c r="U295" s="383"/>
      <c r="V295" s="383"/>
      <c r="W295" s="383"/>
      <c r="X295" s="383"/>
      <c r="Y295" s="383"/>
      <c r="Z295" s="383"/>
    </row>
    <row r="296">
      <c r="A296" s="389"/>
      <c r="B296" s="390"/>
      <c r="C296" s="391"/>
      <c r="D296" s="392"/>
      <c r="E296" s="383"/>
      <c r="F296" s="383"/>
      <c r="G296" s="383"/>
      <c r="H296" s="383"/>
      <c r="I296" s="383"/>
      <c r="J296" s="383"/>
      <c r="K296" s="383"/>
      <c r="L296" s="383"/>
      <c r="M296" s="383"/>
      <c r="N296" s="383"/>
      <c r="O296" s="383"/>
      <c r="P296" s="383"/>
      <c r="Q296" s="383"/>
      <c r="R296" s="383"/>
      <c r="S296" s="383"/>
      <c r="T296" s="383"/>
      <c r="U296" s="383"/>
      <c r="V296" s="383"/>
      <c r="W296" s="383"/>
      <c r="X296" s="383"/>
      <c r="Y296" s="383"/>
      <c r="Z296" s="383"/>
    </row>
    <row r="297">
      <c r="A297" s="389"/>
      <c r="B297" s="390"/>
      <c r="C297" s="391"/>
      <c r="D297" s="392"/>
      <c r="E297" s="383"/>
      <c r="F297" s="383"/>
      <c r="G297" s="383"/>
      <c r="H297" s="383"/>
      <c r="I297" s="383"/>
      <c r="J297" s="383"/>
      <c r="K297" s="383"/>
      <c r="L297" s="383"/>
      <c r="M297" s="383"/>
      <c r="N297" s="383"/>
      <c r="O297" s="383"/>
      <c r="P297" s="383"/>
      <c r="Q297" s="383"/>
      <c r="R297" s="383"/>
      <c r="S297" s="383"/>
      <c r="T297" s="383"/>
      <c r="U297" s="383"/>
      <c r="V297" s="383"/>
      <c r="W297" s="383"/>
      <c r="X297" s="383"/>
      <c r="Y297" s="383"/>
      <c r="Z297" s="383"/>
    </row>
    <row r="298">
      <c r="A298" s="389"/>
      <c r="B298" s="390"/>
      <c r="C298" s="391"/>
      <c r="D298" s="392"/>
      <c r="E298" s="383"/>
      <c r="F298" s="383"/>
      <c r="G298" s="383"/>
      <c r="H298" s="383"/>
      <c r="I298" s="383"/>
      <c r="J298" s="383"/>
      <c r="K298" s="383"/>
      <c r="L298" s="383"/>
      <c r="M298" s="383"/>
      <c r="N298" s="383"/>
      <c r="O298" s="383"/>
      <c r="P298" s="383"/>
      <c r="Q298" s="383"/>
      <c r="R298" s="383"/>
      <c r="S298" s="383"/>
      <c r="T298" s="383"/>
      <c r="U298" s="383"/>
      <c r="V298" s="383"/>
      <c r="W298" s="383"/>
      <c r="X298" s="383"/>
      <c r="Y298" s="383"/>
      <c r="Z298" s="383"/>
    </row>
    <row r="299">
      <c r="A299" s="389"/>
      <c r="B299" s="390"/>
      <c r="C299" s="391"/>
      <c r="D299" s="392"/>
      <c r="E299" s="383"/>
      <c r="F299" s="383"/>
      <c r="G299" s="383"/>
      <c r="H299" s="383"/>
      <c r="I299" s="383"/>
      <c r="J299" s="383"/>
      <c r="K299" s="383"/>
      <c r="L299" s="383"/>
      <c r="M299" s="383"/>
      <c r="N299" s="383"/>
      <c r="O299" s="383"/>
      <c r="P299" s="383"/>
      <c r="Q299" s="383"/>
      <c r="R299" s="383"/>
      <c r="S299" s="383"/>
      <c r="T299" s="383"/>
      <c r="U299" s="383"/>
      <c r="V299" s="383"/>
      <c r="W299" s="383"/>
      <c r="X299" s="383"/>
      <c r="Y299" s="383"/>
      <c r="Z299" s="383"/>
    </row>
    <row r="300">
      <c r="A300" s="389"/>
      <c r="B300" s="390"/>
      <c r="C300" s="391"/>
      <c r="D300" s="392"/>
      <c r="E300" s="383"/>
      <c r="F300" s="383"/>
      <c r="G300" s="383"/>
      <c r="H300" s="383"/>
      <c r="I300" s="383"/>
      <c r="J300" s="383"/>
      <c r="K300" s="383"/>
      <c r="L300" s="383"/>
      <c r="M300" s="383"/>
      <c r="N300" s="383"/>
      <c r="O300" s="383"/>
      <c r="P300" s="383"/>
      <c r="Q300" s="383"/>
      <c r="R300" s="383"/>
      <c r="S300" s="383"/>
      <c r="T300" s="383"/>
      <c r="U300" s="383"/>
      <c r="V300" s="383"/>
      <c r="W300" s="383"/>
      <c r="X300" s="383"/>
      <c r="Y300" s="383"/>
      <c r="Z300" s="383"/>
    </row>
    <row r="301">
      <c r="A301" s="389"/>
      <c r="B301" s="390"/>
      <c r="C301" s="391"/>
      <c r="D301" s="392"/>
      <c r="E301" s="383"/>
      <c r="F301" s="383"/>
      <c r="G301" s="383"/>
      <c r="H301" s="383"/>
      <c r="I301" s="383"/>
      <c r="J301" s="383"/>
      <c r="K301" s="383"/>
      <c r="L301" s="383"/>
      <c r="M301" s="383"/>
      <c r="N301" s="383"/>
      <c r="O301" s="383"/>
      <c r="P301" s="383"/>
      <c r="Q301" s="383"/>
      <c r="R301" s="383"/>
      <c r="S301" s="383"/>
      <c r="T301" s="383"/>
      <c r="U301" s="383"/>
      <c r="V301" s="383"/>
      <c r="W301" s="383"/>
      <c r="X301" s="383"/>
      <c r="Y301" s="383"/>
      <c r="Z301" s="383"/>
    </row>
    <row r="302">
      <c r="A302" s="389"/>
      <c r="B302" s="390"/>
      <c r="C302" s="391"/>
      <c r="D302" s="392"/>
      <c r="E302" s="383"/>
      <c r="F302" s="383"/>
      <c r="G302" s="383"/>
      <c r="H302" s="383"/>
      <c r="I302" s="383"/>
      <c r="J302" s="383"/>
      <c r="K302" s="383"/>
      <c r="L302" s="383"/>
      <c r="M302" s="383"/>
      <c r="N302" s="383"/>
      <c r="O302" s="383"/>
      <c r="P302" s="383"/>
      <c r="Q302" s="383"/>
      <c r="R302" s="383"/>
      <c r="S302" s="383"/>
      <c r="T302" s="383"/>
      <c r="U302" s="383"/>
      <c r="V302" s="383"/>
      <c r="W302" s="383"/>
      <c r="X302" s="383"/>
      <c r="Y302" s="383"/>
      <c r="Z302" s="383"/>
    </row>
    <row r="303">
      <c r="A303" s="389"/>
      <c r="B303" s="390"/>
      <c r="C303" s="391"/>
      <c r="D303" s="392"/>
      <c r="E303" s="383"/>
      <c r="F303" s="383"/>
      <c r="G303" s="383"/>
      <c r="H303" s="383"/>
      <c r="I303" s="383"/>
      <c r="J303" s="383"/>
      <c r="K303" s="383"/>
      <c r="L303" s="383"/>
      <c r="M303" s="383"/>
      <c r="N303" s="383"/>
      <c r="O303" s="383"/>
      <c r="P303" s="383"/>
      <c r="Q303" s="383"/>
      <c r="R303" s="383"/>
      <c r="S303" s="383"/>
      <c r="T303" s="383"/>
      <c r="U303" s="383"/>
      <c r="V303" s="383"/>
      <c r="W303" s="383"/>
      <c r="X303" s="383"/>
      <c r="Y303" s="383"/>
      <c r="Z303" s="383"/>
    </row>
    <row r="304">
      <c r="A304" s="389"/>
      <c r="B304" s="390"/>
      <c r="C304" s="391"/>
      <c r="D304" s="392"/>
      <c r="E304" s="383"/>
      <c r="F304" s="383"/>
      <c r="G304" s="383"/>
      <c r="H304" s="383"/>
      <c r="I304" s="383"/>
      <c r="J304" s="383"/>
      <c r="K304" s="383"/>
      <c r="L304" s="383"/>
      <c r="M304" s="383"/>
      <c r="N304" s="383"/>
      <c r="O304" s="383"/>
      <c r="P304" s="383"/>
      <c r="Q304" s="383"/>
      <c r="R304" s="383"/>
      <c r="S304" s="383"/>
      <c r="T304" s="383"/>
      <c r="U304" s="383"/>
      <c r="V304" s="383"/>
      <c r="W304" s="383"/>
      <c r="X304" s="383"/>
      <c r="Y304" s="383"/>
      <c r="Z304" s="383"/>
    </row>
    <row r="305">
      <c r="A305" s="389"/>
      <c r="B305" s="390"/>
      <c r="C305" s="391"/>
      <c r="D305" s="392"/>
      <c r="E305" s="383"/>
      <c r="F305" s="383"/>
      <c r="G305" s="383"/>
      <c r="H305" s="383"/>
      <c r="I305" s="383"/>
      <c r="J305" s="383"/>
      <c r="K305" s="383"/>
      <c r="L305" s="383"/>
      <c r="M305" s="383"/>
      <c r="N305" s="383"/>
      <c r="O305" s="383"/>
      <c r="P305" s="383"/>
      <c r="Q305" s="383"/>
      <c r="R305" s="383"/>
      <c r="S305" s="383"/>
      <c r="T305" s="383"/>
      <c r="U305" s="383"/>
      <c r="V305" s="383"/>
      <c r="W305" s="383"/>
      <c r="X305" s="383"/>
      <c r="Y305" s="383"/>
      <c r="Z305" s="383"/>
    </row>
    <row r="306">
      <c r="A306" s="389"/>
      <c r="B306" s="390"/>
      <c r="C306" s="391"/>
      <c r="D306" s="392"/>
      <c r="E306" s="383"/>
      <c r="F306" s="383"/>
      <c r="G306" s="383"/>
      <c r="H306" s="383"/>
      <c r="I306" s="383"/>
      <c r="J306" s="383"/>
      <c r="K306" s="383"/>
      <c r="L306" s="383"/>
      <c r="M306" s="383"/>
      <c r="N306" s="383"/>
      <c r="O306" s="383"/>
      <c r="P306" s="383"/>
      <c r="Q306" s="383"/>
      <c r="R306" s="383"/>
      <c r="S306" s="383"/>
      <c r="T306" s="383"/>
      <c r="U306" s="383"/>
      <c r="V306" s="383"/>
      <c r="W306" s="383"/>
      <c r="X306" s="383"/>
      <c r="Y306" s="383"/>
      <c r="Z306" s="383"/>
    </row>
    <row r="307">
      <c r="A307" s="389"/>
      <c r="B307" s="390"/>
      <c r="C307" s="391"/>
      <c r="D307" s="392"/>
      <c r="E307" s="383"/>
      <c r="F307" s="383"/>
      <c r="G307" s="383"/>
      <c r="H307" s="383"/>
      <c r="I307" s="383"/>
      <c r="J307" s="383"/>
      <c r="K307" s="383"/>
      <c r="L307" s="383"/>
      <c r="M307" s="383"/>
      <c r="N307" s="383"/>
      <c r="O307" s="383"/>
      <c r="P307" s="383"/>
      <c r="Q307" s="383"/>
      <c r="R307" s="383"/>
      <c r="S307" s="383"/>
      <c r="T307" s="383"/>
      <c r="U307" s="383"/>
      <c r="V307" s="383"/>
      <c r="W307" s="383"/>
      <c r="X307" s="383"/>
      <c r="Y307" s="383"/>
      <c r="Z307" s="383"/>
    </row>
    <row r="308">
      <c r="A308" s="389"/>
      <c r="B308" s="390"/>
      <c r="C308" s="391"/>
      <c r="D308" s="392"/>
      <c r="E308" s="383"/>
      <c r="F308" s="383"/>
      <c r="G308" s="383"/>
      <c r="H308" s="383"/>
      <c r="I308" s="383"/>
      <c r="J308" s="383"/>
      <c r="K308" s="383"/>
      <c r="L308" s="383"/>
      <c r="M308" s="383"/>
      <c r="N308" s="383"/>
      <c r="O308" s="383"/>
      <c r="P308" s="383"/>
      <c r="Q308" s="383"/>
      <c r="R308" s="383"/>
      <c r="S308" s="383"/>
      <c r="T308" s="383"/>
      <c r="U308" s="383"/>
      <c r="V308" s="383"/>
      <c r="W308" s="383"/>
      <c r="X308" s="383"/>
      <c r="Y308" s="383"/>
      <c r="Z308" s="383"/>
    </row>
    <row r="309">
      <c r="A309" s="389"/>
      <c r="B309" s="390"/>
      <c r="C309" s="391"/>
      <c r="D309" s="392"/>
      <c r="E309" s="383"/>
      <c r="F309" s="383"/>
      <c r="G309" s="383"/>
      <c r="H309" s="383"/>
      <c r="I309" s="383"/>
      <c r="J309" s="383"/>
      <c r="K309" s="383"/>
      <c r="L309" s="383"/>
      <c r="M309" s="383"/>
      <c r="N309" s="383"/>
      <c r="O309" s="383"/>
      <c r="P309" s="383"/>
      <c r="Q309" s="383"/>
      <c r="R309" s="383"/>
      <c r="S309" s="383"/>
      <c r="T309" s="383"/>
      <c r="U309" s="383"/>
      <c r="V309" s="383"/>
      <c r="W309" s="383"/>
      <c r="X309" s="383"/>
      <c r="Y309" s="383"/>
      <c r="Z309" s="383"/>
    </row>
    <row r="310">
      <c r="A310" s="389"/>
      <c r="B310" s="390"/>
      <c r="C310" s="391"/>
      <c r="D310" s="392"/>
      <c r="E310" s="383"/>
      <c r="F310" s="383"/>
      <c r="G310" s="383"/>
      <c r="H310" s="383"/>
      <c r="I310" s="383"/>
      <c r="J310" s="383"/>
      <c r="K310" s="383"/>
      <c r="L310" s="383"/>
      <c r="M310" s="383"/>
      <c r="N310" s="383"/>
      <c r="O310" s="383"/>
      <c r="P310" s="383"/>
      <c r="Q310" s="383"/>
      <c r="R310" s="383"/>
      <c r="S310" s="383"/>
      <c r="T310" s="383"/>
      <c r="U310" s="383"/>
      <c r="V310" s="383"/>
      <c r="W310" s="383"/>
      <c r="X310" s="383"/>
      <c r="Y310" s="383"/>
      <c r="Z310" s="383"/>
    </row>
    <row r="311">
      <c r="A311" s="389"/>
      <c r="B311" s="390"/>
      <c r="C311" s="391"/>
      <c r="D311" s="392"/>
      <c r="E311" s="383"/>
      <c r="F311" s="383"/>
      <c r="G311" s="383"/>
      <c r="H311" s="383"/>
      <c r="I311" s="383"/>
      <c r="J311" s="383"/>
      <c r="K311" s="383"/>
      <c r="L311" s="383"/>
      <c r="M311" s="383"/>
      <c r="N311" s="383"/>
      <c r="O311" s="383"/>
      <c r="P311" s="383"/>
      <c r="Q311" s="383"/>
      <c r="R311" s="383"/>
      <c r="S311" s="383"/>
      <c r="T311" s="383"/>
      <c r="U311" s="383"/>
      <c r="V311" s="383"/>
      <c r="W311" s="383"/>
      <c r="X311" s="383"/>
      <c r="Y311" s="383"/>
      <c r="Z311" s="383"/>
    </row>
    <row r="312">
      <c r="A312" s="389"/>
      <c r="B312" s="390"/>
      <c r="C312" s="391"/>
      <c r="D312" s="392"/>
      <c r="E312" s="383"/>
      <c r="F312" s="383"/>
      <c r="G312" s="383"/>
      <c r="H312" s="383"/>
      <c r="I312" s="383"/>
      <c r="J312" s="383"/>
      <c r="K312" s="383"/>
      <c r="L312" s="383"/>
      <c r="M312" s="383"/>
      <c r="N312" s="383"/>
      <c r="O312" s="383"/>
      <c r="P312" s="383"/>
      <c r="Q312" s="383"/>
      <c r="R312" s="383"/>
      <c r="S312" s="383"/>
      <c r="T312" s="383"/>
      <c r="U312" s="383"/>
      <c r="V312" s="383"/>
      <c r="W312" s="383"/>
      <c r="X312" s="383"/>
      <c r="Y312" s="383"/>
      <c r="Z312" s="383"/>
    </row>
    <row r="313">
      <c r="A313" s="389"/>
      <c r="B313" s="390"/>
      <c r="C313" s="391"/>
      <c r="D313" s="392"/>
      <c r="E313" s="383"/>
      <c r="F313" s="383"/>
      <c r="G313" s="383"/>
      <c r="H313" s="383"/>
      <c r="I313" s="383"/>
      <c r="J313" s="383"/>
      <c r="K313" s="383"/>
      <c r="L313" s="383"/>
      <c r="M313" s="383"/>
      <c r="N313" s="383"/>
      <c r="O313" s="383"/>
      <c r="P313" s="383"/>
      <c r="Q313" s="383"/>
      <c r="R313" s="383"/>
      <c r="S313" s="383"/>
      <c r="T313" s="383"/>
      <c r="U313" s="383"/>
      <c r="V313" s="383"/>
      <c r="W313" s="383"/>
      <c r="X313" s="383"/>
      <c r="Y313" s="383"/>
      <c r="Z313" s="383"/>
    </row>
    <row r="314">
      <c r="A314" s="389"/>
      <c r="B314" s="390"/>
      <c r="C314" s="391"/>
      <c r="D314" s="392"/>
      <c r="E314" s="383"/>
      <c r="F314" s="383"/>
      <c r="G314" s="383"/>
      <c r="H314" s="383"/>
      <c r="I314" s="383"/>
      <c r="J314" s="383"/>
      <c r="K314" s="383"/>
      <c r="L314" s="383"/>
      <c r="M314" s="383"/>
      <c r="N314" s="383"/>
      <c r="O314" s="383"/>
      <c r="P314" s="383"/>
      <c r="Q314" s="383"/>
      <c r="R314" s="383"/>
      <c r="S314" s="383"/>
      <c r="T314" s="383"/>
      <c r="U314" s="383"/>
      <c r="V314" s="383"/>
      <c r="W314" s="383"/>
      <c r="X314" s="383"/>
      <c r="Y314" s="383"/>
      <c r="Z314" s="383"/>
    </row>
    <row r="315">
      <c r="A315" s="389"/>
      <c r="B315" s="390"/>
      <c r="C315" s="391"/>
      <c r="D315" s="392"/>
      <c r="E315" s="383"/>
      <c r="F315" s="383"/>
      <c r="G315" s="383"/>
      <c r="H315" s="383"/>
      <c r="I315" s="383"/>
      <c r="J315" s="383"/>
      <c r="K315" s="383"/>
      <c r="L315" s="383"/>
      <c r="M315" s="383"/>
      <c r="N315" s="383"/>
      <c r="O315" s="383"/>
      <c r="P315" s="383"/>
      <c r="Q315" s="383"/>
      <c r="R315" s="383"/>
      <c r="S315" s="383"/>
      <c r="T315" s="383"/>
      <c r="U315" s="383"/>
      <c r="V315" s="383"/>
      <c r="W315" s="383"/>
      <c r="X315" s="383"/>
      <c r="Y315" s="383"/>
      <c r="Z315" s="383"/>
    </row>
    <row r="316">
      <c r="A316" s="389"/>
      <c r="B316" s="390"/>
      <c r="C316" s="391"/>
      <c r="D316" s="392"/>
      <c r="E316" s="383"/>
      <c r="F316" s="383"/>
      <c r="G316" s="383"/>
      <c r="H316" s="383"/>
      <c r="I316" s="383"/>
      <c r="J316" s="383"/>
      <c r="K316" s="383"/>
      <c r="L316" s="383"/>
      <c r="M316" s="383"/>
      <c r="N316" s="383"/>
      <c r="O316" s="383"/>
      <c r="P316" s="383"/>
      <c r="Q316" s="383"/>
      <c r="R316" s="383"/>
      <c r="S316" s="383"/>
      <c r="T316" s="383"/>
      <c r="U316" s="383"/>
      <c r="V316" s="383"/>
      <c r="W316" s="383"/>
      <c r="X316" s="383"/>
      <c r="Y316" s="383"/>
      <c r="Z316" s="383"/>
    </row>
    <row r="317">
      <c r="A317" s="389"/>
      <c r="B317" s="390"/>
      <c r="C317" s="391"/>
      <c r="D317" s="392"/>
      <c r="E317" s="383"/>
      <c r="F317" s="383"/>
      <c r="G317" s="383"/>
      <c r="H317" s="383"/>
      <c r="I317" s="383"/>
      <c r="J317" s="383"/>
      <c r="K317" s="383"/>
      <c r="L317" s="383"/>
      <c r="M317" s="383"/>
      <c r="N317" s="383"/>
      <c r="O317" s="383"/>
      <c r="P317" s="383"/>
      <c r="Q317" s="383"/>
      <c r="R317" s="383"/>
      <c r="S317" s="383"/>
      <c r="T317" s="383"/>
      <c r="U317" s="383"/>
      <c r="V317" s="383"/>
      <c r="W317" s="383"/>
      <c r="X317" s="383"/>
      <c r="Y317" s="383"/>
      <c r="Z317" s="383"/>
    </row>
    <row r="318">
      <c r="A318" s="389"/>
      <c r="B318" s="390"/>
      <c r="C318" s="391"/>
      <c r="D318" s="392"/>
      <c r="E318" s="383"/>
      <c r="F318" s="383"/>
      <c r="G318" s="383"/>
      <c r="H318" s="383"/>
      <c r="I318" s="383"/>
      <c r="J318" s="383"/>
      <c r="K318" s="383"/>
      <c r="L318" s="383"/>
      <c r="M318" s="383"/>
      <c r="N318" s="383"/>
      <c r="O318" s="383"/>
      <c r="P318" s="383"/>
      <c r="Q318" s="383"/>
      <c r="R318" s="383"/>
      <c r="S318" s="383"/>
      <c r="T318" s="383"/>
      <c r="U318" s="383"/>
      <c r="V318" s="383"/>
      <c r="W318" s="383"/>
      <c r="X318" s="383"/>
      <c r="Y318" s="383"/>
      <c r="Z318" s="383"/>
    </row>
    <row r="319">
      <c r="A319" s="389"/>
      <c r="B319" s="390"/>
      <c r="C319" s="391"/>
      <c r="D319" s="392"/>
      <c r="E319" s="383"/>
      <c r="F319" s="383"/>
      <c r="G319" s="383"/>
      <c r="H319" s="383"/>
      <c r="I319" s="383"/>
      <c r="J319" s="383"/>
      <c r="K319" s="383"/>
      <c r="L319" s="383"/>
      <c r="M319" s="383"/>
      <c r="N319" s="383"/>
      <c r="O319" s="383"/>
      <c r="P319" s="383"/>
      <c r="Q319" s="383"/>
      <c r="R319" s="383"/>
      <c r="S319" s="383"/>
      <c r="T319" s="383"/>
      <c r="U319" s="383"/>
      <c r="V319" s="383"/>
      <c r="W319" s="383"/>
      <c r="X319" s="383"/>
      <c r="Y319" s="383"/>
      <c r="Z319" s="383"/>
    </row>
    <row r="320">
      <c r="A320" s="389"/>
      <c r="B320" s="390"/>
      <c r="C320" s="391"/>
      <c r="D320" s="392"/>
      <c r="E320" s="383"/>
      <c r="F320" s="383"/>
      <c r="G320" s="383"/>
      <c r="H320" s="383"/>
      <c r="I320" s="383"/>
      <c r="J320" s="383"/>
      <c r="K320" s="383"/>
      <c r="L320" s="383"/>
      <c r="M320" s="383"/>
      <c r="N320" s="383"/>
      <c r="O320" s="383"/>
      <c r="P320" s="383"/>
      <c r="Q320" s="383"/>
      <c r="R320" s="383"/>
      <c r="S320" s="383"/>
      <c r="T320" s="383"/>
      <c r="U320" s="383"/>
      <c r="V320" s="383"/>
      <c r="W320" s="383"/>
      <c r="X320" s="383"/>
      <c r="Y320" s="383"/>
      <c r="Z320" s="383"/>
    </row>
    <row r="321">
      <c r="A321" s="389"/>
      <c r="B321" s="390"/>
      <c r="C321" s="391"/>
      <c r="D321" s="392"/>
      <c r="E321" s="383"/>
      <c r="F321" s="383"/>
      <c r="G321" s="383"/>
      <c r="H321" s="383"/>
      <c r="I321" s="383"/>
      <c r="J321" s="383"/>
      <c r="K321" s="383"/>
      <c r="L321" s="383"/>
      <c r="M321" s="383"/>
      <c r="N321" s="383"/>
      <c r="O321" s="383"/>
      <c r="P321" s="383"/>
      <c r="Q321" s="383"/>
      <c r="R321" s="383"/>
      <c r="S321" s="383"/>
      <c r="T321" s="383"/>
      <c r="U321" s="383"/>
      <c r="V321" s="383"/>
      <c r="W321" s="383"/>
      <c r="X321" s="383"/>
      <c r="Y321" s="383"/>
      <c r="Z321" s="383"/>
    </row>
    <row r="322">
      <c r="A322" s="389"/>
      <c r="B322" s="390"/>
      <c r="C322" s="391"/>
      <c r="D322" s="392"/>
      <c r="E322" s="383"/>
      <c r="F322" s="383"/>
      <c r="G322" s="383"/>
      <c r="H322" s="383"/>
      <c r="I322" s="383"/>
      <c r="J322" s="383"/>
      <c r="K322" s="383"/>
      <c r="L322" s="383"/>
      <c r="M322" s="383"/>
      <c r="N322" s="383"/>
      <c r="O322" s="383"/>
      <c r="P322" s="383"/>
      <c r="Q322" s="383"/>
      <c r="R322" s="383"/>
      <c r="S322" s="383"/>
      <c r="T322" s="383"/>
      <c r="U322" s="383"/>
      <c r="V322" s="383"/>
      <c r="W322" s="383"/>
      <c r="X322" s="383"/>
      <c r="Y322" s="383"/>
      <c r="Z322" s="383"/>
    </row>
    <row r="323">
      <c r="A323" s="389"/>
      <c r="B323" s="390"/>
      <c r="C323" s="391"/>
      <c r="D323" s="392"/>
      <c r="E323" s="383"/>
      <c r="F323" s="383"/>
      <c r="G323" s="383"/>
      <c r="H323" s="383"/>
      <c r="I323" s="383"/>
      <c r="J323" s="383"/>
      <c r="K323" s="383"/>
      <c r="L323" s="383"/>
      <c r="M323" s="383"/>
      <c r="N323" s="383"/>
      <c r="O323" s="383"/>
      <c r="P323" s="383"/>
      <c r="Q323" s="383"/>
      <c r="R323" s="383"/>
      <c r="S323" s="383"/>
      <c r="T323" s="383"/>
      <c r="U323" s="383"/>
      <c r="V323" s="383"/>
      <c r="W323" s="383"/>
      <c r="X323" s="383"/>
      <c r="Y323" s="383"/>
      <c r="Z323" s="383"/>
    </row>
    <row r="324">
      <c r="A324" s="389"/>
      <c r="B324" s="390"/>
      <c r="C324" s="391"/>
      <c r="D324" s="392"/>
      <c r="E324" s="383"/>
      <c r="F324" s="383"/>
      <c r="G324" s="383"/>
      <c r="H324" s="383"/>
      <c r="I324" s="383"/>
      <c r="J324" s="383"/>
      <c r="K324" s="383"/>
      <c r="L324" s="383"/>
      <c r="M324" s="383"/>
      <c r="N324" s="383"/>
      <c r="O324" s="383"/>
      <c r="P324" s="383"/>
      <c r="Q324" s="383"/>
      <c r="R324" s="383"/>
      <c r="S324" s="383"/>
      <c r="T324" s="383"/>
      <c r="U324" s="383"/>
      <c r="V324" s="383"/>
      <c r="W324" s="383"/>
      <c r="X324" s="383"/>
      <c r="Y324" s="383"/>
      <c r="Z324" s="383"/>
    </row>
    <row r="325">
      <c r="A325" s="389"/>
      <c r="B325" s="390"/>
      <c r="C325" s="391"/>
      <c r="D325" s="392"/>
      <c r="E325" s="383"/>
      <c r="F325" s="383"/>
      <c r="G325" s="383"/>
      <c r="H325" s="383"/>
      <c r="I325" s="383"/>
      <c r="J325" s="383"/>
      <c r="K325" s="383"/>
      <c r="L325" s="383"/>
      <c r="M325" s="383"/>
      <c r="N325" s="383"/>
      <c r="O325" s="383"/>
      <c r="P325" s="383"/>
      <c r="Q325" s="383"/>
      <c r="R325" s="383"/>
      <c r="S325" s="383"/>
      <c r="T325" s="383"/>
      <c r="U325" s="383"/>
      <c r="V325" s="383"/>
      <c r="W325" s="383"/>
      <c r="X325" s="383"/>
      <c r="Y325" s="383"/>
      <c r="Z325" s="383"/>
    </row>
    <row r="326">
      <c r="A326" s="389"/>
      <c r="B326" s="390"/>
      <c r="C326" s="391"/>
      <c r="D326" s="392"/>
      <c r="E326" s="383"/>
      <c r="F326" s="383"/>
      <c r="G326" s="383"/>
      <c r="H326" s="383"/>
      <c r="I326" s="383"/>
      <c r="J326" s="383"/>
      <c r="K326" s="383"/>
      <c r="L326" s="383"/>
      <c r="M326" s="383"/>
      <c r="N326" s="383"/>
      <c r="O326" s="383"/>
      <c r="P326" s="383"/>
      <c r="Q326" s="383"/>
      <c r="R326" s="383"/>
      <c r="S326" s="383"/>
      <c r="T326" s="383"/>
      <c r="U326" s="383"/>
      <c r="V326" s="383"/>
      <c r="W326" s="383"/>
      <c r="X326" s="383"/>
      <c r="Y326" s="383"/>
      <c r="Z326" s="383"/>
    </row>
    <row r="327">
      <c r="A327" s="389"/>
      <c r="B327" s="390"/>
      <c r="C327" s="391"/>
      <c r="D327" s="392"/>
      <c r="E327" s="383"/>
      <c r="F327" s="383"/>
      <c r="G327" s="383"/>
      <c r="H327" s="383"/>
      <c r="I327" s="383"/>
      <c r="J327" s="383"/>
      <c r="K327" s="383"/>
      <c r="L327" s="383"/>
      <c r="M327" s="383"/>
      <c r="N327" s="383"/>
      <c r="O327" s="383"/>
      <c r="P327" s="383"/>
      <c r="Q327" s="383"/>
      <c r="R327" s="383"/>
      <c r="S327" s="383"/>
      <c r="T327" s="383"/>
      <c r="U327" s="383"/>
      <c r="V327" s="383"/>
      <c r="W327" s="383"/>
      <c r="X327" s="383"/>
      <c r="Y327" s="383"/>
      <c r="Z327" s="383"/>
    </row>
    <row r="328">
      <c r="A328" s="389"/>
      <c r="B328" s="390"/>
      <c r="C328" s="391"/>
      <c r="D328" s="392"/>
      <c r="E328" s="383"/>
      <c r="F328" s="383"/>
      <c r="G328" s="383"/>
      <c r="H328" s="383"/>
      <c r="I328" s="383"/>
      <c r="J328" s="383"/>
      <c r="K328" s="383"/>
      <c r="L328" s="383"/>
      <c r="M328" s="383"/>
      <c r="N328" s="383"/>
      <c r="O328" s="383"/>
      <c r="P328" s="383"/>
      <c r="Q328" s="383"/>
      <c r="R328" s="383"/>
      <c r="S328" s="383"/>
      <c r="T328" s="383"/>
      <c r="U328" s="383"/>
      <c r="V328" s="383"/>
      <c r="W328" s="383"/>
      <c r="X328" s="383"/>
      <c r="Y328" s="383"/>
      <c r="Z328" s="383"/>
    </row>
    <row r="329">
      <c r="A329" s="389"/>
      <c r="B329" s="390"/>
      <c r="C329" s="391"/>
      <c r="D329" s="392"/>
      <c r="E329" s="383"/>
      <c r="F329" s="383"/>
      <c r="G329" s="383"/>
      <c r="H329" s="383"/>
      <c r="I329" s="383"/>
      <c r="J329" s="383"/>
      <c r="K329" s="383"/>
      <c r="L329" s="383"/>
      <c r="M329" s="383"/>
      <c r="N329" s="383"/>
      <c r="O329" s="383"/>
      <c r="P329" s="383"/>
      <c r="Q329" s="383"/>
      <c r="R329" s="383"/>
      <c r="S329" s="383"/>
      <c r="T329" s="383"/>
      <c r="U329" s="383"/>
      <c r="V329" s="383"/>
      <c r="W329" s="383"/>
      <c r="X329" s="383"/>
      <c r="Y329" s="383"/>
      <c r="Z329" s="383"/>
    </row>
    <row r="330">
      <c r="A330" s="389"/>
      <c r="B330" s="390"/>
      <c r="C330" s="391"/>
      <c r="D330" s="392"/>
      <c r="E330" s="383"/>
      <c r="F330" s="383"/>
      <c r="G330" s="383"/>
      <c r="H330" s="383"/>
      <c r="I330" s="383"/>
      <c r="J330" s="383"/>
      <c r="K330" s="383"/>
      <c r="L330" s="383"/>
      <c r="M330" s="383"/>
      <c r="N330" s="383"/>
      <c r="O330" s="383"/>
      <c r="P330" s="383"/>
      <c r="Q330" s="383"/>
      <c r="R330" s="383"/>
      <c r="S330" s="383"/>
      <c r="T330" s="383"/>
      <c r="U330" s="383"/>
      <c r="V330" s="383"/>
      <c r="W330" s="383"/>
      <c r="X330" s="383"/>
      <c r="Y330" s="383"/>
      <c r="Z330" s="383"/>
    </row>
    <row r="331">
      <c r="A331" s="389"/>
      <c r="B331" s="390"/>
      <c r="C331" s="391"/>
      <c r="D331" s="392"/>
      <c r="E331" s="383"/>
      <c r="F331" s="383"/>
      <c r="G331" s="383"/>
      <c r="H331" s="383"/>
      <c r="I331" s="383"/>
      <c r="J331" s="383"/>
      <c r="K331" s="383"/>
      <c r="L331" s="383"/>
      <c r="M331" s="383"/>
      <c r="N331" s="383"/>
      <c r="O331" s="383"/>
      <c r="P331" s="383"/>
      <c r="Q331" s="383"/>
      <c r="R331" s="383"/>
      <c r="S331" s="383"/>
      <c r="T331" s="383"/>
      <c r="U331" s="383"/>
      <c r="V331" s="383"/>
      <c r="W331" s="383"/>
      <c r="X331" s="383"/>
      <c r="Y331" s="383"/>
      <c r="Z331" s="383"/>
    </row>
    <row r="332">
      <c r="A332" s="389"/>
      <c r="B332" s="390"/>
      <c r="C332" s="391"/>
      <c r="D332" s="392"/>
      <c r="E332" s="383"/>
      <c r="F332" s="383"/>
      <c r="G332" s="383"/>
      <c r="H332" s="383"/>
      <c r="I332" s="383"/>
      <c r="J332" s="383"/>
      <c r="K332" s="383"/>
      <c r="L332" s="383"/>
      <c r="M332" s="383"/>
      <c r="N332" s="383"/>
      <c r="O332" s="383"/>
      <c r="P332" s="383"/>
      <c r="Q332" s="383"/>
      <c r="R332" s="383"/>
      <c r="S332" s="383"/>
      <c r="T332" s="383"/>
      <c r="U332" s="383"/>
      <c r="V332" s="383"/>
      <c r="W332" s="383"/>
      <c r="X332" s="383"/>
      <c r="Y332" s="383"/>
      <c r="Z332" s="383"/>
    </row>
    <row r="333">
      <c r="A333" s="389"/>
      <c r="B333" s="390"/>
      <c r="C333" s="391"/>
      <c r="D333" s="392"/>
      <c r="E333" s="383"/>
      <c r="F333" s="383"/>
      <c r="G333" s="383"/>
      <c r="H333" s="383"/>
      <c r="I333" s="383"/>
      <c r="J333" s="383"/>
      <c r="K333" s="383"/>
      <c r="L333" s="383"/>
      <c r="M333" s="383"/>
      <c r="N333" s="383"/>
      <c r="O333" s="383"/>
      <c r="P333" s="383"/>
      <c r="Q333" s="383"/>
      <c r="R333" s="383"/>
      <c r="S333" s="383"/>
      <c r="T333" s="383"/>
      <c r="U333" s="383"/>
      <c r="V333" s="383"/>
      <c r="W333" s="383"/>
      <c r="X333" s="383"/>
      <c r="Y333" s="383"/>
      <c r="Z333" s="383"/>
    </row>
    <row r="334">
      <c r="A334" s="389"/>
      <c r="B334" s="390"/>
      <c r="C334" s="391"/>
      <c r="D334" s="392"/>
      <c r="E334" s="383"/>
      <c r="F334" s="383"/>
      <c r="G334" s="383"/>
      <c r="H334" s="383"/>
      <c r="I334" s="383"/>
      <c r="J334" s="383"/>
      <c r="K334" s="383"/>
      <c r="L334" s="383"/>
      <c r="M334" s="383"/>
      <c r="N334" s="383"/>
      <c r="O334" s="383"/>
      <c r="P334" s="383"/>
      <c r="Q334" s="383"/>
      <c r="R334" s="383"/>
      <c r="S334" s="383"/>
      <c r="T334" s="383"/>
      <c r="U334" s="383"/>
      <c r="V334" s="383"/>
      <c r="W334" s="383"/>
      <c r="X334" s="383"/>
      <c r="Y334" s="383"/>
      <c r="Z334" s="383"/>
    </row>
    <row r="335">
      <c r="A335" s="389"/>
      <c r="B335" s="390"/>
      <c r="C335" s="391"/>
      <c r="D335" s="392"/>
      <c r="E335" s="383"/>
      <c r="F335" s="383"/>
      <c r="G335" s="383"/>
      <c r="H335" s="383"/>
      <c r="I335" s="383"/>
      <c r="J335" s="383"/>
      <c r="K335" s="383"/>
      <c r="L335" s="383"/>
      <c r="M335" s="383"/>
      <c r="N335" s="383"/>
      <c r="O335" s="383"/>
      <c r="P335" s="383"/>
      <c r="Q335" s="383"/>
      <c r="R335" s="383"/>
      <c r="S335" s="383"/>
      <c r="T335" s="383"/>
      <c r="U335" s="383"/>
      <c r="V335" s="383"/>
      <c r="W335" s="383"/>
      <c r="X335" s="383"/>
      <c r="Y335" s="383"/>
      <c r="Z335" s="383"/>
    </row>
    <row r="336">
      <c r="A336" s="389"/>
      <c r="B336" s="390"/>
      <c r="C336" s="391"/>
      <c r="D336" s="392"/>
      <c r="E336" s="383"/>
      <c r="F336" s="383"/>
      <c r="G336" s="383"/>
      <c r="H336" s="383"/>
      <c r="I336" s="383"/>
      <c r="J336" s="383"/>
      <c r="K336" s="383"/>
      <c r="L336" s="383"/>
      <c r="M336" s="383"/>
      <c r="N336" s="383"/>
      <c r="O336" s="383"/>
      <c r="P336" s="383"/>
      <c r="Q336" s="383"/>
      <c r="R336" s="383"/>
      <c r="S336" s="383"/>
      <c r="T336" s="383"/>
      <c r="U336" s="383"/>
      <c r="V336" s="383"/>
      <c r="W336" s="383"/>
      <c r="X336" s="383"/>
      <c r="Y336" s="383"/>
      <c r="Z336" s="383"/>
    </row>
    <row r="337">
      <c r="A337" s="389"/>
      <c r="B337" s="390"/>
      <c r="C337" s="391"/>
      <c r="D337" s="392"/>
      <c r="E337" s="383"/>
      <c r="F337" s="383"/>
      <c r="G337" s="383"/>
      <c r="H337" s="383"/>
      <c r="I337" s="383"/>
      <c r="J337" s="383"/>
      <c r="K337" s="383"/>
      <c r="L337" s="383"/>
      <c r="M337" s="383"/>
      <c r="N337" s="383"/>
      <c r="O337" s="383"/>
      <c r="P337" s="383"/>
      <c r="Q337" s="383"/>
      <c r="R337" s="383"/>
      <c r="S337" s="383"/>
      <c r="T337" s="383"/>
      <c r="U337" s="383"/>
      <c r="V337" s="383"/>
      <c r="W337" s="383"/>
      <c r="X337" s="383"/>
      <c r="Y337" s="383"/>
      <c r="Z337" s="383"/>
    </row>
    <row r="338">
      <c r="A338" s="389"/>
      <c r="B338" s="390"/>
      <c r="C338" s="391"/>
      <c r="D338" s="392"/>
      <c r="E338" s="383"/>
      <c r="F338" s="383"/>
      <c r="G338" s="383"/>
      <c r="H338" s="383"/>
      <c r="I338" s="383"/>
      <c r="J338" s="383"/>
      <c r="K338" s="383"/>
      <c r="L338" s="383"/>
      <c r="M338" s="383"/>
      <c r="N338" s="383"/>
      <c r="O338" s="383"/>
      <c r="P338" s="383"/>
      <c r="Q338" s="383"/>
      <c r="R338" s="383"/>
      <c r="S338" s="383"/>
      <c r="T338" s="383"/>
      <c r="U338" s="383"/>
      <c r="V338" s="383"/>
      <c r="W338" s="383"/>
      <c r="X338" s="383"/>
      <c r="Y338" s="383"/>
      <c r="Z338" s="383"/>
    </row>
    <row r="339">
      <c r="A339" s="389"/>
      <c r="B339" s="390"/>
      <c r="C339" s="391"/>
      <c r="D339" s="392"/>
      <c r="E339" s="383"/>
      <c r="F339" s="383"/>
      <c r="G339" s="383"/>
      <c r="H339" s="383"/>
      <c r="I339" s="383"/>
      <c r="J339" s="383"/>
      <c r="K339" s="383"/>
      <c r="L339" s="383"/>
      <c r="M339" s="383"/>
      <c r="N339" s="383"/>
      <c r="O339" s="383"/>
      <c r="P339" s="383"/>
      <c r="Q339" s="383"/>
      <c r="R339" s="383"/>
      <c r="S339" s="383"/>
      <c r="T339" s="383"/>
      <c r="U339" s="383"/>
      <c r="V339" s="383"/>
      <c r="W339" s="383"/>
      <c r="X339" s="383"/>
      <c r="Y339" s="383"/>
      <c r="Z339" s="383"/>
    </row>
    <row r="340">
      <c r="A340" s="389"/>
      <c r="B340" s="390"/>
      <c r="C340" s="391"/>
      <c r="D340" s="392"/>
      <c r="E340" s="383"/>
      <c r="F340" s="383"/>
      <c r="G340" s="383"/>
      <c r="H340" s="383"/>
      <c r="I340" s="383"/>
      <c r="J340" s="383"/>
      <c r="K340" s="383"/>
      <c r="L340" s="383"/>
      <c r="M340" s="383"/>
      <c r="N340" s="383"/>
      <c r="O340" s="383"/>
      <c r="P340" s="383"/>
      <c r="Q340" s="383"/>
      <c r="R340" s="383"/>
      <c r="S340" s="383"/>
      <c r="T340" s="383"/>
      <c r="U340" s="383"/>
      <c r="V340" s="383"/>
      <c r="W340" s="383"/>
      <c r="X340" s="383"/>
      <c r="Y340" s="383"/>
      <c r="Z340" s="383"/>
    </row>
    <row r="341">
      <c r="A341" s="389"/>
      <c r="B341" s="390"/>
      <c r="C341" s="391"/>
      <c r="D341" s="392"/>
      <c r="E341" s="383"/>
      <c r="F341" s="383"/>
      <c r="G341" s="383"/>
      <c r="H341" s="383"/>
      <c r="I341" s="383"/>
      <c r="J341" s="383"/>
      <c r="K341" s="383"/>
      <c r="L341" s="383"/>
      <c r="M341" s="383"/>
      <c r="N341" s="383"/>
      <c r="O341" s="383"/>
      <c r="P341" s="383"/>
      <c r="Q341" s="383"/>
      <c r="R341" s="383"/>
      <c r="S341" s="383"/>
      <c r="T341" s="383"/>
      <c r="U341" s="383"/>
      <c r="V341" s="383"/>
      <c r="W341" s="383"/>
      <c r="X341" s="383"/>
      <c r="Y341" s="383"/>
      <c r="Z341" s="383"/>
    </row>
    <row r="342">
      <c r="A342" s="389"/>
      <c r="B342" s="390"/>
      <c r="C342" s="391"/>
      <c r="D342" s="392"/>
      <c r="E342" s="383"/>
      <c r="F342" s="383"/>
      <c r="G342" s="383"/>
      <c r="H342" s="383"/>
      <c r="I342" s="383"/>
      <c r="J342" s="383"/>
      <c r="K342" s="383"/>
      <c r="L342" s="383"/>
      <c r="M342" s="383"/>
      <c r="N342" s="383"/>
      <c r="O342" s="383"/>
      <c r="P342" s="383"/>
      <c r="Q342" s="383"/>
      <c r="R342" s="383"/>
      <c r="S342" s="383"/>
      <c r="T342" s="383"/>
      <c r="U342" s="383"/>
      <c r="V342" s="383"/>
      <c r="W342" s="383"/>
      <c r="X342" s="383"/>
      <c r="Y342" s="383"/>
      <c r="Z342" s="383"/>
    </row>
    <row r="343">
      <c r="A343" s="389"/>
      <c r="B343" s="390"/>
      <c r="C343" s="391"/>
      <c r="D343" s="392"/>
      <c r="E343" s="383"/>
      <c r="F343" s="383"/>
      <c r="G343" s="383"/>
      <c r="H343" s="383"/>
      <c r="I343" s="383"/>
      <c r="J343" s="383"/>
      <c r="K343" s="383"/>
      <c r="L343" s="383"/>
      <c r="M343" s="383"/>
      <c r="N343" s="383"/>
      <c r="O343" s="383"/>
      <c r="P343" s="383"/>
      <c r="Q343" s="383"/>
      <c r="R343" s="383"/>
      <c r="S343" s="383"/>
      <c r="T343" s="383"/>
      <c r="U343" s="383"/>
      <c r="V343" s="383"/>
      <c r="W343" s="383"/>
      <c r="X343" s="383"/>
      <c r="Y343" s="383"/>
      <c r="Z343" s="383"/>
    </row>
    <row r="344">
      <c r="A344" s="389"/>
      <c r="B344" s="390"/>
      <c r="C344" s="391"/>
      <c r="D344" s="392"/>
      <c r="E344" s="383"/>
      <c r="F344" s="383"/>
      <c r="G344" s="383"/>
      <c r="H344" s="383"/>
      <c r="I344" s="383"/>
      <c r="J344" s="383"/>
      <c r="K344" s="383"/>
      <c r="L344" s="383"/>
      <c r="M344" s="383"/>
      <c r="N344" s="383"/>
      <c r="O344" s="383"/>
      <c r="P344" s="383"/>
      <c r="Q344" s="383"/>
      <c r="R344" s="383"/>
      <c r="S344" s="383"/>
      <c r="T344" s="383"/>
      <c r="U344" s="383"/>
      <c r="V344" s="383"/>
      <c r="W344" s="383"/>
      <c r="X344" s="383"/>
      <c r="Y344" s="383"/>
      <c r="Z344" s="383"/>
    </row>
    <row r="345">
      <c r="A345" s="389"/>
      <c r="B345" s="390"/>
      <c r="C345" s="391"/>
      <c r="D345" s="392"/>
      <c r="E345" s="383"/>
      <c r="F345" s="383"/>
      <c r="G345" s="383"/>
      <c r="H345" s="383"/>
      <c r="I345" s="383"/>
      <c r="J345" s="383"/>
      <c r="K345" s="383"/>
      <c r="L345" s="383"/>
      <c r="M345" s="383"/>
      <c r="N345" s="383"/>
      <c r="O345" s="383"/>
      <c r="P345" s="383"/>
      <c r="Q345" s="383"/>
      <c r="R345" s="383"/>
      <c r="S345" s="383"/>
      <c r="T345" s="383"/>
      <c r="U345" s="383"/>
      <c r="V345" s="383"/>
      <c r="W345" s="383"/>
      <c r="X345" s="383"/>
      <c r="Y345" s="383"/>
      <c r="Z345" s="383"/>
    </row>
    <row r="346">
      <c r="A346" s="389"/>
      <c r="B346" s="390"/>
      <c r="C346" s="391"/>
      <c r="D346" s="392"/>
      <c r="E346" s="383"/>
      <c r="F346" s="383"/>
      <c r="G346" s="383"/>
      <c r="H346" s="383"/>
      <c r="I346" s="383"/>
      <c r="J346" s="383"/>
      <c r="K346" s="383"/>
      <c r="L346" s="383"/>
      <c r="M346" s="383"/>
      <c r="N346" s="383"/>
      <c r="O346" s="383"/>
      <c r="P346" s="383"/>
      <c r="Q346" s="383"/>
      <c r="R346" s="383"/>
      <c r="S346" s="383"/>
      <c r="T346" s="383"/>
      <c r="U346" s="383"/>
      <c r="V346" s="383"/>
      <c r="W346" s="383"/>
      <c r="X346" s="383"/>
      <c r="Y346" s="383"/>
      <c r="Z346" s="383"/>
    </row>
    <row r="347">
      <c r="A347" s="389"/>
      <c r="B347" s="390"/>
      <c r="C347" s="391"/>
      <c r="D347" s="392"/>
      <c r="E347" s="383"/>
      <c r="F347" s="383"/>
      <c r="G347" s="383"/>
      <c r="H347" s="383"/>
      <c r="I347" s="383"/>
      <c r="J347" s="383"/>
      <c r="K347" s="383"/>
      <c r="L347" s="383"/>
      <c r="M347" s="383"/>
      <c r="N347" s="383"/>
      <c r="O347" s="383"/>
      <c r="P347" s="383"/>
      <c r="Q347" s="383"/>
      <c r="R347" s="383"/>
      <c r="S347" s="383"/>
      <c r="T347" s="383"/>
      <c r="U347" s="383"/>
      <c r="V347" s="383"/>
      <c r="W347" s="383"/>
      <c r="X347" s="383"/>
      <c r="Y347" s="383"/>
      <c r="Z347" s="383"/>
    </row>
    <row r="348">
      <c r="A348" s="389"/>
      <c r="B348" s="390"/>
      <c r="C348" s="391"/>
      <c r="D348" s="392"/>
      <c r="E348" s="383"/>
      <c r="F348" s="383"/>
      <c r="G348" s="383"/>
      <c r="H348" s="383"/>
      <c r="I348" s="383"/>
      <c r="J348" s="383"/>
      <c r="K348" s="383"/>
      <c r="L348" s="383"/>
      <c r="M348" s="383"/>
      <c r="N348" s="383"/>
      <c r="O348" s="383"/>
      <c r="P348" s="383"/>
      <c r="Q348" s="383"/>
      <c r="R348" s="383"/>
      <c r="S348" s="383"/>
      <c r="T348" s="383"/>
      <c r="U348" s="383"/>
      <c r="V348" s="383"/>
      <c r="W348" s="383"/>
      <c r="X348" s="383"/>
      <c r="Y348" s="383"/>
      <c r="Z348" s="383"/>
    </row>
    <row r="349">
      <c r="A349" s="389"/>
      <c r="B349" s="390"/>
      <c r="C349" s="391"/>
      <c r="D349" s="392"/>
      <c r="E349" s="383"/>
      <c r="F349" s="383"/>
      <c r="G349" s="383"/>
      <c r="H349" s="383"/>
      <c r="I349" s="383"/>
      <c r="J349" s="383"/>
      <c r="K349" s="383"/>
      <c r="L349" s="383"/>
      <c r="M349" s="383"/>
      <c r="N349" s="383"/>
      <c r="O349" s="383"/>
      <c r="P349" s="383"/>
      <c r="Q349" s="383"/>
      <c r="R349" s="383"/>
      <c r="S349" s="383"/>
      <c r="T349" s="383"/>
      <c r="U349" s="383"/>
      <c r="V349" s="383"/>
      <c r="W349" s="383"/>
      <c r="X349" s="383"/>
      <c r="Y349" s="383"/>
      <c r="Z349" s="383"/>
    </row>
    <row r="350">
      <c r="A350" s="389"/>
      <c r="B350" s="390"/>
      <c r="C350" s="391"/>
      <c r="D350" s="392"/>
      <c r="E350" s="383"/>
      <c r="F350" s="383"/>
      <c r="G350" s="383"/>
      <c r="H350" s="383"/>
      <c r="I350" s="383"/>
      <c r="J350" s="383"/>
      <c r="K350" s="383"/>
      <c r="L350" s="383"/>
      <c r="M350" s="383"/>
      <c r="N350" s="383"/>
      <c r="O350" s="383"/>
      <c r="P350" s="383"/>
      <c r="Q350" s="383"/>
      <c r="R350" s="383"/>
      <c r="S350" s="383"/>
      <c r="T350" s="383"/>
      <c r="U350" s="383"/>
      <c r="V350" s="383"/>
      <c r="W350" s="383"/>
      <c r="X350" s="383"/>
      <c r="Y350" s="383"/>
      <c r="Z350" s="383"/>
    </row>
    <row r="351">
      <c r="A351" s="389"/>
      <c r="B351" s="390"/>
      <c r="C351" s="391"/>
      <c r="D351" s="392"/>
      <c r="E351" s="383"/>
      <c r="F351" s="383"/>
      <c r="G351" s="383"/>
      <c r="H351" s="383"/>
      <c r="I351" s="383"/>
      <c r="J351" s="383"/>
      <c r="K351" s="383"/>
      <c r="L351" s="383"/>
      <c r="M351" s="383"/>
      <c r="N351" s="383"/>
      <c r="O351" s="383"/>
      <c r="P351" s="383"/>
      <c r="Q351" s="383"/>
      <c r="R351" s="383"/>
      <c r="S351" s="383"/>
      <c r="T351" s="383"/>
      <c r="U351" s="383"/>
      <c r="V351" s="383"/>
      <c r="W351" s="383"/>
      <c r="X351" s="383"/>
      <c r="Y351" s="383"/>
      <c r="Z351" s="383"/>
    </row>
    <row r="352">
      <c r="A352" s="389"/>
      <c r="B352" s="390"/>
      <c r="C352" s="391"/>
      <c r="D352" s="392"/>
      <c r="E352" s="383"/>
      <c r="F352" s="383"/>
      <c r="G352" s="383"/>
      <c r="H352" s="383"/>
      <c r="I352" s="383"/>
      <c r="J352" s="383"/>
      <c r="K352" s="383"/>
      <c r="L352" s="383"/>
      <c r="M352" s="383"/>
      <c r="N352" s="383"/>
      <c r="O352" s="383"/>
      <c r="P352" s="383"/>
      <c r="Q352" s="383"/>
      <c r="R352" s="383"/>
      <c r="S352" s="383"/>
      <c r="T352" s="383"/>
      <c r="U352" s="383"/>
      <c r="V352" s="383"/>
      <c r="W352" s="383"/>
      <c r="X352" s="383"/>
      <c r="Y352" s="383"/>
      <c r="Z352" s="383"/>
    </row>
    <row r="353">
      <c r="A353" s="389"/>
      <c r="B353" s="390"/>
      <c r="C353" s="391"/>
      <c r="D353" s="392"/>
      <c r="E353" s="383"/>
      <c r="F353" s="383"/>
      <c r="G353" s="383"/>
      <c r="H353" s="383"/>
      <c r="I353" s="383"/>
      <c r="J353" s="383"/>
      <c r="K353" s="383"/>
      <c r="L353" s="383"/>
      <c r="M353" s="383"/>
      <c r="N353" s="383"/>
      <c r="O353" s="383"/>
      <c r="P353" s="383"/>
      <c r="Q353" s="383"/>
      <c r="R353" s="383"/>
      <c r="S353" s="383"/>
      <c r="T353" s="383"/>
      <c r="U353" s="383"/>
      <c r="V353" s="383"/>
      <c r="W353" s="383"/>
      <c r="X353" s="383"/>
      <c r="Y353" s="383"/>
      <c r="Z353" s="383"/>
    </row>
    <row r="354">
      <c r="A354" s="389"/>
      <c r="B354" s="390"/>
      <c r="C354" s="391"/>
      <c r="D354" s="392"/>
      <c r="E354" s="383"/>
      <c r="F354" s="383"/>
      <c r="G354" s="383"/>
      <c r="H354" s="383"/>
      <c r="I354" s="383"/>
      <c r="J354" s="383"/>
      <c r="K354" s="383"/>
      <c r="L354" s="383"/>
      <c r="M354" s="383"/>
      <c r="N354" s="383"/>
      <c r="O354" s="383"/>
      <c r="P354" s="383"/>
      <c r="Q354" s="383"/>
      <c r="R354" s="383"/>
      <c r="S354" s="383"/>
      <c r="T354" s="383"/>
      <c r="U354" s="383"/>
      <c r="V354" s="383"/>
      <c r="W354" s="383"/>
      <c r="X354" s="383"/>
      <c r="Y354" s="383"/>
      <c r="Z354" s="383"/>
    </row>
    <row r="355">
      <c r="A355" s="389"/>
      <c r="B355" s="390"/>
      <c r="C355" s="391"/>
      <c r="D355" s="392"/>
      <c r="E355" s="383"/>
      <c r="F355" s="383"/>
      <c r="G355" s="383"/>
      <c r="H355" s="383"/>
      <c r="I355" s="383"/>
      <c r="J355" s="383"/>
      <c r="K355" s="383"/>
      <c r="L355" s="383"/>
      <c r="M355" s="383"/>
      <c r="N355" s="383"/>
      <c r="O355" s="383"/>
      <c r="P355" s="383"/>
      <c r="Q355" s="383"/>
      <c r="R355" s="383"/>
      <c r="S355" s="383"/>
      <c r="T355" s="383"/>
      <c r="U355" s="383"/>
      <c r="V355" s="383"/>
      <c r="W355" s="383"/>
      <c r="X355" s="383"/>
      <c r="Y355" s="383"/>
      <c r="Z355" s="383"/>
    </row>
    <row r="356">
      <c r="A356" s="389"/>
      <c r="B356" s="390"/>
      <c r="C356" s="391"/>
      <c r="D356" s="392"/>
      <c r="E356" s="383"/>
      <c r="F356" s="383"/>
      <c r="G356" s="383"/>
      <c r="H356" s="383"/>
      <c r="I356" s="383"/>
      <c r="J356" s="383"/>
      <c r="K356" s="383"/>
      <c r="L356" s="383"/>
      <c r="M356" s="383"/>
      <c r="N356" s="383"/>
      <c r="O356" s="383"/>
      <c r="P356" s="383"/>
      <c r="Q356" s="383"/>
      <c r="R356" s="383"/>
      <c r="S356" s="383"/>
      <c r="T356" s="383"/>
      <c r="U356" s="383"/>
      <c r="V356" s="383"/>
      <c r="W356" s="383"/>
      <c r="X356" s="383"/>
      <c r="Y356" s="383"/>
      <c r="Z356" s="383"/>
    </row>
    <row r="357">
      <c r="A357" s="389"/>
      <c r="B357" s="390"/>
      <c r="C357" s="391"/>
      <c r="D357" s="392"/>
      <c r="E357" s="383"/>
      <c r="F357" s="383"/>
      <c r="G357" s="383"/>
      <c r="H357" s="383"/>
      <c r="I357" s="383"/>
      <c r="J357" s="383"/>
      <c r="K357" s="383"/>
      <c r="L357" s="383"/>
      <c r="M357" s="383"/>
      <c r="N357" s="383"/>
      <c r="O357" s="383"/>
      <c r="P357" s="383"/>
      <c r="Q357" s="383"/>
      <c r="R357" s="383"/>
      <c r="S357" s="383"/>
      <c r="T357" s="383"/>
      <c r="U357" s="383"/>
      <c r="V357" s="383"/>
      <c r="W357" s="383"/>
      <c r="X357" s="383"/>
      <c r="Y357" s="383"/>
      <c r="Z357" s="383"/>
    </row>
    <row r="358">
      <c r="A358" s="389"/>
      <c r="B358" s="390"/>
      <c r="C358" s="391"/>
      <c r="D358" s="392"/>
      <c r="E358" s="383"/>
      <c r="F358" s="383"/>
      <c r="G358" s="383"/>
      <c r="H358" s="383"/>
      <c r="I358" s="383"/>
      <c r="J358" s="383"/>
      <c r="K358" s="383"/>
      <c r="L358" s="383"/>
      <c r="M358" s="383"/>
      <c r="N358" s="383"/>
      <c r="O358" s="383"/>
      <c r="P358" s="383"/>
      <c r="Q358" s="383"/>
      <c r="R358" s="383"/>
      <c r="S358" s="383"/>
      <c r="T358" s="383"/>
      <c r="U358" s="383"/>
      <c r="V358" s="383"/>
      <c r="W358" s="383"/>
      <c r="X358" s="383"/>
      <c r="Y358" s="383"/>
      <c r="Z358" s="383"/>
    </row>
    <row r="359">
      <c r="A359" s="389"/>
      <c r="B359" s="390"/>
      <c r="C359" s="391"/>
      <c r="D359" s="392"/>
      <c r="E359" s="383"/>
      <c r="F359" s="383"/>
      <c r="G359" s="383"/>
      <c r="H359" s="383"/>
      <c r="I359" s="383"/>
      <c r="J359" s="383"/>
      <c r="K359" s="383"/>
      <c r="L359" s="383"/>
      <c r="M359" s="383"/>
      <c r="N359" s="383"/>
      <c r="O359" s="383"/>
      <c r="P359" s="383"/>
      <c r="Q359" s="383"/>
      <c r="R359" s="383"/>
      <c r="S359" s="383"/>
      <c r="T359" s="383"/>
      <c r="U359" s="383"/>
      <c r="V359" s="383"/>
      <c r="W359" s="383"/>
      <c r="X359" s="383"/>
      <c r="Y359" s="383"/>
      <c r="Z359" s="383"/>
    </row>
    <row r="360">
      <c r="A360" s="389"/>
      <c r="B360" s="390"/>
      <c r="C360" s="391"/>
      <c r="D360" s="392"/>
      <c r="E360" s="383"/>
      <c r="F360" s="383"/>
      <c r="G360" s="383"/>
      <c r="H360" s="383"/>
      <c r="I360" s="383"/>
      <c r="J360" s="383"/>
      <c r="K360" s="383"/>
      <c r="L360" s="383"/>
      <c r="M360" s="383"/>
      <c r="N360" s="383"/>
      <c r="O360" s="383"/>
      <c r="P360" s="383"/>
      <c r="Q360" s="383"/>
      <c r="R360" s="383"/>
      <c r="S360" s="383"/>
      <c r="T360" s="383"/>
      <c r="U360" s="383"/>
      <c r="V360" s="383"/>
      <c r="W360" s="383"/>
      <c r="X360" s="383"/>
      <c r="Y360" s="383"/>
      <c r="Z360" s="383"/>
    </row>
    <row r="361">
      <c r="A361" s="389"/>
      <c r="B361" s="390"/>
      <c r="C361" s="391"/>
      <c r="D361" s="392"/>
      <c r="E361" s="383"/>
      <c r="F361" s="383"/>
      <c r="G361" s="383"/>
      <c r="H361" s="383"/>
      <c r="I361" s="383"/>
      <c r="J361" s="383"/>
      <c r="K361" s="383"/>
      <c r="L361" s="383"/>
      <c r="M361" s="383"/>
      <c r="N361" s="383"/>
      <c r="O361" s="383"/>
      <c r="P361" s="383"/>
      <c r="Q361" s="383"/>
      <c r="R361" s="383"/>
      <c r="S361" s="383"/>
      <c r="T361" s="383"/>
      <c r="U361" s="383"/>
      <c r="V361" s="383"/>
      <c r="W361" s="383"/>
      <c r="X361" s="383"/>
      <c r="Y361" s="383"/>
      <c r="Z361" s="383"/>
    </row>
    <row r="362">
      <c r="A362" s="389"/>
      <c r="B362" s="390"/>
      <c r="C362" s="391"/>
      <c r="D362" s="392"/>
      <c r="E362" s="383"/>
      <c r="F362" s="383"/>
      <c r="G362" s="383"/>
      <c r="H362" s="383"/>
      <c r="I362" s="383"/>
      <c r="J362" s="383"/>
      <c r="K362" s="383"/>
      <c r="L362" s="383"/>
      <c r="M362" s="383"/>
      <c r="N362" s="383"/>
      <c r="O362" s="383"/>
      <c r="P362" s="383"/>
      <c r="Q362" s="383"/>
      <c r="R362" s="383"/>
      <c r="S362" s="383"/>
      <c r="T362" s="383"/>
      <c r="U362" s="383"/>
      <c r="V362" s="383"/>
      <c r="W362" s="383"/>
      <c r="X362" s="383"/>
      <c r="Y362" s="383"/>
      <c r="Z362" s="383"/>
    </row>
    <row r="363">
      <c r="A363" s="389"/>
      <c r="B363" s="390"/>
      <c r="C363" s="391"/>
      <c r="D363" s="392"/>
      <c r="E363" s="383"/>
      <c r="F363" s="383"/>
      <c r="G363" s="383"/>
      <c r="H363" s="383"/>
      <c r="I363" s="383"/>
      <c r="J363" s="383"/>
      <c r="K363" s="383"/>
      <c r="L363" s="383"/>
      <c r="M363" s="383"/>
      <c r="N363" s="383"/>
      <c r="O363" s="383"/>
      <c r="P363" s="383"/>
      <c r="Q363" s="383"/>
      <c r="R363" s="383"/>
      <c r="S363" s="383"/>
      <c r="T363" s="383"/>
      <c r="U363" s="383"/>
      <c r="V363" s="383"/>
      <c r="W363" s="383"/>
      <c r="X363" s="383"/>
      <c r="Y363" s="383"/>
      <c r="Z363" s="383"/>
    </row>
    <row r="364">
      <c r="A364" s="389"/>
      <c r="B364" s="390"/>
      <c r="C364" s="391"/>
      <c r="D364" s="392"/>
      <c r="E364" s="383"/>
      <c r="F364" s="383"/>
      <c r="G364" s="383"/>
      <c r="H364" s="383"/>
      <c r="I364" s="383"/>
      <c r="J364" s="383"/>
      <c r="K364" s="383"/>
      <c r="L364" s="383"/>
      <c r="M364" s="383"/>
      <c r="N364" s="383"/>
      <c r="O364" s="383"/>
      <c r="P364" s="383"/>
      <c r="Q364" s="383"/>
      <c r="R364" s="383"/>
      <c r="S364" s="383"/>
      <c r="T364" s="383"/>
      <c r="U364" s="383"/>
      <c r="V364" s="383"/>
      <c r="W364" s="383"/>
      <c r="X364" s="383"/>
      <c r="Y364" s="383"/>
      <c r="Z364" s="383"/>
    </row>
    <row r="365">
      <c r="A365" s="389"/>
      <c r="B365" s="390"/>
      <c r="C365" s="391"/>
      <c r="D365" s="392"/>
      <c r="E365" s="383"/>
      <c r="F365" s="383"/>
      <c r="G365" s="383"/>
      <c r="H365" s="383"/>
      <c r="I365" s="383"/>
      <c r="J365" s="383"/>
      <c r="K365" s="383"/>
      <c r="L365" s="383"/>
      <c r="M365" s="383"/>
      <c r="N365" s="383"/>
      <c r="O365" s="383"/>
      <c r="P365" s="383"/>
      <c r="Q365" s="383"/>
      <c r="R365" s="383"/>
      <c r="S365" s="383"/>
      <c r="T365" s="383"/>
      <c r="U365" s="383"/>
      <c r="V365" s="383"/>
      <c r="W365" s="383"/>
      <c r="X365" s="383"/>
      <c r="Y365" s="383"/>
      <c r="Z365" s="383"/>
    </row>
    <row r="366">
      <c r="A366" s="389"/>
      <c r="B366" s="390"/>
      <c r="C366" s="391"/>
      <c r="D366" s="392"/>
      <c r="E366" s="383"/>
      <c r="F366" s="383"/>
      <c r="G366" s="383"/>
      <c r="H366" s="383"/>
      <c r="I366" s="383"/>
      <c r="J366" s="383"/>
      <c r="K366" s="383"/>
      <c r="L366" s="383"/>
      <c r="M366" s="383"/>
      <c r="N366" s="383"/>
      <c r="O366" s="383"/>
      <c r="P366" s="383"/>
      <c r="Q366" s="383"/>
      <c r="R366" s="383"/>
      <c r="S366" s="383"/>
      <c r="T366" s="383"/>
      <c r="U366" s="383"/>
      <c r="V366" s="383"/>
      <c r="W366" s="383"/>
      <c r="X366" s="383"/>
      <c r="Y366" s="383"/>
      <c r="Z366" s="383"/>
    </row>
    <row r="367">
      <c r="A367" s="389"/>
      <c r="B367" s="390"/>
      <c r="C367" s="391"/>
      <c r="D367" s="392"/>
      <c r="E367" s="383"/>
      <c r="F367" s="383"/>
      <c r="G367" s="383"/>
      <c r="H367" s="383"/>
      <c r="I367" s="383"/>
      <c r="J367" s="383"/>
      <c r="K367" s="383"/>
      <c r="L367" s="383"/>
      <c r="M367" s="383"/>
      <c r="N367" s="383"/>
      <c r="O367" s="383"/>
      <c r="P367" s="383"/>
      <c r="Q367" s="383"/>
      <c r="R367" s="383"/>
      <c r="S367" s="383"/>
      <c r="T367" s="383"/>
      <c r="U367" s="383"/>
      <c r="V367" s="383"/>
      <c r="W367" s="383"/>
      <c r="X367" s="383"/>
      <c r="Y367" s="383"/>
      <c r="Z367" s="383"/>
    </row>
    <row r="368">
      <c r="A368" s="389"/>
      <c r="B368" s="390"/>
      <c r="C368" s="391"/>
      <c r="D368" s="392"/>
      <c r="E368" s="383"/>
      <c r="F368" s="383"/>
      <c r="G368" s="383"/>
      <c r="H368" s="383"/>
      <c r="I368" s="383"/>
      <c r="J368" s="383"/>
      <c r="K368" s="383"/>
      <c r="L368" s="383"/>
      <c r="M368" s="383"/>
      <c r="N368" s="383"/>
      <c r="O368" s="383"/>
      <c r="P368" s="383"/>
      <c r="Q368" s="383"/>
      <c r="R368" s="383"/>
      <c r="S368" s="383"/>
      <c r="T368" s="383"/>
      <c r="U368" s="383"/>
      <c r="V368" s="383"/>
      <c r="W368" s="383"/>
      <c r="X368" s="383"/>
      <c r="Y368" s="383"/>
      <c r="Z368" s="383"/>
    </row>
    <row r="369">
      <c r="A369" s="389"/>
      <c r="B369" s="390"/>
      <c r="C369" s="391"/>
      <c r="D369" s="392"/>
      <c r="E369" s="383"/>
      <c r="F369" s="383"/>
      <c r="G369" s="383"/>
      <c r="H369" s="383"/>
      <c r="I369" s="383"/>
      <c r="J369" s="383"/>
      <c r="K369" s="383"/>
      <c r="L369" s="383"/>
      <c r="M369" s="383"/>
      <c r="N369" s="383"/>
      <c r="O369" s="383"/>
      <c r="P369" s="383"/>
      <c r="Q369" s="383"/>
      <c r="R369" s="383"/>
      <c r="S369" s="383"/>
      <c r="T369" s="383"/>
      <c r="U369" s="383"/>
      <c r="V369" s="383"/>
      <c r="W369" s="383"/>
      <c r="X369" s="383"/>
      <c r="Y369" s="383"/>
      <c r="Z369" s="383"/>
    </row>
    <row r="370">
      <c r="A370" s="389"/>
      <c r="B370" s="390"/>
      <c r="C370" s="391"/>
      <c r="D370" s="392"/>
      <c r="E370" s="383"/>
      <c r="F370" s="383"/>
      <c r="G370" s="383"/>
      <c r="H370" s="383"/>
      <c r="I370" s="383"/>
      <c r="J370" s="383"/>
      <c r="K370" s="383"/>
      <c r="L370" s="383"/>
      <c r="M370" s="383"/>
      <c r="N370" s="383"/>
      <c r="O370" s="383"/>
      <c r="P370" s="383"/>
      <c r="Q370" s="383"/>
      <c r="R370" s="383"/>
      <c r="S370" s="383"/>
      <c r="T370" s="383"/>
      <c r="U370" s="383"/>
      <c r="V370" s="383"/>
      <c r="W370" s="383"/>
      <c r="X370" s="383"/>
      <c r="Y370" s="383"/>
      <c r="Z370" s="383"/>
    </row>
    <row r="371">
      <c r="A371" s="389"/>
      <c r="B371" s="390"/>
      <c r="C371" s="391"/>
      <c r="D371" s="392"/>
      <c r="E371" s="383"/>
      <c r="F371" s="383"/>
      <c r="G371" s="383"/>
      <c r="H371" s="383"/>
      <c r="I371" s="383"/>
      <c r="J371" s="383"/>
      <c r="K371" s="383"/>
      <c r="L371" s="383"/>
      <c r="M371" s="383"/>
      <c r="N371" s="383"/>
      <c r="O371" s="383"/>
      <c r="P371" s="383"/>
      <c r="Q371" s="383"/>
      <c r="R371" s="383"/>
      <c r="S371" s="383"/>
      <c r="T371" s="383"/>
      <c r="U371" s="383"/>
      <c r="V371" s="383"/>
      <c r="W371" s="383"/>
      <c r="X371" s="383"/>
      <c r="Y371" s="383"/>
      <c r="Z371" s="383"/>
    </row>
    <row r="372">
      <c r="A372" s="389"/>
      <c r="B372" s="390"/>
      <c r="C372" s="391"/>
      <c r="D372" s="392"/>
      <c r="E372" s="383"/>
      <c r="F372" s="383"/>
      <c r="G372" s="383"/>
      <c r="H372" s="383"/>
      <c r="I372" s="383"/>
      <c r="J372" s="383"/>
      <c r="K372" s="383"/>
      <c r="L372" s="383"/>
      <c r="M372" s="383"/>
      <c r="N372" s="383"/>
      <c r="O372" s="383"/>
      <c r="P372" s="383"/>
      <c r="Q372" s="383"/>
      <c r="R372" s="383"/>
      <c r="S372" s="383"/>
      <c r="T372" s="383"/>
      <c r="U372" s="383"/>
      <c r="V372" s="383"/>
      <c r="W372" s="383"/>
      <c r="X372" s="383"/>
      <c r="Y372" s="383"/>
      <c r="Z372" s="383"/>
    </row>
    <row r="373">
      <c r="A373" s="389"/>
      <c r="B373" s="390"/>
      <c r="C373" s="391"/>
      <c r="D373" s="392"/>
      <c r="E373" s="383"/>
      <c r="F373" s="383"/>
      <c r="G373" s="383"/>
      <c r="H373" s="383"/>
      <c r="I373" s="383"/>
      <c r="J373" s="383"/>
      <c r="K373" s="383"/>
      <c r="L373" s="383"/>
      <c r="M373" s="383"/>
      <c r="N373" s="383"/>
      <c r="O373" s="383"/>
      <c r="P373" s="383"/>
      <c r="Q373" s="383"/>
      <c r="R373" s="383"/>
      <c r="S373" s="383"/>
      <c r="T373" s="383"/>
      <c r="U373" s="383"/>
      <c r="V373" s="383"/>
      <c r="W373" s="383"/>
      <c r="X373" s="383"/>
      <c r="Y373" s="383"/>
      <c r="Z373" s="383"/>
    </row>
    <row r="374">
      <c r="A374" s="389"/>
      <c r="B374" s="390"/>
      <c r="C374" s="391"/>
      <c r="D374" s="392"/>
      <c r="E374" s="383"/>
      <c r="F374" s="383"/>
      <c r="G374" s="383"/>
      <c r="H374" s="383"/>
      <c r="I374" s="383"/>
      <c r="J374" s="383"/>
      <c r="K374" s="383"/>
      <c r="L374" s="383"/>
      <c r="M374" s="383"/>
      <c r="N374" s="383"/>
      <c r="O374" s="383"/>
      <c r="P374" s="383"/>
      <c r="Q374" s="383"/>
      <c r="R374" s="383"/>
      <c r="S374" s="383"/>
      <c r="T374" s="383"/>
      <c r="U374" s="383"/>
      <c r="V374" s="383"/>
      <c r="W374" s="383"/>
      <c r="X374" s="383"/>
      <c r="Y374" s="383"/>
      <c r="Z374" s="383"/>
    </row>
    <row r="375">
      <c r="A375" s="389"/>
      <c r="B375" s="390"/>
      <c r="C375" s="391"/>
      <c r="D375" s="392"/>
      <c r="E375" s="383"/>
      <c r="F375" s="383"/>
      <c r="G375" s="383"/>
      <c r="H375" s="383"/>
      <c r="I375" s="383"/>
      <c r="J375" s="383"/>
      <c r="K375" s="383"/>
      <c r="L375" s="383"/>
      <c r="M375" s="383"/>
      <c r="N375" s="383"/>
      <c r="O375" s="383"/>
      <c r="P375" s="383"/>
      <c r="Q375" s="383"/>
      <c r="R375" s="383"/>
      <c r="S375" s="383"/>
      <c r="T375" s="383"/>
      <c r="U375" s="383"/>
      <c r="V375" s="383"/>
      <c r="W375" s="383"/>
      <c r="X375" s="383"/>
      <c r="Y375" s="383"/>
      <c r="Z375" s="383"/>
    </row>
    <row r="376">
      <c r="A376" s="389"/>
      <c r="B376" s="390"/>
      <c r="C376" s="391"/>
      <c r="D376" s="392"/>
      <c r="E376" s="383"/>
      <c r="F376" s="383"/>
      <c r="G376" s="383"/>
      <c r="H376" s="383"/>
      <c r="I376" s="383"/>
      <c r="J376" s="383"/>
      <c r="K376" s="383"/>
      <c r="L376" s="383"/>
      <c r="M376" s="383"/>
      <c r="N376" s="383"/>
      <c r="O376" s="383"/>
      <c r="P376" s="383"/>
      <c r="Q376" s="383"/>
      <c r="R376" s="383"/>
      <c r="S376" s="383"/>
      <c r="T376" s="383"/>
      <c r="U376" s="383"/>
      <c r="V376" s="383"/>
      <c r="W376" s="383"/>
      <c r="X376" s="383"/>
      <c r="Y376" s="383"/>
      <c r="Z376" s="383"/>
    </row>
    <row r="377">
      <c r="A377" s="389"/>
      <c r="B377" s="390"/>
      <c r="C377" s="391"/>
      <c r="D377" s="392"/>
      <c r="E377" s="383"/>
      <c r="F377" s="383"/>
      <c r="G377" s="383"/>
      <c r="H377" s="383"/>
      <c r="I377" s="383"/>
      <c r="J377" s="383"/>
      <c r="K377" s="383"/>
      <c r="L377" s="383"/>
      <c r="M377" s="383"/>
      <c r="N377" s="383"/>
      <c r="O377" s="383"/>
      <c r="P377" s="383"/>
      <c r="Q377" s="383"/>
      <c r="R377" s="383"/>
      <c r="S377" s="383"/>
      <c r="T377" s="383"/>
      <c r="U377" s="383"/>
      <c r="V377" s="383"/>
      <c r="W377" s="383"/>
      <c r="X377" s="383"/>
      <c r="Y377" s="383"/>
      <c r="Z377" s="383"/>
    </row>
    <row r="378">
      <c r="A378" s="389"/>
      <c r="B378" s="390"/>
      <c r="C378" s="391"/>
      <c r="D378" s="392"/>
      <c r="E378" s="383"/>
      <c r="F378" s="383"/>
      <c r="G378" s="383"/>
      <c r="H378" s="383"/>
      <c r="I378" s="383"/>
      <c r="J378" s="383"/>
      <c r="K378" s="383"/>
      <c r="L378" s="383"/>
      <c r="M378" s="383"/>
      <c r="N378" s="383"/>
      <c r="O378" s="383"/>
      <c r="P378" s="383"/>
      <c r="Q378" s="383"/>
      <c r="R378" s="383"/>
      <c r="S378" s="383"/>
      <c r="T378" s="383"/>
      <c r="U378" s="383"/>
      <c r="V378" s="383"/>
      <c r="W378" s="383"/>
      <c r="X378" s="383"/>
      <c r="Y378" s="383"/>
      <c r="Z378" s="383"/>
    </row>
    <row r="379">
      <c r="A379" s="389"/>
      <c r="B379" s="390"/>
      <c r="C379" s="391"/>
      <c r="D379" s="392"/>
      <c r="E379" s="383"/>
      <c r="F379" s="383"/>
      <c r="G379" s="383"/>
      <c r="H379" s="383"/>
      <c r="I379" s="383"/>
      <c r="J379" s="383"/>
      <c r="K379" s="383"/>
      <c r="L379" s="383"/>
      <c r="M379" s="383"/>
      <c r="N379" s="383"/>
      <c r="O379" s="383"/>
      <c r="P379" s="383"/>
      <c r="Q379" s="383"/>
      <c r="R379" s="383"/>
      <c r="S379" s="383"/>
      <c r="T379" s="383"/>
      <c r="U379" s="383"/>
      <c r="V379" s="383"/>
      <c r="W379" s="383"/>
      <c r="X379" s="383"/>
      <c r="Y379" s="383"/>
      <c r="Z379" s="383"/>
    </row>
    <row r="380">
      <c r="A380" s="389"/>
      <c r="B380" s="390"/>
      <c r="C380" s="391"/>
      <c r="D380" s="392"/>
      <c r="E380" s="383"/>
      <c r="F380" s="383"/>
      <c r="G380" s="383"/>
      <c r="H380" s="383"/>
      <c r="I380" s="383"/>
      <c r="J380" s="383"/>
      <c r="K380" s="383"/>
      <c r="L380" s="383"/>
      <c r="M380" s="383"/>
      <c r="N380" s="383"/>
      <c r="O380" s="383"/>
      <c r="P380" s="383"/>
      <c r="Q380" s="383"/>
      <c r="R380" s="383"/>
      <c r="S380" s="383"/>
      <c r="T380" s="383"/>
      <c r="U380" s="383"/>
      <c r="V380" s="383"/>
      <c r="W380" s="383"/>
      <c r="X380" s="383"/>
      <c r="Y380" s="383"/>
      <c r="Z380" s="383"/>
    </row>
    <row r="381">
      <c r="A381" s="389"/>
      <c r="B381" s="390"/>
      <c r="C381" s="391"/>
      <c r="D381" s="392"/>
      <c r="E381" s="383"/>
      <c r="F381" s="383"/>
      <c r="G381" s="383"/>
      <c r="H381" s="383"/>
      <c r="I381" s="383"/>
      <c r="J381" s="383"/>
      <c r="K381" s="383"/>
      <c r="L381" s="383"/>
      <c r="M381" s="383"/>
      <c r="N381" s="383"/>
      <c r="O381" s="383"/>
      <c r="P381" s="383"/>
      <c r="Q381" s="383"/>
      <c r="R381" s="383"/>
      <c r="S381" s="383"/>
      <c r="T381" s="383"/>
      <c r="U381" s="383"/>
      <c r="V381" s="383"/>
      <c r="W381" s="383"/>
      <c r="X381" s="383"/>
      <c r="Y381" s="383"/>
      <c r="Z381" s="383"/>
    </row>
    <row r="382">
      <c r="A382" s="389"/>
      <c r="B382" s="390"/>
      <c r="C382" s="391"/>
      <c r="D382" s="392"/>
      <c r="E382" s="383"/>
      <c r="F382" s="383"/>
      <c r="G382" s="383"/>
      <c r="H382" s="383"/>
      <c r="I382" s="383"/>
      <c r="J382" s="383"/>
      <c r="K382" s="383"/>
      <c r="L382" s="383"/>
      <c r="M382" s="383"/>
      <c r="N382" s="383"/>
      <c r="O382" s="383"/>
      <c r="P382" s="383"/>
      <c r="Q382" s="383"/>
      <c r="R382" s="383"/>
      <c r="S382" s="383"/>
      <c r="T382" s="383"/>
      <c r="U382" s="383"/>
      <c r="V382" s="383"/>
      <c r="W382" s="383"/>
      <c r="X382" s="383"/>
      <c r="Y382" s="383"/>
      <c r="Z382" s="383"/>
    </row>
    <row r="383">
      <c r="A383" s="389"/>
      <c r="B383" s="390"/>
      <c r="C383" s="391"/>
      <c r="D383" s="392"/>
      <c r="E383" s="383"/>
      <c r="F383" s="383"/>
      <c r="G383" s="383"/>
      <c r="H383" s="383"/>
      <c r="I383" s="383"/>
      <c r="J383" s="383"/>
      <c r="K383" s="383"/>
      <c r="L383" s="383"/>
      <c r="M383" s="383"/>
      <c r="N383" s="383"/>
      <c r="O383" s="383"/>
      <c r="P383" s="383"/>
      <c r="Q383" s="383"/>
      <c r="R383" s="383"/>
      <c r="S383" s="383"/>
      <c r="T383" s="383"/>
      <c r="U383" s="383"/>
      <c r="V383" s="383"/>
      <c r="W383" s="383"/>
      <c r="X383" s="383"/>
      <c r="Y383" s="383"/>
      <c r="Z383" s="383"/>
    </row>
    <row r="384">
      <c r="A384" s="389"/>
      <c r="B384" s="390"/>
      <c r="C384" s="391"/>
      <c r="D384" s="392"/>
      <c r="E384" s="383"/>
      <c r="F384" s="383"/>
      <c r="G384" s="383"/>
      <c r="H384" s="383"/>
      <c r="I384" s="383"/>
      <c r="J384" s="383"/>
      <c r="K384" s="383"/>
      <c r="L384" s="383"/>
      <c r="M384" s="383"/>
      <c r="N384" s="383"/>
      <c r="O384" s="383"/>
      <c r="P384" s="383"/>
      <c r="Q384" s="383"/>
      <c r="R384" s="383"/>
      <c r="S384" s="383"/>
      <c r="T384" s="383"/>
      <c r="U384" s="383"/>
      <c r="V384" s="383"/>
      <c r="W384" s="383"/>
      <c r="X384" s="383"/>
      <c r="Y384" s="383"/>
      <c r="Z384" s="383"/>
    </row>
    <row r="385">
      <c r="A385" s="389"/>
      <c r="B385" s="390"/>
      <c r="C385" s="391"/>
      <c r="D385" s="392"/>
      <c r="E385" s="383"/>
      <c r="F385" s="383"/>
      <c r="G385" s="383"/>
      <c r="H385" s="383"/>
      <c r="I385" s="383"/>
      <c r="J385" s="383"/>
      <c r="K385" s="383"/>
      <c r="L385" s="383"/>
      <c r="M385" s="383"/>
      <c r="N385" s="383"/>
      <c r="O385" s="383"/>
      <c r="P385" s="383"/>
      <c r="Q385" s="383"/>
      <c r="R385" s="383"/>
      <c r="S385" s="383"/>
      <c r="T385" s="383"/>
      <c r="U385" s="383"/>
      <c r="V385" s="383"/>
      <c r="W385" s="383"/>
      <c r="X385" s="383"/>
      <c r="Y385" s="383"/>
      <c r="Z385" s="383"/>
    </row>
    <row r="386">
      <c r="A386" s="389"/>
      <c r="B386" s="390"/>
      <c r="C386" s="391"/>
      <c r="D386" s="392"/>
      <c r="E386" s="383"/>
      <c r="F386" s="383"/>
      <c r="G386" s="383"/>
      <c r="H386" s="383"/>
      <c r="I386" s="383"/>
      <c r="J386" s="383"/>
      <c r="K386" s="383"/>
      <c r="L386" s="383"/>
      <c r="M386" s="383"/>
      <c r="N386" s="383"/>
      <c r="O386" s="383"/>
      <c r="P386" s="383"/>
      <c r="Q386" s="383"/>
      <c r="R386" s="383"/>
      <c r="S386" s="383"/>
      <c r="T386" s="383"/>
      <c r="U386" s="383"/>
      <c r="V386" s="383"/>
      <c r="W386" s="383"/>
      <c r="X386" s="383"/>
      <c r="Y386" s="383"/>
      <c r="Z386" s="383"/>
    </row>
    <row r="387">
      <c r="A387" s="389"/>
      <c r="B387" s="390"/>
      <c r="C387" s="391"/>
      <c r="D387" s="392"/>
      <c r="E387" s="383"/>
      <c r="F387" s="383"/>
      <c r="G387" s="383"/>
      <c r="H387" s="383"/>
      <c r="I387" s="383"/>
      <c r="J387" s="383"/>
      <c r="K387" s="383"/>
      <c r="L387" s="383"/>
      <c r="M387" s="383"/>
      <c r="N387" s="383"/>
      <c r="O387" s="383"/>
      <c r="P387" s="383"/>
      <c r="Q387" s="383"/>
      <c r="R387" s="383"/>
      <c r="S387" s="383"/>
      <c r="T387" s="383"/>
      <c r="U387" s="383"/>
      <c r="V387" s="383"/>
      <c r="W387" s="383"/>
      <c r="X387" s="383"/>
      <c r="Y387" s="383"/>
      <c r="Z387" s="383"/>
    </row>
    <row r="388">
      <c r="A388" s="389"/>
      <c r="B388" s="390"/>
      <c r="C388" s="391"/>
      <c r="D388" s="392"/>
      <c r="E388" s="383"/>
      <c r="F388" s="383"/>
      <c r="G388" s="383"/>
      <c r="H388" s="383"/>
      <c r="I388" s="383"/>
      <c r="J388" s="383"/>
      <c r="K388" s="383"/>
      <c r="L388" s="383"/>
      <c r="M388" s="383"/>
      <c r="N388" s="383"/>
      <c r="O388" s="383"/>
      <c r="P388" s="383"/>
      <c r="Q388" s="383"/>
      <c r="R388" s="383"/>
      <c r="S388" s="383"/>
      <c r="T388" s="383"/>
      <c r="U388" s="383"/>
      <c r="V388" s="383"/>
      <c r="W388" s="383"/>
      <c r="X388" s="383"/>
      <c r="Y388" s="383"/>
      <c r="Z388" s="383"/>
    </row>
    <row r="389">
      <c r="A389" s="389"/>
      <c r="B389" s="390"/>
      <c r="C389" s="391"/>
      <c r="D389" s="392"/>
      <c r="E389" s="383"/>
      <c r="F389" s="383"/>
      <c r="G389" s="383"/>
      <c r="H389" s="383"/>
      <c r="I389" s="383"/>
      <c r="J389" s="383"/>
      <c r="K389" s="383"/>
      <c r="L389" s="383"/>
      <c r="M389" s="383"/>
      <c r="N389" s="383"/>
      <c r="O389" s="383"/>
      <c r="P389" s="383"/>
      <c r="Q389" s="383"/>
      <c r="R389" s="383"/>
      <c r="S389" s="383"/>
      <c r="T389" s="383"/>
      <c r="U389" s="383"/>
      <c r="V389" s="383"/>
      <c r="W389" s="383"/>
      <c r="X389" s="383"/>
      <c r="Y389" s="383"/>
      <c r="Z389" s="383"/>
    </row>
    <row r="390">
      <c r="A390" s="389"/>
      <c r="B390" s="390"/>
      <c r="C390" s="391"/>
      <c r="D390" s="392"/>
      <c r="E390" s="383"/>
      <c r="F390" s="383"/>
      <c r="G390" s="383"/>
      <c r="H390" s="383"/>
      <c r="I390" s="383"/>
      <c r="J390" s="383"/>
      <c r="K390" s="383"/>
      <c r="L390" s="383"/>
      <c r="M390" s="383"/>
      <c r="N390" s="383"/>
      <c r="O390" s="383"/>
      <c r="P390" s="383"/>
      <c r="Q390" s="383"/>
      <c r="R390" s="383"/>
      <c r="S390" s="383"/>
      <c r="T390" s="383"/>
      <c r="U390" s="383"/>
      <c r="V390" s="383"/>
      <c r="W390" s="383"/>
      <c r="X390" s="383"/>
      <c r="Y390" s="383"/>
      <c r="Z390" s="383"/>
    </row>
    <row r="391">
      <c r="A391" s="389"/>
      <c r="B391" s="390"/>
      <c r="C391" s="391"/>
      <c r="D391" s="392"/>
      <c r="E391" s="383"/>
      <c r="F391" s="383"/>
      <c r="G391" s="383"/>
      <c r="H391" s="383"/>
      <c r="I391" s="383"/>
      <c r="J391" s="383"/>
      <c r="K391" s="383"/>
      <c r="L391" s="383"/>
      <c r="M391" s="383"/>
      <c r="N391" s="383"/>
      <c r="O391" s="383"/>
      <c r="P391" s="383"/>
      <c r="Q391" s="383"/>
      <c r="R391" s="383"/>
      <c r="S391" s="383"/>
      <c r="T391" s="383"/>
      <c r="U391" s="383"/>
      <c r="V391" s="383"/>
      <c r="W391" s="383"/>
      <c r="X391" s="383"/>
      <c r="Y391" s="383"/>
      <c r="Z391" s="383"/>
    </row>
    <row r="392">
      <c r="A392" s="389"/>
      <c r="B392" s="390"/>
      <c r="C392" s="391"/>
      <c r="D392" s="392"/>
      <c r="E392" s="383"/>
      <c r="F392" s="383"/>
      <c r="G392" s="383"/>
      <c r="H392" s="383"/>
      <c r="I392" s="383"/>
      <c r="J392" s="383"/>
      <c r="K392" s="383"/>
      <c r="L392" s="383"/>
      <c r="M392" s="383"/>
      <c r="N392" s="383"/>
      <c r="O392" s="383"/>
      <c r="P392" s="383"/>
      <c r="Q392" s="383"/>
      <c r="R392" s="383"/>
      <c r="S392" s="383"/>
      <c r="T392" s="383"/>
      <c r="U392" s="383"/>
      <c r="V392" s="383"/>
      <c r="W392" s="383"/>
      <c r="X392" s="383"/>
      <c r="Y392" s="383"/>
      <c r="Z392" s="383"/>
    </row>
    <row r="393">
      <c r="A393" s="389"/>
      <c r="B393" s="390"/>
      <c r="C393" s="391"/>
      <c r="D393" s="392"/>
      <c r="E393" s="383"/>
      <c r="F393" s="383"/>
      <c r="G393" s="383"/>
      <c r="H393" s="383"/>
      <c r="I393" s="383"/>
      <c r="J393" s="383"/>
      <c r="K393" s="383"/>
      <c r="L393" s="383"/>
      <c r="M393" s="383"/>
      <c r="N393" s="383"/>
      <c r="O393" s="383"/>
      <c r="P393" s="383"/>
      <c r="Q393" s="383"/>
      <c r="R393" s="383"/>
      <c r="S393" s="383"/>
      <c r="T393" s="383"/>
      <c r="U393" s="383"/>
      <c r="V393" s="383"/>
      <c r="W393" s="383"/>
      <c r="X393" s="383"/>
      <c r="Y393" s="383"/>
      <c r="Z393" s="383"/>
    </row>
    <row r="394">
      <c r="A394" s="389"/>
      <c r="B394" s="390"/>
      <c r="C394" s="391"/>
      <c r="D394" s="392"/>
      <c r="E394" s="383"/>
      <c r="F394" s="383"/>
      <c r="G394" s="383"/>
      <c r="H394" s="383"/>
      <c r="I394" s="383"/>
      <c r="J394" s="383"/>
      <c r="K394" s="383"/>
      <c r="L394" s="383"/>
      <c r="M394" s="383"/>
      <c r="N394" s="383"/>
      <c r="O394" s="383"/>
      <c r="P394" s="383"/>
      <c r="Q394" s="383"/>
      <c r="R394" s="383"/>
      <c r="S394" s="383"/>
      <c r="T394" s="383"/>
      <c r="U394" s="383"/>
      <c r="V394" s="383"/>
      <c r="W394" s="383"/>
      <c r="X394" s="383"/>
      <c r="Y394" s="383"/>
      <c r="Z394" s="383"/>
    </row>
    <row r="395">
      <c r="A395" s="389"/>
      <c r="B395" s="390"/>
      <c r="C395" s="391"/>
      <c r="D395" s="392"/>
      <c r="E395" s="383"/>
      <c r="F395" s="383"/>
      <c r="G395" s="383"/>
      <c r="H395" s="383"/>
      <c r="I395" s="383"/>
      <c r="J395" s="383"/>
      <c r="K395" s="383"/>
      <c r="L395" s="383"/>
      <c r="M395" s="383"/>
      <c r="N395" s="383"/>
      <c r="O395" s="383"/>
      <c r="P395" s="383"/>
      <c r="Q395" s="383"/>
      <c r="R395" s="383"/>
      <c r="S395" s="383"/>
      <c r="T395" s="383"/>
      <c r="U395" s="383"/>
      <c r="V395" s="383"/>
      <c r="W395" s="383"/>
      <c r="X395" s="383"/>
      <c r="Y395" s="383"/>
      <c r="Z395" s="383"/>
    </row>
    <row r="396">
      <c r="A396" s="389"/>
      <c r="B396" s="390"/>
      <c r="C396" s="391"/>
      <c r="D396" s="392"/>
      <c r="E396" s="383"/>
      <c r="F396" s="383"/>
      <c r="G396" s="383"/>
      <c r="H396" s="383"/>
      <c r="I396" s="383"/>
      <c r="J396" s="383"/>
      <c r="K396" s="383"/>
      <c r="L396" s="383"/>
      <c r="M396" s="383"/>
      <c r="N396" s="383"/>
      <c r="O396" s="383"/>
      <c r="P396" s="383"/>
      <c r="Q396" s="383"/>
      <c r="R396" s="383"/>
      <c r="S396" s="383"/>
      <c r="T396" s="383"/>
      <c r="U396" s="383"/>
      <c r="V396" s="383"/>
      <c r="W396" s="383"/>
      <c r="X396" s="383"/>
      <c r="Y396" s="383"/>
      <c r="Z396" s="383"/>
    </row>
    <row r="397">
      <c r="A397" s="389"/>
      <c r="B397" s="390"/>
      <c r="C397" s="391"/>
      <c r="D397" s="392"/>
      <c r="E397" s="383"/>
      <c r="F397" s="383"/>
      <c r="G397" s="383"/>
      <c r="H397" s="383"/>
      <c r="I397" s="383"/>
      <c r="J397" s="383"/>
      <c r="K397" s="383"/>
      <c r="L397" s="383"/>
      <c r="M397" s="383"/>
      <c r="N397" s="383"/>
      <c r="O397" s="383"/>
      <c r="P397" s="383"/>
      <c r="Q397" s="383"/>
      <c r="R397" s="383"/>
      <c r="S397" s="383"/>
      <c r="T397" s="383"/>
      <c r="U397" s="383"/>
      <c r="V397" s="383"/>
      <c r="W397" s="383"/>
      <c r="X397" s="383"/>
      <c r="Y397" s="383"/>
      <c r="Z397" s="383"/>
    </row>
    <row r="398">
      <c r="A398" s="389"/>
      <c r="B398" s="390"/>
      <c r="C398" s="391"/>
      <c r="D398" s="392"/>
      <c r="E398" s="383"/>
      <c r="F398" s="383"/>
      <c r="G398" s="383"/>
      <c r="H398" s="383"/>
      <c r="I398" s="383"/>
      <c r="J398" s="383"/>
      <c r="K398" s="383"/>
      <c r="L398" s="383"/>
      <c r="M398" s="383"/>
      <c r="N398" s="383"/>
      <c r="O398" s="383"/>
      <c r="P398" s="383"/>
      <c r="Q398" s="383"/>
      <c r="R398" s="383"/>
      <c r="S398" s="383"/>
      <c r="T398" s="383"/>
      <c r="U398" s="383"/>
      <c r="V398" s="383"/>
      <c r="W398" s="383"/>
      <c r="X398" s="383"/>
      <c r="Y398" s="383"/>
      <c r="Z398" s="383"/>
    </row>
    <row r="399">
      <c r="A399" s="389"/>
      <c r="B399" s="390"/>
      <c r="C399" s="391"/>
      <c r="D399" s="392"/>
      <c r="E399" s="383"/>
      <c r="F399" s="383"/>
      <c r="G399" s="383"/>
      <c r="H399" s="383"/>
      <c r="I399" s="383"/>
      <c r="J399" s="383"/>
      <c r="K399" s="383"/>
      <c r="L399" s="383"/>
      <c r="M399" s="383"/>
      <c r="N399" s="383"/>
      <c r="O399" s="383"/>
      <c r="P399" s="383"/>
      <c r="Q399" s="383"/>
      <c r="R399" s="383"/>
      <c r="S399" s="383"/>
      <c r="T399" s="383"/>
      <c r="U399" s="383"/>
      <c r="V399" s="383"/>
      <c r="W399" s="383"/>
      <c r="X399" s="383"/>
      <c r="Y399" s="383"/>
      <c r="Z399" s="383"/>
    </row>
    <row r="400">
      <c r="A400" s="389"/>
      <c r="B400" s="390"/>
      <c r="C400" s="391"/>
      <c r="D400" s="392"/>
      <c r="E400" s="383"/>
      <c r="F400" s="383"/>
      <c r="G400" s="383"/>
      <c r="H400" s="383"/>
      <c r="I400" s="383"/>
      <c r="J400" s="383"/>
      <c r="K400" s="383"/>
      <c r="L400" s="383"/>
      <c r="M400" s="383"/>
      <c r="N400" s="383"/>
      <c r="O400" s="383"/>
      <c r="P400" s="383"/>
      <c r="Q400" s="383"/>
      <c r="R400" s="383"/>
      <c r="S400" s="383"/>
      <c r="T400" s="383"/>
      <c r="U400" s="383"/>
      <c r="V400" s="383"/>
      <c r="W400" s="383"/>
      <c r="X400" s="383"/>
      <c r="Y400" s="383"/>
      <c r="Z400" s="383"/>
    </row>
    <row r="401">
      <c r="A401" s="389"/>
      <c r="B401" s="390"/>
      <c r="C401" s="391"/>
      <c r="D401" s="392"/>
      <c r="E401" s="383"/>
      <c r="F401" s="383"/>
      <c r="G401" s="383"/>
      <c r="H401" s="383"/>
      <c r="I401" s="383"/>
      <c r="J401" s="383"/>
      <c r="K401" s="383"/>
      <c r="L401" s="383"/>
      <c r="M401" s="383"/>
      <c r="N401" s="383"/>
      <c r="O401" s="383"/>
      <c r="P401" s="383"/>
      <c r="Q401" s="383"/>
      <c r="R401" s="383"/>
      <c r="S401" s="383"/>
      <c r="T401" s="383"/>
      <c r="U401" s="383"/>
      <c r="V401" s="383"/>
      <c r="W401" s="383"/>
      <c r="X401" s="383"/>
      <c r="Y401" s="383"/>
      <c r="Z401" s="383"/>
    </row>
    <row r="402">
      <c r="A402" s="389"/>
      <c r="B402" s="390"/>
      <c r="C402" s="391"/>
      <c r="D402" s="392"/>
      <c r="E402" s="383"/>
      <c r="F402" s="383"/>
      <c r="G402" s="383"/>
      <c r="H402" s="383"/>
      <c r="I402" s="383"/>
      <c r="J402" s="383"/>
      <c r="K402" s="383"/>
      <c r="L402" s="383"/>
      <c r="M402" s="383"/>
      <c r="N402" s="383"/>
      <c r="O402" s="383"/>
      <c r="P402" s="383"/>
      <c r="Q402" s="383"/>
      <c r="R402" s="383"/>
      <c r="S402" s="383"/>
      <c r="T402" s="383"/>
      <c r="U402" s="383"/>
      <c r="V402" s="383"/>
      <c r="W402" s="383"/>
      <c r="X402" s="383"/>
      <c r="Y402" s="383"/>
      <c r="Z402" s="383"/>
    </row>
    <row r="403">
      <c r="A403" s="389"/>
      <c r="B403" s="390"/>
      <c r="C403" s="391"/>
      <c r="D403" s="392"/>
      <c r="E403" s="383"/>
      <c r="F403" s="383"/>
      <c r="G403" s="383"/>
      <c r="H403" s="383"/>
      <c r="I403" s="383"/>
      <c r="J403" s="383"/>
      <c r="K403" s="383"/>
      <c r="L403" s="383"/>
      <c r="M403" s="383"/>
      <c r="N403" s="383"/>
      <c r="O403" s="383"/>
      <c r="P403" s="383"/>
      <c r="Q403" s="383"/>
      <c r="R403" s="383"/>
      <c r="S403" s="383"/>
      <c r="T403" s="383"/>
      <c r="U403" s="383"/>
      <c r="V403" s="383"/>
      <c r="W403" s="383"/>
      <c r="X403" s="383"/>
      <c r="Y403" s="383"/>
      <c r="Z403" s="383"/>
    </row>
    <row r="404">
      <c r="A404" s="389"/>
      <c r="B404" s="390"/>
      <c r="C404" s="391"/>
      <c r="D404" s="392"/>
      <c r="E404" s="383"/>
      <c r="F404" s="383"/>
      <c r="G404" s="383"/>
      <c r="H404" s="383"/>
      <c r="I404" s="383"/>
      <c r="J404" s="383"/>
      <c r="K404" s="383"/>
      <c r="L404" s="383"/>
      <c r="M404" s="383"/>
      <c r="N404" s="383"/>
      <c r="O404" s="383"/>
      <c r="P404" s="383"/>
      <c r="Q404" s="383"/>
      <c r="R404" s="383"/>
      <c r="S404" s="383"/>
      <c r="T404" s="383"/>
      <c r="U404" s="383"/>
      <c r="V404" s="383"/>
      <c r="W404" s="383"/>
      <c r="X404" s="383"/>
      <c r="Y404" s="383"/>
      <c r="Z404" s="383"/>
    </row>
    <row r="405">
      <c r="A405" s="389"/>
      <c r="B405" s="390"/>
      <c r="C405" s="391"/>
      <c r="D405" s="392"/>
      <c r="E405" s="383"/>
      <c r="F405" s="383"/>
      <c r="G405" s="383"/>
      <c r="H405" s="383"/>
      <c r="I405" s="383"/>
      <c r="J405" s="383"/>
      <c r="K405" s="383"/>
      <c r="L405" s="383"/>
      <c r="M405" s="383"/>
      <c r="N405" s="383"/>
      <c r="O405" s="383"/>
      <c r="P405" s="383"/>
      <c r="Q405" s="383"/>
      <c r="R405" s="383"/>
      <c r="S405" s="383"/>
      <c r="T405" s="383"/>
      <c r="U405" s="383"/>
      <c r="V405" s="383"/>
      <c r="W405" s="383"/>
      <c r="X405" s="383"/>
      <c r="Y405" s="383"/>
      <c r="Z405" s="383"/>
    </row>
    <row r="406">
      <c r="A406" s="389"/>
      <c r="B406" s="390"/>
      <c r="C406" s="391"/>
      <c r="D406" s="392"/>
      <c r="E406" s="383"/>
      <c r="F406" s="383"/>
      <c r="G406" s="383"/>
      <c r="H406" s="383"/>
      <c r="I406" s="383"/>
      <c r="J406" s="383"/>
      <c r="K406" s="383"/>
      <c r="L406" s="383"/>
      <c r="M406" s="383"/>
      <c r="N406" s="383"/>
      <c r="O406" s="383"/>
      <c r="P406" s="383"/>
      <c r="Q406" s="383"/>
      <c r="R406" s="383"/>
      <c r="S406" s="383"/>
      <c r="T406" s="383"/>
      <c r="U406" s="383"/>
      <c r="V406" s="383"/>
      <c r="W406" s="383"/>
      <c r="X406" s="383"/>
      <c r="Y406" s="383"/>
      <c r="Z406" s="383"/>
    </row>
    <row r="407">
      <c r="A407" s="389"/>
      <c r="B407" s="390"/>
      <c r="C407" s="391"/>
      <c r="D407" s="392"/>
      <c r="E407" s="383"/>
      <c r="F407" s="383"/>
      <c r="G407" s="383"/>
      <c r="H407" s="383"/>
      <c r="I407" s="383"/>
      <c r="J407" s="383"/>
      <c r="K407" s="383"/>
      <c r="L407" s="383"/>
      <c r="M407" s="383"/>
      <c r="N407" s="383"/>
      <c r="O407" s="383"/>
      <c r="P407" s="383"/>
      <c r="Q407" s="383"/>
      <c r="R407" s="383"/>
      <c r="S407" s="383"/>
      <c r="T407" s="383"/>
      <c r="U407" s="383"/>
      <c r="V407" s="383"/>
      <c r="W407" s="383"/>
      <c r="X407" s="383"/>
      <c r="Y407" s="383"/>
      <c r="Z407" s="383"/>
    </row>
    <row r="408">
      <c r="A408" s="389"/>
      <c r="B408" s="390"/>
      <c r="C408" s="391"/>
      <c r="D408" s="392"/>
      <c r="E408" s="383"/>
      <c r="F408" s="383"/>
      <c r="G408" s="383"/>
      <c r="H408" s="383"/>
      <c r="I408" s="383"/>
      <c r="J408" s="383"/>
      <c r="K408" s="383"/>
      <c r="L408" s="383"/>
      <c r="M408" s="383"/>
      <c r="N408" s="383"/>
      <c r="O408" s="383"/>
      <c r="P408" s="383"/>
      <c r="Q408" s="383"/>
      <c r="R408" s="383"/>
      <c r="S408" s="383"/>
      <c r="T408" s="383"/>
      <c r="U408" s="383"/>
      <c r="V408" s="383"/>
      <c r="W408" s="383"/>
      <c r="X408" s="383"/>
      <c r="Y408" s="383"/>
      <c r="Z408" s="383"/>
    </row>
    <row r="409">
      <c r="A409" s="389"/>
      <c r="B409" s="390"/>
      <c r="C409" s="391"/>
      <c r="D409" s="392"/>
      <c r="E409" s="383"/>
      <c r="F409" s="383"/>
      <c r="G409" s="383"/>
      <c r="H409" s="383"/>
      <c r="I409" s="383"/>
      <c r="J409" s="383"/>
      <c r="K409" s="383"/>
      <c r="L409" s="383"/>
      <c r="M409" s="383"/>
      <c r="N409" s="383"/>
      <c r="O409" s="383"/>
      <c r="P409" s="383"/>
      <c r="Q409" s="383"/>
      <c r="R409" s="383"/>
      <c r="S409" s="383"/>
      <c r="T409" s="383"/>
      <c r="U409" s="383"/>
      <c r="V409" s="383"/>
      <c r="W409" s="383"/>
      <c r="X409" s="383"/>
      <c r="Y409" s="383"/>
      <c r="Z409" s="383"/>
    </row>
    <row r="410">
      <c r="A410" s="389"/>
      <c r="B410" s="390"/>
      <c r="C410" s="391"/>
      <c r="D410" s="392"/>
      <c r="E410" s="383"/>
      <c r="F410" s="383"/>
      <c r="G410" s="383"/>
      <c r="H410" s="383"/>
      <c r="I410" s="383"/>
      <c r="J410" s="383"/>
      <c r="K410" s="383"/>
      <c r="L410" s="383"/>
      <c r="M410" s="383"/>
      <c r="N410" s="383"/>
      <c r="O410" s="383"/>
      <c r="P410" s="383"/>
      <c r="Q410" s="383"/>
      <c r="R410" s="383"/>
      <c r="S410" s="383"/>
      <c r="T410" s="383"/>
      <c r="U410" s="383"/>
      <c r="V410" s="383"/>
      <c r="W410" s="383"/>
      <c r="X410" s="383"/>
      <c r="Y410" s="383"/>
      <c r="Z410" s="383"/>
    </row>
    <row r="411">
      <c r="A411" s="389"/>
      <c r="B411" s="390"/>
      <c r="C411" s="391"/>
      <c r="D411" s="392"/>
      <c r="E411" s="383"/>
      <c r="F411" s="383"/>
      <c r="G411" s="383"/>
      <c r="H411" s="383"/>
      <c r="I411" s="383"/>
      <c r="J411" s="383"/>
      <c r="K411" s="383"/>
      <c r="L411" s="383"/>
      <c r="M411" s="383"/>
      <c r="N411" s="383"/>
      <c r="O411" s="383"/>
      <c r="P411" s="383"/>
      <c r="Q411" s="383"/>
      <c r="R411" s="383"/>
      <c r="S411" s="383"/>
      <c r="T411" s="383"/>
      <c r="U411" s="383"/>
      <c r="V411" s="383"/>
      <c r="W411" s="383"/>
      <c r="X411" s="383"/>
      <c r="Y411" s="383"/>
      <c r="Z411" s="383"/>
    </row>
    <row r="412">
      <c r="A412" s="389"/>
      <c r="B412" s="390"/>
      <c r="C412" s="391"/>
      <c r="D412" s="392"/>
      <c r="E412" s="383"/>
      <c r="F412" s="383"/>
      <c r="G412" s="383"/>
      <c r="H412" s="383"/>
      <c r="I412" s="383"/>
      <c r="J412" s="383"/>
      <c r="K412" s="383"/>
      <c r="L412" s="383"/>
      <c r="M412" s="383"/>
      <c r="N412" s="383"/>
      <c r="O412" s="383"/>
      <c r="P412" s="383"/>
      <c r="Q412" s="383"/>
      <c r="R412" s="383"/>
      <c r="S412" s="383"/>
      <c r="T412" s="383"/>
      <c r="U412" s="383"/>
      <c r="V412" s="383"/>
      <c r="W412" s="383"/>
      <c r="X412" s="383"/>
      <c r="Y412" s="383"/>
      <c r="Z412" s="383"/>
    </row>
    <row r="413">
      <c r="A413" s="389"/>
      <c r="B413" s="390"/>
      <c r="C413" s="391"/>
      <c r="D413" s="392"/>
      <c r="E413" s="383"/>
      <c r="F413" s="383"/>
      <c r="G413" s="383"/>
      <c r="H413" s="383"/>
      <c r="I413" s="383"/>
      <c r="J413" s="383"/>
      <c r="K413" s="383"/>
      <c r="L413" s="383"/>
      <c r="M413" s="383"/>
      <c r="N413" s="383"/>
      <c r="O413" s="383"/>
      <c r="P413" s="383"/>
      <c r="Q413" s="383"/>
      <c r="R413" s="383"/>
      <c r="S413" s="383"/>
      <c r="T413" s="383"/>
      <c r="U413" s="383"/>
      <c r="V413" s="383"/>
      <c r="W413" s="383"/>
      <c r="X413" s="383"/>
      <c r="Y413" s="383"/>
      <c r="Z413" s="383"/>
    </row>
    <row r="414">
      <c r="A414" s="389"/>
      <c r="B414" s="390"/>
      <c r="C414" s="391"/>
      <c r="D414" s="392"/>
      <c r="E414" s="383"/>
      <c r="F414" s="383"/>
      <c r="G414" s="383"/>
      <c r="H414" s="383"/>
      <c r="I414" s="383"/>
      <c r="J414" s="383"/>
      <c r="K414" s="383"/>
      <c r="L414" s="383"/>
      <c r="M414" s="383"/>
      <c r="N414" s="383"/>
      <c r="O414" s="383"/>
      <c r="P414" s="383"/>
      <c r="Q414" s="383"/>
      <c r="R414" s="383"/>
      <c r="S414" s="383"/>
      <c r="T414" s="383"/>
      <c r="U414" s="383"/>
      <c r="V414" s="383"/>
      <c r="W414" s="383"/>
      <c r="X414" s="383"/>
      <c r="Y414" s="383"/>
      <c r="Z414" s="383"/>
    </row>
    <row r="415">
      <c r="A415" s="389"/>
      <c r="B415" s="390"/>
      <c r="C415" s="391"/>
      <c r="D415" s="392"/>
      <c r="E415" s="383"/>
      <c r="F415" s="383"/>
      <c r="G415" s="383"/>
      <c r="H415" s="383"/>
      <c r="I415" s="383"/>
      <c r="J415" s="383"/>
      <c r="K415" s="383"/>
      <c r="L415" s="383"/>
      <c r="M415" s="383"/>
      <c r="N415" s="383"/>
      <c r="O415" s="383"/>
      <c r="P415" s="383"/>
      <c r="Q415" s="383"/>
      <c r="R415" s="383"/>
      <c r="S415" s="383"/>
      <c r="T415" s="383"/>
      <c r="U415" s="383"/>
      <c r="V415" s="383"/>
      <c r="W415" s="383"/>
      <c r="X415" s="383"/>
      <c r="Y415" s="383"/>
      <c r="Z415" s="383"/>
    </row>
    <row r="416">
      <c r="A416" s="389"/>
      <c r="B416" s="390"/>
      <c r="C416" s="391"/>
      <c r="D416" s="392"/>
      <c r="E416" s="383"/>
      <c r="F416" s="383"/>
      <c r="G416" s="383"/>
      <c r="H416" s="383"/>
      <c r="I416" s="383"/>
      <c r="J416" s="383"/>
      <c r="K416" s="383"/>
      <c r="L416" s="383"/>
      <c r="M416" s="383"/>
      <c r="N416" s="383"/>
      <c r="O416" s="383"/>
      <c r="P416" s="383"/>
      <c r="Q416" s="383"/>
      <c r="R416" s="383"/>
      <c r="S416" s="383"/>
      <c r="T416" s="383"/>
      <c r="U416" s="383"/>
      <c r="V416" s="383"/>
      <c r="W416" s="383"/>
      <c r="X416" s="383"/>
      <c r="Y416" s="383"/>
      <c r="Z416" s="383"/>
    </row>
    <row r="417">
      <c r="A417" s="389"/>
      <c r="B417" s="390"/>
      <c r="C417" s="391"/>
      <c r="D417" s="392"/>
      <c r="E417" s="383"/>
      <c r="F417" s="383"/>
      <c r="G417" s="383"/>
      <c r="H417" s="383"/>
      <c r="I417" s="383"/>
      <c r="J417" s="383"/>
      <c r="K417" s="383"/>
      <c r="L417" s="383"/>
      <c r="M417" s="383"/>
      <c r="N417" s="383"/>
      <c r="O417" s="383"/>
      <c r="P417" s="383"/>
      <c r="Q417" s="383"/>
      <c r="R417" s="383"/>
      <c r="S417" s="383"/>
      <c r="T417" s="383"/>
      <c r="U417" s="383"/>
      <c r="V417" s="383"/>
      <c r="W417" s="383"/>
      <c r="X417" s="383"/>
      <c r="Y417" s="383"/>
      <c r="Z417" s="383"/>
    </row>
    <row r="418">
      <c r="A418" s="389"/>
      <c r="B418" s="390"/>
      <c r="C418" s="391"/>
      <c r="D418" s="392"/>
      <c r="E418" s="383"/>
      <c r="F418" s="383"/>
      <c r="G418" s="383"/>
      <c r="H418" s="383"/>
      <c r="I418" s="383"/>
      <c r="J418" s="383"/>
      <c r="K418" s="383"/>
      <c r="L418" s="383"/>
      <c r="M418" s="383"/>
      <c r="N418" s="383"/>
      <c r="O418" s="383"/>
      <c r="P418" s="383"/>
      <c r="Q418" s="383"/>
      <c r="R418" s="383"/>
      <c r="S418" s="383"/>
      <c r="T418" s="383"/>
      <c r="U418" s="383"/>
      <c r="V418" s="383"/>
      <c r="W418" s="383"/>
      <c r="X418" s="383"/>
      <c r="Y418" s="383"/>
      <c r="Z418" s="383"/>
    </row>
    <row r="419">
      <c r="A419" s="389"/>
      <c r="B419" s="390"/>
      <c r="C419" s="391"/>
      <c r="D419" s="392"/>
      <c r="E419" s="383"/>
      <c r="F419" s="383"/>
      <c r="G419" s="383"/>
      <c r="H419" s="383"/>
      <c r="I419" s="383"/>
      <c r="J419" s="383"/>
      <c r="K419" s="383"/>
      <c r="L419" s="383"/>
      <c r="M419" s="383"/>
      <c r="N419" s="383"/>
      <c r="O419" s="383"/>
      <c r="P419" s="383"/>
      <c r="Q419" s="383"/>
      <c r="R419" s="383"/>
      <c r="S419" s="383"/>
      <c r="T419" s="383"/>
      <c r="U419" s="383"/>
      <c r="V419" s="383"/>
      <c r="W419" s="383"/>
      <c r="X419" s="383"/>
      <c r="Y419" s="383"/>
      <c r="Z419" s="383"/>
    </row>
    <row r="420">
      <c r="A420" s="389"/>
      <c r="B420" s="390"/>
      <c r="C420" s="391"/>
      <c r="D420" s="392"/>
      <c r="E420" s="383"/>
      <c r="F420" s="383"/>
      <c r="G420" s="383"/>
      <c r="H420" s="383"/>
      <c r="I420" s="383"/>
      <c r="J420" s="383"/>
      <c r="K420" s="383"/>
      <c r="L420" s="383"/>
      <c r="M420" s="383"/>
      <c r="N420" s="383"/>
      <c r="O420" s="383"/>
      <c r="P420" s="383"/>
      <c r="Q420" s="383"/>
      <c r="R420" s="383"/>
      <c r="S420" s="383"/>
      <c r="T420" s="383"/>
      <c r="U420" s="383"/>
      <c r="V420" s="383"/>
      <c r="W420" s="383"/>
      <c r="X420" s="383"/>
      <c r="Y420" s="383"/>
      <c r="Z420" s="383"/>
    </row>
    <row r="421">
      <c r="A421" s="389"/>
      <c r="B421" s="390"/>
      <c r="C421" s="391"/>
      <c r="D421" s="392"/>
      <c r="E421" s="383"/>
      <c r="F421" s="383"/>
      <c r="G421" s="383"/>
      <c r="H421" s="383"/>
      <c r="I421" s="383"/>
      <c r="J421" s="383"/>
      <c r="K421" s="383"/>
      <c r="L421" s="383"/>
      <c r="M421" s="383"/>
      <c r="N421" s="383"/>
      <c r="O421" s="383"/>
      <c r="P421" s="383"/>
      <c r="Q421" s="383"/>
      <c r="R421" s="383"/>
      <c r="S421" s="383"/>
      <c r="T421" s="383"/>
      <c r="U421" s="383"/>
      <c r="V421" s="383"/>
      <c r="W421" s="383"/>
      <c r="X421" s="383"/>
      <c r="Y421" s="383"/>
      <c r="Z421" s="383"/>
    </row>
    <row r="422">
      <c r="A422" s="389"/>
      <c r="B422" s="390"/>
      <c r="C422" s="391"/>
      <c r="D422" s="392"/>
      <c r="E422" s="383"/>
      <c r="F422" s="383"/>
      <c r="G422" s="383"/>
      <c r="H422" s="383"/>
      <c r="I422" s="383"/>
      <c r="J422" s="383"/>
      <c r="K422" s="383"/>
      <c r="L422" s="383"/>
      <c r="M422" s="383"/>
      <c r="N422" s="383"/>
      <c r="O422" s="383"/>
      <c r="P422" s="383"/>
      <c r="Q422" s="383"/>
      <c r="R422" s="383"/>
      <c r="S422" s="383"/>
      <c r="T422" s="383"/>
      <c r="U422" s="383"/>
      <c r="V422" s="383"/>
      <c r="W422" s="383"/>
      <c r="X422" s="383"/>
      <c r="Y422" s="383"/>
      <c r="Z422" s="383"/>
    </row>
    <row r="423">
      <c r="A423" s="389"/>
      <c r="B423" s="390"/>
      <c r="C423" s="391"/>
      <c r="D423" s="392"/>
      <c r="E423" s="383"/>
      <c r="F423" s="383"/>
      <c r="G423" s="383"/>
      <c r="H423" s="383"/>
      <c r="I423" s="383"/>
      <c r="J423" s="383"/>
      <c r="K423" s="383"/>
      <c r="L423" s="383"/>
      <c r="M423" s="383"/>
      <c r="N423" s="383"/>
      <c r="O423" s="383"/>
      <c r="P423" s="383"/>
      <c r="Q423" s="383"/>
      <c r="R423" s="383"/>
      <c r="S423" s="383"/>
      <c r="T423" s="383"/>
      <c r="U423" s="383"/>
      <c r="V423" s="383"/>
      <c r="W423" s="383"/>
      <c r="X423" s="383"/>
      <c r="Y423" s="383"/>
      <c r="Z423" s="383"/>
    </row>
    <row r="424">
      <c r="A424" s="389"/>
      <c r="B424" s="390"/>
      <c r="C424" s="391"/>
      <c r="D424" s="392"/>
      <c r="E424" s="383"/>
      <c r="F424" s="383"/>
      <c r="G424" s="383"/>
      <c r="H424" s="383"/>
      <c r="I424" s="383"/>
      <c r="J424" s="383"/>
      <c r="K424" s="383"/>
      <c r="L424" s="383"/>
      <c r="M424" s="383"/>
      <c r="N424" s="383"/>
      <c r="O424" s="383"/>
      <c r="P424" s="383"/>
      <c r="Q424" s="383"/>
      <c r="R424" s="383"/>
      <c r="S424" s="383"/>
      <c r="T424" s="383"/>
      <c r="U424" s="383"/>
      <c r="V424" s="383"/>
      <c r="W424" s="383"/>
      <c r="X424" s="383"/>
      <c r="Y424" s="383"/>
      <c r="Z424" s="383"/>
    </row>
    <row r="425">
      <c r="A425" s="389"/>
      <c r="B425" s="390"/>
      <c r="C425" s="391"/>
      <c r="D425" s="392"/>
      <c r="E425" s="383"/>
      <c r="F425" s="383"/>
      <c r="G425" s="383"/>
      <c r="H425" s="383"/>
      <c r="I425" s="383"/>
      <c r="J425" s="383"/>
      <c r="K425" s="383"/>
      <c r="L425" s="383"/>
      <c r="M425" s="383"/>
      <c r="N425" s="383"/>
      <c r="O425" s="383"/>
      <c r="P425" s="383"/>
      <c r="Q425" s="383"/>
      <c r="R425" s="383"/>
      <c r="S425" s="383"/>
      <c r="T425" s="383"/>
      <c r="U425" s="383"/>
      <c r="V425" s="383"/>
      <c r="W425" s="383"/>
      <c r="X425" s="383"/>
      <c r="Y425" s="383"/>
      <c r="Z425" s="383"/>
    </row>
    <row r="426">
      <c r="A426" s="389"/>
      <c r="B426" s="390"/>
      <c r="C426" s="391"/>
      <c r="D426" s="392"/>
      <c r="E426" s="383"/>
      <c r="F426" s="383"/>
      <c r="G426" s="383"/>
      <c r="H426" s="383"/>
      <c r="I426" s="383"/>
      <c r="J426" s="383"/>
      <c r="K426" s="383"/>
      <c r="L426" s="383"/>
      <c r="M426" s="383"/>
      <c r="N426" s="383"/>
      <c r="O426" s="383"/>
      <c r="P426" s="383"/>
      <c r="Q426" s="383"/>
      <c r="R426" s="383"/>
      <c r="S426" s="383"/>
      <c r="T426" s="383"/>
      <c r="U426" s="383"/>
      <c r="V426" s="383"/>
      <c r="W426" s="383"/>
      <c r="X426" s="383"/>
      <c r="Y426" s="383"/>
      <c r="Z426" s="383"/>
    </row>
    <row r="427">
      <c r="A427" s="389"/>
      <c r="B427" s="390"/>
      <c r="C427" s="391"/>
      <c r="D427" s="392"/>
      <c r="E427" s="383"/>
      <c r="F427" s="383"/>
      <c r="G427" s="383"/>
      <c r="H427" s="383"/>
      <c r="I427" s="383"/>
      <c r="J427" s="383"/>
      <c r="K427" s="383"/>
      <c r="L427" s="383"/>
      <c r="M427" s="383"/>
      <c r="N427" s="383"/>
      <c r="O427" s="383"/>
      <c r="P427" s="383"/>
      <c r="Q427" s="383"/>
      <c r="R427" s="383"/>
      <c r="S427" s="383"/>
      <c r="T427" s="383"/>
      <c r="U427" s="383"/>
      <c r="V427" s="383"/>
      <c r="W427" s="383"/>
      <c r="X427" s="383"/>
      <c r="Y427" s="383"/>
      <c r="Z427" s="383"/>
    </row>
    <row r="428">
      <c r="A428" s="389"/>
      <c r="B428" s="390"/>
      <c r="C428" s="391"/>
      <c r="D428" s="392"/>
      <c r="E428" s="383"/>
      <c r="F428" s="383"/>
      <c r="G428" s="383"/>
      <c r="H428" s="383"/>
      <c r="I428" s="383"/>
      <c r="J428" s="383"/>
      <c r="K428" s="383"/>
      <c r="L428" s="383"/>
      <c r="M428" s="383"/>
      <c r="N428" s="383"/>
      <c r="O428" s="383"/>
      <c r="P428" s="383"/>
      <c r="Q428" s="383"/>
      <c r="R428" s="383"/>
      <c r="S428" s="383"/>
      <c r="T428" s="383"/>
      <c r="U428" s="383"/>
      <c r="V428" s="383"/>
      <c r="W428" s="383"/>
      <c r="X428" s="383"/>
      <c r="Y428" s="383"/>
      <c r="Z428" s="383"/>
    </row>
    <row r="429">
      <c r="A429" s="389"/>
      <c r="B429" s="390"/>
      <c r="C429" s="391"/>
      <c r="D429" s="392"/>
      <c r="E429" s="383"/>
      <c r="F429" s="383"/>
      <c r="G429" s="383"/>
      <c r="H429" s="383"/>
      <c r="I429" s="383"/>
      <c r="J429" s="383"/>
      <c r="K429" s="383"/>
      <c r="L429" s="383"/>
      <c r="M429" s="383"/>
      <c r="N429" s="383"/>
      <c r="O429" s="383"/>
      <c r="P429" s="383"/>
      <c r="Q429" s="383"/>
      <c r="R429" s="383"/>
      <c r="S429" s="383"/>
      <c r="T429" s="383"/>
      <c r="U429" s="383"/>
      <c r="V429" s="383"/>
      <c r="W429" s="383"/>
      <c r="X429" s="383"/>
      <c r="Y429" s="383"/>
      <c r="Z429" s="383"/>
    </row>
    <row r="430">
      <c r="A430" s="389"/>
      <c r="B430" s="390"/>
      <c r="C430" s="391"/>
      <c r="D430" s="392"/>
      <c r="E430" s="383"/>
      <c r="F430" s="383"/>
      <c r="G430" s="383"/>
      <c r="H430" s="383"/>
      <c r="I430" s="383"/>
      <c r="J430" s="383"/>
      <c r="K430" s="383"/>
      <c r="L430" s="383"/>
      <c r="M430" s="383"/>
      <c r="N430" s="383"/>
      <c r="O430" s="383"/>
      <c r="P430" s="383"/>
      <c r="Q430" s="383"/>
      <c r="R430" s="383"/>
      <c r="S430" s="383"/>
      <c r="T430" s="383"/>
      <c r="U430" s="383"/>
      <c r="V430" s="383"/>
      <c r="W430" s="383"/>
      <c r="X430" s="383"/>
      <c r="Y430" s="383"/>
      <c r="Z430" s="383"/>
    </row>
    <row r="431">
      <c r="A431" s="389"/>
      <c r="B431" s="390"/>
      <c r="C431" s="391"/>
      <c r="D431" s="392"/>
      <c r="E431" s="383"/>
      <c r="F431" s="383"/>
      <c r="G431" s="383"/>
      <c r="H431" s="383"/>
      <c r="I431" s="383"/>
      <c r="J431" s="383"/>
      <c r="K431" s="383"/>
      <c r="L431" s="383"/>
      <c r="M431" s="383"/>
      <c r="N431" s="383"/>
      <c r="O431" s="383"/>
      <c r="P431" s="383"/>
      <c r="Q431" s="383"/>
      <c r="R431" s="383"/>
      <c r="S431" s="383"/>
      <c r="T431" s="383"/>
      <c r="U431" s="383"/>
      <c r="V431" s="383"/>
      <c r="W431" s="383"/>
      <c r="X431" s="383"/>
      <c r="Y431" s="383"/>
      <c r="Z431" s="383"/>
    </row>
    <row r="432">
      <c r="A432" s="389"/>
      <c r="B432" s="390"/>
      <c r="C432" s="391"/>
      <c r="D432" s="392"/>
      <c r="E432" s="383"/>
      <c r="F432" s="383"/>
      <c r="G432" s="383"/>
      <c r="H432" s="383"/>
      <c r="I432" s="383"/>
      <c r="J432" s="383"/>
      <c r="K432" s="383"/>
      <c r="L432" s="383"/>
      <c r="M432" s="383"/>
      <c r="N432" s="383"/>
      <c r="O432" s="383"/>
      <c r="P432" s="383"/>
      <c r="Q432" s="383"/>
      <c r="R432" s="383"/>
      <c r="S432" s="383"/>
      <c r="T432" s="383"/>
      <c r="U432" s="383"/>
      <c r="V432" s="383"/>
      <c r="W432" s="383"/>
      <c r="X432" s="383"/>
      <c r="Y432" s="383"/>
      <c r="Z432" s="383"/>
    </row>
    <row r="433">
      <c r="A433" s="389"/>
      <c r="B433" s="390"/>
      <c r="C433" s="391"/>
      <c r="D433" s="392"/>
      <c r="E433" s="383"/>
      <c r="F433" s="383"/>
      <c r="G433" s="383"/>
      <c r="H433" s="383"/>
      <c r="I433" s="383"/>
      <c r="J433" s="383"/>
      <c r="K433" s="383"/>
      <c r="L433" s="383"/>
      <c r="M433" s="383"/>
      <c r="N433" s="383"/>
      <c r="O433" s="383"/>
      <c r="P433" s="383"/>
      <c r="Q433" s="383"/>
      <c r="R433" s="383"/>
      <c r="S433" s="383"/>
      <c r="T433" s="383"/>
      <c r="U433" s="383"/>
      <c r="V433" s="383"/>
      <c r="W433" s="383"/>
      <c r="X433" s="383"/>
      <c r="Y433" s="383"/>
      <c r="Z433" s="383"/>
    </row>
    <row r="434">
      <c r="A434" s="389"/>
      <c r="B434" s="390"/>
      <c r="C434" s="391"/>
      <c r="D434" s="392"/>
      <c r="E434" s="383"/>
      <c r="F434" s="383"/>
      <c r="G434" s="383"/>
      <c r="H434" s="383"/>
      <c r="I434" s="383"/>
      <c r="J434" s="383"/>
      <c r="K434" s="383"/>
      <c r="L434" s="383"/>
      <c r="M434" s="383"/>
      <c r="N434" s="383"/>
      <c r="O434" s="383"/>
      <c r="P434" s="383"/>
      <c r="Q434" s="383"/>
      <c r="R434" s="383"/>
      <c r="S434" s="383"/>
      <c r="T434" s="383"/>
      <c r="U434" s="383"/>
      <c r="V434" s="383"/>
      <c r="W434" s="383"/>
      <c r="X434" s="383"/>
      <c r="Y434" s="383"/>
      <c r="Z434" s="383"/>
    </row>
    <row r="435">
      <c r="A435" s="389"/>
      <c r="B435" s="390"/>
      <c r="C435" s="391"/>
      <c r="D435" s="392"/>
      <c r="E435" s="383"/>
      <c r="F435" s="383"/>
      <c r="G435" s="383"/>
      <c r="H435" s="383"/>
      <c r="I435" s="383"/>
      <c r="J435" s="383"/>
      <c r="K435" s="383"/>
      <c r="L435" s="383"/>
      <c r="M435" s="383"/>
      <c r="N435" s="383"/>
      <c r="O435" s="383"/>
      <c r="P435" s="383"/>
      <c r="Q435" s="383"/>
      <c r="R435" s="383"/>
      <c r="S435" s="383"/>
      <c r="T435" s="383"/>
      <c r="U435" s="383"/>
      <c r="V435" s="383"/>
      <c r="W435" s="383"/>
      <c r="X435" s="383"/>
      <c r="Y435" s="383"/>
      <c r="Z435" s="383"/>
    </row>
    <row r="436">
      <c r="A436" s="389"/>
      <c r="B436" s="390"/>
      <c r="C436" s="391"/>
      <c r="D436" s="392"/>
      <c r="E436" s="383"/>
      <c r="F436" s="383"/>
      <c r="G436" s="383"/>
      <c r="H436" s="383"/>
      <c r="I436" s="383"/>
      <c r="J436" s="383"/>
      <c r="K436" s="383"/>
      <c r="L436" s="383"/>
      <c r="M436" s="383"/>
      <c r="N436" s="383"/>
      <c r="O436" s="383"/>
      <c r="P436" s="383"/>
      <c r="Q436" s="383"/>
      <c r="R436" s="383"/>
      <c r="S436" s="383"/>
      <c r="T436" s="383"/>
      <c r="U436" s="383"/>
      <c r="V436" s="383"/>
      <c r="W436" s="383"/>
      <c r="X436" s="383"/>
      <c r="Y436" s="383"/>
      <c r="Z436" s="383"/>
    </row>
    <row r="437">
      <c r="A437" s="389"/>
      <c r="B437" s="390"/>
      <c r="C437" s="391"/>
      <c r="D437" s="392"/>
      <c r="E437" s="383"/>
      <c r="F437" s="383"/>
      <c r="G437" s="383"/>
      <c r="H437" s="383"/>
      <c r="I437" s="383"/>
      <c r="J437" s="383"/>
      <c r="K437" s="383"/>
      <c r="L437" s="383"/>
      <c r="M437" s="383"/>
      <c r="N437" s="383"/>
      <c r="O437" s="383"/>
      <c r="P437" s="383"/>
      <c r="Q437" s="383"/>
      <c r="R437" s="383"/>
      <c r="S437" s="383"/>
      <c r="T437" s="383"/>
      <c r="U437" s="383"/>
      <c r="V437" s="383"/>
      <c r="W437" s="383"/>
      <c r="X437" s="383"/>
      <c r="Y437" s="383"/>
      <c r="Z437" s="383"/>
    </row>
    <row r="438">
      <c r="A438" s="389"/>
      <c r="B438" s="390"/>
      <c r="C438" s="391"/>
      <c r="D438" s="392"/>
      <c r="E438" s="383"/>
      <c r="F438" s="383"/>
      <c r="G438" s="383"/>
      <c r="H438" s="383"/>
      <c r="I438" s="383"/>
      <c r="J438" s="383"/>
      <c r="K438" s="383"/>
      <c r="L438" s="383"/>
      <c r="M438" s="383"/>
      <c r="N438" s="383"/>
      <c r="O438" s="383"/>
      <c r="P438" s="383"/>
      <c r="Q438" s="383"/>
      <c r="R438" s="383"/>
      <c r="S438" s="383"/>
      <c r="T438" s="383"/>
      <c r="U438" s="383"/>
      <c r="V438" s="383"/>
      <c r="W438" s="383"/>
      <c r="X438" s="383"/>
      <c r="Y438" s="383"/>
      <c r="Z438" s="383"/>
    </row>
    <row r="439">
      <c r="A439" s="389"/>
      <c r="B439" s="390"/>
      <c r="C439" s="391"/>
      <c r="D439" s="392"/>
      <c r="E439" s="383"/>
      <c r="F439" s="383"/>
      <c r="G439" s="383"/>
      <c r="H439" s="383"/>
      <c r="I439" s="383"/>
      <c r="J439" s="383"/>
      <c r="K439" s="383"/>
      <c r="L439" s="383"/>
      <c r="M439" s="383"/>
      <c r="N439" s="383"/>
      <c r="O439" s="383"/>
      <c r="P439" s="383"/>
      <c r="Q439" s="383"/>
      <c r="R439" s="383"/>
      <c r="S439" s="383"/>
      <c r="T439" s="383"/>
      <c r="U439" s="383"/>
      <c r="V439" s="383"/>
      <c r="W439" s="383"/>
      <c r="X439" s="383"/>
      <c r="Y439" s="383"/>
      <c r="Z439" s="383"/>
    </row>
    <row r="440">
      <c r="A440" s="389"/>
      <c r="B440" s="390"/>
      <c r="C440" s="391"/>
      <c r="D440" s="392"/>
      <c r="E440" s="383"/>
      <c r="F440" s="383"/>
      <c r="G440" s="383"/>
      <c r="H440" s="383"/>
      <c r="I440" s="383"/>
      <c r="J440" s="383"/>
      <c r="K440" s="383"/>
      <c r="L440" s="383"/>
      <c r="M440" s="383"/>
      <c r="N440" s="383"/>
      <c r="O440" s="383"/>
      <c r="P440" s="383"/>
      <c r="Q440" s="383"/>
      <c r="R440" s="383"/>
      <c r="S440" s="383"/>
      <c r="T440" s="383"/>
      <c r="U440" s="383"/>
      <c r="V440" s="383"/>
      <c r="W440" s="383"/>
      <c r="X440" s="383"/>
      <c r="Y440" s="383"/>
      <c r="Z440" s="383"/>
    </row>
    <row r="441">
      <c r="A441" s="389"/>
      <c r="B441" s="390"/>
      <c r="C441" s="391"/>
      <c r="D441" s="392"/>
      <c r="E441" s="383"/>
      <c r="F441" s="383"/>
      <c r="G441" s="383"/>
      <c r="H441" s="383"/>
      <c r="I441" s="383"/>
      <c r="J441" s="383"/>
      <c r="K441" s="383"/>
      <c r="L441" s="383"/>
      <c r="M441" s="383"/>
      <c r="N441" s="383"/>
      <c r="O441" s="383"/>
      <c r="P441" s="383"/>
      <c r="Q441" s="383"/>
      <c r="R441" s="383"/>
      <c r="S441" s="383"/>
      <c r="T441" s="383"/>
      <c r="U441" s="383"/>
      <c r="V441" s="383"/>
      <c r="W441" s="383"/>
      <c r="X441" s="383"/>
      <c r="Y441" s="383"/>
      <c r="Z441" s="383"/>
    </row>
    <row r="442">
      <c r="A442" s="389"/>
      <c r="B442" s="390"/>
      <c r="C442" s="391"/>
      <c r="D442" s="392"/>
      <c r="E442" s="383"/>
      <c r="F442" s="383"/>
      <c r="G442" s="383"/>
      <c r="H442" s="383"/>
      <c r="I442" s="383"/>
      <c r="J442" s="383"/>
      <c r="K442" s="383"/>
      <c r="L442" s="383"/>
      <c r="M442" s="383"/>
      <c r="N442" s="383"/>
      <c r="O442" s="383"/>
      <c r="P442" s="383"/>
      <c r="Q442" s="383"/>
      <c r="R442" s="383"/>
      <c r="S442" s="383"/>
      <c r="T442" s="383"/>
      <c r="U442" s="383"/>
      <c r="V442" s="383"/>
      <c r="W442" s="383"/>
      <c r="X442" s="383"/>
      <c r="Y442" s="383"/>
      <c r="Z442" s="383"/>
    </row>
    <row r="443">
      <c r="A443" s="389"/>
      <c r="B443" s="390"/>
      <c r="C443" s="391"/>
      <c r="D443" s="392"/>
      <c r="E443" s="383"/>
      <c r="F443" s="383"/>
      <c r="G443" s="383"/>
      <c r="H443" s="383"/>
      <c r="I443" s="383"/>
      <c r="J443" s="383"/>
      <c r="K443" s="383"/>
      <c r="L443" s="383"/>
      <c r="M443" s="383"/>
      <c r="N443" s="383"/>
      <c r="O443" s="383"/>
      <c r="P443" s="383"/>
      <c r="Q443" s="383"/>
      <c r="R443" s="383"/>
      <c r="S443" s="383"/>
      <c r="T443" s="383"/>
      <c r="U443" s="383"/>
      <c r="V443" s="383"/>
      <c r="W443" s="383"/>
      <c r="X443" s="383"/>
      <c r="Y443" s="383"/>
      <c r="Z443" s="383"/>
    </row>
    <row r="444">
      <c r="A444" s="389"/>
      <c r="B444" s="390"/>
      <c r="C444" s="391"/>
      <c r="D444" s="392"/>
      <c r="E444" s="383"/>
      <c r="F444" s="383"/>
      <c r="G444" s="383"/>
      <c r="H444" s="383"/>
      <c r="I444" s="383"/>
      <c r="J444" s="383"/>
      <c r="K444" s="383"/>
      <c r="L444" s="383"/>
      <c r="M444" s="383"/>
      <c r="N444" s="383"/>
      <c r="O444" s="383"/>
      <c r="P444" s="383"/>
      <c r="Q444" s="383"/>
      <c r="R444" s="383"/>
      <c r="S444" s="383"/>
      <c r="T444" s="383"/>
      <c r="U444" s="383"/>
      <c r="V444" s="383"/>
      <c r="W444" s="383"/>
      <c r="X444" s="383"/>
      <c r="Y444" s="383"/>
      <c r="Z444" s="383"/>
    </row>
    <row r="445">
      <c r="A445" s="389"/>
      <c r="B445" s="390"/>
      <c r="C445" s="391"/>
      <c r="D445" s="392"/>
      <c r="E445" s="383"/>
      <c r="F445" s="383"/>
      <c r="G445" s="383"/>
      <c r="H445" s="383"/>
      <c r="I445" s="383"/>
      <c r="J445" s="383"/>
      <c r="K445" s="383"/>
      <c r="L445" s="383"/>
      <c r="M445" s="383"/>
      <c r="N445" s="383"/>
      <c r="O445" s="383"/>
      <c r="P445" s="383"/>
      <c r="Q445" s="383"/>
      <c r="R445" s="383"/>
      <c r="S445" s="383"/>
      <c r="T445" s="383"/>
      <c r="U445" s="383"/>
      <c r="V445" s="383"/>
      <c r="W445" s="383"/>
      <c r="X445" s="383"/>
      <c r="Y445" s="383"/>
      <c r="Z445" s="383"/>
    </row>
    <row r="446">
      <c r="A446" s="389"/>
      <c r="B446" s="390"/>
      <c r="C446" s="391"/>
      <c r="D446" s="392"/>
      <c r="E446" s="383"/>
      <c r="F446" s="383"/>
      <c r="G446" s="383"/>
      <c r="H446" s="383"/>
      <c r="I446" s="383"/>
      <c r="J446" s="383"/>
      <c r="K446" s="383"/>
      <c r="L446" s="383"/>
      <c r="M446" s="383"/>
      <c r="N446" s="383"/>
      <c r="O446" s="383"/>
      <c r="P446" s="383"/>
      <c r="Q446" s="383"/>
      <c r="R446" s="383"/>
      <c r="S446" s="383"/>
      <c r="T446" s="383"/>
      <c r="U446" s="383"/>
      <c r="V446" s="383"/>
      <c r="W446" s="383"/>
      <c r="X446" s="383"/>
      <c r="Y446" s="383"/>
      <c r="Z446" s="383"/>
    </row>
    <row r="447">
      <c r="A447" s="389"/>
      <c r="B447" s="390"/>
      <c r="C447" s="391"/>
      <c r="D447" s="392"/>
      <c r="E447" s="383"/>
      <c r="F447" s="383"/>
      <c r="G447" s="383"/>
      <c r="H447" s="383"/>
      <c r="I447" s="383"/>
      <c r="J447" s="383"/>
      <c r="K447" s="383"/>
      <c r="L447" s="383"/>
      <c r="M447" s="383"/>
      <c r="N447" s="383"/>
      <c r="O447" s="383"/>
      <c r="P447" s="383"/>
      <c r="Q447" s="383"/>
      <c r="R447" s="383"/>
      <c r="S447" s="383"/>
      <c r="T447" s="383"/>
      <c r="U447" s="383"/>
      <c r="V447" s="383"/>
      <c r="W447" s="383"/>
      <c r="X447" s="383"/>
      <c r="Y447" s="383"/>
      <c r="Z447" s="383"/>
    </row>
    <row r="448">
      <c r="A448" s="389"/>
      <c r="B448" s="390"/>
      <c r="C448" s="391"/>
      <c r="D448" s="392"/>
      <c r="E448" s="383"/>
      <c r="F448" s="383"/>
      <c r="G448" s="383"/>
      <c r="H448" s="383"/>
      <c r="I448" s="383"/>
      <c r="J448" s="383"/>
      <c r="K448" s="383"/>
      <c r="L448" s="383"/>
      <c r="M448" s="383"/>
      <c r="N448" s="383"/>
      <c r="O448" s="383"/>
      <c r="P448" s="383"/>
      <c r="Q448" s="383"/>
      <c r="R448" s="383"/>
      <c r="S448" s="383"/>
      <c r="T448" s="383"/>
      <c r="U448" s="383"/>
      <c r="V448" s="383"/>
      <c r="W448" s="383"/>
      <c r="X448" s="383"/>
      <c r="Y448" s="383"/>
      <c r="Z448" s="383"/>
    </row>
    <row r="449">
      <c r="A449" s="389"/>
      <c r="B449" s="390"/>
      <c r="C449" s="391"/>
      <c r="D449" s="392"/>
      <c r="E449" s="383"/>
      <c r="F449" s="383"/>
      <c r="G449" s="383"/>
      <c r="H449" s="383"/>
      <c r="I449" s="383"/>
      <c r="J449" s="383"/>
      <c r="K449" s="383"/>
      <c r="L449" s="383"/>
      <c r="M449" s="383"/>
      <c r="N449" s="383"/>
      <c r="O449" s="383"/>
      <c r="P449" s="383"/>
      <c r="Q449" s="383"/>
      <c r="R449" s="383"/>
      <c r="S449" s="383"/>
      <c r="T449" s="383"/>
      <c r="U449" s="383"/>
      <c r="V449" s="383"/>
      <c r="W449" s="383"/>
      <c r="X449" s="383"/>
      <c r="Y449" s="383"/>
      <c r="Z449" s="383"/>
    </row>
    <row r="450">
      <c r="A450" s="389"/>
      <c r="B450" s="390"/>
      <c r="C450" s="391"/>
      <c r="D450" s="392"/>
      <c r="E450" s="383"/>
      <c r="F450" s="383"/>
      <c r="G450" s="383"/>
      <c r="H450" s="383"/>
      <c r="I450" s="383"/>
      <c r="J450" s="383"/>
      <c r="K450" s="383"/>
      <c r="L450" s="383"/>
      <c r="M450" s="383"/>
      <c r="N450" s="383"/>
      <c r="O450" s="383"/>
      <c r="P450" s="383"/>
      <c r="Q450" s="383"/>
      <c r="R450" s="383"/>
      <c r="S450" s="383"/>
      <c r="T450" s="383"/>
      <c r="U450" s="383"/>
      <c r="V450" s="383"/>
      <c r="W450" s="383"/>
      <c r="X450" s="383"/>
      <c r="Y450" s="383"/>
      <c r="Z450" s="383"/>
    </row>
    <row r="451">
      <c r="A451" s="389"/>
      <c r="B451" s="390"/>
      <c r="C451" s="391"/>
      <c r="D451" s="392"/>
      <c r="E451" s="383"/>
      <c r="F451" s="383"/>
      <c r="G451" s="383"/>
      <c r="H451" s="383"/>
      <c r="I451" s="383"/>
      <c r="J451" s="383"/>
      <c r="K451" s="383"/>
      <c r="L451" s="383"/>
      <c r="M451" s="383"/>
      <c r="N451" s="383"/>
      <c r="O451" s="383"/>
      <c r="P451" s="383"/>
      <c r="Q451" s="383"/>
      <c r="R451" s="383"/>
      <c r="S451" s="383"/>
      <c r="T451" s="383"/>
      <c r="U451" s="383"/>
      <c r="V451" s="383"/>
      <c r="W451" s="383"/>
      <c r="X451" s="383"/>
      <c r="Y451" s="383"/>
      <c r="Z451" s="383"/>
    </row>
    <row r="452">
      <c r="A452" s="389"/>
      <c r="B452" s="390"/>
      <c r="C452" s="391"/>
      <c r="D452" s="392"/>
      <c r="E452" s="383"/>
      <c r="F452" s="383"/>
      <c r="G452" s="383"/>
      <c r="H452" s="383"/>
      <c r="I452" s="383"/>
      <c r="J452" s="383"/>
      <c r="K452" s="383"/>
      <c r="L452" s="383"/>
      <c r="M452" s="383"/>
      <c r="N452" s="383"/>
      <c r="O452" s="383"/>
      <c r="P452" s="383"/>
      <c r="Q452" s="383"/>
      <c r="R452" s="383"/>
      <c r="S452" s="383"/>
      <c r="T452" s="383"/>
      <c r="U452" s="383"/>
      <c r="V452" s="383"/>
      <c r="W452" s="383"/>
      <c r="X452" s="383"/>
      <c r="Y452" s="383"/>
      <c r="Z452" s="383"/>
    </row>
    <row r="453">
      <c r="A453" s="389"/>
      <c r="B453" s="390"/>
      <c r="C453" s="391"/>
      <c r="D453" s="392"/>
      <c r="E453" s="383"/>
      <c r="F453" s="383"/>
      <c r="G453" s="383"/>
      <c r="H453" s="383"/>
      <c r="I453" s="383"/>
      <c r="J453" s="383"/>
      <c r="K453" s="383"/>
      <c r="L453" s="383"/>
      <c r="M453" s="383"/>
      <c r="N453" s="383"/>
      <c r="O453" s="383"/>
      <c r="P453" s="383"/>
      <c r="Q453" s="383"/>
      <c r="R453" s="383"/>
      <c r="S453" s="383"/>
      <c r="T453" s="383"/>
      <c r="U453" s="383"/>
      <c r="V453" s="383"/>
      <c r="W453" s="383"/>
      <c r="X453" s="383"/>
      <c r="Y453" s="383"/>
      <c r="Z453" s="383"/>
    </row>
    <row r="454">
      <c r="A454" s="389"/>
      <c r="B454" s="390"/>
      <c r="C454" s="391"/>
      <c r="D454" s="392"/>
      <c r="E454" s="383"/>
      <c r="F454" s="383"/>
      <c r="G454" s="383"/>
      <c r="H454" s="383"/>
      <c r="I454" s="383"/>
      <c r="J454" s="383"/>
      <c r="K454" s="383"/>
      <c r="L454" s="383"/>
      <c r="M454" s="383"/>
      <c r="N454" s="383"/>
      <c r="O454" s="383"/>
      <c r="P454" s="383"/>
      <c r="Q454" s="383"/>
      <c r="R454" s="383"/>
      <c r="S454" s="383"/>
      <c r="T454" s="383"/>
      <c r="U454" s="383"/>
      <c r="V454" s="383"/>
      <c r="W454" s="383"/>
      <c r="X454" s="383"/>
      <c r="Y454" s="383"/>
      <c r="Z454" s="383"/>
    </row>
    <row r="455">
      <c r="A455" s="389"/>
      <c r="B455" s="390"/>
      <c r="C455" s="391"/>
      <c r="D455" s="392"/>
      <c r="E455" s="383"/>
      <c r="F455" s="383"/>
      <c r="G455" s="383"/>
      <c r="H455" s="383"/>
      <c r="I455" s="383"/>
      <c r="J455" s="383"/>
      <c r="K455" s="383"/>
      <c r="L455" s="383"/>
      <c r="M455" s="383"/>
      <c r="N455" s="383"/>
      <c r="O455" s="383"/>
      <c r="P455" s="383"/>
      <c r="Q455" s="383"/>
      <c r="R455" s="383"/>
      <c r="S455" s="383"/>
      <c r="T455" s="383"/>
      <c r="U455" s="383"/>
      <c r="V455" s="383"/>
      <c r="W455" s="383"/>
      <c r="X455" s="383"/>
      <c r="Y455" s="383"/>
      <c r="Z455" s="383"/>
    </row>
    <row r="456">
      <c r="A456" s="389"/>
      <c r="B456" s="390"/>
      <c r="C456" s="391"/>
      <c r="D456" s="392"/>
      <c r="E456" s="383"/>
      <c r="F456" s="383"/>
      <c r="G456" s="383"/>
      <c r="H456" s="383"/>
      <c r="I456" s="383"/>
      <c r="J456" s="383"/>
      <c r="K456" s="383"/>
      <c r="L456" s="383"/>
      <c r="M456" s="383"/>
      <c r="N456" s="383"/>
      <c r="O456" s="383"/>
      <c r="P456" s="383"/>
      <c r="Q456" s="383"/>
      <c r="R456" s="383"/>
      <c r="S456" s="383"/>
      <c r="T456" s="383"/>
      <c r="U456" s="383"/>
      <c r="V456" s="383"/>
      <c r="W456" s="383"/>
      <c r="X456" s="383"/>
      <c r="Y456" s="383"/>
      <c r="Z456" s="383"/>
    </row>
    <row r="457">
      <c r="A457" s="389"/>
      <c r="B457" s="390"/>
      <c r="C457" s="391"/>
      <c r="D457" s="392"/>
      <c r="E457" s="383"/>
      <c r="F457" s="383"/>
      <c r="G457" s="383"/>
      <c r="H457" s="383"/>
      <c r="I457" s="383"/>
      <c r="J457" s="383"/>
      <c r="K457" s="383"/>
      <c r="L457" s="383"/>
      <c r="M457" s="383"/>
      <c r="N457" s="383"/>
      <c r="O457" s="383"/>
      <c r="P457" s="383"/>
      <c r="Q457" s="383"/>
      <c r="R457" s="383"/>
      <c r="S457" s="383"/>
      <c r="T457" s="383"/>
      <c r="U457" s="383"/>
      <c r="V457" s="383"/>
      <c r="W457" s="383"/>
      <c r="X457" s="383"/>
      <c r="Y457" s="383"/>
      <c r="Z457" s="383"/>
    </row>
    <row r="458">
      <c r="A458" s="389"/>
      <c r="B458" s="390"/>
      <c r="C458" s="391"/>
      <c r="D458" s="392"/>
      <c r="E458" s="383"/>
      <c r="F458" s="383"/>
      <c r="G458" s="383"/>
      <c r="H458" s="383"/>
      <c r="I458" s="383"/>
      <c r="J458" s="383"/>
      <c r="K458" s="383"/>
      <c r="L458" s="383"/>
      <c r="M458" s="383"/>
      <c r="N458" s="383"/>
      <c r="O458" s="383"/>
      <c r="P458" s="383"/>
      <c r="Q458" s="383"/>
      <c r="R458" s="383"/>
      <c r="S458" s="383"/>
      <c r="T458" s="383"/>
      <c r="U458" s="383"/>
      <c r="V458" s="383"/>
      <c r="W458" s="383"/>
      <c r="X458" s="383"/>
      <c r="Y458" s="383"/>
      <c r="Z458" s="383"/>
    </row>
    <row r="459">
      <c r="A459" s="389"/>
      <c r="B459" s="390"/>
      <c r="C459" s="391"/>
      <c r="D459" s="392"/>
      <c r="E459" s="383"/>
      <c r="F459" s="383"/>
      <c r="G459" s="383"/>
      <c r="H459" s="383"/>
      <c r="I459" s="383"/>
      <c r="J459" s="383"/>
      <c r="K459" s="383"/>
      <c r="L459" s="383"/>
      <c r="M459" s="383"/>
      <c r="N459" s="383"/>
      <c r="O459" s="383"/>
      <c r="P459" s="383"/>
      <c r="Q459" s="383"/>
      <c r="R459" s="383"/>
      <c r="S459" s="383"/>
      <c r="T459" s="383"/>
      <c r="U459" s="383"/>
      <c r="V459" s="383"/>
      <c r="W459" s="383"/>
      <c r="X459" s="383"/>
      <c r="Y459" s="383"/>
      <c r="Z459" s="383"/>
    </row>
    <row r="460">
      <c r="A460" s="389"/>
      <c r="B460" s="390"/>
      <c r="C460" s="391"/>
      <c r="D460" s="392"/>
      <c r="E460" s="383"/>
      <c r="F460" s="383"/>
      <c r="G460" s="383"/>
      <c r="H460" s="383"/>
      <c r="I460" s="383"/>
      <c r="J460" s="383"/>
      <c r="K460" s="383"/>
      <c r="L460" s="383"/>
      <c r="M460" s="383"/>
      <c r="N460" s="383"/>
      <c r="O460" s="383"/>
      <c r="P460" s="383"/>
      <c r="Q460" s="383"/>
      <c r="R460" s="383"/>
      <c r="S460" s="383"/>
      <c r="T460" s="383"/>
      <c r="U460" s="383"/>
      <c r="V460" s="383"/>
      <c r="W460" s="383"/>
      <c r="X460" s="383"/>
      <c r="Y460" s="383"/>
      <c r="Z460" s="383"/>
    </row>
    <row r="461">
      <c r="A461" s="389"/>
      <c r="B461" s="390"/>
      <c r="C461" s="391"/>
      <c r="D461" s="392"/>
      <c r="E461" s="383"/>
      <c r="F461" s="383"/>
      <c r="G461" s="383"/>
      <c r="H461" s="383"/>
      <c r="I461" s="383"/>
      <c r="J461" s="383"/>
      <c r="K461" s="383"/>
      <c r="L461" s="383"/>
      <c r="M461" s="383"/>
      <c r="N461" s="383"/>
      <c r="O461" s="383"/>
      <c r="P461" s="383"/>
      <c r="Q461" s="383"/>
      <c r="R461" s="383"/>
      <c r="S461" s="383"/>
      <c r="T461" s="383"/>
      <c r="U461" s="383"/>
      <c r="V461" s="383"/>
      <c r="W461" s="383"/>
      <c r="X461" s="383"/>
      <c r="Y461" s="383"/>
      <c r="Z461" s="383"/>
    </row>
    <row r="462">
      <c r="A462" s="389"/>
      <c r="B462" s="390"/>
      <c r="C462" s="391"/>
      <c r="D462" s="392"/>
      <c r="E462" s="383"/>
      <c r="F462" s="383"/>
      <c r="G462" s="383"/>
      <c r="H462" s="383"/>
      <c r="I462" s="383"/>
      <c r="J462" s="383"/>
      <c r="K462" s="383"/>
      <c r="L462" s="383"/>
      <c r="M462" s="383"/>
      <c r="N462" s="383"/>
      <c r="O462" s="383"/>
      <c r="P462" s="383"/>
      <c r="Q462" s="383"/>
      <c r="R462" s="383"/>
      <c r="S462" s="383"/>
      <c r="T462" s="383"/>
      <c r="U462" s="383"/>
      <c r="V462" s="383"/>
      <c r="W462" s="383"/>
      <c r="X462" s="383"/>
      <c r="Y462" s="383"/>
      <c r="Z462" s="383"/>
    </row>
    <row r="463">
      <c r="A463" s="389"/>
      <c r="B463" s="390"/>
      <c r="C463" s="391"/>
      <c r="D463" s="392"/>
      <c r="E463" s="383"/>
      <c r="F463" s="383"/>
      <c r="G463" s="383"/>
      <c r="H463" s="383"/>
      <c r="I463" s="383"/>
      <c r="J463" s="383"/>
      <c r="K463" s="383"/>
      <c r="L463" s="383"/>
      <c r="M463" s="383"/>
      <c r="N463" s="383"/>
      <c r="O463" s="383"/>
      <c r="P463" s="383"/>
      <c r="Q463" s="383"/>
      <c r="R463" s="383"/>
      <c r="S463" s="383"/>
      <c r="T463" s="383"/>
      <c r="U463" s="383"/>
      <c r="V463" s="383"/>
      <c r="W463" s="383"/>
      <c r="X463" s="383"/>
      <c r="Y463" s="383"/>
      <c r="Z463" s="383"/>
    </row>
    <row r="464">
      <c r="A464" s="389"/>
      <c r="B464" s="390"/>
      <c r="C464" s="391"/>
      <c r="D464" s="392"/>
      <c r="E464" s="383"/>
      <c r="F464" s="383"/>
      <c r="G464" s="383"/>
      <c r="H464" s="383"/>
      <c r="I464" s="383"/>
      <c r="J464" s="383"/>
      <c r="K464" s="383"/>
      <c r="L464" s="383"/>
      <c r="M464" s="383"/>
      <c r="N464" s="383"/>
      <c r="O464" s="383"/>
      <c r="P464" s="383"/>
      <c r="Q464" s="383"/>
      <c r="R464" s="383"/>
      <c r="S464" s="383"/>
      <c r="T464" s="383"/>
      <c r="U464" s="383"/>
      <c r="V464" s="383"/>
      <c r="W464" s="383"/>
      <c r="X464" s="383"/>
      <c r="Y464" s="383"/>
      <c r="Z464" s="383"/>
    </row>
    <row r="465">
      <c r="A465" s="389"/>
      <c r="B465" s="390"/>
      <c r="C465" s="391"/>
      <c r="D465" s="392"/>
      <c r="E465" s="383"/>
      <c r="F465" s="383"/>
      <c r="G465" s="383"/>
      <c r="H465" s="383"/>
      <c r="I465" s="383"/>
      <c r="J465" s="383"/>
      <c r="K465" s="383"/>
      <c r="L465" s="383"/>
      <c r="M465" s="383"/>
      <c r="N465" s="383"/>
      <c r="O465" s="383"/>
      <c r="P465" s="383"/>
      <c r="Q465" s="383"/>
      <c r="R465" s="383"/>
      <c r="S465" s="383"/>
      <c r="T465" s="383"/>
      <c r="U465" s="383"/>
      <c r="V465" s="383"/>
      <c r="W465" s="383"/>
      <c r="X465" s="383"/>
      <c r="Y465" s="383"/>
      <c r="Z465" s="383"/>
    </row>
    <row r="466">
      <c r="A466" s="389"/>
      <c r="B466" s="390"/>
      <c r="C466" s="391"/>
      <c r="D466" s="392"/>
      <c r="E466" s="383"/>
      <c r="F466" s="383"/>
      <c r="G466" s="383"/>
      <c r="H466" s="383"/>
      <c r="I466" s="383"/>
      <c r="J466" s="383"/>
      <c r="K466" s="383"/>
      <c r="L466" s="383"/>
      <c r="M466" s="383"/>
      <c r="N466" s="383"/>
      <c r="O466" s="383"/>
      <c r="P466" s="383"/>
      <c r="Q466" s="383"/>
      <c r="R466" s="383"/>
      <c r="S466" s="383"/>
      <c r="T466" s="383"/>
      <c r="U466" s="383"/>
      <c r="V466" s="383"/>
      <c r="W466" s="383"/>
      <c r="X466" s="383"/>
      <c r="Y466" s="383"/>
      <c r="Z466" s="383"/>
    </row>
    <row r="467">
      <c r="A467" s="389"/>
      <c r="B467" s="390"/>
      <c r="C467" s="391"/>
      <c r="D467" s="392"/>
      <c r="E467" s="383"/>
      <c r="F467" s="383"/>
      <c r="G467" s="383"/>
      <c r="H467" s="383"/>
      <c r="I467" s="383"/>
      <c r="J467" s="383"/>
      <c r="K467" s="383"/>
      <c r="L467" s="383"/>
      <c r="M467" s="383"/>
      <c r="N467" s="383"/>
      <c r="O467" s="383"/>
      <c r="P467" s="383"/>
      <c r="Q467" s="383"/>
      <c r="R467" s="383"/>
      <c r="S467" s="383"/>
      <c r="T467" s="383"/>
      <c r="U467" s="383"/>
      <c r="V467" s="383"/>
      <c r="W467" s="383"/>
      <c r="X467" s="383"/>
      <c r="Y467" s="383"/>
      <c r="Z467" s="383"/>
    </row>
    <row r="468">
      <c r="A468" s="389"/>
      <c r="B468" s="390"/>
      <c r="C468" s="391"/>
      <c r="D468" s="392"/>
      <c r="E468" s="383"/>
      <c r="F468" s="383"/>
      <c r="G468" s="383"/>
      <c r="H468" s="383"/>
      <c r="I468" s="383"/>
      <c r="J468" s="383"/>
      <c r="K468" s="383"/>
      <c r="L468" s="383"/>
      <c r="M468" s="383"/>
      <c r="N468" s="383"/>
      <c r="O468" s="383"/>
      <c r="P468" s="383"/>
      <c r="Q468" s="383"/>
      <c r="R468" s="383"/>
      <c r="S468" s="383"/>
      <c r="T468" s="383"/>
      <c r="U468" s="383"/>
      <c r="V468" s="383"/>
      <c r="W468" s="383"/>
      <c r="X468" s="383"/>
      <c r="Y468" s="383"/>
      <c r="Z468" s="383"/>
    </row>
    <row r="469">
      <c r="A469" s="389"/>
      <c r="B469" s="390"/>
      <c r="C469" s="391"/>
      <c r="D469" s="392"/>
      <c r="E469" s="383"/>
      <c r="F469" s="383"/>
      <c r="G469" s="383"/>
      <c r="H469" s="383"/>
      <c r="I469" s="383"/>
      <c r="J469" s="383"/>
      <c r="K469" s="383"/>
      <c r="L469" s="383"/>
      <c r="M469" s="383"/>
      <c r="N469" s="383"/>
      <c r="O469" s="383"/>
      <c r="P469" s="383"/>
      <c r="Q469" s="383"/>
      <c r="R469" s="383"/>
      <c r="S469" s="383"/>
      <c r="T469" s="383"/>
      <c r="U469" s="383"/>
      <c r="V469" s="383"/>
      <c r="W469" s="383"/>
      <c r="X469" s="383"/>
      <c r="Y469" s="383"/>
      <c r="Z469" s="383"/>
    </row>
    <row r="470">
      <c r="A470" s="389"/>
      <c r="B470" s="390"/>
      <c r="C470" s="391"/>
      <c r="D470" s="392"/>
      <c r="E470" s="383"/>
      <c r="F470" s="383"/>
      <c r="G470" s="383"/>
      <c r="H470" s="383"/>
      <c r="I470" s="383"/>
      <c r="J470" s="383"/>
      <c r="K470" s="383"/>
      <c r="L470" s="383"/>
      <c r="M470" s="383"/>
      <c r="N470" s="383"/>
      <c r="O470" s="383"/>
      <c r="P470" s="383"/>
      <c r="Q470" s="383"/>
      <c r="R470" s="383"/>
      <c r="S470" s="383"/>
      <c r="T470" s="383"/>
      <c r="U470" s="383"/>
      <c r="V470" s="383"/>
      <c r="W470" s="383"/>
      <c r="X470" s="383"/>
      <c r="Y470" s="383"/>
      <c r="Z470" s="383"/>
    </row>
    <row r="471">
      <c r="A471" s="389"/>
      <c r="B471" s="390"/>
      <c r="C471" s="391"/>
      <c r="D471" s="392"/>
      <c r="E471" s="383"/>
      <c r="F471" s="383"/>
      <c r="G471" s="383"/>
      <c r="H471" s="383"/>
      <c r="I471" s="383"/>
      <c r="J471" s="383"/>
      <c r="K471" s="383"/>
      <c r="L471" s="383"/>
      <c r="M471" s="383"/>
      <c r="N471" s="383"/>
      <c r="O471" s="383"/>
      <c r="P471" s="383"/>
      <c r="Q471" s="383"/>
      <c r="R471" s="383"/>
      <c r="S471" s="383"/>
      <c r="T471" s="383"/>
      <c r="U471" s="383"/>
      <c r="V471" s="383"/>
      <c r="W471" s="383"/>
      <c r="X471" s="383"/>
      <c r="Y471" s="383"/>
      <c r="Z471" s="383"/>
    </row>
    <row r="472">
      <c r="A472" s="389"/>
      <c r="B472" s="390"/>
      <c r="C472" s="391"/>
      <c r="D472" s="392"/>
      <c r="E472" s="383"/>
      <c r="F472" s="383"/>
      <c r="G472" s="383"/>
      <c r="H472" s="383"/>
      <c r="I472" s="383"/>
      <c r="J472" s="383"/>
      <c r="K472" s="383"/>
      <c r="L472" s="383"/>
      <c r="M472" s="383"/>
      <c r="N472" s="383"/>
      <c r="O472" s="383"/>
      <c r="P472" s="383"/>
      <c r="Q472" s="383"/>
      <c r="R472" s="383"/>
      <c r="S472" s="383"/>
      <c r="T472" s="383"/>
      <c r="U472" s="383"/>
      <c r="V472" s="383"/>
      <c r="W472" s="383"/>
      <c r="X472" s="383"/>
      <c r="Y472" s="383"/>
      <c r="Z472" s="383"/>
    </row>
    <row r="473">
      <c r="A473" s="389"/>
      <c r="B473" s="390"/>
      <c r="C473" s="391"/>
      <c r="D473" s="392"/>
      <c r="E473" s="383"/>
      <c r="F473" s="383"/>
      <c r="G473" s="383"/>
      <c r="H473" s="383"/>
      <c r="I473" s="383"/>
      <c r="J473" s="383"/>
      <c r="K473" s="383"/>
      <c r="L473" s="383"/>
      <c r="M473" s="383"/>
      <c r="N473" s="383"/>
      <c r="O473" s="383"/>
      <c r="P473" s="383"/>
      <c r="Q473" s="383"/>
      <c r="R473" s="383"/>
      <c r="S473" s="383"/>
      <c r="T473" s="383"/>
      <c r="U473" s="383"/>
      <c r="V473" s="383"/>
      <c r="W473" s="383"/>
      <c r="X473" s="383"/>
      <c r="Y473" s="383"/>
      <c r="Z473" s="383"/>
    </row>
    <row r="474">
      <c r="A474" s="389"/>
      <c r="B474" s="390"/>
      <c r="C474" s="391"/>
      <c r="D474" s="392"/>
      <c r="E474" s="383"/>
      <c r="F474" s="383"/>
      <c r="G474" s="383"/>
      <c r="H474" s="383"/>
      <c r="I474" s="383"/>
      <c r="J474" s="383"/>
      <c r="K474" s="383"/>
      <c r="L474" s="383"/>
      <c r="M474" s="383"/>
      <c r="N474" s="383"/>
      <c r="O474" s="383"/>
      <c r="P474" s="383"/>
      <c r="Q474" s="383"/>
      <c r="R474" s="383"/>
      <c r="S474" s="383"/>
      <c r="T474" s="383"/>
      <c r="U474" s="383"/>
      <c r="V474" s="383"/>
      <c r="W474" s="383"/>
      <c r="X474" s="383"/>
      <c r="Y474" s="383"/>
      <c r="Z474" s="383"/>
    </row>
    <row r="475">
      <c r="A475" s="389"/>
      <c r="B475" s="390"/>
      <c r="C475" s="391"/>
      <c r="D475" s="392"/>
      <c r="E475" s="383"/>
      <c r="F475" s="383"/>
      <c r="G475" s="383"/>
      <c r="H475" s="383"/>
      <c r="I475" s="383"/>
      <c r="J475" s="383"/>
      <c r="K475" s="383"/>
      <c r="L475" s="383"/>
      <c r="M475" s="383"/>
      <c r="N475" s="383"/>
      <c r="O475" s="383"/>
      <c r="P475" s="383"/>
      <c r="Q475" s="383"/>
      <c r="R475" s="383"/>
      <c r="S475" s="383"/>
      <c r="T475" s="383"/>
      <c r="U475" s="383"/>
      <c r="V475" s="383"/>
      <c r="W475" s="383"/>
      <c r="X475" s="383"/>
      <c r="Y475" s="383"/>
      <c r="Z475" s="383"/>
    </row>
    <row r="476">
      <c r="A476" s="389"/>
      <c r="B476" s="390"/>
      <c r="C476" s="391"/>
      <c r="D476" s="392"/>
      <c r="E476" s="383"/>
      <c r="F476" s="383"/>
      <c r="G476" s="383"/>
      <c r="H476" s="383"/>
      <c r="I476" s="383"/>
      <c r="J476" s="383"/>
      <c r="K476" s="383"/>
      <c r="L476" s="383"/>
      <c r="M476" s="383"/>
      <c r="N476" s="383"/>
      <c r="O476" s="383"/>
      <c r="P476" s="383"/>
      <c r="Q476" s="383"/>
      <c r="R476" s="383"/>
      <c r="S476" s="383"/>
      <c r="T476" s="383"/>
      <c r="U476" s="383"/>
      <c r="V476" s="383"/>
      <c r="W476" s="383"/>
      <c r="X476" s="383"/>
      <c r="Y476" s="383"/>
      <c r="Z476" s="383"/>
    </row>
    <row r="477">
      <c r="A477" s="389"/>
      <c r="B477" s="390"/>
      <c r="C477" s="391"/>
      <c r="D477" s="392"/>
      <c r="E477" s="383"/>
      <c r="F477" s="383"/>
      <c r="G477" s="383"/>
      <c r="H477" s="383"/>
      <c r="I477" s="383"/>
      <c r="J477" s="383"/>
      <c r="K477" s="383"/>
      <c r="L477" s="383"/>
      <c r="M477" s="383"/>
      <c r="N477" s="383"/>
      <c r="O477" s="383"/>
      <c r="P477" s="383"/>
      <c r="Q477" s="383"/>
      <c r="R477" s="383"/>
      <c r="S477" s="383"/>
      <c r="T477" s="383"/>
      <c r="U477" s="383"/>
      <c r="V477" s="383"/>
      <c r="W477" s="383"/>
      <c r="X477" s="383"/>
      <c r="Y477" s="383"/>
      <c r="Z477" s="383"/>
    </row>
    <row r="478">
      <c r="A478" s="389"/>
      <c r="B478" s="390"/>
      <c r="C478" s="391"/>
      <c r="D478" s="392"/>
      <c r="E478" s="383"/>
      <c r="F478" s="383"/>
      <c r="G478" s="383"/>
      <c r="H478" s="383"/>
      <c r="I478" s="383"/>
      <c r="J478" s="383"/>
      <c r="K478" s="383"/>
      <c r="L478" s="383"/>
      <c r="M478" s="383"/>
      <c r="N478" s="383"/>
      <c r="O478" s="383"/>
      <c r="P478" s="383"/>
      <c r="Q478" s="383"/>
      <c r="R478" s="383"/>
      <c r="S478" s="383"/>
      <c r="T478" s="383"/>
      <c r="U478" s="383"/>
      <c r="V478" s="383"/>
      <c r="W478" s="383"/>
      <c r="X478" s="383"/>
      <c r="Y478" s="383"/>
      <c r="Z478" s="383"/>
    </row>
    <row r="479">
      <c r="A479" s="389"/>
      <c r="B479" s="390"/>
      <c r="C479" s="391"/>
      <c r="D479" s="392"/>
      <c r="E479" s="383"/>
      <c r="F479" s="383"/>
      <c r="G479" s="383"/>
      <c r="H479" s="383"/>
      <c r="I479" s="383"/>
      <c r="J479" s="383"/>
      <c r="K479" s="383"/>
      <c r="L479" s="383"/>
      <c r="M479" s="383"/>
      <c r="N479" s="383"/>
      <c r="O479" s="383"/>
      <c r="P479" s="383"/>
      <c r="Q479" s="383"/>
      <c r="R479" s="383"/>
      <c r="S479" s="383"/>
      <c r="T479" s="383"/>
      <c r="U479" s="383"/>
      <c r="V479" s="383"/>
      <c r="W479" s="383"/>
      <c r="X479" s="383"/>
      <c r="Y479" s="383"/>
      <c r="Z479" s="383"/>
    </row>
    <row r="480">
      <c r="A480" s="389"/>
      <c r="B480" s="390"/>
      <c r="C480" s="391"/>
      <c r="D480" s="392"/>
      <c r="E480" s="383"/>
      <c r="F480" s="383"/>
      <c r="G480" s="383"/>
      <c r="H480" s="383"/>
      <c r="I480" s="383"/>
      <c r="J480" s="383"/>
      <c r="K480" s="383"/>
      <c r="L480" s="383"/>
      <c r="M480" s="383"/>
      <c r="N480" s="383"/>
      <c r="O480" s="383"/>
      <c r="P480" s="383"/>
      <c r="Q480" s="383"/>
      <c r="R480" s="383"/>
      <c r="S480" s="383"/>
      <c r="T480" s="383"/>
      <c r="U480" s="383"/>
      <c r="V480" s="383"/>
      <c r="W480" s="383"/>
      <c r="X480" s="383"/>
      <c r="Y480" s="383"/>
      <c r="Z480" s="383"/>
    </row>
    <row r="481">
      <c r="A481" s="389"/>
      <c r="B481" s="390"/>
      <c r="C481" s="391"/>
      <c r="D481" s="392"/>
      <c r="E481" s="383"/>
      <c r="F481" s="383"/>
      <c r="G481" s="383"/>
      <c r="H481" s="383"/>
      <c r="I481" s="383"/>
      <c r="J481" s="383"/>
      <c r="K481" s="383"/>
      <c r="L481" s="383"/>
      <c r="M481" s="383"/>
      <c r="N481" s="383"/>
      <c r="O481" s="383"/>
      <c r="P481" s="383"/>
      <c r="Q481" s="383"/>
      <c r="R481" s="383"/>
      <c r="S481" s="383"/>
      <c r="T481" s="383"/>
      <c r="U481" s="383"/>
      <c r="V481" s="383"/>
      <c r="W481" s="383"/>
      <c r="X481" s="383"/>
      <c r="Y481" s="383"/>
      <c r="Z481" s="383"/>
    </row>
    <row r="482">
      <c r="A482" s="389"/>
      <c r="B482" s="390"/>
      <c r="C482" s="391"/>
      <c r="D482" s="392"/>
      <c r="E482" s="383"/>
      <c r="F482" s="383"/>
      <c r="G482" s="383"/>
      <c r="H482" s="383"/>
      <c r="I482" s="383"/>
      <c r="J482" s="383"/>
      <c r="K482" s="383"/>
      <c r="L482" s="383"/>
      <c r="M482" s="383"/>
      <c r="N482" s="383"/>
      <c r="O482" s="383"/>
      <c r="P482" s="383"/>
      <c r="Q482" s="383"/>
      <c r="R482" s="383"/>
      <c r="S482" s="383"/>
      <c r="T482" s="383"/>
      <c r="U482" s="383"/>
      <c r="V482" s="383"/>
      <c r="W482" s="383"/>
      <c r="X482" s="383"/>
      <c r="Y482" s="383"/>
      <c r="Z482" s="383"/>
    </row>
    <row r="483">
      <c r="A483" s="389"/>
      <c r="B483" s="390"/>
      <c r="C483" s="391"/>
      <c r="D483" s="392"/>
      <c r="E483" s="383"/>
      <c r="F483" s="383"/>
      <c r="G483" s="383"/>
      <c r="H483" s="383"/>
      <c r="I483" s="383"/>
      <c r="J483" s="383"/>
      <c r="K483" s="383"/>
      <c r="L483" s="383"/>
      <c r="M483" s="383"/>
      <c r="N483" s="383"/>
      <c r="O483" s="383"/>
      <c r="P483" s="383"/>
      <c r="Q483" s="383"/>
      <c r="R483" s="383"/>
      <c r="S483" s="383"/>
      <c r="T483" s="383"/>
      <c r="U483" s="383"/>
      <c r="V483" s="383"/>
      <c r="W483" s="383"/>
      <c r="X483" s="383"/>
      <c r="Y483" s="383"/>
      <c r="Z483" s="383"/>
    </row>
    <row r="484">
      <c r="A484" s="389"/>
      <c r="B484" s="390"/>
      <c r="C484" s="391"/>
      <c r="D484" s="392"/>
      <c r="E484" s="383"/>
      <c r="F484" s="383"/>
      <c r="G484" s="383"/>
      <c r="H484" s="383"/>
      <c r="I484" s="383"/>
      <c r="J484" s="383"/>
      <c r="K484" s="383"/>
      <c r="L484" s="383"/>
      <c r="M484" s="383"/>
      <c r="N484" s="383"/>
      <c r="O484" s="383"/>
      <c r="P484" s="383"/>
      <c r="Q484" s="383"/>
      <c r="R484" s="383"/>
      <c r="S484" s="383"/>
      <c r="T484" s="383"/>
      <c r="U484" s="383"/>
      <c r="V484" s="383"/>
      <c r="W484" s="383"/>
      <c r="X484" s="383"/>
      <c r="Y484" s="383"/>
      <c r="Z484" s="383"/>
    </row>
    <row r="485">
      <c r="A485" s="389"/>
      <c r="B485" s="390"/>
      <c r="C485" s="391"/>
      <c r="D485" s="392"/>
      <c r="E485" s="383"/>
      <c r="F485" s="383"/>
      <c r="G485" s="383"/>
      <c r="H485" s="383"/>
      <c r="I485" s="383"/>
      <c r="J485" s="383"/>
      <c r="K485" s="383"/>
      <c r="L485" s="383"/>
      <c r="M485" s="383"/>
      <c r="N485" s="383"/>
      <c r="O485" s="383"/>
      <c r="P485" s="383"/>
      <c r="Q485" s="383"/>
      <c r="R485" s="383"/>
      <c r="S485" s="383"/>
      <c r="T485" s="383"/>
      <c r="U485" s="383"/>
      <c r="V485" s="383"/>
      <c r="W485" s="383"/>
      <c r="X485" s="383"/>
      <c r="Y485" s="383"/>
      <c r="Z485" s="383"/>
    </row>
    <row r="486">
      <c r="A486" s="389"/>
      <c r="B486" s="390"/>
      <c r="C486" s="391"/>
      <c r="D486" s="392"/>
      <c r="E486" s="383"/>
      <c r="F486" s="383"/>
      <c r="G486" s="383"/>
      <c r="H486" s="383"/>
      <c r="I486" s="383"/>
      <c r="J486" s="383"/>
      <c r="K486" s="383"/>
      <c r="L486" s="383"/>
      <c r="M486" s="383"/>
      <c r="N486" s="383"/>
      <c r="O486" s="383"/>
      <c r="P486" s="383"/>
      <c r="Q486" s="383"/>
      <c r="R486" s="383"/>
      <c r="S486" s="383"/>
      <c r="T486" s="383"/>
      <c r="U486" s="383"/>
      <c r="V486" s="383"/>
      <c r="W486" s="383"/>
      <c r="X486" s="383"/>
      <c r="Y486" s="383"/>
      <c r="Z486" s="383"/>
    </row>
    <row r="487">
      <c r="A487" s="389"/>
      <c r="B487" s="390"/>
      <c r="C487" s="391"/>
      <c r="D487" s="392"/>
      <c r="E487" s="383"/>
      <c r="F487" s="383"/>
      <c r="G487" s="383"/>
      <c r="H487" s="383"/>
      <c r="I487" s="383"/>
      <c r="J487" s="383"/>
      <c r="K487" s="383"/>
      <c r="L487" s="383"/>
      <c r="M487" s="383"/>
      <c r="N487" s="383"/>
      <c r="O487" s="383"/>
      <c r="P487" s="383"/>
      <c r="Q487" s="383"/>
      <c r="R487" s="383"/>
      <c r="S487" s="383"/>
      <c r="T487" s="383"/>
      <c r="U487" s="383"/>
      <c r="V487" s="383"/>
      <c r="W487" s="383"/>
      <c r="X487" s="383"/>
      <c r="Y487" s="383"/>
      <c r="Z487" s="383"/>
    </row>
    <row r="488">
      <c r="A488" s="389"/>
      <c r="B488" s="390"/>
      <c r="C488" s="391"/>
      <c r="D488" s="392"/>
      <c r="E488" s="383"/>
      <c r="F488" s="383"/>
      <c r="G488" s="383"/>
      <c r="H488" s="383"/>
      <c r="I488" s="383"/>
      <c r="J488" s="383"/>
      <c r="K488" s="383"/>
      <c r="L488" s="383"/>
      <c r="M488" s="383"/>
      <c r="N488" s="383"/>
      <c r="O488" s="383"/>
      <c r="P488" s="383"/>
      <c r="Q488" s="383"/>
      <c r="R488" s="383"/>
      <c r="S488" s="383"/>
      <c r="T488" s="383"/>
      <c r="U488" s="383"/>
      <c r="V488" s="383"/>
      <c r="W488" s="383"/>
      <c r="X488" s="383"/>
      <c r="Y488" s="383"/>
      <c r="Z488" s="383"/>
    </row>
    <row r="489">
      <c r="A489" s="389"/>
      <c r="B489" s="390"/>
      <c r="C489" s="391"/>
      <c r="D489" s="392"/>
      <c r="E489" s="383"/>
      <c r="F489" s="383"/>
      <c r="G489" s="383"/>
      <c r="H489" s="383"/>
      <c r="I489" s="383"/>
      <c r="J489" s="383"/>
      <c r="K489" s="383"/>
      <c r="L489" s="383"/>
      <c r="M489" s="383"/>
      <c r="N489" s="383"/>
      <c r="O489" s="383"/>
      <c r="P489" s="383"/>
      <c r="Q489" s="383"/>
      <c r="R489" s="383"/>
      <c r="S489" s="383"/>
      <c r="T489" s="383"/>
      <c r="U489" s="383"/>
      <c r="V489" s="383"/>
      <c r="W489" s="383"/>
      <c r="X489" s="383"/>
      <c r="Y489" s="383"/>
      <c r="Z489" s="383"/>
    </row>
    <row r="490">
      <c r="A490" s="389"/>
      <c r="B490" s="390"/>
      <c r="C490" s="391"/>
      <c r="D490" s="392"/>
      <c r="E490" s="383"/>
      <c r="F490" s="383"/>
      <c r="G490" s="383"/>
      <c r="H490" s="383"/>
      <c r="I490" s="383"/>
      <c r="J490" s="383"/>
      <c r="K490" s="383"/>
      <c r="L490" s="383"/>
      <c r="M490" s="383"/>
      <c r="N490" s="383"/>
      <c r="O490" s="383"/>
      <c r="P490" s="383"/>
      <c r="Q490" s="383"/>
      <c r="R490" s="383"/>
      <c r="S490" s="383"/>
      <c r="T490" s="383"/>
      <c r="U490" s="383"/>
      <c r="V490" s="383"/>
      <c r="W490" s="383"/>
      <c r="X490" s="383"/>
      <c r="Y490" s="383"/>
      <c r="Z490" s="383"/>
    </row>
    <row r="491">
      <c r="A491" s="389"/>
      <c r="B491" s="390"/>
      <c r="C491" s="391"/>
      <c r="D491" s="392"/>
      <c r="E491" s="383"/>
      <c r="F491" s="383"/>
      <c r="G491" s="383"/>
      <c r="H491" s="383"/>
      <c r="I491" s="383"/>
      <c r="J491" s="383"/>
      <c r="K491" s="383"/>
      <c r="L491" s="383"/>
      <c r="M491" s="383"/>
      <c r="N491" s="383"/>
      <c r="O491" s="383"/>
      <c r="P491" s="383"/>
      <c r="Q491" s="383"/>
      <c r="R491" s="383"/>
      <c r="S491" s="383"/>
      <c r="T491" s="383"/>
      <c r="U491" s="383"/>
      <c r="V491" s="383"/>
      <c r="W491" s="383"/>
      <c r="X491" s="383"/>
      <c r="Y491" s="383"/>
      <c r="Z491" s="383"/>
    </row>
    <row r="492">
      <c r="A492" s="389"/>
      <c r="B492" s="390"/>
      <c r="C492" s="391"/>
      <c r="D492" s="392"/>
      <c r="E492" s="383"/>
      <c r="F492" s="383"/>
      <c r="G492" s="383"/>
      <c r="H492" s="383"/>
      <c r="I492" s="383"/>
      <c r="J492" s="383"/>
      <c r="K492" s="383"/>
      <c r="L492" s="383"/>
      <c r="M492" s="383"/>
      <c r="N492" s="383"/>
      <c r="O492" s="383"/>
      <c r="P492" s="383"/>
      <c r="Q492" s="383"/>
      <c r="R492" s="383"/>
      <c r="S492" s="383"/>
      <c r="T492" s="383"/>
      <c r="U492" s="383"/>
      <c r="V492" s="383"/>
      <c r="W492" s="383"/>
      <c r="X492" s="383"/>
      <c r="Y492" s="383"/>
      <c r="Z492" s="383"/>
    </row>
    <row r="493">
      <c r="A493" s="389"/>
      <c r="B493" s="390"/>
      <c r="C493" s="391"/>
      <c r="D493" s="392"/>
      <c r="E493" s="383"/>
      <c r="F493" s="383"/>
      <c r="G493" s="383"/>
      <c r="H493" s="383"/>
      <c r="I493" s="383"/>
      <c r="J493" s="383"/>
      <c r="K493" s="383"/>
      <c r="L493" s="383"/>
      <c r="M493" s="383"/>
      <c r="N493" s="383"/>
      <c r="O493" s="383"/>
      <c r="P493" s="383"/>
      <c r="Q493" s="383"/>
      <c r="R493" s="383"/>
      <c r="S493" s="383"/>
      <c r="T493" s="383"/>
      <c r="U493" s="383"/>
      <c r="V493" s="383"/>
      <c r="W493" s="383"/>
      <c r="X493" s="383"/>
      <c r="Y493" s="383"/>
      <c r="Z493" s="383"/>
    </row>
    <row r="494">
      <c r="A494" s="389"/>
      <c r="B494" s="390"/>
      <c r="C494" s="391"/>
      <c r="D494" s="392"/>
      <c r="E494" s="383"/>
      <c r="F494" s="383"/>
      <c r="G494" s="383"/>
      <c r="H494" s="383"/>
      <c r="I494" s="383"/>
      <c r="J494" s="383"/>
      <c r="K494" s="383"/>
      <c r="L494" s="383"/>
      <c r="M494" s="383"/>
      <c r="N494" s="383"/>
      <c r="O494" s="383"/>
      <c r="P494" s="383"/>
      <c r="Q494" s="383"/>
      <c r="R494" s="383"/>
      <c r="S494" s="383"/>
      <c r="T494" s="383"/>
      <c r="U494" s="383"/>
      <c r="V494" s="383"/>
      <c r="W494" s="383"/>
      <c r="X494" s="383"/>
      <c r="Y494" s="383"/>
      <c r="Z494" s="383"/>
    </row>
    <row r="495">
      <c r="A495" s="389"/>
      <c r="B495" s="390"/>
      <c r="C495" s="391"/>
      <c r="D495" s="392"/>
      <c r="E495" s="383"/>
      <c r="F495" s="383"/>
      <c r="G495" s="383"/>
      <c r="H495" s="383"/>
      <c r="I495" s="383"/>
      <c r="J495" s="383"/>
      <c r="K495" s="383"/>
      <c r="L495" s="383"/>
      <c r="M495" s="383"/>
      <c r="N495" s="383"/>
      <c r="O495" s="383"/>
      <c r="P495" s="383"/>
      <c r="Q495" s="383"/>
      <c r="R495" s="383"/>
      <c r="S495" s="383"/>
      <c r="T495" s="383"/>
      <c r="U495" s="383"/>
      <c r="V495" s="383"/>
      <c r="W495" s="383"/>
      <c r="X495" s="383"/>
      <c r="Y495" s="383"/>
      <c r="Z495" s="383"/>
    </row>
    <row r="496">
      <c r="A496" s="389"/>
      <c r="B496" s="390"/>
      <c r="C496" s="391"/>
      <c r="D496" s="392"/>
      <c r="E496" s="383"/>
      <c r="F496" s="383"/>
      <c r="G496" s="383"/>
      <c r="H496" s="383"/>
      <c r="I496" s="383"/>
      <c r="J496" s="383"/>
      <c r="K496" s="383"/>
      <c r="L496" s="383"/>
      <c r="M496" s="383"/>
      <c r="N496" s="383"/>
      <c r="O496" s="383"/>
      <c r="P496" s="383"/>
      <c r="Q496" s="383"/>
      <c r="R496" s="383"/>
      <c r="S496" s="383"/>
      <c r="T496" s="383"/>
      <c r="U496" s="383"/>
      <c r="V496" s="383"/>
      <c r="W496" s="383"/>
      <c r="X496" s="383"/>
      <c r="Y496" s="383"/>
      <c r="Z496" s="383"/>
    </row>
    <row r="497">
      <c r="A497" s="389"/>
      <c r="B497" s="390"/>
      <c r="C497" s="391"/>
      <c r="D497" s="392"/>
      <c r="E497" s="383"/>
      <c r="F497" s="383"/>
      <c r="G497" s="383"/>
      <c r="H497" s="383"/>
      <c r="I497" s="383"/>
      <c r="J497" s="383"/>
      <c r="K497" s="383"/>
      <c r="L497" s="383"/>
      <c r="M497" s="383"/>
      <c r="N497" s="383"/>
      <c r="O497" s="383"/>
      <c r="P497" s="383"/>
      <c r="Q497" s="383"/>
      <c r="R497" s="383"/>
      <c r="S497" s="383"/>
      <c r="T497" s="383"/>
      <c r="U497" s="383"/>
      <c r="V497" s="383"/>
      <c r="W497" s="383"/>
      <c r="X497" s="383"/>
      <c r="Y497" s="383"/>
      <c r="Z497" s="383"/>
    </row>
    <row r="498">
      <c r="A498" s="389"/>
      <c r="B498" s="390"/>
      <c r="C498" s="391"/>
      <c r="D498" s="392"/>
      <c r="E498" s="383"/>
      <c r="F498" s="383"/>
      <c r="G498" s="383"/>
      <c r="H498" s="383"/>
      <c r="I498" s="383"/>
      <c r="J498" s="383"/>
      <c r="K498" s="383"/>
      <c r="L498" s="383"/>
      <c r="M498" s="383"/>
      <c r="N498" s="383"/>
      <c r="O498" s="383"/>
      <c r="P498" s="383"/>
      <c r="Q498" s="383"/>
      <c r="R498" s="383"/>
      <c r="S498" s="383"/>
      <c r="T498" s="383"/>
      <c r="U498" s="383"/>
      <c r="V498" s="383"/>
      <c r="W498" s="383"/>
      <c r="X498" s="383"/>
      <c r="Y498" s="383"/>
      <c r="Z498" s="383"/>
    </row>
    <row r="499">
      <c r="A499" s="389"/>
      <c r="B499" s="390"/>
      <c r="C499" s="391"/>
      <c r="D499" s="392"/>
      <c r="E499" s="383"/>
      <c r="F499" s="383"/>
      <c r="G499" s="383"/>
      <c r="H499" s="383"/>
      <c r="I499" s="383"/>
      <c r="J499" s="383"/>
      <c r="K499" s="383"/>
      <c r="L499" s="383"/>
      <c r="M499" s="383"/>
      <c r="N499" s="383"/>
      <c r="O499" s="383"/>
      <c r="P499" s="383"/>
      <c r="Q499" s="383"/>
      <c r="R499" s="383"/>
      <c r="S499" s="383"/>
      <c r="T499" s="383"/>
      <c r="U499" s="383"/>
      <c r="V499" s="383"/>
      <c r="W499" s="383"/>
      <c r="X499" s="383"/>
      <c r="Y499" s="383"/>
      <c r="Z499" s="383"/>
    </row>
    <row r="500">
      <c r="A500" s="389"/>
      <c r="B500" s="390"/>
      <c r="C500" s="391"/>
      <c r="D500" s="392"/>
      <c r="E500" s="383"/>
      <c r="F500" s="383"/>
      <c r="G500" s="383"/>
      <c r="H500" s="383"/>
      <c r="I500" s="383"/>
      <c r="J500" s="383"/>
      <c r="K500" s="383"/>
      <c r="L500" s="383"/>
      <c r="M500" s="383"/>
      <c r="N500" s="383"/>
      <c r="O500" s="383"/>
      <c r="P500" s="383"/>
      <c r="Q500" s="383"/>
      <c r="R500" s="383"/>
      <c r="S500" s="383"/>
      <c r="T500" s="383"/>
      <c r="U500" s="383"/>
      <c r="V500" s="383"/>
      <c r="W500" s="383"/>
      <c r="X500" s="383"/>
      <c r="Y500" s="383"/>
      <c r="Z500" s="383"/>
    </row>
    <row r="501">
      <c r="A501" s="389"/>
      <c r="B501" s="390"/>
      <c r="C501" s="391"/>
      <c r="D501" s="392"/>
      <c r="E501" s="383"/>
      <c r="F501" s="383"/>
      <c r="G501" s="383"/>
      <c r="H501" s="383"/>
      <c r="I501" s="383"/>
      <c r="J501" s="383"/>
      <c r="K501" s="383"/>
      <c r="L501" s="383"/>
      <c r="M501" s="383"/>
      <c r="N501" s="383"/>
      <c r="O501" s="383"/>
      <c r="P501" s="383"/>
      <c r="Q501" s="383"/>
      <c r="R501" s="383"/>
      <c r="S501" s="383"/>
      <c r="T501" s="383"/>
      <c r="U501" s="383"/>
      <c r="V501" s="383"/>
      <c r="W501" s="383"/>
      <c r="X501" s="383"/>
      <c r="Y501" s="383"/>
      <c r="Z501" s="383"/>
    </row>
    <row r="502">
      <c r="A502" s="389"/>
      <c r="B502" s="390"/>
      <c r="C502" s="391"/>
      <c r="D502" s="392"/>
      <c r="E502" s="383"/>
      <c r="F502" s="383"/>
      <c r="G502" s="383"/>
      <c r="H502" s="383"/>
      <c r="I502" s="383"/>
      <c r="J502" s="383"/>
      <c r="K502" s="383"/>
      <c r="L502" s="383"/>
      <c r="M502" s="383"/>
      <c r="N502" s="383"/>
      <c r="O502" s="383"/>
      <c r="P502" s="383"/>
      <c r="Q502" s="383"/>
      <c r="R502" s="383"/>
      <c r="S502" s="383"/>
      <c r="T502" s="383"/>
      <c r="U502" s="383"/>
      <c r="V502" s="383"/>
      <c r="W502" s="383"/>
      <c r="X502" s="383"/>
      <c r="Y502" s="383"/>
      <c r="Z502" s="383"/>
    </row>
    <row r="503">
      <c r="A503" s="389"/>
      <c r="B503" s="390"/>
      <c r="C503" s="391"/>
      <c r="D503" s="392"/>
      <c r="E503" s="383"/>
      <c r="F503" s="383"/>
      <c r="G503" s="383"/>
      <c r="H503" s="383"/>
      <c r="I503" s="383"/>
      <c r="J503" s="383"/>
      <c r="K503" s="383"/>
      <c r="L503" s="383"/>
      <c r="M503" s="383"/>
      <c r="N503" s="383"/>
      <c r="O503" s="383"/>
      <c r="P503" s="383"/>
      <c r="Q503" s="383"/>
      <c r="R503" s="383"/>
      <c r="S503" s="383"/>
      <c r="T503" s="383"/>
      <c r="U503" s="383"/>
      <c r="V503" s="383"/>
      <c r="W503" s="383"/>
      <c r="X503" s="383"/>
      <c r="Y503" s="383"/>
      <c r="Z503" s="383"/>
    </row>
    <row r="504">
      <c r="A504" s="389"/>
      <c r="B504" s="390"/>
      <c r="C504" s="391"/>
      <c r="D504" s="392"/>
      <c r="E504" s="383"/>
      <c r="F504" s="383"/>
      <c r="G504" s="383"/>
      <c r="H504" s="383"/>
      <c r="I504" s="383"/>
      <c r="J504" s="383"/>
      <c r="K504" s="383"/>
      <c r="L504" s="383"/>
      <c r="M504" s="383"/>
      <c r="N504" s="383"/>
      <c r="O504" s="383"/>
      <c r="P504" s="383"/>
      <c r="Q504" s="383"/>
      <c r="R504" s="383"/>
      <c r="S504" s="383"/>
      <c r="T504" s="383"/>
      <c r="U504" s="383"/>
      <c r="V504" s="383"/>
      <c r="W504" s="383"/>
      <c r="X504" s="383"/>
      <c r="Y504" s="383"/>
      <c r="Z504" s="383"/>
    </row>
    <row r="505">
      <c r="A505" s="389"/>
      <c r="B505" s="390"/>
      <c r="C505" s="391"/>
      <c r="D505" s="392"/>
      <c r="E505" s="383"/>
      <c r="F505" s="383"/>
      <c r="G505" s="383"/>
      <c r="H505" s="383"/>
      <c r="I505" s="383"/>
      <c r="J505" s="383"/>
      <c r="K505" s="383"/>
      <c r="L505" s="383"/>
      <c r="M505" s="383"/>
      <c r="N505" s="383"/>
      <c r="O505" s="383"/>
      <c r="P505" s="383"/>
      <c r="Q505" s="383"/>
      <c r="R505" s="383"/>
      <c r="S505" s="383"/>
      <c r="T505" s="383"/>
      <c r="U505" s="383"/>
      <c r="V505" s="383"/>
      <c r="W505" s="383"/>
      <c r="X505" s="383"/>
      <c r="Y505" s="383"/>
      <c r="Z505" s="383"/>
    </row>
    <row r="506">
      <c r="A506" s="389"/>
      <c r="B506" s="390"/>
      <c r="C506" s="391"/>
      <c r="D506" s="392"/>
      <c r="E506" s="383"/>
      <c r="F506" s="383"/>
      <c r="G506" s="383"/>
      <c r="H506" s="383"/>
      <c r="I506" s="383"/>
      <c r="J506" s="383"/>
      <c r="K506" s="383"/>
      <c r="L506" s="383"/>
      <c r="M506" s="383"/>
      <c r="N506" s="383"/>
      <c r="O506" s="383"/>
      <c r="P506" s="383"/>
      <c r="Q506" s="383"/>
      <c r="R506" s="383"/>
      <c r="S506" s="383"/>
      <c r="T506" s="383"/>
      <c r="U506" s="383"/>
      <c r="V506" s="383"/>
      <c r="W506" s="383"/>
      <c r="X506" s="383"/>
      <c r="Y506" s="383"/>
      <c r="Z506" s="383"/>
    </row>
    <row r="507">
      <c r="A507" s="389"/>
      <c r="B507" s="390"/>
      <c r="C507" s="391"/>
      <c r="D507" s="392"/>
      <c r="E507" s="383"/>
      <c r="F507" s="383"/>
      <c r="G507" s="383"/>
      <c r="H507" s="383"/>
      <c r="I507" s="383"/>
      <c r="J507" s="383"/>
      <c r="K507" s="383"/>
      <c r="L507" s="383"/>
      <c r="M507" s="383"/>
      <c r="N507" s="383"/>
      <c r="O507" s="383"/>
      <c r="P507" s="383"/>
      <c r="Q507" s="383"/>
      <c r="R507" s="383"/>
      <c r="S507" s="383"/>
      <c r="T507" s="383"/>
      <c r="U507" s="383"/>
      <c r="V507" s="383"/>
      <c r="W507" s="383"/>
      <c r="X507" s="383"/>
      <c r="Y507" s="383"/>
      <c r="Z507" s="383"/>
    </row>
    <row r="508">
      <c r="A508" s="389"/>
      <c r="B508" s="390"/>
      <c r="C508" s="391"/>
      <c r="D508" s="392"/>
      <c r="E508" s="383"/>
      <c r="F508" s="383"/>
      <c r="G508" s="383"/>
      <c r="H508" s="383"/>
      <c r="I508" s="383"/>
      <c r="J508" s="383"/>
      <c r="K508" s="383"/>
      <c r="L508" s="383"/>
      <c r="M508" s="383"/>
      <c r="N508" s="383"/>
      <c r="O508" s="383"/>
      <c r="P508" s="383"/>
      <c r="Q508" s="383"/>
      <c r="R508" s="383"/>
      <c r="S508" s="383"/>
      <c r="T508" s="383"/>
      <c r="U508" s="383"/>
      <c r="V508" s="383"/>
      <c r="W508" s="383"/>
      <c r="X508" s="383"/>
      <c r="Y508" s="383"/>
      <c r="Z508" s="383"/>
    </row>
    <row r="509">
      <c r="A509" s="389"/>
      <c r="B509" s="390"/>
      <c r="C509" s="391"/>
      <c r="D509" s="392"/>
      <c r="E509" s="383"/>
      <c r="F509" s="383"/>
      <c r="G509" s="383"/>
      <c r="H509" s="383"/>
      <c r="I509" s="383"/>
      <c r="J509" s="383"/>
      <c r="K509" s="383"/>
      <c r="L509" s="383"/>
      <c r="M509" s="383"/>
      <c r="N509" s="383"/>
      <c r="O509" s="383"/>
      <c r="P509" s="383"/>
      <c r="Q509" s="383"/>
      <c r="R509" s="383"/>
      <c r="S509" s="383"/>
      <c r="T509" s="383"/>
      <c r="U509" s="383"/>
      <c r="V509" s="383"/>
      <c r="W509" s="383"/>
      <c r="X509" s="383"/>
      <c r="Y509" s="383"/>
      <c r="Z509" s="383"/>
    </row>
    <row r="510">
      <c r="A510" s="389"/>
      <c r="B510" s="390"/>
      <c r="C510" s="391"/>
      <c r="D510" s="392"/>
      <c r="E510" s="383"/>
      <c r="F510" s="383"/>
      <c r="G510" s="383"/>
      <c r="H510" s="383"/>
      <c r="I510" s="383"/>
      <c r="J510" s="383"/>
      <c r="K510" s="383"/>
      <c r="L510" s="383"/>
      <c r="M510" s="383"/>
      <c r="N510" s="383"/>
      <c r="O510" s="383"/>
      <c r="P510" s="383"/>
      <c r="Q510" s="383"/>
      <c r="R510" s="383"/>
      <c r="S510" s="383"/>
      <c r="T510" s="383"/>
      <c r="U510" s="383"/>
      <c r="V510" s="383"/>
      <c r="W510" s="383"/>
      <c r="X510" s="383"/>
      <c r="Y510" s="383"/>
      <c r="Z510" s="383"/>
    </row>
    <row r="511">
      <c r="A511" s="389"/>
      <c r="B511" s="390"/>
      <c r="C511" s="391"/>
      <c r="D511" s="392"/>
      <c r="E511" s="383"/>
      <c r="F511" s="383"/>
      <c r="G511" s="383"/>
      <c r="H511" s="383"/>
      <c r="I511" s="383"/>
      <c r="J511" s="383"/>
      <c r="K511" s="383"/>
      <c r="L511" s="383"/>
      <c r="M511" s="383"/>
      <c r="N511" s="383"/>
      <c r="O511" s="383"/>
      <c r="P511" s="383"/>
      <c r="Q511" s="383"/>
      <c r="R511" s="383"/>
      <c r="S511" s="383"/>
      <c r="T511" s="383"/>
      <c r="U511" s="383"/>
      <c r="V511" s="383"/>
      <c r="W511" s="383"/>
      <c r="X511" s="383"/>
      <c r="Y511" s="383"/>
      <c r="Z511" s="383"/>
    </row>
    <row r="512">
      <c r="A512" s="389"/>
      <c r="B512" s="390"/>
      <c r="C512" s="391"/>
      <c r="D512" s="392"/>
      <c r="E512" s="383"/>
      <c r="F512" s="383"/>
      <c r="G512" s="383"/>
      <c r="H512" s="383"/>
      <c r="I512" s="383"/>
      <c r="J512" s="383"/>
      <c r="K512" s="383"/>
      <c r="L512" s="383"/>
      <c r="M512" s="383"/>
      <c r="N512" s="383"/>
      <c r="O512" s="383"/>
      <c r="P512" s="383"/>
      <c r="Q512" s="383"/>
      <c r="R512" s="383"/>
      <c r="S512" s="383"/>
      <c r="T512" s="383"/>
      <c r="U512" s="383"/>
      <c r="V512" s="383"/>
      <c r="W512" s="383"/>
      <c r="X512" s="383"/>
      <c r="Y512" s="383"/>
      <c r="Z512" s="383"/>
    </row>
    <row r="513">
      <c r="A513" s="389"/>
      <c r="B513" s="390"/>
      <c r="C513" s="391"/>
      <c r="D513" s="392"/>
      <c r="E513" s="383"/>
      <c r="F513" s="383"/>
      <c r="G513" s="383"/>
      <c r="H513" s="383"/>
      <c r="I513" s="383"/>
      <c r="J513" s="383"/>
      <c r="K513" s="383"/>
      <c r="L513" s="383"/>
      <c r="M513" s="383"/>
      <c r="N513" s="383"/>
      <c r="O513" s="383"/>
      <c r="P513" s="383"/>
      <c r="Q513" s="383"/>
      <c r="R513" s="383"/>
      <c r="S513" s="383"/>
      <c r="T513" s="383"/>
      <c r="U513" s="383"/>
      <c r="V513" s="383"/>
      <c r="W513" s="383"/>
      <c r="X513" s="383"/>
      <c r="Y513" s="383"/>
      <c r="Z513" s="383"/>
    </row>
    <row r="514">
      <c r="A514" s="389"/>
      <c r="B514" s="390"/>
      <c r="C514" s="391"/>
      <c r="D514" s="392"/>
      <c r="E514" s="383"/>
      <c r="F514" s="383"/>
      <c r="G514" s="383"/>
      <c r="H514" s="383"/>
      <c r="I514" s="383"/>
      <c r="J514" s="383"/>
      <c r="K514" s="383"/>
      <c r="L514" s="383"/>
      <c r="M514" s="383"/>
      <c r="N514" s="383"/>
      <c r="O514" s="383"/>
      <c r="P514" s="383"/>
      <c r="Q514" s="383"/>
      <c r="R514" s="383"/>
      <c r="S514" s="383"/>
      <c r="T514" s="383"/>
      <c r="U514" s="383"/>
      <c r="V514" s="383"/>
      <c r="W514" s="383"/>
      <c r="X514" s="383"/>
      <c r="Y514" s="383"/>
      <c r="Z514" s="383"/>
    </row>
    <row r="515">
      <c r="A515" s="389"/>
      <c r="B515" s="390"/>
      <c r="C515" s="391"/>
      <c r="D515" s="392"/>
      <c r="E515" s="383"/>
      <c r="F515" s="383"/>
      <c r="G515" s="383"/>
      <c r="H515" s="383"/>
      <c r="I515" s="383"/>
      <c r="J515" s="383"/>
      <c r="K515" s="383"/>
      <c r="L515" s="383"/>
      <c r="M515" s="383"/>
      <c r="N515" s="383"/>
      <c r="O515" s="383"/>
      <c r="P515" s="383"/>
      <c r="Q515" s="383"/>
      <c r="R515" s="383"/>
      <c r="S515" s="383"/>
      <c r="T515" s="383"/>
      <c r="U515" s="383"/>
      <c r="V515" s="383"/>
      <c r="W515" s="383"/>
      <c r="X515" s="383"/>
      <c r="Y515" s="383"/>
      <c r="Z515" s="383"/>
    </row>
    <row r="516">
      <c r="A516" s="389"/>
      <c r="B516" s="390"/>
      <c r="C516" s="391"/>
      <c r="D516" s="392"/>
      <c r="E516" s="383"/>
      <c r="F516" s="383"/>
      <c r="G516" s="383"/>
      <c r="H516" s="383"/>
      <c r="I516" s="383"/>
      <c r="J516" s="383"/>
      <c r="K516" s="383"/>
      <c r="L516" s="383"/>
      <c r="M516" s="383"/>
      <c r="N516" s="383"/>
      <c r="O516" s="383"/>
      <c r="P516" s="383"/>
      <c r="Q516" s="383"/>
      <c r="R516" s="383"/>
      <c r="S516" s="383"/>
      <c r="T516" s="383"/>
      <c r="U516" s="383"/>
      <c r="V516" s="383"/>
      <c r="W516" s="383"/>
      <c r="X516" s="383"/>
      <c r="Y516" s="383"/>
      <c r="Z516" s="383"/>
    </row>
    <row r="517">
      <c r="A517" s="389"/>
      <c r="B517" s="390"/>
      <c r="C517" s="391"/>
      <c r="D517" s="392"/>
      <c r="E517" s="383"/>
      <c r="F517" s="383"/>
      <c r="G517" s="383"/>
      <c r="H517" s="383"/>
      <c r="I517" s="383"/>
      <c r="J517" s="383"/>
      <c r="K517" s="383"/>
      <c r="L517" s="383"/>
      <c r="M517" s="383"/>
      <c r="N517" s="383"/>
      <c r="O517" s="383"/>
      <c r="P517" s="383"/>
      <c r="Q517" s="383"/>
      <c r="R517" s="383"/>
      <c r="S517" s="383"/>
      <c r="T517" s="383"/>
      <c r="U517" s="383"/>
      <c r="V517" s="383"/>
      <c r="W517" s="383"/>
      <c r="X517" s="383"/>
      <c r="Y517" s="383"/>
      <c r="Z517" s="383"/>
    </row>
    <row r="518">
      <c r="A518" s="389"/>
      <c r="B518" s="390"/>
      <c r="C518" s="391"/>
      <c r="D518" s="392"/>
      <c r="E518" s="383"/>
      <c r="F518" s="383"/>
      <c r="G518" s="383"/>
      <c r="H518" s="383"/>
      <c r="I518" s="383"/>
      <c r="J518" s="383"/>
      <c r="K518" s="383"/>
      <c r="L518" s="383"/>
      <c r="M518" s="383"/>
      <c r="N518" s="383"/>
      <c r="O518" s="383"/>
      <c r="P518" s="383"/>
      <c r="Q518" s="383"/>
      <c r="R518" s="383"/>
      <c r="S518" s="383"/>
      <c r="T518" s="383"/>
      <c r="U518" s="383"/>
      <c r="V518" s="383"/>
      <c r="W518" s="383"/>
      <c r="X518" s="383"/>
      <c r="Y518" s="383"/>
      <c r="Z518" s="383"/>
    </row>
    <row r="519">
      <c r="A519" s="389"/>
      <c r="B519" s="390"/>
      <c r="C519" s="391"/>
      <c r="D519" s="392"/>
      <c r="E519" s="383"/>
      <c r="F519" s="383"/>
      <c r="G519" s="383"/>
      <c r="H519" s="383"/>
      <c r="I519" s="383"/>
      <c r="J519" s="383"/>
      <c r="K519" s="383"/>
      <c r="L519" s="383"/>
      <c r="M519" s="383"/>
      <c r="N519" s="383"/>
      <c r="O519" s="383"/>
      <c r="P519" s="383"/>
      <c r="Q519" s="383"/>
      <c r="R519" s="383"/>
      <c r="S519" s="383"/>
      <c r="T519" s="383"/>
      <c r="U519" s="383"/>
      <c r="V519" s="383"/>
      <c r="W519" s="383"/>
      <c r="X519" s="383"/>
      <c r="Y519" s="383"/>
      <c r="Z519" s="383"/>
    </row>
    <row r="520">
      <c r="A520" s="389"/>
      <c r="B520" s="390"/>
      <c r="C520" s="391"/>
      <c r="D520" s="392"/>
      <c r="E520" s="383"/>
      <c r="F520" s="383"/>
      <c r="G520" s="383"/>
      <c r="H520" s="383"/>
      <c r="I520" s="383"/>
      <c r="J520" s="383"/>
      <c r="K520" s="383"/>
      <c r="L520" s="383"/>
      <c r="M520" s="383"/>
      <c r="N520" s="383"/>
      <c r="O520" s="383"/>
      <c r="P520" s="383"/>
      <c r="Q520" s="383"/>
      <c r="R520" s="383"/>
      <c r="S520" s="383"/>
      <c r="T520" s="383"/>
      <c r="U520" s="383"/>
      <c r="V520" s="383"/>
      <c r="W520" s="383"/>
      <c r="X520" s="383"/>
      <c r="Y520" s="383"/>
      <c r="Z520" s="383"/>
    </row>
    <row r="521">
      <c r="A521" s="389"/>
      <c r="B521" s="390"/>
      <c r="C521" s="391"/>
      <c r="D521" s="392"/>
      <c r="E521" s="383"/>
      <c r="F521" s="383"/>
      <c r="G521" s="383"/>
      <c r="H521" s="383"/>
      <c r="I521" s="383"/>
      <c r="J521" s="383"/>
      <c r="K521" s="383"/>
      <c r="L521" s="383"/>
      <c r="M521" s="383"/>
      <c r="N521" s="383"/>
      <c r="O521" s="383"/>
      <c r="P521" s="383"/>
      <c r="Q521" s="383"/>
      <c r="R521" s="383"/>
      <c r="S521" s="383"/>
      <c r="T521" s="383"/>
      <c r="U521" s="383"/>
      <c r="V521" s="383"/>
      <c r="W521" s="383"/>
      <c r="X521" s="383"/>
      <c r="Y521" s="383"/>
      <c r="Z521" s="383"/>
    </row>
    <row r="522">
      <c r="A522" s="389"/>
      <c r="B522" s="390"/>
      <c r="C522" s="391"/>
      <c r="D522" s="392"/>
      <c r="E522" s="383"/>
      <c r="F522" s="383"/>
      <c r="G522" s="383"/>
      <c r="H522" s="383"/>
      <c r="I522" s="383"/>
      <c r="J522" s="383"/>
      <c r="K522" s="383"/>
      <c r="L522" s="383"/>
      <c r="M522" s="383"/>
      <c r="N522" s="383"/>
      <c r="O522" s="383"/>
      <c r="P522" s="383"/>
      <c r="Q522" s="383"/>
      <c r="R522" s="383"/>
      <c r="S522" s="383"/>
      <c r="T522" s="383"/>
      <c r="U522" s="383"/>
      <c r="V522" s="383"/>
      <c r="W522" s="383"/>
      <c r="X522" s="383"/>
      <c r="Y522" s="383"/>
      <c r="Z522" s="383"/>
    </row>
    <row r="523">
      <c r="A523" s="389"/>
      <c r="B523" s="390"/>
      <c r="C523" s="391"/>
      <c r="D523" s="392"/>
      <c r="E523" s="383"/>
      <c r="F523" s="383"/>
      <c r="G523" s="383"/>
      <c r="H523" s="383"/>
      <c r="I523" s="383"/>
      <c r="J523" s="383"/>
      <c r="K523" s="383"/>
      <c r="L523" s="383"/>
      <c r="M523" s="383"/>
      <c r="N523" s="383"/>
      <c r="O523" s="383"/>
      <c r="P523" s="383"/>
      <c r="Q523" s="383"/>
      <c r="R523" s="383"/>
      <c r="S523" s="383"/>
      <c r="T523" s="383"/>
      <c r="U523" s="383"/>
      <c r="V523" s="383"/>
      <c r="W523" s="383"/>
      <c r="X523" s="383"/>
      <c r="Y523" s="383"/>
      <c r="Z523" s="383"/>
    </row>
    <row r="524">
      <c r="A524" s="389"/>
      <c r="B524" s="390"/>
      <c r="C524" s="391"/>
      <c r="D524" s="392"/>
      <c r="E524" s="383"/>
      <c r="F524" s="383"/>
      <c r="G524" s="383"/>
      <c r="H524" s="383"/>
      <c r="I524" s="383"/>
      <c r="J524" s="383"/>
      <c r="K524" s="383"/>
      <c r="L524" s="383"/>
      <c r="M524" s="383"/>
      <c r="N524" s="383"/>
      <c r="O524" s="383"/>
      <c r="P524" s="383"/>
      <c r="Q524" s="383"/>
      <c r="R524" s="383"/>
      <c r="S524" s="383"/>
      <c r="T524" s="383"/>
      <c r="U524" s="383"/>
      <c r="V524" s="383"/>
      <c r="W524" s="383"/>
      <c r="X524" s="383"/>
      <c r="Y524" s="383"/>
      <c r="Z524" s="383"/>
    </row>
    <row r="525">
      <c r="A525" s="389"/>
      <c r="B525" s="390"/>
      <c r="C525" s="391"/>
      <c r="D525" s="392"/>
      <c r="E525" s="383"/>
      <c r="F525" s="383"/>
      <c r="G525" s="383"/>
      <c r="H525" s="383"/>
      <c r="I525" s="383"/>
      <c r="J525" s="383"/>
      <c r="K525" s="383"/>
      <c r="L525" s="383"/>
      <c r="M525" s="383"/>
      <c r="N525" s="383"/>
      <c r="O525" s="383"/>
      <c r="P525" s="383"/>
      <c r="Q525" s="383"/>
      <c r="R525" s="383"/>
      <c r="S525" s="383"/>
      <c r="T525" s="383"/>
      <c r="U525" s="383"/>
      <c r="V525" s="383"/>
      <c r="W525" s="383"/>
      <c r="X525" s="383"/>
      <c r="Y525" s="383"/>
      <c r="Z525" s="383"/>
    </row>
    <row r="526">
      <c r="A526" s="389"/>
      <c r="B526" s="390"/>
      <c r="C526" s="391"/>
      <c r="D526" s="392"/>
      <c r="E526" s="383"/>
      <c r="F526" s="383"/>
      <c r="G526" s="383"/>
      <c r="H526" s="383"/>
      <c r="I526" s="383"/>
      <c r="J526" s="383"/>
      <c r="K526" s="383"/>
      <c r="L526" s="383"/>
      <c r="M526" s="383"/>
      <c r="N526" s="383"/>
      <c r="O526" s="383"/>
      <c r="P526" s="383"/>
      <c r="Q526" s="383"/>
      <c r="R526" s="383"/>
      <c r="S526" s="383"/>
      <c r="T526" s="383"/>
      <c r="U526" s="383"/>
      <c r="V526" s="383"/>
      <c r="W526" s="383"/>
      <c r="X526" s="383"/>
      <c r="Y526" s="383"/>
      <c r="Z526" s="383"/>
    </row>
    <row r="527">
      <c r="A527" s="389"/>
      <c r="B527" s="390"/>
      <c r="C527" s="391"/>
      <c r="D527" s="392"/>
      <c r="E527" s="383"/>
      <c r="F527" s="383"/>
      <c r="G527" s="383"/>
      <c r="H527" s="383"/>
      <c r="I527" s="383"/>
      <c r="J527" s="383"/>
      <c r="K527" s="383"/>
      <c r="L527" s="383"/>
      <c r="M527" s="383"/>
      <c r="N527" s="383"/>
      <c r="O527" s="383"/>
      <c r="P527" s="383"/>
      <c r="Q527" s="383"/>
      <c r="R527" s="383"/>
      <c r="S527" s="383"/>
      <c r="T527" s="383"/>
      <c r="U527" s="383"/>
      <c r="V527" s="383"/>
      <c r="W527" s="383"/>
      <c r="X527" s="383"/>
      <c r="Y527" s="383"/>
      <c r="Z527" s="383"/>
    </row>
    <row r="528">
      <c r="A528" s="389"/>
      <c r="B528" s="390"/>
      <c r="C528" s="391"/>
      <c r="D528" s="392"/>
      <c r="E528" s="383"/>
      <c r="F528" s="383"/>
      <c r="G528" s="383"/>
      <c r="H528" s="383"/>
      <c r="I528" s="383"/>
      <c r="J528" s="383"/>
      <c r="K528" s="383"/>
      <c r="L528" s="383"/>
      <c r="M528" s="383"/>
      <c r="N528" s="383"/>
      <c r="O528" s="383"/>
      <c r="P528" s="383"/>
      <c r="Q528" s="383"/>
      <c r="R528" s="383"/>
      <c r="S528" s="383"/>
      <c r="T528" s="383"/>
      <c r="U528" s="383"/>
      <c r="V528" s="383"/>
      <c r="W528" s="383"/>
      <c r="X528" s="383"/>
      <c r="Y528" s="383"/>
      <c r="Z528" s="383"/>
    </row>
    <row r="529">
      <c r="A529" s="389"/>
      <c r="B529" s="390"/>
      <c r="C529" s="391"/>
      <c r="D529" s="392"/>
      <c r="E529" s="383"/>
      <c r="F529" s="383"/>
      <c r="G529" s="383"/>
      <c r="H529" s="383"/>
      <c r="I529" s="383"/>
      <c r="J529" s="383"/>
      <c r="K529" s="383"/>
      <c r="L529" s="383"/>
      <c r="M529" s="383"/>
      <c r="N529" s="383"/>
      <c r="O529" s="383"/>
      <c r="P529" s="383"/>
      <c r="Q529" s="383"/>
      <c r="R529" s="383"/>
      <c r="S529" s="383"/>
      <c r="T529" s="383"/>
      <c r="U529" s="383"/>
      <c r="V529" s="383"/>
      <c r="W529" s="383"/>
      <c r="X529" s="383"/>
      <c r="Y529" s="383"/>
      <c r="Z529" s="383"/>
    </row>
    <row r="530">
      <c r="A530" s="389"/>
      <c r="B530" s="390"/>
      <c r="C530" s="391"/>
      <c r="D530" s="392"/>
      <c r="E530" s="383"/>
      <c r="F530" s="383"/>
      <c r="G530" s="383"/>
      <c r="H530" s="383"/>
      <c r="I530" s="383"/>
      <c r="J530" s="383"/>
      <c r="K530" s="383"/>
      <c r="L530" s="383"/>
      <c r="M530" s="383"/>
      <c r="N530" s="383"/>
      <c r="O530" s="383"/>
      <c r="P530" s="383"/>
      <c r="Q530" s="383"/>
      <c r="R530" s="383"/>
      <c r="S530" s="383"/>
      <c r="T530" s="383"/>
      <c r="U530" s="383"/>
      <c r="V530" s="383"/>
      <c r="W530" s="383"/>
      <c r="X530" s="383"/>
      <c r="Y530" s="383"/>
      <c r="Z530" s="383"/>
    </row>
    <row r="531">
      <c r="A531" s="389"/>
      <c r="B531" s="390"/>
      <c r="C531" s="391"/>
      <c r="D531" s="392"/>
      <c r="E531" s="383"/>
      <c r="F531" s="383"/>
      <c r="G531" s="383"/>
      <c r="H531" s="383"/>
      <c r="I531" s="383"/>
      <c r="J531" s="383"/>
      <c r="K531" s="383"/>
      <c r="L531" s="383"/>
      <c r="M531" s="383"/>
      <c r="N531" s="383"/>
      <c r="O531" s="383"/>
      <c r="P531" s="383"/>
      <c r="Q531" s="383"/>
      <c r="R531" s="383"/>
      <c r="S531" s="383"/>
      <c r="T531" s="383"/>
      <c r="U531" s="383"/>
      <c r="V531" s="383"/>
      <c r="W531" s="383"/>
      <c r="X531" s="383"/>
      <c r="Y531" s="383"/>
      <c r="Z531" s="383"/>
    </row>
    <row r="532">
      <c r="A532" s="389"/>
      <c r="B532" s="390"/>
      <c r="C532" s="391"/>
      <c r="D532" s="392"/>
      <c r="E532" s="383"/>
      <c r="F532" s="383"/>
      <c r="G532" s="383"/>
      <c r="H532" s="383"/>
      <c r="I532" s="383"/>
      <c r="J532" s="383"/>
      <c r="K532" s="383"/>
      <c r="L532" s="383"/>
      <c r="M532" s="383"/>
      <c r="N532" s="383"/>
      <c r="O532" s="383"/>
      <c r="P532" s="383"/>
      <c r="Q532" s="383"/>
      <c r="R532" s="383"/>
      <c r="S532" s="383"/>
      <c r="T532" s="383"/>
      <c r="U532" s="383"/>
      <c r="V532" s="383"/>
      <c r="W532" s="383"/>
      <c r="X532" s="383"/>
      <c r="Y532" s="383"/>
      <c r="Z532" s="383"/>
    </row>
    <row r="533">
      <c r="A533" s="389"/>
      <c r="B533" s="390"/>
      <c r="C533" s="391"/>
      <c r="D533" s="392"/>
      <c r="E533" s="383"/>
      <c r="F533" s="383"/>
      <c r="G533" s="383"/>
      <c r="H533" s="383"/>
      <c r="I533" s="383"/>
      <c r="J533" s="383"/>
      <c r="K533" s="383"/>
      <c r="L533" s="383"/>
      <c r="M533" s="383"/>
      <c r="N533" s="383"/>
      <c r="O533" s="383"/>
      <c r="P533" s="383"/>
      <c r="Q533" s="383"/>
      <c r="R533" s="383"/>
      <c r="S533" s="383"/>
      <c r="T533" s="383"/>
      <c r="U533" s="383"/>
      <c r="V533" s="383"/>
      <c r="W533" s="383"/>
      <c r="X533" s="383"/>
      <c r="Y533" s="383"/>
      <c r="Z533" s="383"/>
    </row>
    <row r="534">
      <c r="A534" s="389"/>
      <c r="B534" s="390"/>
      <c r="C534" s="391"/>
      <c r="D534" s="392"/>
      <c r="E534" s="383"/>
      <c r="F534" s="383"/>
      <c r="G534" s="383"/>
      <c r="H534" s="383"/>
      <c r="I534" s="383"/>
      <c r="J534" s="383"/>
      <c r="K534" s="383"/>
      <c r="L534" s="383"/>
      <c r="M534" s="383"/>
      <c r="N534" s="383"/>
      <c r="O534" s="383"/>
      <c r="P534" s="383"/>
      <c r="Q534" s="383"/>
      <c r="R534" s="383"/>
      <c r="S534" s="383"/>
      <c r="T534" s="383"/>
      <c r="U534" s="383"/>
      <c r="V534" s="383"/>
      <c r="W534" s="383"/>
      <c r="X534" s="383"/>
      <c r="Y534" s="383"/>
      <c r="Z534" s="383"/>
    </row>
    <row r="535">
      <c r="A535" s="389"/>
      <c r="B535" s="390"/>
      <c r="C535" s="391"/>
      <c r="D535" s="392"/>
      <c r="E535" s="383"/>
      <c r="F535" s="383"/>
      <c r="G535" s="383"/>
      <c r="H535" s="383"/>
      <c r="I535" s="383"/>
      <c r="J535" s="383"/>
      <c r="K535" s="383"/>
      <c r="L535" s="383"/>
      <c r="M535" s="383"/>
      <c r="N535" s="383"/>
      <c r="O535" s="383"/>
      <c r="P535" s="383"/>
      <c r="Q535" s="383"/>
      <c r="R535" s="383"/>
      <c r="S535" s="383"/>
      <c r="T535" s="383"/>
      <c r="U535" s="383"/>
      <c r="V535" s="383"/>
      <c r="W535" s="383"/>
      <c r="X535" s="383"/>
      <c r="Y535" s="383"/>
      <c r="Z535" s="383"/>
    </row>
    <row r="536">
      <c r="A536" s="389"/>
      <c r="B536" s="390"/>
      <c r="C536" s="391"/>
      <c r="D536" s="392"/>
      <c r="E536" s="383"/>
      <c r="F536" s="383"/>
      <c r="G536" s="383"/>
      <c r="H536" s="383"/>
      <c r="I536" s="383"/>
      <c r="J536" s="383"/>
      <c r="K536" s="383"/>
      <c r="L536" s="383"/>
      <c r="M536" s="383"/>
      <c r="N536" s="383"/>
      <c r="O536" s="383"/>
      <c r="P536" s="383"/>
      <c r="Q536" s="383"/>
      <c r="R536" s="383"/>
      <c r="S536" s="383"/>
      <c r="T536" s="383"/>
      <c r="U536" s="383"/>
      <c r="V536" s="383"/>
      <c r="W536" s="383"/>
      <c r="X536" s="383"/>
      <c r="Y536" s="383"/>
      <c r="Z536" s="383"/>
    </row>
    <row r="537">
      <c r="A537" s="389"/>
      <c r="B537" s="390"/>
      <c r="C537" s="391"/>
      <c r="D537" s="392"/>
      <c r="E537" s="383"/>
      <c r="F537" s="383"/>
      <c r="G537" s="383"/>
      <c r="H537" s="383"/>
      <c r="I537" s="383"/>
      <c r="J537" s="383"/>
      <c r="K537" s="383"/>
      <c r="L537" s="383"/>
      <c r="M537" s="383"/>
      <c r="N537" s="383"/>
      <c r="O537" s="383"/>
      <c r="P537" s="383"/>
      <c r="Q537" s="383"/>
      <c r="R537" s="383"/>
      <c r="S537" s="383"/>
      <c r="T537" s="383"/>
      <c r="U537" s="383"/>
      <c r="V537" s="383"/>
      <c r="W537" s="383"/>
      <c r="X537" s="383"/>
      <c r="Y537" s="383"/>
      <c r="Z537" s="383"/>
    </row>
    <row r="538">
      <c r="A538" s="389"/>
      <c r="B538" s="390"/>
      <c r="C538" s="391"/>
      <c r="D538" s="392"/>
      <c r="E538" s="383"/>
      <c r="F538" s="383"/>
      <c r="G538" s="383"/>
      <c r="H538" s="383"/>
      <c r="I538" s="383"/>
      <c r="J538" s="383"/>
      <c r="K538" s="383"/>
      <c r="L538" s="383"/>
      <c r="M538" s="383"/>
      <c r="N538" s="383"/>
      <c r="O538" s="383"/>
      <c r="P538" s="383"/>
      <c r="Q538" s="383"/>
      <c r="R538" s="383"/>
      <c r="S538" s="383"/>
      <c r="T538" s="383"/>
      <c r="U538" s="383"/>
      <c r="V538" s="383"/>
      <c r="W538" s="383"/>
      <c r="X538" s="383"/>
      <c r="Y538" s="383"/>
      <c r="Z538" s="383"/>
    </row>
    <row r="539">
      <c r="A539" s="389"/>
      <c r="B539" s="390"/>
      <c r="C539" s="391"/>
      <c r="D539" s="392"/>
      <c r="E539" s="383"/>
      <c r="F539" s="383"/>
      <c r="G539" s="383"/>
      <c r="H539" s="383"/>
      <c r="I539" s="383"/>
      <c r="J539" s="383"/>
      <c r="K539" s="383"/>
      <c r="L539" s="383"/>
      <c r="M539" s="383"/>
      <c r="N539" s="383"/>
      <c r="O539" s="383"/>
      <c r="P539" s="383"/>
      <c r="Q539" s="383"/>
      <c r="R539" s="383"/>
      <c r="S539" s="383"/>
      <c r="T539" s="383"/>
      <c r="U539" s="383"/>
      <c r="V539" s="383"/>
      <c r="W539" s="383"/>
      <c r="X539" s="383"/>
      <c r="Y539" s="383"/>
      <c r="Z539" s="383"/>
    </row>
    <row r="540">
      <c r="A540" s="389"/>
      <c r="B540" s="390"/>
      <c r="C540" s="391"/>
      <c r="D540" s="392"/>
      <c r="E540" s="383"/>
      <c r="F540" s="383"/>
      <c r="G540" s="383"/>
      <c r="H540" s="383"/>
      <c r="I540" s="383"/>
      <c r="J540" s="383"/>
      <c r="K540" s="383"/>
      <c r="L540" s="383"/>
      <c r="M540" s="383"/>
      <c r="N540" s="383"/>
      <c r="O540" s="383"/>
      <c r="P540" s="383"/>
      <c r="Q540" s="383"/>
      <c r="R540" s="383"/>
      <c r="S540" s="383"/>
      <c r="T540" s="383"/>
      <c r="U540" s="383"/>
      <c r="V540" s="383"/>
      <c r="W540" s="383"/>
      <c r="X540" s="383"/>
      <c r="Y540" s="383"/>
      <c r="Z540" s="383"/>
    </row>
    <row r="541">
      <c r="A541" s="389"/>
      <c r="B541" s="390"/>
      <c r="C541" s="391"/>
      <c r="D541" s="392"/>
      <c r="E541" s="383"/>
      <c r="F541" s="383"/>
      <c r="G541" s="383"/>
      <c r="H541" s="383"/>
      <c r="I541" s="383"/>
      <c r="J541" s="383"/>
      <c r="K541" s="383"/>
      <c r="L541" s="383"/>
      <c r="M541" s="383"/>
      <c r="N541" s="383"/>
      <c r="O541" s="383"/>
      <c r="P541" s="383"/>
      <c r="Q541" s="383"/>
      <c r="R541" s="383"/>
      <c r="S541" s="383"/>
      <c r="T541" s="383"/>
      <c r="U541" s="383"/>
      <c r="V541" s="383"/>
      <c r="W541" s="383"/>
      <c r="X541" s="383"/>
      <c r="Y541" s="383"/>
      <c r="Z541" s="383"/>
    </row>
    <row r="542">
      <c r="A542" s="389"/>
      <c r="B542" s="390"/>
      <c r="C542" s="391"/>
      <c r="D542" s="392"/>
      <c r="E542" s="383"/>
      <c r="F542" s="383"/>
      <c r="G542" s="383"/>
      <c r="H542" s="383"/>
      <c r="I542" s="383"/>
      <c r="J542" s="383"/>
      <c r="K542" s="383"/>
      <c r="L542" s="383"/>
      <c r="M542" s="383"/>
      <c r="N542" s="383"/>
      <c r="O542" s="383"/>
      <c r="P542" s="383"/>
      <c r="Q542" s="383"/>
      <c r="R542" s="383"/>
      <c r="S542" s="383"/>
      <c r="T542" s="383"/>
      <c r="U542" s="383"/>
      <c r="V542" s="383"/>
      <c r="W542" s="383"/>
      <c r="X542" s="383"/>
      <c r="Y542" s="383"/>
      <c r="Z542" s="383"/>
    </row>
    <row r="543">
      <c r="A543" s="389"/>
      <c r="B543" s="390"/>
      <c r="C543" s="391"/>
      <c r="D543" s="392"/>
      <c r="E543" s="383"/>
      <c r="F543" s="383"/>
      <c r="G543" s="383"/>
      <c r="H543" s="383"/>
      <c r="I543" s="383"/>
      <c r="J543" s="383"/>
      <c r="K543" s="383"/>
      <c r="L543" s="383"/>
      <c r="M543" s="383"/>
      <c r="N543" s="383"/>
      <c r="O543" s="383"/>
      <c r="P543" s="383"/>
      <c r="Q543" s="383"/>
      <c r="R543" s="383"/>
      <c r="S543" s="383"/>
      <c r="T543" s="383"/>
      <c r="U543" s="383"/>
      <c r="V543" s="383"/>
      <c r="W543" s="383"/>
      <c r="X543" s="383"/>
      <c r="Y543" s="383"/>
      <c r="Z543" s="383"/>
    </row>
    <row r="544">
      <c r="A544" s="389"/>
      <c r="B544" s="390"/>
      <c r="C544" s="391"/>
      <c r="D544" s="392"/>
      <c r="E544" s="383"/>
      <c r="F544" s="383"/>
      <c r="G544" s="383"/>
      <c r="H544" s="383"/>
      <c r="I544" s="383"/>
      <c r="J544" s="383"/>
      <c r="K544" s="383"/>
      <c r="L544" s="383"/>
      <c r="M544" s="383"/>
      <c r="N544" s="383"/>
      <c r="O544" s="383"/>
      <c r="P544" s="383"/>
      <c r="Q544" s="383"/>
      <c r="R544" s="383"/>
      <c r="S544" s="383"/>
      <c r="T544" s="383"/>
      <c r="U544" s="383"/>
      <c r="V544" s="383"/>
      <c r="W544" s="383"/>
      <c r="X544" s="383"/>
      <c r="Y544" s="383"/>
      <c r="Z544" s="383"/>
    </row>
    <row r="545">
      <c r="A545" s="389"/>
      <c r="B545" s="390"/>
      <c r="C545" s="391"/>
      <c r="D545" s="392"/>
      <c r="E545" s="383"/>
      <c r="F545" s="383"/>
      <c r="G545" s="383"/>
      <c r="H545" s="383"/>
      <c r="I545" s="383"/>
      <c r="J545" s="383"/>
      <c r="K545" s="383"/>
      <c r="L545" s="383"/>
      <c r="M545" s="383"/>
      <c r="N545" s="383"/>
      <c r="O545" s="383"/>
      <c r="P545" s="383"/>
      <c r="Q545" s="383"/>
      <c r="R545" s="383"/>
      <c r="S545" s="383"/>
      <c r="T545" s="383"/>
      <c r="U545" s="383"/>
      <c r="V545" s="383"/>
      <c r="W545" s="383"/>
      <c r="X545" s="383"/>
      <c r="Y545" s="383"/>
      <c r="Z545" s="383"/>
    </row>
    <row r="546">
      <c r="A546" s="389"/>
      <c r="B546" s="390"/>
      <c r="C546" s="391"/>
      <c r="D546" s="392"/>
      <c r="E546" s="383"/>
      <c r="F546" s="383"/>
      <c r="G546" s="383"/>
      <c r="H546" s="383"/>
      <c r="I546" s="383"/>
      <c r="J546" s="383"/>
      <c r="K546" s="383"/>
      <c r="L546" s="383"/>
      <c r="M546" s="383"/>
      <c r="N546" s="383"/>
      <c r="O546" s="383"/>
      <c r="P546" s="383"/>
      <c r="Q546" s="383"/>
      <c r="R546" s="383"/>
      <c r="S546" s="383"/>
      <c r="T546" s="383"/>
      <c r="U546" s="383"/>
      <c r="V546" s="383"/>
      <c r="W546" s="383"/>
      <c r="X546" s="383"/>
      <c r="Y546" s="383"/>
      <c r="Z546" s="383"/>
    </row>
    <row r="547">
      <c r="A547" s="389"/>
      <c r="B547" s="390"/>
      <c r="C547" s="391"/>
      <c r="D547" s="392"/>
      <c r="E547" s="383"/>
      <c r="F547" s="383"/>
      <c r="G547" s="383"/>
      <c r="H547" s="383"/>
      <c r="I547" s="383"/>
      <c r="J547" s="383"/>
      <c r="K547" s="383"/>
      <c r="L547" s="383"/>
      <c r="M547" s="383"/>
      <c r="N547" s="383"/>
      <c r="O547" s="383"/>
      <c r="P547" s="383"/>
      <c r="Q547" s="383"/>
      <c r="R547" s="383"/>
      <c r="S547" s="383"/>
      <c r="T547" s="383"/>
      <c r="U547" s="383"/>
      <c r="V547" s="383"/>
      <c r="W547" s="383"/>
      <c r="X547" s="383"/>
      <c r="Y547" s="383"/>
      <c r="Z547" s="383"/>
    </row>
    <row r="548">
      <c r="A548" s="389"/>
      <c r="B548" s="390"/>
      <c r="C548" s="391"/>
      <c r="D548" s="392"/>
      <c r="E548" s="383"/>
      <c r="F548" s="383"/>
      <c r="G548" s="383"/>
      <c r="H548" s="383"/>
      <c r="I548" s="383"/>
      <c r="J548" s="383"/>
      <c r="K548" s="383"/>
      <c r="L548" s="383"/>
      <c r="M548" s="383"/>
      <c r="N548" s="383"/>
      <c r="O548" s="383"/>
      <c r="P548" s="383"/>
      <c r="Q548" s="383"/>
      <c r="R548" s="383"/>
      <c r="S548" s="383"/>
      <c r="T548" s="383"/>
      <c r="U548" s="383"/>
      <c r="V548" s="383"/>
      <c r="W548" s="383"/>
      <c r="X548" s="383"/>
      <c r="Y548" s="383"/>
      <c r="Z548" s="383"/>
    </row>
    <row r="549">
      <c r="A549" s="389"/>
      <c r="B549" s="390"/>
      <c r="C549" s="391"/>
      <c r="D549" s="392"/>
      <c r="E549" s="383"/>
      <c r="F549" s="383"/>
      <c r="G549" s="383"/>
      <c r="H549" s="383"/>
      <c r="I549" s="383"/>
      <c r="J549" s="383"/>
      <c r="K549" s="383"/>
      <c r="L549" s="383"/>
      <c r="M549" s="383"/>
      <c r="N549" s="383"/>
      <c r="O549" s="383"/>
      <c r="P549" s="383"/>
      <c r="Q549" s="383"/>
      <c r="R549" s="383"/>
      <c r="S549" s="383"/>
      <c r="T549" s="383"/>
      <c r="U549" s="383"/>
      <c r="V549" s="383"/>
      <c r="W549" s="383"/>
      <c r="X549" s="383"/>
      <c r="Y549" s="383"/>
      <c r="Z549" s="383"/>
    </row>
    <row r="550">
      <c r="A550" s="389"/>
      <c r="B550" s="390"/>
      <c r="C550" s="391"/>
      <c r="D550" s="392"/>
      <c r="E550" s="383"/>
      <c r="F550" s="383"/>
      <c r="G550" s="383"/>
      <c r="H550" s="383"/>
      <c r="I550" s="383"/>
      <c r="J550" s="383"/>
      <c r="K550" s="383"/>
      <c r="L550" s="383"/>
      <c r="M550" s="383"/>
      <c r="N550" s="383"/>
      <c r="O550" s="383"/>
      <c r="P550" s="383"/>
      <c r="Q550" s="383"/>
      <c r="R550" s="383"/>
      <c r="S550" s="383"/>
      <c r="T550" s="383"/>
      <c r="U550" s="383"/>
      <c r="V550" s="383"/>
      <c r="W550" s="383"/>
      <c r="X550" s="383"/>
      <c r="Y550" s="383"/>
      <c r="Z550" s="383"/>
    </row>
    <row r="551">
      <c r="A551" s="389"/>
      <c r="B551" s="390"/>
      <c r="C551" s="391"/>
      <c r="D551" s="392"/>
      <c r="E551" s="383"/>
      <c r="F551" s="383"/>
      <c r="G551" s="383"/>
      <c r="H551" s="383"/>
      <c r="I551" s="383"/>
      <c r="J551" s="383"/>
      <c r="K551" s="383"/>
      <c r="L551" s="383"/>
      <c r="M551" s="383"/>
      <c r="N551" s="383"/>
      <c r="O551" s="383"/>
      <c r="P551" s="383"/>
      <c r="Q551" s="383"/>
      <c r="R551" s="383"/>
      <c r="S551" s="383"/>
      <c r="T551" s="383"/>
      <c r="U551" s="383"/>
      <c r="V551" s="383"/>
      <c r="W551" s="383"/>
      <c r="X551" s="383"/>
      <c r="Y551" s="383"/>
      <c r="Z551" s="383"/>
    </row>
    <row r="552">
      <c r="A552" s="389"/>
      <c r="B552" s="390"/>
      <c r="C552" s="391"/>
      <c r="D552" s="392"/>
      <c r="E552" s="383"/>
      <c r="F552" s="383"/>
      <c r="G552" s="383"/>
      <c r="H552" s="383"/>
      <c r="I552" s="383"/>
      <c r="J552" s="383"/>
      <c r="K552" s="383"/>
      <c r="L552" s="383"/>
      <c r="M552" s="383"/>
      <c r="N552" s="383"/>
      <c r="O552" s="383"/>
      <c r="P552" s="383"/>
      <c r="Q552" s="383"/>
      <c r="R552" s="383"/>
      <c r="S552" s="383"/>
      <c r="T552" s="383"/>
      <c r="U552" s="383"/>
      <c r="V552" s="383"/>
      <c r="W552" s="383"/>
      <c r="X552" s="383"/>
      <c r="Y552" s="383"/>
      <c r="Z552" s="383"/>
    </row>
    <row r="553">
      <c r="A553" s="389"/>
      <c r="B553" s="390"/>
      <c r="C553" s="391"/>
      <c r="D553" s="392"/>
      <c r="E553" s="383"/>
      <c r="F553" s="383"/>
      <c r="G553" s="383"/>
      <c r="H553" s="383"/>
      <c r="I553" s="383"/>
      <c r="J553" s="383"/>
      <c r="K553" s="383"/>
      <c r="L553" s="383"/>
      <c r="M553" s="383"/>
      <c r="N553" s="383"/>
      <c r="O553" s="383"/>
      <c r="P553" s="383"/>
      <c r="Q553" s="383"/>
      <c r="R553" s="383"/>
      <c r="S553" s="383"/>
      <c r="T553" s="383"/>
      <c r="U553" s="383"/>
      <c r="V553" s="383"/>
      <c r="W553" s="383"/>
      <c r="X553" s="383"/>
      <c r="Y553" s="383"/>
      <c r="Z553" s="383"/>
    </row>
    <row r="554">
      <c r="A554" s="389"/>
      <c r="B554" s="390"/>
      <c r="C554" s="391"/>
      <c r="D554" s="392"/>
      <c r="E554" s="383"/>
      <c r="F554" s="383"/>
      <c r="G554" s="383"/>
      <c r="H554" s="383"/>
      <c r="I554" s="383"/>
      <c r="J554" s="383"/>
      <c r="K554" s="383"/>
      <c r="L554" s="383"/>
      <c r="M554" s="383"/>
      <c r="N554" s="383"/>
      <c r="O554" s="383"/>
      <c r="P554" s="383"/>
      <c r="Q554" s="383"/>
      <c r="R554" s="383"/>
      <c r="S554" s="383"/>
      <c r="T554" s="383"/>
      <c r="U554" s="383"/>
      <c r="V554" s="383"/>
      <c r="W554" s="383"/>
      <c r="X554" s="383"/>
      <c r="Y554" s="383"/>
      <c r="Z554" s="383"/>
    </row>
    <row r="555">
      <c r="A555" s="389"/>
      <c r="B555" s="390"/>
      <c r="C555" s="391"/>
      <c r="D555" s="392"/>
      <c r="E555" s="383"/>
      <c r="F555" s="383"/>
      <c r="G555" s="383"/>
      <c r="H555" s="383"/>
      <c r="I555" s="383"/>
      <c r="J555" s="383"/>
      <c r="K555" s="383"/>
      <c r="L555" s="383"/>
      <c r="M555" s="383"/>
      <c r="N555" s="383"/>
      <c r="O555" s="383"/>
      <c r="P555" s="383"/>
      <c r="Q555" s="383"/>
      <c r="R555" s="383"/>
      <c r="S555" s="383"/>
      <c r="T555" s="383"/>
      <c r="U555" s="383"/>
      <c r="V555" s="383"/>
      <c r="W555" s="383"/>
      <c r="X555" s="383"/>
      <c r="Y555" s="383"/>
      <c r="Z555" s="383"/>
    </row>
    <row r="556">
      <c r="A556" s="389"/>
      <c r="B556" s="390"/>
      <c r="C556" s="391"/>
      <c r="D556" s="392"/>
      <c r="E556" s="383"/>
      <c r="F556" s="383"/>
      <c r="G556" s="383"/>
      <c r="H556" s="383"/>
      <c r="I556" s="383"/>
      <c r="J556" s="383"/>
      <c r="K556" s="383"/>
      <c r="L556" s="383"/>
      <c r="M556" s="383"/>
      <c r="N556" s="383"/>
      <c r="O556" s="383"/>
      <c r="P556" s="383"/>
      <c r="Q556" s="383"/>
      <c r="R556" s="383"/>
      <c r="S556" s="383"/>
      <c r="T556" s="383"/>
      <c r="U556" s="383"/>
      <c r="V556" s="383"/>
      <c r="W556" s="383"/>
      <c r="X556" s="383"/>
      <c r="Y556" s="383"/>
      <c r="Z556" s="383"/>
    </row>
    <row r="557">
      <c r="A557" s="389"/>
      <c r="B557" s="390"/>
      <c r="C557" s="391"/>
      <c r="D557" s="392"/>
      <c r="E557" s="383"/>
      <c r="F557" s="383"/>
      <c r="G557" s="383"/>
      <c r="H557" s="383"/>
      <c r="I557" s="383"/>
      <c r="J557" s="383"/>
      <c r="K557" s="383"/>
      <c r="L557" s="383"/>
      <c r="M557" s="383"/>
      <c r="N557" s="383"/>
      <c r="O557" s="383"/>
      <c r="P557" s="383"/>
      <c r="Q557" s="383"/>
      <c r="R557" s="383"/>
      <c r="S557" s="383"/>
      <c r="T557" s="383"/>
      <c r="U557" s="383"/>
      <c r="V557" s="383"/>
      <c r="W557" s="383"/>
      <c r="X557" s="383"/>
      <c r="Y557" s="383"/>
      <c r="Z557" s="383"/>
    </row>
    <row r="558">
      <c r="A558" s="389"/>
      <c r="B558" s="390"/>
      <c r="C558" s="391"/>
      <c r="D558" s="392"/>
      <c r="E558" s="383"/>
      <c r="F558" s="383"/>
      <c r="G558" s="383"/>
      <c r="H558" s="383"/>
      <c r="I558" s="383"/>
      <c r="J558" s="383"/>
      <c r="K558" s="383"/>
      <c r="L558" s="383"/>
      <c r="M558" s="383"/>
      <c r="N558" s="383"/>
      <c r="O558" s="383"/>
      <c r="P558" s="383"/>
      <c r="Q558" s="383"/>
      <c r="R558" s="383"/>
      <c r="S558" s="383"/>
      <c r="T558" s="383"/>
      <c r="U558" s="383"/>
      <c r="V558" s="383"/>
      <c r="W558" s="383"/>
      <c r="X558" s="383"/>
      <c r="Y558" s="383"/>
      <c r="Z558" s="383"/>
    </row>
    <row r="559">
      <c r="A559" s="389"/>
      <c r="B559" s="390"/>
      <c r="C559" s="391"/>
      <c r="D559" s="392"/>
      <c r="E559" s="383"/>
      <c r="F559" s="383"/>
      <c r="G559" s="383"/>
      <c r="H559" s="383"/>
      <c r="I559" s="383"/>
      <c r="J559" s="383"/>
      <c r="K559" s="383"/>
      <c r="L559" s="383"/>
      <c r="M559" s="383"/>
      <c r="N559" s="383"/>
      <c r="O559" s="383"/>
      <c r="P559" s="383"/>
      <c r="Q559" s="383"/>
      <c r="R559" s="383"/>
      <c r="S559" s="383"/>
      <c r="T559" s="383"/>
      <c r="U559" s="383"/>
      <c r="V559" s="383"/>
      <c r="W559" s="383"/>
      <c r="X559" s="383"/>
      <c r="Y559" s="383"/>
      <c r="Z559" s="383"/>
    </row>
    <row r="560">
      <c r="A560" s="389"/>
      <c r="B560" s="390"/>
      <c r="C560" s="391"/>
      <c r="D560" s="392"/>
      <c r="E560" s="383"/>
      <c r="F560" s="383"/>
      <c r="G560" s="383"/>
      <c r="H560" s="383"/>
      <c r="I560" s="383"/>
      <c r="J560" s="383"/>
      <c r="K560" s="383"/>
      <c r="L560" s="383"/>
      <c r="M560" s="383"/>
      <c r="N560" s="383"/>
      <c r="O560" s="383"/>
      <c r="P560" s="383"/>
      <c r="Q560" s="383"/>
      <c r="R560" s="383"/>
      <c r="S560" s="383"/>
      <c r="T560" s="383"/>
      <c r="U560" s="383"/>
      <c r="V560" s="383"/>
      <c r="W560" s="383"/>
      <c r="X560" s="383"/>
      <c r="Y560" s="383"/>
      <c r="Z560" s="383"/>
    </row>
    <row r="561">
      <c r="A561" s="389"/>
      <c r="B561" s="390"/>
      <c r="C561" s="391"/>
      <c r="D561" s="392"/>
      <c r="E561" s="383"/>
      <c r="F561" s="383"/>
      <c r="G561" s="383"/>
      <c r="H561" s="383"/>
      <c r="I561" s="383"/>
      <c r="J561" s="383"/>
      <c r="K561" s="383"/>
      <c r="L561" s="383"/>
      <c r="M561" s="383"/>
      <c r="N561" s="383"/>
      <c r="O561" s="383"/>
      <c r="P561" s="383"/>
      <c r="Q561" s="383"/>
      <c r="R561" s="383"/>
      <c r="S561" s="383"/>
      <c r="T561" s="383"/>
      <c r="U561" s="383"/>
      <c r="V561" s="383"/>
      <c r="W561" s="383"/>
      <c r="X561" s="383"/>
      <c r="Y561" s="383"/>
      <c r="Z561" s="383"/>
    </row>
    <row r="562">
      <c r="A562" s="389"/>
      <c r="B562" s="390"/>
      <c r="C562" s="391"/>
      <c r="D562" s="392"/>
      <c r="E562" s="383"/>
      <c r="F562" s="383"/>
      <c r="G562" s="383"/>
      <c r="H562" s="383"/>
      <c r="I562" s="383"/>
      <c r="J562" s="383"/>
      <c r="K562" s="383"/>
      <c r="L562" s="383"/>
      <c r="M562" s="383"/>
      <c r="N562" s="383"/>
      <c r="O562" s="383"/>
      <c r="P562" s="383"/>
      <c r="Q562" s="383"/>
      <c r="R562" s="383"/>
      <c r="S562" s="383"/>
      <c r="T562" s="383"/>
      <c r="U562" s="383"/>
      <c r="V562" s="383"/>
      <c r="W562" s="383"/>
      <c r="X562" s="383"/>
      <c r="Y562" s="383"/>
      <c r="Z562" s="383"/>
    </row>
    <row r="563">
      <c r="A563" s="389"/>
      <c r="B563" s="390"/>
      <c r="C563" s="391"/>
      <c r="D563" s="392"/>
      <c r="E563" s="383"/>
      <c r="F563" s="383"/>
      <c r="G563" s="383"/>
      <c r="H563" s="383"/>
      <c r="I563" s="383"/>
      <c r="J563" s="383"/>
      <c r="K563" s="383"/>
      <c r="L563" s="383"/>
      <c r="M563" s="383"/>
      <c r="N563" s="383"/>
      <c r="O563" s="383"/>
      <c r="P563" s="383"/>
      <c r="Q563" s="383"/>
      <c r="R563" s="383"/>
      <c r="S563" s="383"/>
      <c r="T563" s="383"/>
      <c r="U563" s="383"/>
      <c r="V563" s="383"/>
      <c r="W563" s="383"/>
      <c r="X563" s="383"/>
      <c r="Y563" s="383"/>
      <c r="Z563" s="383"/>
    </row>
    <row r="564">
      <c r="A564" s="389"/>
      <c r="B564" s="390"/>
      <c r="C564" s="391"/>
      <c r="D564" s="392"/>
      <c r="E564" s="383"/>
      <c r="F564" s="383"/>
      <c r="G564" s="383"/>
      <c r="H564" s="383"/>
      <c r="I564" s="383"/>
      <c r="J564" s="383"/>
      <c r="K564" s="383"/>
      <c r="L564" s="383"/>
      <c r="M564" s="383"/>
      <c r="N564" s="383"/>
      <c r="O564" s="383"/>
      <c r="P564" s="383"/>
      <c r="Q564" s="383"/>
      <c r="R564" s="383"/>
      <c r="S564" s="383"/>
      <c r="T564" s="383"/>
      <c r="U564" s="383"/>
      <c r="V564" s="383"/>
      <c r="W564" s="383"/>
      <c r="X564" s="383"/>
      <c r="Y564" s="383"/>
      <c r="Z564" s="383"/>
    </row>
    <row r="565">
      <c r="A565" s="389"/>
      <c r="B565" s="390"/>
      <c r="C565" s="391"/>
      <c r="D565" s="392"/>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row>
    <row r="566">
      <c r="A566" s="389"/>
      <c r="B566" s="390"/>
      <c r="C566" s="391"/>
      <c r="D566" s="392"/>
      <c r="E566" s="383"/>
      <c r="F566" s="383"/>
      <c r="G566" s="383"/>
      <c r="H566" s="383"/>
      <c r="I566" s="383"/>
      <c r="J566" s="383"/>
      <c r="K566" s="383"/>
      <c r="L566" s="383"/>
      <c r="M566" s="383"/>
      <c r="N566" s="383"/>
      <c r="O566" s="383"/>
      <c r="P566" s="383"/>
      <c r="Q566" s="383"/>
      <c r="R566" s="383"/>
      <c r="S566" s="383"/>
      <c r="T566" s="383"/>
      <c r="U566" s="383"/>
      <c r="V566" s="383"/>
      <c r="W566" s="383"/>
      <c r="X566" s="383"/>
      <c r="Y566" s="383"/>
      <c r="Z566" s="383"/>
    </row>
    <row r="567">
      <c r="A567" s="389"/>
      <c r="B567" s="390"/>
      <c r="C567" s="391"/>
      <c r="D567" s="392"/>
      <c r="E567" s="383"/>
      <c r="F567" s="383"/>
      <c r="G567" s="383"/>
      <c r="H567" s="383"/>
      <c r="I567" s="383"/>
      <c r="J567" s="383"/>
      <c r="K567" s="383"/>
      <c r="L567" s="383"/>
      <c r="M567" s="383"/>
      <c r="N567" s="383"/>
      <c r="O567" s="383"/>
      <c r="P567" s="383"/>
      <c r="Q567" s="383"/>
      <c r="R567" s="383"/>
      <c r="S567" s="383"/>
      <c r="T567" s="383"/>
      <c r="U567" s="383"/>
      <c r="V567" s="383"/>
      <c r="W567" s="383"/>
      <c r="X567" s="383"/>
      <c r="Y567" s="383"/>
      <c r="Z567" s="383"/>
    </row>
    <row r="568">
      <c r="A568" s="389"/>
      <c r="B568" s="390"/>
      <c r="C568" s="391"/>
      <c r="D568" s="392"/>
      <c r="E568" s="383"/>
      <c r="F568" s="383"/>
      <c r="G568" s="383"/>
      <c r="H568" s="383"/>
      <c r="I568" s="383"/>
      <c r="J568" s="383"/>
      <c r="K568" s="383"/>
      <c r="L568" s="383"/>
      <c r="M568" s="383"/>
      <c r="N568" s="383"/>
      <c r="O568" s="383"/>
      <c r="P568" s="383"/>
      <c r="Q568" s="383"/>
      <c r="R568" s="383"/>
      <c r="S568" s="383"/>
      <c r="T568" s="383"/>
      <c r="U568" s="383"/>
      <c r="V568" s="383"/>
      <c r="W568" s="383"/>
      <c r="X568" s="383"/>
      <c r="Y568" s="383"/>
      <c r="Z568" s="383"/>
    </row>
    <row r="569">
      <c r="A569" s="389"/>
      <c r="B569" s="390"/>
      <c r="C569" s="391"/>
      <c r="D569" s="392"/>
      <c r="E569" s="383"/>
      <c r="F569" s="383"/>
      <c r="G569" s="383"/>
      <c r="H569" s="383"/>
      <c r="I569" s="383"/>
      <c r="J569" s="383"/>
      <c r="K569" s="383"/>
      <c r="L569" s="383"/>
      <c r="M569" s="383"/>
      <c r="N569" s="383"/>
      <c r="O569" s="383"/>
      <c r="P569" s="383"/>
      <c r="Q569" s="383"/>
      <c r="R569" s="383"/>
      <c r="S569" s="383"/>
      <c r="T569" s="383"/>
      <c r="U569" s="383"/>
      <c r="V569" s="383"/>
      <c r="W569" s="383"/>
      <c r="X569" s="383"/>
      <c r="Y569" s="383"/>
      <c r="Z569" s="383"/>
    </row>
    <row r="570">
      <c r="A570" s="389"/>
      <c r="B570" s="390"/>
      <c r="C570" s="391"/>
      <c r="D570" s="392"/>
      <c r="E570" s="383"/>
      <c r="F570" s="383"/>
      <c r="G570" s="383"/>
      <c r="H570" s="383"/>
      <c r="I570" s="383"/>
      <c r="J570" s="383"/>
      <c r="K570" s="383"/>
      <c r="L570" s="383"/>
      <c r="M570" s="383"/>
      <c r="N570" s="383"/>
      <c r="O570" s="383"/>
      <c r="P570" s="383"/>
      <c r="Q570" s="383"/>
      <c r="R570" s="383"/>
      <c r="S570" s="383"/>
      <c r="T570" s="383"/>
      <c r="U570" s="383"/>
      <c r="V570" s="383"/>
      <c r="W570" s="383"/>
      <c r="X570" s="383"/>
      <c r="Y570" s="383"/>
      <c r="Z570" s="383"/>
    </row>
    <row r="571">
      <c r="A571" s="389"/>
      <c r="B571" s="390"/>
      <c r="C571" s="391"/>
      <c r="D571" s="392"/>
      <c r="E571" s="383"/>
      <c r="F571" s="383"/>
      <c r="G571" s="383"/>
      <c r="H571" s="383"/>
      <c r="I571" s="383"/>
      <c r="J571" s="383"/>
      <c r="K571" s="383"/>
      <c r="L571" s="383"/>
      <c r="M571" s="383"/>
      <c r="N571" s="383"/>
      <c r="O571" s="383"/>
      <c r="P571" s="383"/>
      <c r="Q571" s="383"/>
      <c r="R571" s="383"/>
      <c r="S571" s="383"/>
      <c r="T571" s="383"/>
      <c r="U571" s="383"/>
      <c r="V571" s="383"/>
      <c r="W571" s="383"/>
      <c r="X571" s="383"/>
      <c r="Y571" s="383"/>
      <c r="Z571" s="383"/>
    </row>
    <row r="572">
      <c r="A572" s="389"/>
      <c r="B572" s="390"/>
      <c r="C572" s="391"/>
      <c r="D572" s="392"/>
      <c r="E572" s="383"/>
      <c r="F572" s="383"/>
      <c r="G572" s="383"/>
      <c r="H572" s="383"/>
      <c r="I572" s="383"/>
      <c r="J572" s="383"/>
      <c r="K572" s="383"/>
      <c r="L572" s="383"/>
      <c r="M572" s="383"/>
      <c r="N572" s="383"/>
      <c r="O572" s="383"/>
      <c r="P572" s="383"/>
      <c r="Q572" s="383"/>
      <c r="R572" s="383"/>
      <c r="S572" s="383"/>
      <c r="T572" s="383"/>
      <c r="U572" s="383"/>
      <c r="V572" s="383"/>
      <c r="W572" s="383"/>
      <c r="X572" s="383"/>
      <c r="Y572" s="383"/>
      <c r="Z572" s="383"/>
    </row>
    <row r="573">
      <c r="A573" s="389"/>
      <c r="B573" s="390"/>
      <c r="C573" s="391"/>
      <c r="D573" s="392"/>
      <c r="E573" s="383"/>
      <c r="F573" s="383"/>
      <c r="G573" s="383"/>
      <c r="H573" s="383"/>
      <c r="I573" s="383"/>
      <c r="J573" s="383"/>
      <c r="K573" s="383"/>
      <c r="L573" s="383"/>
      <c r="M573" s="383"/>
      <c r="N573" s="383"/>
      <c r="O573" s="383"/>
      <c r="P573" s="383"/>
      <c r="Q573" s="383"/>
      <c r="R573" s="383"/>
      <c r="S573" s="383"/>
      <c r="T573" s="383"/>
      <c r="U573" s="383"/>
      <c r="V573" s="383"/>
      <c r="W573" s="383"/>
      <c r="X573" s="383"/>
      <c r="Y573" s="383"/>
      <c r="Z573" s="383"/>
    </row>
    <row r="574">
      <c r="A574" s="389"/>
      <c r="B574" s="390"/>
      <c r="C574" s="391"/>
      <c r="D574" s="392"/>
      <c r="E574" s="383"/>
      <c r="F574" s="383"/>
      <c r="G574" s="383"/>
      <c r="H574" s="383"/>
      <c r="I574" s="383"/>
      <c r="J574" s="383"/>
      <c r="K574" s="383"/>
      <c r="L574" s="383"/>
      <c r="M574" s="383"/>
      <c r="N574" s="383"/>
      <c r="O574" s="383"/>
      <c r="P574" s="383"/>
      <c r="Q574" s="383"/>
      <c r="R574" s="383"/>
      <c r="S574" s="383"/>
      <c r="T574" s="383"/>
      <c r="U574" s="383"/>
      <c r="V574" s="383"/>
      <c r="W574" s="383"/>
      <c r="X574" s="383"/>
      <c r="Y574" s="383"/>
      <c r="Z574" s="383"/>
    </row>
    <row r="575">
      <c r="A575" s="389"/>
      <c r="B575" s="390"/>
      <c r="C575" s="391"/>
      <c r="D575" s="392"/>
      <c r="E575" s="383"/>
      <c r="F575" s="383"/>
      <c r="G575" s="383"/>
      <c r="H575" s="383"/>
      <c r="I575" s="383"/>
      <c r="J575" s="383"/>
      <c r="K575" s="383"/>
      <c r="L575" s="383"/>
      <c r="M575" s="383"/>
      <c r="N575" s="383"/>
      <c r="O575" s="383"/>
      <c r="P575" s="383"/>
      <c r="Q575" s="383"/>
      <c r="R575" s="383"/>
      <c r="S575" s="383"/>
      <c r="T575" s="383"/>
      <c r="U575" s="383"/>
      <c r="V575" s="383"/>
      <c r="W575" s="383"/>
      <c r="X575" s="383"/>
      <c r="Y575" s="383"/>
      <c r="Z575" s="383"/>
    </row>
    <row r="576">
      <c r="A576" s="389"/>
      <c r="B576" s="390"/>
      <c r="C576" s="391"/>
      <c r="D576" s="392"/>
      <c r="E576" s="383"/>
      <c r="F576" s="383"/>
      <c r="G576" s="383"/>
      <c r="H576" s="383"/>
      <c r="I576" s="383"/>
      <c r="J576" s="383"/>
      <c r="K576" s="383"/>
      <c r="L576" s="383"/>
      <c r="M576" s="383"/>
      <c r="N576" s="383"/>
      <c r="O576" s="383"/>
      <c r="P576" s="383"/>
      <c r="Q576" s="383"/>
      <c r="R576" s="383"/>
      <c r="S576" s="383"/>
      <c r="T576" s="383"/>
      <c r="U576" s="383"/>
      <c r="V576" s="383"/>
      <c r="W576" s="383"/>
      <c r="X576" s="383"/>
      <c r="Y576" s="383"/>
      <c r="Z576" s="383"/>
    </row>
    <row r="577">
      <c r="A577" s="389"/>
      <c r="B577" s="390"/>
      <c r="C577" s="391"/>
      <c r="D577" s="392"/>
      <c r="E577" s="383"/>
      <c r="F577" s="383"/>
      <c r="G577" s="383"/>
      <c r="H577" s="383"/>
      <c r="I577" s="383"/>
      <c r="J577" s="383"/>
      <c r="K577" s="383"/>
      <c r="L577" s="383"/>
      <c r="M577" s="383"/>
      <c r="N577" s="383"/>
      <c r="O577" s="383"/>
      <c r="P577" s="383"/>
      <c r="Q577" s="383"/>
      <c r="R577" s="383"/>
      <c r="S577" s="383"/>
      <c r="T577" s="383"/>
      <c r="U577" s="383"/>
      <c r="V577" s="383"/>
      <c r="W577" s="383"/>
      <c r="X577" s="383"/>
      <c r="Y577" s="383"/>
      <c r="Z577" s="383"/>
    </row>
    <row r="578">
      <c r="A578" s="389"/>
      <c r="B578" s="390"/>
      <c r="C578" s="391"/>
      <c r="D578" s="392"/>
      <c r="E578" s="383"/>
      <c r="F578" s="383"/>
      <c r="G578" s="383"/>
      <c r="H578" s="383"/>
      <c r="I578" s="383"/>
      <c r="J578" s="383"/>
      <c r="K578" s="383"/>
      <c r="L578" s="383"/>
      <c r="M578" s="383"/>
      <c r="N578" s="383"/>
      <c r="O578" s="383"/>
      <c r="P578" s="383"/>
      <c r="Q578" s="383"/>
      <c r="R578" s="383"/>
      <c r="S578" s="383"/>
      <c r="T578" s="383"/>
      <c r="U578" s="383"/>
      <c r="V578" s="383"/>
      <c r="W578" s="383"/>
      <c r="X578" s="383"/>
      <c r="Y578" s="383"/>
      <c r="Z578" s="383"/>
    </row>
    <row r="579">
      <c r="A579" s="389"/>
      <c r="B579" s="390"/>
      <c r="C579" s="391"/>
      <c r="D579" s="392"/>
      <c r="E579" s="383"/>
      <c r="F579" s="383"/>
      <c r="G579" s="383"/>
      <c r="H579" s="383"/>
      <c r="I579" s="383"/>
      <c r="J579" s="383"/>
      <c r="K579" s="383"/>
      <c r="L579" s="383"/>
      <c r="M579" s="383"/>
      <c r="N579" s="383"/>
      <c r="O579" s="383"/>
      <c r="P579" s="383"/>
      <c r="Q579" s="383"/>
      <c r="R579" s="383"/>
      <c r="S579" s="383"/>
      <c r="T579" s="383"/>
      <c r="U579" s="383"/>
      <c r="V579" s="383"/>
      <c r="W579" s="383"/>
      <c r="X579" s="383"/>
      <c r="Y579" s="383"/>
      <c r="Z579" s="383"/>
    </row>
    <row r="580">
      <c r="A580" s="389"/>
      <c r="B580" s="390"/>
      <c r="C580" s="391"/>
      <c r="D580" s="392"/>
      <c r="E580" s="383"/>
      <c r="F580" s="383"/>
      <c r="G580" s="383"/>
      <c r="H580" s="383"/>
      <c r="I580" s="383"/>
      <c r="J580" s="383"/>
      <c r="K580" s="383"/>
      <c r="L580" s="383"/>
      <c r="M580" s="383"/>
      <c r="N580" s="383"/>
      <c r="O580" s="383"/>
      <c r="P580" s="383"/>
      <c r="Q580" s="383"/>
      <c r="R580" s="383"/>
      <c r="S580" s="383"/>
      <c r="T580" s="383"/>
      <c r="U580" s="383"/>
      <c r="V580" s="383"/>
      <c r="W580" s="383"/>
      <c r="X580" s="383"/>
      <c r="Y580" s="383"/>
      <c r="Z580" s="383"/>
    </row>
    <row r="581">
      <c r="A581" s="389"/>
      <c r="B581" s="390"/>
      <c r="C581" s="391"/>
      <c r="D581" s="392"/>
      <c r="E581" s="383"/>
      <c r="F581" s="383"/>
      <c r="G581" s="383"/>
      <c r="H581" s="383"/>
      <c r="I581" s="383"/>
      <c r="J581" s="383"/>
      <c r="K581" s="383"/>
      <c r="L581" s="383"/>
      <c r="M581" s="383"/>
      <c r="N581" s="383"/>
      <c r="O581" s="383"/>
      <c r="P581" s="383"/>
      <c r="Q581" s="383"/>
      <c r="R581" s="383"/>
      <c r="S581" s="383"/>
      <c r="T581" s="383"/>
      <c r="U581" s="383"/>
      <c r="V581" s="383"/>
      <c r="W581" s="383"/>
      <c r="X581" s="383"/>
      <c r="Y581" s="383"/>
      <c r="Z581" s="383"/>
    </row>
    <row r="582">
      <c r="A582" s="389"/>
      <c r="B582" s="390"/>
      <c r="C582" s="391"/>
      <c r="D582" s="392"/>
      <c r="E582" s="383"/>
      <c r="F582" s="383"/>
      <c r="G582" s="383"/>
      <c r="H582" s="383"/>
      <c r="I582" s="383"/>
      <c r="J582" s="383"/>
      <c r="K582" s="383"/>
      <c r="L582" s="383"/>
      <c r="M582" s="383"/>
      <c r="N582" s="383"/>
      <c r="O582" s="383"/>
      <c r="P582" s="383"/>
      <c r="Q582" s="383"/>
      <c r="R582" s="383"/>
      <c r="S582" s="383"/>
      <c r="T582" s="383"/>
      <c r="U582" s="383"/>
      <c r="V582" s="383"/>
      <c r="W582" s="383"/>
      <c r="X582" s="383"/>
      <c r="Y582" s="383"/>
      <c r="Z582" s="383"/>
    </row>
    <row r="583">
      <c r="A583" s="389"/>
      <c r="B583" s="390"/>
      <c r="C583" s="391"/>
      <c r="D583" s="392"/>
      <c r="E583" s="383"/>
      <c r="F583" s="383"/>
      <c r="G583" s="383"/>
      <c r="H583" s="383"/>
      <c r="I583" s="383"/>
      <c r="J583" s="383"/>
      <c r="K583" s="383"/>
      <c r="L583" s="383"/>
      <c r="M583" s="383"/>
      <c r="N583" s="383"/>
      <c r="O583" s="383"/>
      <c r="P583" s="383"/>
      <c r="Q583" s="383"/>
      <c r="R583" s="383"/>
      <c r="S583" s="383"/>
      <c r="T583" s="383"/>
      <c r="U583" s="383"/>
      <c r="V583" s="383"/>
      <c r="W583" s="383"/>
      <c r="X583" s="383"/>
      <c r="Y583" s="383"/>
      <c r="Z583" s="383"/>
    </row>
    <row r="584">
      <c r="A584" s="389"/>
      <c r="B584" s="390"/>
      <c r="C584" s="391"/>
      <c r="D584" s="392"/>
      <c r="E584" s="383"/>
      <c r="F584" s="383"/>
      <c r="G584" s="383"/>
      <c r="H584" s="383"/>
      <c r="I584" s="383"/>
      <c r="J584" s="383"/>
      <c r="K584" s="383"/>
      <c r="L584" s="383"/>
      <c r="M584" s="383"/>
      <c r="N584" s="383"/>
      <c r="O584" s="383"/>
      <c r="P584" s="383"/>
      <c r="Q584" s="383"/>
      <c r="R584" s="383"/>
      <c r="S584" s="383"/>
      <c r="T584" s="383"/>
      <c r="U584" s="383"/>
      <c r="V584" s="383"/>
      <c r="W584" s="383"/>
      <c r="X584" s="383"/>
      <c r="Y584" s="383"/>
      <c r="Z584" s="383"/>
    </row>
    <row r="585">
      <c r="A585" s="389"/>
      <c r="B585" s="390"/>
      <c r="C585" s="391"/>
      <c r="D585" s="392"/>
      <c r="E585" s="383"/>
      <c r="F585" s="383"/>
      <c r="G585" s="383"/>
      <c r="H585" s="383"/>
      <c r="I585" s="383"/>
      <c r="J585" s="383"/>
      <c r="K585" s="383"/>
      <c r="L585" s="383"/>
      <c r="M585" s="383"/>
      <c r="N585" s="383"/>
      <c r="O585" s="383"/>
      <c r="P585" s="383"/>
      <c r="Q585" s="383"/>
      <c r="R585" s="383"/>
      <c r="S585" s="383"/>
      <c r="T585" s="383"/>
      <c r="U585" s="383"/>
      <c r="V585" s="383"/>
      <c r="W585" s="383"/>
      <c r="X585" s="383"/>
      <c r="Y585" s="383"/>
      <c r="Z585" s="383"/>
    </row>
    <row r="586">
      <c r="A586" s="389"/>
      <c r="B586" s="390"/>
      <c r="C586" s="391"/>
      <c r="D586" s="392"/>
      <c r="E586" s="383"/>
      <c r="F586" s="383"/>
      <c r="G586" s="383"/>
      <c r="H586" s="383"/>
      <c r="I586" s="383"/>
      <c r="J586" s="383"/>
      <c r="K586" s="383"/>
      <c r="L586" s="383"/>
      <c r="M586" s="383"/>
      <c r="N586" s="383"/>
      <c r="O586" s="383"/>
      <c r="P586" s="383"/>
      <c r="Q586" s="383"/>
      <c r="R586" s="383"/>
      <c r="S586" s="383"/>
      <c r="T586" s="383"/>
      <c r="U586" s="383"/>
      <c r="V586" s="383"/>
      <c r="W586" s="383"/>
      <c r="X586" s="383"/>
      <c r="Y586" s="383"/>
      <c r="Z586" s="383"/>
    </row>
    <row r="587">
      <c r="A587" s="389"/>
      <c r="B587" s="390"/>
      <c r="C587" s="391"/>
      <c r="D587" s="392"/>
      <c r="E587" s="383"/>
      <c r="F587" s="383"/>
      <c r="G587" s="383"/>
      <c r="H587" s="383"/>
      <c r="I587" s="383"/>
      <c r="J587" s="383"/>
      <c r="K587" s="383"/>
      <c r="L587" s="383"/>
      <c r="M587" s="383"/>
      <c r="N587" s="383"/>
      <c r="O587" s="383"/>
      <c r="P587" s="383"/>
      <c r="Q587" s="383"/>
      <c r="R587" s="383"/>
      <c r="S587" s="383"/>
      <c r="T587" s="383"/>
      <c r="U587" s="383"/>
      <c r="V587" s="383"/>
      <c r="W587" s="383"/>
      <c r="X587" s="383"/>
      <c r="Y587" s="383"/>
      <c r="Z587" s="383"/>
    </row>
    <row r="588">
      <c r="A588" s="389"/>
      <c r="B588" s="390"/>
      <c r="C588" s="391"/>
      <c r="D588" s="392"/>
      <c r="E588" s="383"/>
      <c r="F588" s="383"/>
      <c r="G588" s="383"/>
      <c r="H588" s="383"/>
      <c r="I588" s="383"/>
      <c r="J588" s="383"/>
      <c r="K588" s="383"/>
      <c r="L588" s="383"/>
      <c r="M588" s="383"/>
      <c r="N588" s="383"/>
      <c r="O588" s="383"/>
      <c r="P588" s="383"/>
      <c r="Q588" s="383"/>
      <c r="R588" s="383"/>
      <c r="S588" s="383"/>
      <c r="T588" s="383"/>
      <c r="U588" s="383"/>
      <c r="V588" s="383"/>
      <c r="W588" s="383"/>
      <c r="X588" s="383"/>
      <c r="Y588" s="383"/>
      <c r="Z588" s="383"/>
    </row>
    <row r="589">
      <c r="A589" s="389"/>
      <c r="B589" s="390"/>
      <c r="C589" s="391"/>
      <c r="D589" s="392"/>
      <c r="E589" s="383"/>
      <c r="F589" s="383"/>
      <c r="G589" s="383"/>
      <c r="H589" s="383"/>
      <c r="I589" s="383"/>
      <c r="J589" s="383"/>
      <c r="K589" s="383"/>
      <c r="L589" s="383"/>
      <c r="M589" s="383"/>
      <c r="N589" s="383"/>
      <c r="O589" s="383"/>
      <c r="P589" s="383"/>
      <c r="Q589" s="383"/>
      <c r="R589" s="383"/>
      <c r="S589" s="383"/>
      <c r="T589" s="383"/>
      <c r="U589" s="383"/>
      <c r="V589" s="383"/>
      <c r="W589" s="383"/>
      <c r="X589" s="383"/>
      <c r="Y589" s="383"/>
      <c r="Z589" s="383"/>
    </row>
    <row r="590">
      <c r="A590" s="389"/>
      <c r="B590" s="390"/>
      <c r="C590" s="391"/>
      <c r="D590" s="392"/>
      <c r="E590" s="383"/>
      <c r="F590" s="383"/>
      <c r="G590" s="383"/>
      <c r="H590" s="383"/>
      <c r="I590" s="383"/>
      <c r="J590" s="383"/>
      <c r="K590" s="383"/>
      <c r="L590" s="383"/>
      <c r="M590" s="383"/>
      <c r="N590" s="383"/>
      <c r="O590" s="383"/>
      <c r="P590" s="383"/>
      <c r="Q590" s="383"/>
      <c r="R590" s="383"/>
      <c r="S590" s="383"/>
      <c r="T590" s="383"/>
      <c r="U590" s="383"/>
      <c r="V590" s="383"/>
      <c r="W590" s="383"/>
      <c r="X590" s="383"/>
      <c r="Y590" s="383"/>
      <c r="Z590" s="383"/>
    </row>
    <row r="591">
      <c r="A591" s="389"/>
      <c r="B591" s="390"/>
      <c r="C591" s="391"/>
      <c r="D591" s="392"/>
      <c r="E591" s="383"/>
      <c r="F591" s="383"/>
      <c r="G591" s="383"/>
      <c r="H591" s="383"/>
      <c r="I591" s="383"/>
      <c r="J591" s="383"/>
      <c r="K591" s="383"/>
      <c r="L591" s="383"/>
      <c r="M591" s="383"/>
      <c r="N591" s="383"/>
      <c r="O591" s="383"/>
      <c r="P591" s="383"/>
      <c r="Q591" s="383"/>
      <c r="R591" s="383"/>
      <c r="S591" s="383"/>
      <c r="T591" s="383"/>
      <c r="U591" s="383"/>
      <c r="V591" s="383"/>
      <c r="W591" s="383"/>
      <c r="X591" s="383"/>
      <c r="Y591" s="383"/>
      <c r="Z591" s="383"/>
    </row>
    <row r="592">
      <c r="A592" s="389"/>
      <c r="B592" s="390"/>
      <c r="C592" s="391"/>
      <c r="D592" s="392"/>
      <c r="E592" s="383"/>
      <c r="F592" s="383"/>
      <c r="G592" s="383"/>
      <c r="H592" s="383"/>
      <c r="I592" s="383"/>
      <c r="J592" s="383"/>
      <c r="K592" s="383"/>
      <c r="L592" s="383"/>
      <c r="M592" s="383"/>
      <c r="N592" s="383"/>
      <c r="O592" s="383"/>
      <c r="P592" s="383"/>
      <c r="Q592" s="383"/>
      <c r="R592" s="383"/>
      <c r="S592" s="383"/>
      <c r="T592" s="383"/>
      <c r="U592" s="383"/>
      <c r="V592" s="383"/>
      <c r="W592" s="383"/>
      <c r="X592" s="383"/>
      <c r="Y592" s="383"/>
      <c r="Z592" s="383"/>
    </row>
    <row r="593">
      <c r="A593" s="389"/>
      <c r="B593" s="390"/>
      <c r="C593" s="391"/>
      <c r="D593" s="392"/>
      <c r="E593" s="383"/>
      <c r="F593" s="383"/>
      <c r="G593" s="383"/>
      <c r="H593" s="383"/>
      <c r="I593" s="383"/>
      <c r="J593" s="383"/>
      <c r="K593" s="383"/>
      <c r="L593" s="383"/>
      <c r="M593" s="383"/>
      <c r="N593" s="383"/>
      <c r="O593" s="383"/>
      <c r="P593" s="383"/>
      <c r="Q593" s="383"/>
      <c r="R593" s="383"/>
      <c r="S593" s="383"/>
      <c r="T593" s="383"/>
      <c r="U593" s="383"/>
      <c r="V593" s="383"/>
      <c r="W593" s="383"/>
      <c r="X593" s="383"/>
      <c r="Y593" s="383"/>
      <c r="Z593" s="383"/>
    </row>
    <row r="594">
      <c r="A594" s="389"/>
      <c r="B594" s="390"/>
      <c r="C594" s="391"/>
      <c r="D594" s="392"/>
      <c r="E594" s="383"/>
      <c r="F594" s="383"/>
      <c r="G594" s="383"/>
      <c r="H594" s="383"/>
      <c r="I594" s="383"/>
      <c r="J594" s="383"/>
      <c r="K594" s="383"/>
      <c r="L594" s="383"/>
      <c r="M594" s="383"/>
      <c r="N594" s="383"/>
      <c r="O594" s="383"/>
      <c r="P594" s="383"/>
      <c r="Q594" s="383"/>
      <c r="R594" s="383"/>
      <c r="S594" s="383"/>
      <c r="T594" s="383"/>
      <c r="U594" s="383"/>
      <c r="V594" s="383"/>
      <c r="W594" s="383"/>
      <c r="X594" s="383"/>
      <c r="Y594" s="383"/>
      <c r="Z594" s="383"/>
    </row>
    <row r="595">
      <c r="A595" s="389"/>
      <c r="B595" s="390"/>
      <c r="C595" s="391"/>
      <c r="D595" s="392"/>
      <c r="E595" s="383"/>
      <c r="F595" s="383"/>
      <c r="G595" s="383"/>
      <c r="H595" s="383"/>
      <c r="I595" s="383"/>
      <c r="J595" s="383"/>
      <c r="K595" s="383"/>
      <c r="L595" s="383"/>
      <c r="M595" s="383"/>
      <c r="N595" s="383"/>
      <c r="O595" s="383"/>
      <c r="P595" s="383"/>
      <c r="Q595" s="383"/>
      <c r="R595" s="383"/>
      <c r="S595" s="383"/>
      <c r="T595" s="383"/>
      <c r="U595" s="383"/>
      <c r="V595" s="383"/>
      <c r="W595" s="383"/>
      <c r="X595" s="383"/>
      <c r="Y595" s="383"/>
      <c r="Z595" s="383"/>
    </row>
    <row r="596">
      <c r="A596" s="389"/>
      <c r="B596" s="390"/>
      <c r="C596" s="391"/>
      <c r="D596" s="392"/>
      <c r="E596" s="383"/>
      <c r="F596" s="383"/>
      <c r="G596" s="383"/>
      <c r="H596" s="383"/>
      <c r="I596" s="383"/>
      <c r="J596" s="383"/>
      <c r="K596" s="383"/>
      <c r="L596" s="383"/>
      <c r="M596" s="383"/>
      <c r="N596" s="383"/>
      <c r="O596" s="383"/>
      <c r="P596" s="383"/>
      <c r="Q596" s="383"/>
      <c r="R596" s="383"/>
      <c r="S596" s="383"/>
      <c r="T596" s="383"/>
      <c r="U596" s="383"/>
      <c r="V596" s="383"/>
      <c r="W596" s="383"/>
      <c r="X596" s="383"/>
      <c r="Y596" s="383"/>
      <c r="Z596" s="383"/>
    </row>
    <row r="597">
      <c r="A597" s="389"/>
      <c r="B597" s="390"/>
      <c r="C597" s="391"/>
      <c r="D597" s="392"/>
      <c r="E597" s="383"/>
      <c r="F597" s="383"/>
      <c r="G597" s="383"/>
      <c r="H597" s="383"/>
      <c r="I597" s="383"/>
      <c r="J597" s="383"/>
      <c r="K597" s="383"/>
      <c r="L597" s="383"/>
      <c r="M597" s="383"/>
      <c r="N597" s="383"/>
      <c r="O597" s="383"/>
      <c r="P597" s="383"/>
      <c r="Q597" s="383"/>
      <c r="R597" s="383"/>
      <c r="S597" s="383"/>
      <c r="T597" s="383"/>
      <c r="U597" s="383"/>
      <c r="V597" s="383"/>
      <c r="W597" s="383"/>
      <c r="X597" s="383"/>
      <c r="Y597" s="383"/>
      <c r="Z597" s="383"/>
    </row>
    <row r="598">
      <c r="A598" s="389"/>
      <c r="B598" s="390"/>
      <c r="C598" s="391"/>
      <c r="D598" s="392"/>
      <c r="E598" s="383"/>
      <c r="F598" s="383"/>
      <c r="G598" s="383"/>
      <c r="H598" s="383"/>
      <c r="I598" s="383"/>
      <c r="J598" s="383"/>
      <c r="K598" s="383"/>
      <c r="L598" s="383"/>
      <c r="M598" s="383"/>
      <c r="N598" s="383"/>
      <c r="O598" s="383"/>
      <c r="P598" s="383"/>
      <c r="Q598" s="383"/>
      <c r="R598" s="383"/>
      <c r="S598" s="383"/>
      <c r="T598" s="383"/>
      <c r="U598" s="383"/>
      <c r="V598" s="383"/>
      <c r="W598" s="383"/>
      <c r="X598" s="383"/>
      <c r="Y598" s="383"/>
      <c r="Z598" s="383"/>
    </row>
    <row r="599">
      <c r="A599" s="389"/>
      <c r="B599" s="390"/>
      <c r="C599" s="391"/>
      <c r="D599" s="392"/>
      <c r="E599" s="383"/>
      <c r="F599" s="383"/>
      <c r="G599" s="383"/>
      <c r="H599" s="383"/>
      <c r="I599" s="383"/>
      <c r="J599" s="383"/>
      <c r="K599" s="383"/>
      <c r="L599" s="383"/>
      <c r="M599" s="383"/>
      <c r="N599" s="383"/>
      <c r="O599" s="383"/>
      <c r="P599" s="383"/>
      <c r="Q599" s="383"/>
      <c r="R599" s="383"/>
      <c r="S599" s="383"/>
      <c r="T599" s="383"/>
      <c r="U599" s="383"/>
      <c r="V599" s="383"/>
      <c r="W599" s="383"/>
      <c r="X599" s="383"/>
      <c r="Y599" s="383"/>
      <c r="Z599" s="383"/>
    </row>
    <row r="600">
      <c r="A600" s="389"/>
      <c r="B600" s="390"/>
      <c r="C600" s="391"/>
      <c r="D600" s="392"/>
      <c r="E600" s="383"/>
      <c r="F600" s="383"/>
      <c r="G600" s="383"/>
      <c r="H600" s="383"/>
      <c r="I600" s="383"/>
      <c r="J600" s="383"/>
      <c r="K600" s="383"/>
      <c r="L600" s="383"/>
      <c r="M600" s="383"/>
      <c r="N600" s="383"/>
      <c r="O600" s="383"/>
      <c r="P600" s="383"/>
      <c r="Q600" s="383"/>
      <c r="R600" s="383"/>
      <c r="S600" s="383"/>
      <c r="T600" s="383"/>
      <c r="U600" s="383"/>
      <c r="V600" s="383"/>
      <c r="W600" s="383"/>
      <c r="X600" s="383"/>
      <c r="Y600" s="383"/>
      <c r="Z600" s="383"/>
    </row>
    <row r="601">
      <c r="A601" s="389"/>
      <c r="B601" s="390"/>
      <c r="C601" s="391"/>
      <c r="D601" s="392"/>
      <c r="E601" s="383"/>
      <c r="F601" s="383"/>
      <c r="G601" s="383"/>
      <c r="H601" s="383"/>
      <c r="I601" s="383"/>
      <c r="J601" s="383"/>
      <c r="K601" s="383"/>
      <c r="L601" s="383"/>
      <c r="M601" s="383"/>
      <c r="N601" s="383"/>
      <c r="O601" s="383"/>
      <c r="P601" s="383"/>
      <c r="Q601" s="383"/>
      <c r="R601" s="383"/>
      <c r="S601" s="383"/>
      <c r="T601" s="383"/>
      <c r="U601" s="383"/>
      <c r="V601" s="383"/>
      <c r="W601" s="383"/>
      <c r="X601" s="383"/>
      <c r="Y601" s="383"/>
      <c r="Z601" s="383"/>
    </row>
    <row r="602">
      <c r="A602" s="389"/>
      <c r="B602" s="390"/>
      <c r="C602" s="391"/>
      <c r="D602" s="392"/>
      <c r="E602" s="383"/>
      <c r="F602" s="383"/>
      <c r="G602" s="383"/>
      <c r="H602" s="383"/>
      <c r="I602" s="383"/>
      <c r="J602" s="383"/>
      <c r="K602" s="383"/>
      <c r="L602" s="383"/>
      <c r="M602" s="383"/>
      <c r="N602" s="383"/>
      <c r="O602" s="383"/>
      <c r="P602" s="383"/>
      <c r="Q602" s="383"/>
      <c r="R602" s="383"/>
      <c r="S602" s="383"/>
      <c r="T602" s="383"/>
      <c r="U602" s="383"/>
      <c r="V602" s="383"/>
      <c r="W602" s="383"/>
      <c r="X602" s="383"/>
      <c r="Y602" s="383"/>
      <c r="Z602" s="383"/>
    </row>
    <row r="603">
      <c r="A603" s="389"/>
      <c r="B603" s="390"/>
      <c r="C603" s="391"/>
      <c r="D603" s="392"/>
      <c r="E603" s="383"/>
      <c r="F603" s="383"/>
      <c r="G603" s="383"/>
      <c r="H603" s="383"/>
      <c r="I603" s="383"/>
      <c r="J603" s="383"/>
      <c r="K603" s="383"/>
      <c r="L603" s="383"/>
      <c r="M603" s="383"/>
      <c r="N603" s="383"/>
      <c r="O603" s="383"/>
      <c r="P603" s="383"/>
      <c r="Q603" s="383"/>
      <c r="R603" s="383"/>
      <c r="S603" s="383"/>
      <c r="T603" s="383"/>
      <c r="U603" s="383"/>
      <c r="V603" s="383"/>
      <c r="W603" s="383"/>
      <c r="X603" s="383"/>
      <c r="Y603" s="383"/>
      <c r="Z603" s="383"/>
    </row>
    <row r="604">
      <c r="A604" s="389"/>
      <c r="B604" s="390"/>
      <c r="C604" s="391"/>
      <c r="D604" s="392"/>
      <c r="E604" s="383"/>
      <c r="F604" s="383"/>
      <c r="G604" s="383"/>
      <c r="H604" s="383"/>
      <c r="I604" s="383"/>
      <c r="J604" s="383"/>
      <c r="K604" s="383"/>
      <c r="L604" s="383"/>
      <c r="M604" s="383"/>
      <c r="N604" s="383"/>
      <c r="O604" s="383"/>
      <c r="P604" s="383"/>
      <c r="Q604" s="383"/>
      <c r="R604" s="383"/>
      <c r="S604" s="383"/>
      <c r="T604" s="383"/>
      <c r="U604" s="383"/>
      <c r="V604" s="383"/>
      <c r="W604" s="383"/>
      <c r="X604" s="383"/>
      <c r="Y604" s="383"/>
      <c r="Z604" s="383"/>
    </row>
    <row r="605">
      <c r="A605" s="389"/>
      <c r="B605" s="390"/>
      <c r="C605" s="391"/>
      <c r="D605" s="392"/>
      <c r="E605" s="383"/>
      <c r="F605" s="383"/>
      <c r="G605" s="383"/>
      <c r="H605" s="383"/>
      <c r="I605" s="383"/>
      <c r="J605" s="383"/>
      <c r="K605" s="383"/>
      <c r="L605" s="383"/>
      <c r="M605" s="383"/>
      <c r="N605" s="383"/>
      <c r="O605" s="383"/>
      <c r="P605" s="383"/>
      <c r="Q605" s="383"/>
      <c r="R605" s="383"/>
      <c r="S605" s="383"/>
      <c r="T605" s="383"/>
      <c r="U605" s="383"/>
      <c r="V605" s="383"/>
      <c r="W605" s="383"/>
      <c r="X605" s="383"/>
      <c r="Y605" s="383"/>
      <c r="Z605" s="383"/>
    </row>
    <row r="606">
      <c r="A606" s="389"/>
      <c r="B606" s="390"/>
      <c r="C606" s="391"/>
      <c r="D606" s="392"/>
      <c r="E606" s="383"/>
      <c r="F606" s="383"/>
      <c r="G606" s="383"/>
      <c r="H606" s="383"/>
      <c r="I606" s="383"/>
      <c r="J606" s="383"/>
      <c r="K606" s="383"/>
      <c r="L606" s="383"/>
      <c r="M606" s="383"/>
      <c r="N606" s="383"/>
      <c r="O606" s="383"/>
      <c r="P606" s="383"/>
      <c r="Q606" s="383"/>
      <c r="R606" s="383"/>
      <c r="S606" s="383"/>
      <c r="T606" s="383"/>
      <c r="U606" s="383"/>
      <c r="V606" s="383"/>
      <c r="W606" s="383"/>
      <c r="X606" s="383"/>
      <c r="Y606" s="383"/>
      <c r="Z606" s="383"/>
    </row>
    <row r="607">
      <c r="A607" s="389"/>
      <c r="B607" s="390"/>
      <c r="C607" s="391"/>
      <c r="D607" s="392"/>
      <c r="E607" s="383"/>
      <c r="F607" s="383"/>
      <c r="G607" s="383"/>
      <c r="H607" s="383"/>
      <c r="I607" s="383"/>
      <c r="J607" s="383"/>
      <c r="K607" s="383"/>
      <c r="L607" s="383"/>
      <c r="M607" s="383"/>
      <c r="N607" s="383"/>
      <c r="O607" s="383"/>
      <c r="P607" s="383"/>
      <c r="Q607" s="383"/>
      <c r="R607" s="383"/>
      <c r="S607" s="383"/>
      <c r="T607" s="383"/>
      <c r="U607" s="383"/>
      <c r="V607" s="383"/>
      <c r="W607" s="383"/>
      <c r="X607" s="383"/>
      <c r="Y607" s="383"/>
      <c r="Z607" s="383"/>
    </row>
    <row r="608">
      <c r="A608" s="389"/>
      <c r="B608" s="390"/>
      <c r="C608" s="391"/>
      <c r="D608" s="392"/>
      <c r="E608" s="383"/>
      <c r="F608" s="383"/>
      <c r="G608" s="383"/>
      <c r="H608" s="383"/>
      <c r="I608" s="383"/>
      <c r="J608" s="383"/>
      <c r="K608" s="383"/>
      <c r="L608" s="383"/>
      <c r="M608" s="383"/>
      <c r="N608" s="383"/>
      <c r="O608" s="383"/>
      <c r="P608" s="383"/>
      <c r="Q608" s="383"/>
      <c r="R608" s="383"/>
      <c r="S608" s="383"/>
      <c r="T608" s="383"/>
      <c r="U608" s="383"/>
      <c r="V608" s="383"/>
      <c r="W608" s="383"/>
      <c r="X608" s="383"/>
      <c r="Y608" s="383"/>
      <c r="Z608" s="383"/>
    </row>
    <row r="609">
      <c r="A609" s="389"/>
      <c r="B609" s="390"/>
      <c r="C609" s="391"/>
      <c r="D609" s="392"/>
      <c r="E609" s="383"/>
      <c r="F609" s="383"/>
      <c r="G609" s="383"/>
      <c r="H609" s="383"/>
      <c r="I609" s="383"/>
      <c r="J609" s="383"/>
      <c r="K609" s="383"/>
      <c r="L609" s="383"/>
      <c r="M609" s="383"/>
      <c r="N609" s="383"/>
      <c r="O609" s="383"/>
      <c r="P609" s="383"/>
      <c r="Q609" s="383"/>
      <c r="R609" s="383"/>
      <c r="S609" s="383"/>
      <c r="T609" s="383"/>
      <c r="U609" s="383"/>
      <c r="V609" s="383"/>
      <c r="W609" s="383"/>
      <c r="X609" s="383"/>
      <c r="Y609" s="383"/>
      <c r="Z609" s="383"/>
    </row>
    <row r="610">
      <c r="A610" s="389"/>
      <c r="B610" s="390"/>
      <c r="C610" s="391"/>
      <c r="D610" s="392"/>
      <c r="E610" s="383"/>
      <c r="F610" s="383"/>
      <c r="G610" s="383"/>
      <c r="H610" s="383"/>
      <c r="I610" s="383"/>
      <c r="J610" s="383"/>
      <c r="K610" s="383"/>
      <c r="L610" s="383"/>
      <c r="M610" s="383"/>
      <c r="N610" s="383"/>
      <c r="O610" s="383"/>
      <c r="P610" s="383"/>
      <c r="Q610" s="383"/>
      <c r="R610" s="383"/>
      <c r="S610" s="383"/>
      <c r="T610" s="383"/>
      <c r="U610" s="383"/>
      <c r="V610" s="383"/>
      <c r="W610" s="383"/>
      <c r="X610" s="383"/>
      <c r="Y610" s="383"/>
      <c r="Z610" s="383"/>
    </row>
    <row r="611">
      <c r="A611" s="389"/>
      <c r="B611" s="390"/>
      <c r="C611" s="391"/>
      <c r="D611" s="392"/>
      <c r="E611" s="383"/>
      <c r="F611" s="383"/>
      <c r="G611" s="383"/>
      <c r="H611" s="383"/>
      <c r="I611" s="383"/>
      <c r="J611" s="383"/>
      <c r="K611" s="383"/>
      <c r="L611" s="383"/>
      <c r="M611" s="383"/>
      <c r="N611" s="383"/>
      <c r="O611" s="383"/>
      <c r="P611" s="383"/>
      <c r="Q611" s="383"/>
      <c r="R611" s="383"/>
      <c r="S611" s="383"/>
      <c r="T611" s="383"/>
      <c r="U611" s="383"/>
      <c r="V611" s="383"/>
      <c r="W611" s="383"/>
      <c r="X611" s="383"/>
      <c r="Y611" s="383"/>
      <c r="Z611" s="383"/>
    </row>
    <row r="612">
      <c r="A612" s="389"/>
      <c r="B612" s="390"/>
      <c r="C612" s="391"/>
      <c r="D612" s="392"/>
      <c r="E612" s="383"/>
      <c r="F612" s="383"/>
      <c r="G612" s="383"/>
      <c r="H612" s="383"/>
      <c r="I612" s="383"/>
      <c r="J612" s="383"/>
      <c r="K612" s="383"/>
      <c r="L612" s="383"/>
      <c r="M612" s="383"/>
      <c r="N612" s="383"/>
      <c r="O612" s="383"/>
      <c r="P612" s="383"/>
      <c r="Q612" s="383"/>
      <c r="R612" s="383"/>
      <c r="S612" s="383"/>
      <c r="T612" s="383"/>
      <c r="U612" s="383"/>
      <c r="V612" s="383"/>
      <c r="W612" s="383"/>
      <c r="X612" s="383"/>
      <c r="Y612" s="383"/>
      <c r="Z612" s="383"/>
    </row>
    <row r="613">
      <c r="A613" s="389"/>
      <c r="B613" s="390"/>
      <c r="C613" s="391"/>
      <c r="D613" s="392"/>
      <c r="E613" s="383"/>
      <c r="F613" s="383"/>
      <c r="G613" s="383"/>
      <c r="H613" s="383"/>
      <c r="I613" s="383"/>
      <c r="J613" s="383"/>
      <c r="K613" s="383"/>
      <c r="L613" s="383"/>
      <c r="M613" s="383"/>
      <c r="N613" s="383"/>
      <c r="O613" s="383"/>
      <c r="P613" s="383"/>
      <c r="Q613" s="383"/>
      <c r="R613" s="383"/>
      <c r="S613" s="383"/>
      <c r="T613" s="383"/>
      <c r="U613" s="383"/>
      <c r="V613" s="383"/>
      <c r="W613" s="383"/>
      <c r="X613" s="383"/>
      <c r="Y613" s="383"/>
      <c r="Z613" s="383"/>
    </row>
    <row r="614">
      <c r="A614" s="389"/>
      <c r="B614" s="390"/>
      <c r="C614" s="391"/>
      <c r="D614" s="392"/>
      <c r="E614" s="383"/>
      <c r="F614" s="383"/>
      <c r="G614" s="383"/>
      <c r="H614" s="383"/>
      <c r="I614" s="383"/>
      <c r="J614" s="383"/>
      <c r="K614" s="383"/>
      <c r="L614" s="383"/>
      <c r="M614" s="383"/>
      <c r="N614" s="383"/>
      <c r="O614" s="383"/>
      <c r="P614" s="383"/>
      <c r="Q614" s="383"/>
      <c r="R614" s="383"/>
      <c r="S614" s="383"/>
      <c r="T614" s="383"/>
      <c r="U614" s="383"/>
      <c r="V614" s="383"/>
      <c r="W614" s="383"/>
      <c r="X614" s="383"/>
      <c r="Y614" s="383"/>
      <c r="Z614" s="383"/>
    </row>
    <row r="615">
      <c r="A615" s="389"/>
      <c r="B615" s="390"/>
      <c r="C615" s="391"/>
      <c r="D615" s="392"/>
      <c r="E615" s="383"/>
      <c r="F615" s="383"/>
      <c r="G615" s="383"/>
      <c r="H615" s="383"/>
      <c r="I615" s="383"/>
      <c r="J615" s="383"/>
      <c r="K615" s="383"/>
      <c r="L615" s="383"/>
      <c r="M615" s="383"/>
      <c r="N615" s="383"/>
      <c r="O615" s="383"/>
      <c r="P615" s="383"/>
      <c r="Q615" s="383"/>
      <c r="R615" s="383"/>
      <c r="S615" s="383"/>
      <c r="T615" s="383"/>
      <c r="U615" s="383"/>
      <c r="V615" s="383"/>
      <c r="W615" s="383"/>
      <c r="X615" s="383"/>
      <c r="Y615" s="383"/>
      <c r="Z615" s="383"/>
    </row>
    <row r="616">
      <c r="A616" s="389"/>
      <c r="B616" s="390"/>
      <c r="C616" s="391"/>
      <c r="D616" s="392"/>
      <c r="E616" s="383"/>
      <c r="F616" s="383"/>
      <c r="G616" s="383"/>
      <c r="H616" s="383"/>
      <c r="I616" s="383"/>
      <c r="J616" s="383"/>
      <c r="K616" s="383"/>
      <c r="L616" s="383"/>
      <c r="M616" s="383"/>
      <c r="N616" s="383"/>
      <c r="O616" s="383"/>
      <c r="P616" s="383"/>
      <c r="Q616" s="383"/>
      <c r="R616" s="383"/>
      <c r="S616" s="383"/>
      <c r="T616" s="383"/>
      <c r="U616" s="383"/>
      <c r="V616" s="383"/>
      <c r="W616" s="383"/>
      <c r="X616" s="383"/>
      <c r="Y616" s="383"/>
      <c r="Z616" s="383"/>
    </row>
    <row r="617">
      <c r="A617" s="389"/>
      <c r="B617" s="390"/>
      <c r="C617" s="391"/>
      <c r="D617" s="392"/>
      <c r="E617" s="383"/>
      <c r="F617" s="383"/>
      <c r="G617" s="383"/>
      <c r="H617" s="383"/>
      <c r="I617" s="383"/>
      <c r="J617" s="383"/>
      <c r="K617" s="383"/>
      <c r="L617" s="383"/>
      <c r="M617" s="383"/>
      <c r="N617" s="383"/>
      <c r="O617" s="383"/>
      <c r="P617" s="383"/>
      <c r="Q617" s="383"/>
      <c r="R617" s="383"/>
      <c r="S617" s="383"/>
      <c r="T617" s="383"/>
      <c r="U617" s="383"/>
      <c r="V617" s="383"/>
      <c r="W617" s="383"/>
      <c r="X617" s="383"/>
      <c r="Y617" s="383"/>
      <c r="Z617" s="383"/>
    </row>
    <row r="618">
      <c r="A618" s="389"/>
      <c r="B618" s="390"/>
      <c r="C618" s="391"/>
      <c r="D618" s="392"/>
      <c r="E618" s="383"/>
      <c r="F618" s="383"/>
      <c r="G618" s="383"/>
      <c r="H618" s="383"/>
      <c r="I618" s="383"/>
      <c r="J618" s="383"/>
      <c r="K618" s="383"/>
      <c r="L618" s="383"/>
      <c r="M618" s="383"/>
      <c r="N618" s="383"/>
      <c r="O618" s="383"/>
      <c r="P618" s="383"/>
      <c r="Q618" s="383"/>
      <c r="R618" s="383"/>
      <c r="S618" s="383"/>
      <c r="T618" s="383"/>
      <c r="U618" s="383"/>
      <c r="V618" s="383"/>
      <c r="W618" s="383"/>
      <c r="X618" s="383"/>
      <c r="Y618" s="383"/>
      <c r="Z618" s="383"/>
    </row>
    <row r="619">
      <c r="A619" s="389"/>
      <c r="B619" s="390"/>
      <c r="C619" s="391"/>
      <c r="D619" s="392"/>
      <c r="E619" s="383"/>
      <c r="F619" s="383"/>
      <c r="G619" s="383"/>
      <c r="H619" s="383"/>
      <c r="I619" s="383"/>
      <c r="J619" s="383"/>
      <c r="K619" s="383"/>
      <c r="L619" s="383"/>
      <c r="M619" s="383"/>
      <c r="N619" s="383"/>
      <c r="O619" s="383"/>
      <c r="P619" s="383"/>
      <c r="Q619" s="383"/>
      <c r="R619" s="383"/>
      <c r="S619" s="383"/>
      <c r="T619" s="383"/>
      <c r="U619" s="383"/>
      <c r="V619" s="383"/>
      <c r="W619" s="383"/>
      <c r="X619" s="383"/>
      <c r="Y619" s="383"/>
      <c r="Z619" s="383"/>
    </row>
    <row r="620">
      <c r="A620" s="389"/>
      <c r="B620" s="390"/>
      <c r="C620" s="391"/>
      <c r="D620" s="392"/>
      <c r="E620" s="383"/>
      <c r="F620" s="383"/>
      <c r="G620" s="383"/>
      <c r="H620" s="383"/>
      <c r="I620" s="383"/>
      <c r="J620" s="383"/>
      <c r="K620" s="383"/>
      <c r="L620" s="383"/>
      <c r="M620" s="383"/>
      <c r="N620" s="383"/>
      <c r="O620" s="383"/>
      <c r="P620" s="383"/>
      <c r="Q620" s="383"/>
      <c r="R620" s="383"/>
      <c r="S620" s="383"/>
      <c r="T620" s="383"/>
      <c r="U620" s="383"/>
      <c r="V620" s="383"/>
      <c r="W620" s="383"/>
      <c r="X620" s="383"/>
      <c r="Y620" s="383"/>
      <c r="Z620" s="383"/>
    </row>
    <row r="621">
      <c r="A621" s="389"/>
      <c r="B621" s="390"/>
      <c r="C621" s="391"/>
      <c r="D621" s="392"/>
      <c r="E621" s="383"/>
      <c r="F621" s="383"/>
      <c r="G621" s="383"/>
      <c r="H621" s="383"/>
      <c r="I621" s="383"/>
      <c r="J621" s="383"/>
      <c r="K621" s="383"/>
      <c r="L621" s="383"/>
      <c r="M621" s="383"/>
      <c r="N621" s="383"/>
      <c r="O621" s="383"/>
      <c r="P621" s="383"/>
      <c r="Q621" s="383"/>
      <c r="R621" s="383"/>
      <c r="S621" s="383"/>
      <c r="T621" s="383"/>
      <c r="U621" s="383"/>
      <c r="V621" s="383"/>
      <c r="W621" s="383"/>
      <c r="X621" s="383"/>
      <c r="Y621" s="383"/>
      <c r="Z621" s="383"/>
    </row>
    <row r="622">
      <c r="A622" s="389"/>
      <c r="B622" s="390"/>
      <c r="C622" s="391"/>
      <c r="D622" s="392"/>
      <c r="E622" s="383"/>
      <c r="F622" s="383"/>
      <c r="G622" s="383"/>
      <c r="H622" s="383"/>
      <c r="I622" s="383"/>
      <c r="J622" s="383"/>
      <c r="K622" s="383"/>
      <c r="L622" s="383"/>
      <c r="M622" s="383"/>
      <c r="N622" s="383"/>
      <c r="O622" s="383"/>
      <c r="P622" s="383"/>
      <c r="Q622" s="383"/>
      <c r="R622" s="383"/>
      <c r="S622" s="383"/>
      <c r="T622" s="383"/>
      <c r="U622" s="383"/>
      <c r="V622" s="383"/>
      <c r="W622" s="383"/>
      <c r="X622" s="383"/>
      <c r="Y622" s="383"/>
      <c r="Z622" s="383"/>
    </row>
    <row r="623">
      <c r="A623" s="389"/>
      <c r="B623" s="390"/>
      <c r="C623" s="391"/>
      <c r="D623" s="392"/>
      <c r="E623" s="383"/>
      <c r="F623" s="383"/>
      <c r="G623" s="383"/>
      <c r="H623" s="383"/>
      <c r="I623" s="383"/>
      <c r="J623" s="383"/>
      <c r="K623" s="383"/>
      <c r="L623" s="383"/>
      <c r="M623" s="383"/>
      <c r="N623" s="383"/>
      <c r="O623" s="383"/>
      <c r="P623" s="383"/>
      <c r="Q623" s="383"/>
      <c r="R623" s="383"/>
      <c r="S623" s="383"/>
      <c r="T623" s="383"/>
      <c r="U623" s="383"/>
      <c r="V623" s="383"/>
      <c r="W623" s="383"/>
      <c r="X623" s="383"/>
      <c r="Y623" s="383"/>
      <c r="Z623" s="383"/>
    </row>
    <row r="624">
      <c r="A624" s="389"/>
      <c r="B624" s="390"/>
      <c r="C624" s="391"/>
      <c r="D624" s="392"/>
      <c r="E624" s="383"/>
      <c r="F624" s="383"/>
      <c r="G624" s="383"/>
      <c r="H624" s="383"/>
      <c r="I624" s="383"/>
      <c r="J624" s="383"/>
      <c r="K624" s="383"/>
      <c r="L624" s="383"/>
      <c r="M624" s="383"/>
      <c r="N624" s="383"/>
      <c r="O624" s="383"/>
      <c r="P624" s="383"/>
      <c r="Q624" s="383"/>
      <c r="R624" s="383"/>
      <c r="S624" s="383"/>
      <c r="T624" s="383"/>
      <c r="U624" s="383"/>
      <c r="V624" s="383"/>
      <c r="W624" s="383"/>
      <c r="X624" s="383"/>
      <c r="Y624" s="383"/>
      <c r="Z624" s="383"/>
    </row>
    <row r="625">
      <c r="A625" s="389"/>
      <c r="B625" s="390"/>
      <c r="C625" s="391"/>
      <c r="D625" s="392"/>
      <c r="E625" s="383"/>
      <c r="F625" s="383"/>
      <c r="G625" s="383"/>
      <c r="H625" s="383"/>
      <c r="I625" s="383"/>
      <c r="J625" s="383"/>
      <c r="K625" s="383"/>
      <c r="L625" s="383"/>
      <c r="M625" s="383"/>
      <c r="N625" s="383"/>
      <c r="O625" s="383"/>
      <c r="P625" s="383"/>
      <c r="Q625" s="383"/>
      <c r="R625" s="383"/>
      <c r="S625" s="383"/>
      <c r="T625" s="383"/>
      <c r="U625" s="383"/>
      <c r="V625" s="383"/>
      <c r="W625" s="383"/>
      <c r="X625" s="383"/>
      <c r="Y625" s="383"/>
      <c r="Z625" s="383"/>
    </row>
    <row r="626">
      <c r="A626" s="389"/>
      <c r="B626" s="390"/>
      <c r="C626" s="391"/>
      <c r="D626" s="392"/>
      <c r="E626" s="383"/>
      <c r="F626" s="383"/>
      <c r="G626" s="383"/>
      <c r="H626" s="383"/>
      <c r="I626" s="383"/>
      <c r="J626" s="383"/>
      <c r="K626" s="383"/>
      <c r="L626" s="383"/>
      <c r="M626" s="383"/>
      <c r="N626" s="383"/>
      <c r="O626" s="383"/>
      <c r="P626" s="383"/>
      <c r="Q626" s="383"/>
      <c r="R626" s="383"/>
      <c r="S626" s="383"/>
      <c r="T626" s="383"/>
      <c r="U626" s="383"/>
      <c r="V626" s="383"/>
      <c r="W626" s="383"/>
      <c r="X626" s="383"/>
      <c r="Y626" s="383"/>
      <c r="Z626" s="383"/>
    </row>
    <row r="627">
      <c r="A627" s="389"/>
      <c r="B627" s="390"/>
      <c r="C627" s="391"/>
      <c r="D627" s="392"/>
      <c r="E627" s="383"/>
      <c r="F627" s="383"/>
      <c r="G627" s="383"/>
      <c r="H627" s="383"/>
      <c r="I627" s="383"/>
      <c r="J627" s="383"/>
      <c r="K627" s="383"/>
      <c r="L627" s="383"/>
      <c r="M627" s="383"/>
      <c r="N627" s="383"/>
      <c r="O627" s="383"/>
      <c r="P627" s="383"/>
      <c r="Q627" s="383"/>
      <c r="R627" s="383"/>
      <c r="S627" s="383"/>
      <c r="T627" s="383"/>
      <c r="U627" s="383"/>
      <c r="V627" s="383"/>
      <c r="W627" s="383"/>
      <c r="X627" s="383"/>
      <c r="Y627" s="383"/>
      <c r="Z627" s="383"/>
    </row>
    <row r="628">
      <c r="A628" s="389"/>
      <c r="B628" s="390"/>
      <c r="C628" s="391"/>
      <c r="D628" s="392"/>
      <c r="E628" s="383"/>
      <c r="F628" s="383"/>
      <c r="G628" s="383"/>
      <c r="H628" s="383"/>
      <c r="I628" s="383"/>
      <c r="J628" s="383"/>
      <c r="K628" s="383"/>
      <c r="L628" s="383"/>
      <c r="M628" s="383"/>
      <c r="N628" s="383"/>
      <c r="O628" s="383"/>
      <c r="P628" s="383"/>
      <c r="Q628" s="383"/>
      <c r="R628" s="383"/>
      <c r="S628" s="383"/>
      <c r="T628" s="383"/>
      <c r="U628" s="383"/>
      <c r="V628" s="383"/>
      <c r="W628" s="383"/>
      <c r="X628" s="383"/>
      <c r="Y628" s="383"/>
      <c r="Z628" s="383"/>
    </row>
    <row r="629">
      <c r="A629" s="389"/>
      <c r="B629" s="390"/>
      <c r="C629" s="391"/>
      <c r="D629" s="392"/>
      <c r="E629" s="383"/>
      <c r="F629" s="383"/>
      <c r="G629" s="383"/>
      <c r="H629" s="383"/>
      <c r="I629" s="383"/>
      <c r="J629" s="383"/>
      <c r="K629" s="383"/>
      <c r="L629" s="383"/>
      <c r="M629" s="383"/>
      <c r="N629" s="383"/>
      <c r="O629" s="383"/>
      <c r="P629" s="383"/>
      <c r="Q629" s="383"/>
      <c r="R629" s="383"/>
      <c r="S629" s="383"/>
      <c r="T629" s="383"/>
      <c r="U629" s="383"/>
      <c r="V629" s="383"/>
      <c r="W629" s="383"/>
      <c r="X629" s="383"/>
      <c r="Y629" s="383"/>
      <c r="Z629" s="383"/>
    </row>
    <row r="630">
      <c r="A630" s="389"/>
      <c r="B630" s="390"/>
      <c r="C630" s="391"/>
      <c r="D630" s="392"/>
      <c r="E630" s="383"/>
      <c r="F630" s="383"/>
      <c r="G630" s="383"/>
      <c r="H630" s="383"/>
      <c r="I630" s="383"/>
      <c r="J630" s="383"/>
      <c r="K630" s="383"/>
      <c r="L630" s="383"/>
      <c r="M630" s="383"/>
      <c r="N630" s="383"/>
      <c r="O630" s="383"/>
      <c r="P630" s="383"/>
      <c r="Q630" s="383"/>
      <c r="R630" s="383"/>
      <c r="S630" s="383"/>
      <c r="T630" s="383"/>
      <c r="U630" s="383"/>
      <c r="V630" s="383"/>
      <c r="W630" s="383"/>
      <c r="X630" s="383"/>
      <c r="Y630" s="383"/>
      <c r="Z630" s="383"/>
    </row>
    <row r="631">
      <c r="A631" s="389"/>
      <c r="B631" s="390"/>
      <c r="C631" s="391"/>
      <c r="D631" s="392"/>
      <c r="E631" s="383"/>
      <c r="F631" s="383"/>
      <c r="G631" s="383"/>
      <c r="H631" s="383"/>
      <c r="I631" s="383"/>
      <c r="J631" s="383"/>
      <c r="K631" s="383"/>
      <c r="L631" s="383"/>
      <c r="M631" s="383"/>
      <c r="N631" s="383"/>
      <c r="O631" s="383"/>
      <c r="P631" s="383"/>
      <c r="Q631" s="383"/>
      <c r="R631" s="383"/>
      <c r="S631" s="383"/>
      <c r="T631" s="383"/>
      <c r="U631" s="383"/>
      <c r="V631" s="383"/>
      <c r="W631" s="383"/>
      <c r="X631" s="383"/>
      <c r="Y631" s="383"/>
      <c r="Z631" s="383"/>
    </row>
    <row r="632">
      <c r="A632" s="389"/>
      <c r="B632" s="390"/>
      <c r="C632" s="391"/>
      <c r="D632" s="392"/>
      <c r="E632" s="383"/>
      <c r="F632" s="383"/>
      <c r="G632" s="383"/>
      <c r="H632" s="383"/>
      <c r="I632" s="383"/>
      <c r="J632" s="383"/>
      <c r="K632" s="383"/>
      <c r="L632" s="383"/>
      <c r="M632" s="383"/>
      <c r="N632" s="383"/>
      <c r="O632" s="383"/>
      <c r="P632" s="383"/>
      <c r="Q632" s="383"/>
      <c r="R632" s="383"/>
      <c r="S632" s="383"/>
      <c r="T632" s="383"/>
      <c r="U632" s="383"/>
      <c r="V632" s="383"/>
      <c r="W632" s="383"/>
      <c r="X632" s="383"/>
      <c r="Y632" s="383"/>
      <c r="Z632" s="383"/>
    </row>
    <row r="633">
      <c r="A633" s="389"/>
      <c r="B633" s="390"/>
      <c r="C633" s="391"/>
      <c r="D633" s="392"/>
      <c r="E633" s="383"/>
      <c r="F633" s="383"/>
      <c r="G633" s="383"/>
      <c r="H633" s="383"/>
      <c r="I633" s="383"/>
      <c r="J633" s="383"/>
      <c r="K633" s="383"/>
      <c r="L633" s="383"/>
      <c r="M633" s="383"/>
      <c r="N633" s="383"/>
      <c r="O633" s="383"/>
      <c r="P633" s="383"/>
      <c r="Q633" s="383"/>
      <c r="R633" s="383"/>
      <c r="S633" s="383"/>
      <c r="T633" s="383"/>
      <c r="U633" s="383"/>
      <c r="V633" s="383"/>
      <c r="W633" s="383"/>
      <c r="X633" s="383"/>
      <c r="Y633" s="383"/>
      <c r="Z633" s="383"/>
    </row>
    <row r="634">
      <c r="A634" s="389"/>
      <c r="B634" s="390"/>
      <c r="C634" s="391"/>
      <c r="D634" s="392"/>
      <c r="E634" s="383"/>
      <c r="F634" s="383"/>
      <c r="G634" s="383"/>
      <c r="H634" s="383"/>
      <c r="I634" s="383"/>
      <c r="J634" s="383"/>
      <c r="K634" s="383"/>
      <c r="L634" s="383"/>
      <c r="M634" s="383"/>
      <c r="N634" s="383"/>
      <c r="O634" s="383"/>
      <c r="P634" s="383"/>
      <c r="Q634" s="383"/>
      <c r="R634" s="383"/>
      <c r="S634" s="383"/>
      <c r="T634" s="383"/>
      <c r="U634" s="383"/>
      <c r="V634" s="383"/>
      <c r="W634" s="383"/>
      <c r="X634" s="383"/>
      <c r="Y634" s="383"/>
      <c r="Z634" s="383"/>
    </row>
    <row r="635">
      <c r="A635" s="389"/>
      <c r="B635" s="390"/>
      <c r="C635" s="391"/>
      <c r="D635" s="392"/>
      <c r="E635" s="383"/>
      <c r="F635" s="383"/>
      <c r="G635" s="383"/>
      <c r="H635" s="383"/>
      <c r="I635" s="383"/>
      <c r="J635" s="383"/>
      <c r="K635" s="383"/>
      <c r="L635" s="383"/>
      <c r="M635" s="383"/>
      <c r="N635" s="383"/>
      <c r="O635" s="383"/>
      <c r="P635" s="383"/>
      <c r="Q635" s="383"/>
      <c r="R635" s="383"/>
      <c r="S635" s="383"/>
      <c r="T635" s="383"/>
      <c r="U635" s="383"/>
      <c r="V635" s="383"/>
      <c r="W635" s="383"/>
      <c r="X635" s="383"/>
      <c r="Y635" s="383"/>
      <c r="Z635" s="383"/>
    </row>
    <row r="636">
      <c r="A636" s="389"/>
      <c r="B636" s="390"/>
      <c r="C636" s="391"/>
      <c r="D636" s="392"/>
      <c r="E636" s="383"/>
      <c r="F636" s="383"/>
      <c r="G636" s="383"/>
      <c r="H636" s="383"/>
      <c r="I636" s="383"/>
      <c r="J636" s="383"/>
      <c r="K636" s="383"/>
      <c r="L636" s="383"/>
      <c r="M636" s="383"/>
      <c r="N636" s="383"/>
      <c r="O636" s="383"/>
      <c r="P636" s="383"/>
      <c r="Q636" s="383"/>
      <c r="R636" s="383"/>
      <c r="S636" s="383"/>
      <c r="T636" s="383"/>
      <c r="U636" s="383"/>
      <c r="V636" s="383"/>
      <c r="W636" s="383"/>
      <c r="X636" s="383"/>
      <c r="Y636" s="383"/>
      <c r="Z636" s="383"/>
    </row>
    <row r="637">
      <c r="A637" s="389"/>
      <c r="B637" s="390"/>
      <c r="C637" s="391"/>
      <c r="D637" s="392"/>
      <c r="E637" s="383"/>
      <c r="F637" s="383"/>
      <c r="G637" s="383"/>
      <c r="H637" s="383"/>
      <c r="I637" s="383"/>
      <c r="J637" s="383"/>
      <c r="K637" s="383"/>
      <c r="L637" s="383"/>
      <c r="M637" s="383"/>
      <c r="N637" s="383"/>
      <c r="O637" s="383"/>
      <c r="P637" s="383"/>
      <c r="Q637" s="383"/>
      <c r="R637" s="383"/>
      <c r="S637" s="383"/>
      <c r="T637" s="383"/>
      <c r="U637" s="383"/>
      <c r="V637" s="383"/>
      <c r="W637" s="383"/>
      <c r="X637" s="383"/>
      <c r="Y637" s="383"/>
      <c r="Z637" s="383"/>
    </row>
    <row r="638">
      <c r="A638" s="389"/>
      <c r="B638" s="390"/>
      <c r="C638" s="391"/>
      <c r="D638" s="392"/>
      <c r="E638" s="383"/>
      <c r="F638" s="383"/>
      <c r="G638" s="383"/>
      <c r="H638" s="383"/>
      <c r="I638" s="383"/>
      <c r="J638" s="383"/>
      <c r="K638" s="383"/>
      <c r="L638" s="383"/>
      <c r="M638" s="383"/>
      <c r="N638" s="383"/>
      <c r="O638" s="383"/>
      <c r="P638" s="383"/>
      <c r="Q638" s="383"/>
      <c r="R638" s="383"/>
      <c r="S638" s="383"/>
      <c r="T638" s="383"/>
      <c r="U638" s="383"/>
      <c r="V638" s="383"/>
      <c r="W638" s="383"/>
      <c r="X638" s="383"/>
      <c r="Y638" s="383"/>
      <c r="Z638" s="383"/>
    </row>
    <row r="639">
      <c r="A639" s="389"/>
      <c r="B639" s="390"/>
      <c r="C639" s="391"/>
      <c r="D639" s="392"/>
      <c r="E639" s="383"/>
      <c r="F639" s="383"/>
      <c r="G639" s="383"/>
      <c r="H639" s="383"/>
      <c r="I639" s="383"/>
      <c r="J639" s="383"/>
      <c r="K639" s="383"/>
      <c r="L639" s="383"/>
      <c r="M639" s="383"/>
      <c r="N639" s="383"/>
      <c r="O639" s="383"/>
      <c r="P639" s="383"/>
      <c r="Q639" s="383"/>
      <c r="R639" s="383"/>
      <c r="S639" s="383"/>
      <c r="T639" s="383"/>
      <c r="U639" s="383"/>
      <c r="V639" s="383"/>
      <c r="W639" s="383"/>
      <c r="X639" s="383"/>
      <c r="Y639" s="383"/>
      <c r="Z639" s="383"/>
    </row>
    <row r="640">
      <c r="A640" s="389"/>
      <c r="B640" s="390"/>
      <c r="C640" s="391"/>
      <c r="D640" s="392"/>
      <c r="E640" s="383"/>
      <c r="F640" s="383"/>
      <c r="G640" s="383"/>
      <c r="H640" s="383"/>
      <c r="I640" s="383"/>
      <c r="J640" s="383"/>
      <c r="K640" s="383"/>
      <c r="L640" s="383"/>
      <c r="M640" s="383"/>
      <c r="N640" s="383"/>
      <c r="O640" s="383"/>
      <c r="P640" s="383"/>
      <c r="Q640" s="383"/>
      <c r="R640" s="383"/>
      <c r="S640" s="383"/>
      <c r="T640" s="383"/>
      <c r="U640" s="383"/>
      <c r="V640" s="383"/>
      <c r="W640" s="383"/>
      <c r="X640" s="383"/>
      <c r="Y640" s="383"/>
      <c r="Z640" s="383"/>
    </row>
    <row r="641">
      <c r="A641" s="389"/>
      <c r="B641" s="390"/>
      <c r="C641" s="391"/>
      <c r="D641" s="392"/>
      <c r="E641" s="383"/>
      <c r="F641" s="383"/>
      <c r="G641" s="383"/>
      <c r="H641" s="383"/>
      <c r="I641" s="383"/>
      <c r="J641" s="383"/>
      <c r="K641" s="383"/>
      <c r="L641" s="383"/>
      <c r="M641" s="383"/>
      <c r="N641" s="383"/>
      <c r="O641" s="383"/>
      <c r="P641" s="383"/>
      <c r="Q641" s="383"/>
      <c r="R641" s="383"/>
      <c r="S641" s="383"/>
      <c r="T641" s="383"/>
      <c r="U641" s="383"/>
      <c r="V641" s="383"/>
      <c r="W641" s="383"/>
      <c r="X641" s="383"/>
      <c r="Y641" s="383"/>
      <c r="Z641" s="383"/>
    </row>
    <row r="642">
      <c r="A642" s="389"/>
      <c r="B642" s="390"/>
      <c r="C642" s="391"/>
      <c r="D642" s="392"/>
      <c r="E642" s="383"/>
      <c r="F642" s="383"/>
      <c r="G642" s="383"/>
      <c r="H642" s="383"/>
      <c r="I642" s="383"/>
      <c r="J642" s="383"/>
      <c r="K642" s="383"/>
      <c r="L642" s="383"/>
      <c r="M642" s="383"/>
      <c r="N642" s="383"/>
      <c r="O642" s="383"/>
      <c r="P642" s="383"/>
      <c r="Q642" s="383"/>
      <c r="R642" s="383"/>
      <c r="S642" s="383"/>
      <c r="T642" s="383"/>
      <c r="U642" s="383"/>
      <c r="V642" s="383"/>
      <c r="W642" s="383"/>
      <c r="X642" s="383"/>
      <c r="Y642" s="383"/>
      <c r="Z642" s="383"/>
    </row>
    <row r="643">
      <c r="A643" s="389"/>
      <c r="B643" s="390"/>
      <c r="C643" s="391"/>
      <c r="D643" s="392"/>
      <c r="E643" s="383"/>
      <c r="F643" s="383"/>
      <c r="G643" s="383"/>
      <c r="H643" s="383"/>
      <c r="I643" s="383"/>
      <c r="J643" s="383"/>
      <c r="K643" s="383"/>
      <c r="L643" s="383"/>
      <c r="M643" s="383"/>
      <c r="N643" s="383"/>
      <c r="O643" s="383"/>
      <c r="P643" s="383"/>
      <c r="Q643" s="383"/>
      <c r="R643" s="383"/>
      <c r="S643" s="383"/>
      <c r="T643" s="383"/>
      <c r="U643" s="383"/>
      <c r="V643" s="383"/>
      <c r="W643" s="383"/>
      <c r="X643" s="383"/>
      <c r="Y643" s="383"/>
      <c r="Z643" s="383"/>
    </row>
    <row r="644">
      <c r="A644" s="389"/>
      <c r="B644" s="390"/>
      <c r="C644" s="391"/>
      <c r="D644" s="392"/>
      <c r="E644" s="383"/>
      <c r="F644" s="383"/>
      <c r="G644" s="383"/>
      <c r="H644" s="383"/>
      <c r="I644" s="383"/>
      <c r="J644" s="383"/>
      <c r="K644" s="383"/>
      <c r="L644" s="383"/>
      <c r="M644" s="383"/>
      <c r="N644" s="383"/>
      <c r="O644" s="383"/>
      <c r="P644" s="383"/>
      <c r="Q644" s="383"/>
      <c r="R644" s="383"/>
      <c r="S644" s="383"/>
      <c r="T644" s="383"/>
      <c r="U644" s="383"/>
      <c r="V644" s="383"/>
      <c r="W644" s="383"/>
      <c r="X644" s="383"/>
      <c r="Y644" s="383"/>
      <c r="Z644" s="383"/>
    </row>
    <row r="645">
      <c r="A645" s="389"/>
      <c r="B645" s="390"/>
      <c r="C645" s="391"/>
      <c r="D645" s="392"/>
      <c r="E645" s="383"/>
      <c r="F645" s="383"/>
      <c r="G645" s="383"/>
      <c r="H645" s="383"/>
      <c r="I645" s="383"/>
      <c r="J645" s="383"/>
      <c r="K645" s="383"/>
      <c r="L645" s="383"/>
      <c r="M645" s="383"/>
      <c r="N645" s="383"/>
      <c r="O645" s="383"/>
      <c r="P645" s="383"/>
      <c r="Q645" s="383"/>
      <c r="R645" s="383"/>
      <c r="S645" s="383"/>
      <c r="T645" s="383"/>
      <c r="U645" s="383"/>
      <c r="V645" s="383"/>
      <c r="W645" s="383"/>
      <c r="X645" s="383"/>
      <c r="Y645" s="383"/>
      <c r="Z645" s="383"/>
    </row>
    <row r="646">
      <c r="A646" s="389"/>
      <c r="B646" s="390"/>
      <c r="C646" s="391"/>
      <c r="D646" s="392"/>
      <c r="E646" s="383"/>
      <c r="F646" s="383"/>
      <c r="G646" s="383"/>
      <c r="H646" s="383"/>
      <c r="I646" s="383"/>
      <c r="J646" s="383"/>
      <c r="K646" s="383"/>
      <c r="L646" s="383"/>
      <c r="M646" s="383"/>
      <c r="N646" s="383"/>
      <c r="O646" s="383"/>
      <c r="P646" s="383"/>
      <c r="Q646" s="383"/>
      <c r="R646" s="383"/>
      <c r="S646" s="383"/>
      <c r="T646" s="383"/>
      <c r="U646" s="383"/>
      <c r="V646" s="383"/>
      <c r="W646" s="383"/>
      <c r="X646" s="383"/>
      <c r="Y646" s="383"/>
      <c r="Z646" s="383"/>
    </row>
    <row r="647">
      <c r="A647" s="389"/>
      <c r="B647" s="390"/>
      <c r="C647" s="391"/>
      <c r="D647" s="392"/>
      <c r="E647" s="383"/>
      <c r="F647" s="383"/>
      <c r="G647" s="383"/>
      <c r="H647" s="383"/>
      <c r="I647" s="383"/>
      <c r="J647" s="383"/>
      <c r="K647" s="383"/>
      <c r="L647" s="383"/>
      <c r="M647" s="383"/>
      <c r="N647" s="383"/>
      <c r="O647" s="383"/>
      <c r="P647" s="383"/>
      <c r="Q647" s="383"/>
      <c r="R647" s="383"/>
      <c r="S647" s="383"/>
      <c r="T647" s="383"/>
      <c r="U647" s="383"/>
      <c r="V647" s="383"/>
      <c r="W647" s="383"/>
      <c r="X647" s="383"/>
      <c r="Y647" s="383"/>
      <c r="Z647" s="383"/>
    </row>
    <row r="648">
      <c r="A648" s="389"/>
      <c r="B648" s="390"/>
      <c r="C648" s="391"/>
      <c r="D648" s="392"/>
      <c r="E648" s="383"/>
      <c r="F648" s="383"/>
      <c r="G648" s="383"/>
      <c r="H648" s="383"/>
      <c r="I648" s="383"/>
      <c r="J648" s="383"/>
      <c r="K648" s="383"/>
      <c r="L648" s="383"/>
      <c r="M648" s="383"/>
      <c r="N648" s="383"/>
      <c r="O648" s="383"/>
      <c r="P648" s="383"/>
      <c r="Q648" s="383"/>
      <c r="R648" s="383"/>
      <c r="S648" s="383"/>
      <c r="T648" s="383"/>
      <c r="U648" s="383"/>
      <c r="V648" s="383"/>
      <c r="W648" s="383"/>
      <c r="X648" s="383"/>
      <c r="Y648" s="383"/>
      <c r="Z648" s="383"/>
    </row>
    <row r="649">
      <c r="A649" s="389"/>
      <c r="B649" s="390"/>
      <c r="C649" s="391"/>
      <c r="D649" s="392"/>
      <c r="E649" s="383"/>
      <c r="F649" s="383"/>
      <c r="G649" s="383"/>
      <c r="H649" s="383"/>
      <c r="I649" s="383"/>
      <c r="J649" s="383"/>
      <c r="K649" s="383"/>
      <c r="L649" s="383"/>
      <c r="M649" s="383"/>
      <c r="N649" s="383"/>
      <c r="O649" s="383"/>
      <c r="P649" s="383"/>
      <c r="Q649" s="383"/>
      <c r="R649" s="383"/>
      <c r="S649" s="383"/>
      <c r="T649" s="383"/>
      <c r="U649" s="383"/>
      <c r="V649" s="383"/>
      <c r="W649" s="383"/>
      <c r="X649" s="383"/>
      <c r="Y649" s="383"/>
      <c r="Z649" s="383"/>
    </row>
    <row r="650">
      <c r="A650" s="389"/>
      <c r="B650" s="390"/>
      <c r="C650" s="391"/>
      <c r="D650" s="392"/>
      <c r="E650" s="383"/>
      <c r="F650" s="383"/>
      <c r="G650" s="383"/>
      <c r="H650" s="383"/>
      <c r="I650" s="383"/>
      <c r="J650" s="383"/>
      <c r="K650" s="383"/>
      <c r="L650" s="383"/>
      <c r="M650" s="383"/>
      <c r="N650" s="383"/>
      <c r="O650" s="383"/>
      <c r="P650" s="383"/>
      <c r="Q650" s="383"/>
      <c r="R650" s="383"/>
      <c r="S650" s="383"/>
      <c r="T650" s="383"/>
      <c r="U650" s="383"/>
      <c r="V650" s="383"/>
      <c r="W650" s="383"/>
      <c r="X650" s="383"/>
      <c r="Y650" s="383"/>
      <c r="Z650" s="383"/>
    </row>
    <row r="651">
      <c r="A651" s="389"/>
      <c r="B651" s="390"/>
      <c r="C651" s="391"/>
      <c r="D651" s="392"/>
      <c r="E651" s="383"/>
      <c r="F651" s="383"/>
      <c r="G651" s="383"/>
      <c r="H651" s="383"/>
      <c r="I651" s="383"/>
      <c r="J651" s="383"/>
      <c r="K651" s="383"/>
      <c r="L651" s="383"/>
      <c r="M651" s="383"/>
      <c r="N651" s="383"/>
      <c r="O651" s="383"/>
      <c r="P651" s="383"/>
      <c r="Q651" s="383"/>
      <c r="R651" s="383"/>
      <c r="S651" s="383"/>
      <c r="T651" s="383"/>
      <c r="U651" s="383"/>
      <c r="V651" s="383"/>
      <c r="W651" s="383"/>
      <c r="X651" s="383"/>
      <c r="Y651" s="383"/>
      <c r="Z651" s="383"/>
    </row>
    <row r="652">
      <c r="A652" s="389"/>
      <c r="B652" s="390"/>
      <c r="C652" s="391"/>
      <c r="D652" s="392"/>
      <c r="E652" s="383"/>
      <c r="F652" s="383"/>
      <c r="G652" s="383"/>
      <c r="H652" s="383"/>
      <c r="I652" s="383"/>
      <c r="J652" s="383"/>
      <c r="K652" s="383"/>
      <c r="L652" s="383"/>
      <c r="M652" s="383"/>
      <c r="N652" s="383"/>
      <c r="O652" s="383"/>
      <c r="P652" s="383"/>
      <c r="Q652" s="383"/>
      <c r="R652" s="383"/>
      <c r="S652" s="383"/>
      <c r="T652" s="383"/>
      <c r="U652" s="383"/>
      <c r="V652" s="383"/>
      <c r="W652" s="383"/>
      <c r="X652" s="383"/>
      <c r="Y652" s="383"/>
      <c r="Z652" s="383"/>
    </row>
    <row r="653">
      <c r="A653" s="389"/>
      <c r="B653" s="390"/>
      <c r="C653" s="391"/>
      <c r="D653" s="392"/>
      <c r="E653" s="383"/>
      <c r="F653" s="383"/>
      <c r="G653" s="383"/>
      <c r="H653" s="383"/>
      <c r="I653" s="383"/>
      <c r="J653" s="383"/>
      <c r="K653" s="383"/>
      <c r="L653" s="383"/>
      <c r="M653" s="383"/>
      <c r="N653" s="383"/>
      <c r="O653" s="383"/>
      <c r="P653" s="383"/>
      <c r="Q653" s="383"/>
      <c r="R653" s="383"/>
      <c r="S653" s="383"/>
      <c r="T653" s="383"/>
      <c r="U653" s="383"/>
      <c r="V653" s="383"/>
      <c r="W653" s="383"/>
      <c r="X653" s="383"/>
      <c r="Y653" s="383"/>
      <c r="Z653" s="383"/>
    </row>
    <row r="654">
      <c r="A654" s="389"/>
      <c r="B654" s="390"/>
      <c r="C654" s="391"/>
      <c r="D654" s="392"/>
      <c r="E654" s="383"/>
      <c r="F654" s="383"/>
      <c r="G654" s="383"/>
      <c r="H654" s="383"/>
      <c r="I654" s="383"/>
      <c r="J654" s="383"/>
      <c r="K654" s="383"/>
      <c r="L654" s="383"/>
      <c r="M654" s="383"/>
      <c r="N654" s="383"/>
      <c r="O654" s="383"/>
      <c r="P654" s="383"/>
      <c r="Q654" s="383"/>
      <c r="R654" s="383"/>
      <c r="S654" s="383"/>
      <c r="T654" s="383"/>
      <c r="U654" s="383"/>
      <c r="V654" s="383"/>
      <c r="W654" s="383"/>
      <c r="X654" s="383"/>
      <c r="Y654" s="383"/>
      <c r="Z654" s="383"/>
    </row>
    <row r="655">
      <c r="A655" s="389"/>
      <c r="B655" s="390"/>
      <c r="C655" s="391"/>
      <c r="D655" s="392"/>
      <c r="E655" s="383"/>
      <c r="F655" s="383"/>
      <c r="G655" s="383"/>
      <c r="H655" s="383"/>
      <c r="I655" s="383"/>
      <c r="J655" s="383"/>
      <c r="K655" s="383"/>
      <c r="L655" s="383"/>
      <c r="M655" s="383"/>
      <c r="N655" s="383"/>
      <c r="O655" s="383"/>
      <c r="P655" s="383"/>
      <c r="Q655" s="383"/>
      <c r="R655" s="383"/>
      <c r="S655" s="383"/>
      <c r="T655" s="383"/>
      <c r="U655" s="383"/>
      <c r="V655" s="383"/>
      <c r="W655" s="383"/>
      <c r="X655" s="383"/>
      <c r="Y655" s="383"/>
      <c r="Z655" s="383"/>
    </row>
    <row r="656">
      <c r="A656" s="389"/>
      <c r="B656" s="390"/>
      <c r="C656" s="391"/>
      <c r="D656" s="392"/>
      <c r="E656" s="383"/>
      <c r="F656" s="383"/>
      <c r="G656" s="383"/>
      <c r="H656" s="383"/>
      <c r="I656" s="383"/>
      <c r="J656" s="383"/>
      <c r="K656" s="383"/>
      <c r="L656" s="383"/>
      <c r="M656" s="383"/>
      <c r="N656" s="383"/>
      <c r="O656" s="383"/>
      <c r="P656" s="383"/>
      <c r="Q656" s="383"/>
      <c r="R656" s="383"/>
      <c r="S656" s="383"/>
      <c r="T656" s="383"/>
      <c r="U656" s="383"/>
      <c r="V656" s="383"/>
      <c r="W656" s="383"/>
      <c r="X656" s="383"/>
      <c r="Y656" s="383"/>
      <c r="Z656" s="383"/>
    </row>
    <row r="657">
      <c r="A657" s="389"/>
      <c r="B657" s="390"/>
      <c r="C657" s="391"/>
      <c r="D657" s="392"/>
      <c r="E657" s="383"/>
      <c r="F657" s="383"/>
      <c r="G657" s="383"/>
      <c r="H657" s="383"/>
      <c r="I657" s="383"/>
      <c r="J657" s="383"/>
      <c r="K657" s="383"/>
      <c r="L657" s="383"/>
      <c r="M657" s="383"/>
      <c r="N657" s="383"/>
      <c r="O657" s="383"/>
      <c r="P657" s="383"/>
      <c r="Q657" s="383"/>
      <c r="R657" s="383"/>
      <c r="S657" s="383"/>
      <c r="T657" s="383"/>
      <c r="U657" s="383"/>
      <c r="V657" s="383"/>
      <c r="W657" s="383"/>
      <c r="X657" s="383"/>
      <c r="Y657" s="383"/>
      <c r="Z657" s="383"/>
    </row>
    <row r="658">
      <c r="A658" s="389"/>
      <c r="B658" s="390"/>
      <c r="C658" s="391"/>
      <c r="D658" s="392"/>
      <c r="E658" s="383"/>
      <c r="F658" s="383"/>
      <c r="G658" s="383"/>
      <c r="H658" s="383"/>
      <c r="I658" s="383"/>
      <c r="J658" s="383"/>
      <c r="K658" s="383"/>
      <c r="L658" s="383"/>
      <c r="M658" s="383"/>
      <c r="N658" s="383"/>
      <c r="O658" s="383"/>
      <c r="P658" s="383"/>
      <c r="Q658" s="383"/>
      <c r="R658" s="383"/>
      <c r="S658" s="383"/>
      <c r="T658" s="383"/>
      <c r="U658" s="383"/>
      <c r="V658" s="383"/>
      <c r="W658" s="383"/>
      <c r="X658" s="383"/>
      <c r="Y658" s="383"/>
      <c r="Z658" s="383"/>
    </row>
    <row r="659">
      <c r="A659" s="389"/>
      <c r="B659" s="390"/>
      <c r="C659" s="391"/>
      <c r="D659" s="392"/>
      <c r="E659" s="383"/>
      <c r="F659" s="383"/>
      <c r="G659" s="383"/>
      <c r="H659" s="383"/>
      <c r="I659" s="383"/>
      <c r="J659" s="383"/>
      <c r="K659" s="383"/>
      <c r="L659" s="383"/>
      <c r="M659" s="383"/>
      <c r="N659" s="383"/>
      <c r="O659" s="383"/>
      <c r="P659" s="383"/>
      <c r="Q659" s="383"/>
      <c r="R659" s="383"/>
      <c r="S659" s="383"/>
      <c r="T659" s="383"/>
      <c r="U659" s="383"/>
      <c r="V659" s="383"/>
      <c r="W659" s="383"/>
      <c r="X659" s="383"/>
      <c r="Y659" s="383"/>
      <c r="Z659" s="383"/>
    </row>
    <row r="660">
      <c r="A660" s="389"/>
      <c r="B660" s="390"/>
      <c r="C660" s="391"/>
      <c r="D660" s="392"/>
      <c r="E660" s="383"/>
      <c r="F660" s="383"/>
      <c r="G660" s="383"/>
      <c r="H660" s="383"/>
      <c r="I660" s="383"/>
      <c r="J660" s="383"/>
      <c r="K660" s="383"/>
      <c r="L660" s="383"/>
      <c r="M660" s="383"/>
      <c r="N660" s="383"/>
      <c r="O660" s="383"/>
      <c r="P660" s="383"/>
      <c r="Q660" s="383"/>
      <c r="R660" s="383"/>
      <c r="S660" s="383"/>
      <c r="T660" s="383"/>
      <c r="U660" s="383"/>
      <c r="V660" s="383"/>
      <c r="W660" s="383"/>
      <c r="X660" s="383"/>
      <c r="Y660" s="383"/>
      <c r="Z660" s="383"/>
    </row>
    <row r="661">
      <c r="A661" s="389"/>
      <c r="B661" s="390"/>
      <c r="C661" s="391"/>
      <c r="D661" s="392"/>
      <c r="E661" s="383"/>
      <c r="F661" s="383"/>
      <c r="G661" s="383"/>
      <c r="H661" s="383"/>
      <c r="I661" s="383"/>
      <c r="J661" s="383"/>
      <c r="K661" s="383"/>
      <c r="L661" s="383"/>
      <c r="M661" s="383"/>
      <c r="N661" s="383"/>
      <c r="O661" s="383"/>
      <c r="P661" s="383"/>
      <c r="Q661" s="383"/>
      <c r="R661" s="383"/>
      <c r="S661" s="383"/>
      <c r="T661" s="383"/>
      <c r="U661" s="383"/>
      <c r="V661" s="383"/>
      <c r="W661" s="383"/>
      <c r="X661" s="383"/>
      <c r="Y661" s="383"/>
      <c r="Z661" s="383"/>
    </row>
    <row r="662">
      <c r="A662" s="389"/>
      <c r="B662" s="390"/>
      <c r="C662" s="391"/>
      <c r="D662" s="392"/>
      <c r="E662" s="383"/>
      <c r="F662" s="383"/>
      <c r="G662" s="383"/>
      <c r="H662" s="383"/>
      <c r="I662" s="383"/>
      <c r="J662" s="383"/>
      <c r="K662" s="383"/>
      <c r="L662" s="383"/>
      <c r="M662" s="383"/>
      <c r="N662" s="383"/>
      <c r="O662" s="383"/>
      <c r="P662" s="383"/>
      <c r="Q662" s="383"/>
      <c r="R662" s="383"/>
      <c r="S662" s="383"/>
      <c r="T662" s="383"/>
      <c r="U662" s="383"/>
      <c r="V662" s="383"/>
      <c r="W662" s="383"/>
      <c r="X662" s="383"/>
      <c r="Y662" s="383"/>
      <c r="Z662" s="383"/>
    </row>
    <row r="663">
      <c r="A663" s="389"/>
      <c r="B663" s="390"/>
      <c r="C663" s="391"/>
      <c r="D663" s="392"/>
      <c r="E663" s="383"/>
      <c r="F663" s="383"/>
      <c r="G663" s="383"/>
      <c r="H663" s="383"/>
      <c r="I663" s="383"/>
      <c r="J663" s="383"/>
      <c r="K663" s="383"/>
      <c r="L663" s="383"/>
      <c r="M663" s="383"/>
      <c r="N663" s="383"/>
      <c r="O663" s="383"/>
      <c r="P663" s="383"/>
      <c r="Q663" s="383"/>
      <c r="R663" s="383"/>
      <c r="S663" s="383"/>
      <c r="T663" s="383"/>
      <c r="U663" s="383"/>
      <c r="V663" s="383"/>
      <c r="W663" s="383"/>
      <c r="X663" s="383"/>
      <c r="Y663" s="383"/>
      <c r="Z663" s="383"/>
    </row>
    <row r="664">
      <c r="A664" s="389"/>
      <c r="B664" s="390"/>
      <c r="C664" s="391"/>
      <c r="D664" s="392"/>
      <c r="E664" s="383"/>
      <c r="F664" s="383"/>
      <c r="G664" s="383"/>
      <c r="H664" s="383"/>
      <c r="I664" s="383"/>
      <c r="J664" s="383"/>
      <c r="K664" s="383"/>
      <c r="L664" s="383"/>
      <c r="M664" s="383"/>
      <c r="N664" s="383"/>
      <c r="O664" s="383"/>
      <c r="P664" s="383"/>
      <c r="Q664" s="383"/>
      <c r="R664" s="383"/>
      <c r="S664" s="383"/>
      <c r="T664" s="383"/>
      <c r="U664" s="383"/>
      <c r="V664" s="383"/>
      <c r="W664" s="383"/>
      <c r="X664" s="383"/>
      <c r="Y664" s="383"/>
      <c r="Z664" s="383"/>
    </row>
    <row r="665">
      <c r="A665" s="389"/>
      <c r="B665" s="390"/>
      <c r="C665" s="391"/>
      <c r="D665" s="392"/>
      <c r="E665" s="383"/>
      <c r="F665" s="383"/>
      <c r="G665" s="383"/>
      <c r="H665" s="383"/>
      <c r="I665" s="383"/>
      <c r="J665" s="383"/>
      <c r="K665" s="383"/>
      <c r="L665" s="383"/>
      <c r="M665" s="383"/>
      <c r="N665" s="383"/>
      <c r="O665" s="383"/>
      <c r="P665" s="383"/>
      <c r="Q665" s="383"/>
      <c r="R665" s="383"/>
      <c r="S665" s="383"/>
      <c r="T665" s="383"/>
      <c r="U665" s="383"/>
      <c r="V665" s="383"/>
      <c r="W665" s="383"/>
      <c r="X665" s="383"/>
      <c r="Y665" s="383"/>
      <c r="Z665" s="383"/>
    </row>
    <row r="666">
      <c r="A666" s="389"/>
      <c r="B666" s="390"/>
      <c r="C666" s="391"/>
      <c r="D666" s="392"/>
      <c r="E666" s="383"/>
      <c r="F666" s="383"/>
      <c r="G666" s="383"/>
      <c r="H666" s="383"/>
      <c r="I666" s="383"/>
      <c r="J666" s="383"/>
      <c r="K666" s="383"/>
      <c r="L666" s="383"/>
      <c r="M666" s="383"/>
      <c r="N666" s="383"/>
      <c r="O666" s="383"/>
      <c r="P666" s="383"/>
      <c r="Q666" s="383"/>
      <c r="R666" s="383"/>
      <c r="S666" s="383"/>
      <c r="T666" s="383"/>
      <c r="U666" s="383"/>
      <c r="V666" s="383"/>
      <c r="W666" s="383"/>
      <c r="X666" s="383"/>
      <c r="Y666" s="383"/>
      <c r="Z666" s="383"/>
    </row>
    <row r="667">
      <c r="A667" s="389"/>
      <c r="B667" s="390"/>
      <c r="C667" s="391"/>
      <c r="D667" s="392"/>
      <c r="E667" s="383"/>
      <c r="F667" s="383"/>
      <c r="G667" s="383"/>
      <c r="H667" s="383"/>
      <c r="I667" s="383"/>
      <c r="J667" s="383"/>
      <c r="K667" s="383"/>
      <c r="L667" s="383"/>
      <c r="M667" s="383"/>
      <c r="N667" s="383"/>
      <c r="O667" s="383"/>
      <c r="P667" s="383"/>
      <c r="Q667" s="383"/>
      <c r="R667" s="383"/>
      <c r="S667" s="383"/>
      <c r="T667" s="383"/>
      <c r="U667" s="383"/>
      <c r="V667" s="383"/>
      <c r="W667" s="383"/>
      <c r="X667" s="383"/>
      <c r="Y667" s="383"/>
      <c r="Z667" s="383"/>
    </row>
    <row r="668">
      <c r="A668" s="389"/>
      <c r="B668" s="390"/>
      <c r="C668" s="391"/>
      <c r="D668" s="392"/>
      <c r="E668" s="383"/>
      <c r="F668" s="383"/>
      <c r="G668" s="383"/>
      <c r="H668" s="383"/>
      <c r="I668" s="383"/>
      <c r="J668" s="383"/>
      <c r="K668" s="383"/>
      <c r="L668" s="383"/>
      <c r="M668" s="383"/>
      <c r="N668" s="383"/>
      <c r="O668" s="383"/>
      <c r="P668" s="383"/>
      <c r="Q668" s="383"/>
      <c r="R668" s="383"/>
      <c r="S668" s="383"/>
      <c r="T668" s="383"/>
      <c r="U668" s="383"/>
      <c r="V668" s="383"/>
      <c r="W668" s="383"/>
      <c r="X668" s="383"/>
      <c r="Y668" s="383"/>
      <c r="Z668" s="383"/>
    </row>
    <row r="669">
      <c r="A669" s="389"/>
      <c r="B669" s="390"/>
      <c r="C669" s="391"/>
      <c r="D669" s="392"/>
      <c r="E669" s="383"/>
      <c r="F669" s="383"/>
      <c r="G669" s="383"/>
      <c r="H669" s="383"/>
      <c r="I669" s="383"/>
      <c r="J669" s="383"/>
      <c r="K669" s="383"/>
      <c r="L669" s="383"/>
      <c r="M669" s="383"/>
      <c r="N669" s="383"/>
      <c r="O669" s="383"/>
      <c r="P669" s="383"/>
      <c r="Q669" s="383"/>
      <c r="R669" s="383"/>
      <c r="S669" s="383"/>
      <c r="T669" s="383"/>
      <c r="U669" s="383"/>
      <c r="V669" s="383"/>
      <c r="W669" s="383"/>
      <c r="X669" s="383"/>
      <c r="Y669" s="383"/>
      <c r="Z669" s="383"/>
    </row>
    <row r="670">
      <c r="A670" s="389"/>
      <c r="B670" s="390"/>
      <c r="C670" s="391"/>
      <c r="D670" s="392"/>
      <c r="E670" s="383"/>
      <c r="F670" s="383"/>
      <c r="G670" s="383"/>
      <c r="H670" s="383"/>
      <c r="I670" s="383"/>
      <c r="J670" s="383"/>
      <c r="K670" s="383"/>
      <c r="L670" s="383"/>
      <c r="M670" s="383"/>
      <c r="N670" s="383"/>
      <c r="O670" s="383"/>
      <c r="P670" s="383"/>
      <c r="Q670" s="383"/>
      <c r="R670" s="383"/>
      <c r="S670" s="383"/>
      <c r="T670" s="383"/>
      <c r="U670" s="383"/>
      <c r="V670" s="383"/>
      <c r="W670" s="383"/>
      <c r="X670" s="383"/>
      <c r="Y670" s="383"/>
      <c r="Z670" s="383"/>
    </row>
    <row r="671">
      <c r="A671" s="389"/>
      <c r="B671" s="390"/>
      <c r="C671" s="391"/>
      <c r="D671" s="392"/>
      <c r="E671" s="383"/>
      <c r="F671" s="383"/>
      <c r="G671" s="383"/>
      <c r="H671" s="383"/>
      <c r="I671" s="383"/>
      <c r="J671" s="383"/>
      <c r="K671" s="383"/>
      <c r="L671" s="383"/>
      <c r="M671" s="383"/>
      <c r="N671" s="383"/>
      <c r="O671" s="383"/>
      <c r="P671" s="383"/>
      <c r="Q671" s="383"/>
      <c r="R671" s="383"/>
      <c r="S671" s="383"/>
      <c r="T671" s="383"/>
      <c r="U671" s="383"/>
      <c r="V671" s="383"/>
      <c r="W671" s="383"/>
      <c r="X671" s="383"/>
      <c r="Y671" s="383"/>
      <c r="Z671" s="383"/>
    </row>
    <row r="672">
      <c r="A672" s="389"/>
      <c r="B672" s="390"/>
      <c r="C672" s="391"/>
      <c r="D672" s="392"/>
      <c r="E672" s="383"/>
      <c r="F672" s="383"/>
      <c r="G672" s="383"/>
      <c r="H672" s="383"/>
      <c r="I672" s="383"/>
      <c r="J672" s="383"/>
      <c r="K672" s="383"/>
      <c r="L672" s="383"/>
      <c r="M672" s="383"/>
      <c r="N672" s="383"/>
      <c r="O672" s="383"/>
      <c r="P672" s="383"/>
      <c r="Q672" s="383"/>
      <c r="R672" s="383"/>
      <c r="S672" s="383"/>
      <c r="T672" s="383"/>
      <c r="U672" s="383"/>
      <c r="V672" s="383"/>
      <c r="W672" s="383"/>
      <c r="X672" s="383"/>
      <c r="Y672" s="383"/>
      <c r="Z672" s="383"/>
    </row>
    <row r="673">
      <c r="A673" s="389"/>
      <c r="B673" s="390"/>
      <c r="C673" s="391"/>
      <c r="D673" s="392"/>
      <c r="E673" s="383"/>
      <c r="F673" s="383"/>
      <c r="G673" s="383"/>
      <c r="H673" s="383"/>
      <c r="I673" s="383"/>
      <c r="J673" s="383"/>
      <c r="K673" s="383"/>
      <c r="L673" s="383"/>
      <c r="M673" s="383"/>
      <c r="N673" s="383"/>
      <c r="O673" s="383"/>
      <c r="P673" s="383"/>
      <c r="Q673" s="383"/>
      <c r="R673" s="383"/>
      <c r="S673" s="383"/>
      <c r="T673" s="383"/>
      <c r="U673" s="383"/>
      <c r="V673" s="383"/>
      <c r="W673" s="383"/>
      <c r="X673" s="383"/>
      <c r="Y673" s="383"/>
      <c r="Z673" s="383"/>
    </row>
    <row r="674">
      <c r="A674" s="389"/>
      <c r="B674" s="390"/>
      <c r="C674" s="391"/>
      <c r="D674" s="392"/>
      <c r="E674" s="383"/>
      <c r="F674" s="383"/>
      <c r="G674" s="383"/>
      <c r="H674" s="383"/>
      <c r="I674" s="383"/>
      <c r="J674" s="383"/>
      <c r="K674" s="383"/>
      <c r="L674" s="383"/>
      <c r="M674" s="383"/>
      <c r="N674" s="383"/>
      <c r="O674" s="383"/>
      <c r="P674" s="383"/>
      <c r="Q674" s="383"/>
      <c r="R674" s="383"/>
      <c r="S674" s="383"/>
      <c r="T674" s="383"/>
      <c r="U674" s="383"/>
      <c r="V674" s="383"/>
      <c r="W674" s="383"/>
      <c r="X674" s="383"/>
      <c r="Y674" s="383"/>
      <c r="Z674" s="383"/>
    </row>
    <row r="675">
      <c r="A675" s="389"/>
      <c r="B675" s="390"/>
      <c r="C675" s="391"/>
      <c r="D675" s="392"/>
      <c r="E675" s="383"/>
      <c r="F675" s="383"/>
      <c r="G675" s="383"/>
      <c r="H675" s="383"/>
      <c r="I675" s="383"/>
      <c r="J675" s="383"/>
      <c r="K675" s="383"/>
      <c r="L675" s="383"/>
      <c r="M675" s="383"/>
      <c r="N675" s="383"/>
      <c r="O675" s="383"/>
      <c r="P675" s="383"/>
      <c r="Q675" s="383"/>
      <c r="R675" s="383"/>
      <c r="S675" s="383"/>
      <c r="T675" s="383"/>
      <c r="U675" s="383"/>
      <c r="V675" s="383"/>
      <c r="W675" s="383"/>
      <c r="X675" s="383"/>
      <c r="Y675" s="383"/>
      <c r="Z675" s="383"/>
    </row>
    <row r="676">
      <c r="A676" s="389"/>
      <c r="B676" s="390"/>
      <c r="C676" s="391"/>
      <c r="D676" s="392"/>
      <c r="E676" s="383"/>
      <c r="F676" s="383"/>
      <c r="G676" s="383"/>
      <c r="H676" s="383"/>
      <c r="I676" s="383"/>
      <c r="J676" s="383"/>
      <c r="K676" s="383"/>
      <c r="L676" s="383"/>
      <c r="M676" s="383"/>
      <c r="N676" s="383"/>
      <c r="O676" s="383"/>
      <c r="P676" s="383"/>
      <c r="Q676" s="383"/>
      <c r="R676" s="383"/>
      <c r="S676" s="383"/>
      <c r="T676" s="383"/>
      <c r="U676" s="383"/>
      <c r="V676" s="383"/>
      <c r="W676" s="383"/>
      <c r="X676" s="383"/>
      <c r="Y676" s="383"/>
      <c r="Z676" s="383"/>
    </row>
    <row r="677">
      <c r="A677" s="389"/>
      <c r="B677" s="390"/>
      <c r="C677" s="391"/>
      <c r="D677" s="392"/>
      <c r="E677" s="383"/>
      <c r="F677" s="383"/>
      <c r="G677" s="383"/>
      <c r="H677" s="383"/>
      <c r="I677" s="383"/>
      <c r="J677" s="383"/>
      <c r="K677" s="383"/>
      <c r="L677" s="383"/>
      <c r="M677" s="383"/>
      <c r="N677" s="383"/>
      <c r="O677" s="383"/>
      <c r="P677" s="383"/>
      <c r="Q677" s="383"/>
      <c r="R677" s="383"/>
      <c r="S677" s="383"/>
      <c r="T677" s="383"/>
      <c r="U677" s="383"/>
      <c r="V677" s="383"/>
      <c r="W677" s="383"/>
      <c r="X677" s="383"/>
      <c r="Y677" s="383"/>
      <c r="Z677" s="383"/>
    </row>
    <row r="678">
      <c r="A678" s="389"/>
      <c r="B678" s="390"/>
      <c r="C678" s="391"/>
      <c r="D678" s="392"/>
      <c r="E678" s="383"/>
      <c r="F678" s="383"/>
      <c r="G678" s="383"/>
      <c r="H678" s="383"/>
      <c r="I678" s="383"/>
      <c r="J678" s="383"/>
      <c r="K678" s="383"/>
      <c r="L678" s="383"/>
      <c r="M678" s="383"/>
      <c r="N678" s="383"/>
      <c r="O678" s="383"/>
      <c r="P678" s="383"/>
      <c r="Q678" s="383"/>
      <c r="R678" s="383"/>
      <c r="S678" s="383"/>
      <c r="T678" s="383"/>
      <c r="U678" s="383"/>
      <c r="V678" s="383"/>
      <c r="W678" s="383"/>
      <c r="X678" s="383"/>
      <c r="Y678" s="383"/>
      <c r="Z678" s="383"/>
    </row>
    <row r="679">
      <c r="A679" s="389"/>
      <c r="B679" s="390"/>
      <c r="C679" s="391"/>
      <c r="D679" s="392"/>
      <c r="E679" s="383"/>
      <c r="F679" s="383"/>
      <c r="G679" s="383"/>
      <c r="H679" s="383"/>
      <c r="I679" s="383"/>
      <c r="J679" s="383"/>
      <c r="K679" s="383"/>
      <c r="L679" s="383"/>
      <c r="M679" s="383"/>
      <c r="N679" s="383"/>
      <c r="O679" s="383"/>
      <c r="P679" s="383"/>
      <c r="Q679" s="383"/>
      <c r="R679" s="383"/>
      <c r="S679" s="383"/>
      <c r="T679" s="383"/>
      <c r="U679" s="383"/>
      <c r="V679" s="383"/>
      <c r="W679" s="383"/>
      <c r="X679" s="383"/>
      <c r="Y679" s="383"/>
      <c r="Z679" s="383"/>
    </row>
    <row r="680">
      <c r="A680" s="389"/>
      <c r="B680" s="390"/>
      <c r="C680" s="391"/>
      <c r="D680" s="392"/>
      <c r="E680" s="383"/>
      <c r="F680" s="383"/>
      <c r="G680" s="383"/>
      <c r="H680" s="383"/>
      <c r="I680" s="383"/>
      <c r="J680" s="383"/>
      <c r="K680" s="383"/>
      <c r="L680" s="383"/>
      <c r="M680" s="383"/>
      <c r="N680" s="383"/>
      <c r="O680" s="383"/>
      <c r="P680" s="383"/>
      <c r="Q680" s="383"/>
      <c r="R680" s="383"/>
      <c r="S680" s="383"/>
      <c r="T680" s="383"/>
      <c r="U680" s="383"/>
      <c r="V680" s="383"/>
      <c r="W680" s="383"/>
      <c r="X680" s="383"/>
      <c r="Y680" s="383"/>
      <c r="Z680" s="383"/>
    </row>
    <row r="681">
      <c r="A681" s="389"/>
      <c r="B681" s="390"/>
      <c r="C681" s="391"/>
      <c r="D681" s="392"/>
      <c r="E681" s="383"/>
      <c r="F681" s="383"/>
      <c r="G681" s="383"/>
      <c r="H681" s="383"/>
      <c r="I681" s="383"/>
      <c r="J681" s="383"/>
      <c r="K681" s="383"/>
      <c r="L681" s="383"/>
      <c r="M681" s="383"/>
      <c r="N681" s="383"/>
      <c r="O681" s="383"/>
      <c r="P681" s="383"/>
      <c r="Q681" s="383"/>
      <c r="R681" s="383"/>
      <c r="S681" s="383"/>
      <c r="T681" s="383"/>
      <c r="U681" s="383"/>
      <c r="V681" s="383"/>
      <c r="W681" s="383"/>
      <c r="X681" s="383"/>
      <c r="Y681" s="383"/>
      <c r="Z681" s="383"/>
    </row>
    <row r="682">
      <c r="A682" s="389"/>
      <c r="B682" s="390"/>
      <c r="C682" s="391"/>
      <c r="D682" s="392"/>
      <c r="E682" s="383"/>
      <c r="F682" s="383"/>
      <c r="G682" s="383"/>
      <c r="H682" s="383"/>
      <c r="I682" s="383"/>
      <c r="J682" s="383"/>
      <c r="K682" s="383"/>
      <c r="L682" s="383"/>
      <c r="M682" s="383"/>
      <c r="N682" s="383"/>
      <c r="O682" s="383"/>
      <c r="P682" s="383"/>
      <c r="Q682" s="383"/>
      <c r="R682" s="383"/>
      <c r="S682" s="383"/>
      <c r="T682" s="383"/>
      <c r="U682" s="383"/>
      <c r="V682" s="383"/>
      <c r="W682" s="383"/>
      <c r="X682" s="383"/>
      <c r="Y682" s="383"/>
      <c r="Z682" s="383"/>
    </row>
    <row r="683">
      <c r="A683" s="389"/>
      <c r="B683" s="390"/>
      <c r="C683" s="391"/>
      <c r="D683" s="392"/>
      <c r="E683" s="383"/>
      <c r="F683" s="383"/>
      <c r="G683" s="383"/>
      <c r="H683" s="383"/>
      <c r="I683" s="383"/>
      <c r="J683" s="383"/>
      <c r="K683" s="383"/>
      <c r="L683" s="383"/>
      <c r="M683" s="383"/>
      <c r="N683" s="383"/>
      <c r="O683" s="383"/>
      <c r="P683" s="383"/>
      <c r="Q683" s="383"/>
      <c r="R683" s="383"/>
      <c r="S683" s="383"/>
      <c r="T683" s="383"/>
      <c r="U683" s="383"/>
      <c r="V683" s="383"/>
      <c r="W683" s="383"/>
      <c r="X683" s="383"/>
      <c r="Y683" s="383"/>
      <c r="Z683" s="383"/>
    </row>
    <row r="684">
      <c r="A684" s="389"/>
      <c r="B684" s="390"/>
      <c r="C684" s="391"/>
      <c r="D684" s="392"/>
      <c r="E684" s="383"/>
      <c r="F684" s="383"/>
      <c r="G684" s="383"/>
      <c r="H684" s="383"/>
      <c r="I684" s="383"/>
      <c r="J684" s="383"/>
      <c r="K684" s="383"/>
      <c r="L684" s="383"/>
      <c r="M684" s="383"/>
      <c r="N684" s="383"/>
      <c r="O684" s="383"/>
      <c r="P684" s="383"/>
      <c r="Q684" s="383"/>
      <c r="R684" s="383"/>
      <c r="S684" s="383"/>
      <c r="T684" s="383"/>
      <c r="U684" s="383"/>
      <c r="V684" s="383"/>
      <c r="W684" s="383"/>
      <c r="X684" s="383"/>
      <c r="Y684" s="383"/>
      <c r="Z684" s="383"/>
    </row>
    <row r="685">
      <c r="A685" s="389"/>
      <c r="B685" s="390"/>
      <c r="C685" s="391"/>
      <c r="D685" s="392"/>
      <c r="E685" s="383"/>
      <c r="F685" s="383"/>
      <c r="G685" s="383"/>
      <c r="H685" s="383"/>
      <c r="I685" s="383"/>
      <c r="J685" s="383"/>
      <c r="K685" s="383"/>
      <c r="L685" s="383"/>
      <c r="M685" s="383"/>
      <c r="N685" s="383"/>
      <c r="O685" s="383"/>
      <c r="P685" s="383"/>
      <c r="Q685" s="383"/>
      <c r="R685" s="383"/>
      <c r="S685" s="383"/>
      <c r="T685" s="383"/>
      <c r="U685" s="383"/>
      <c r="V685" s="383"/>
      <c r="W685" s="383"/>
      <c r="X685" s="383"/>
      <c r="Y685" s="383"/>
      <c r="Z685" s="383"/>
    </row>
    <row r="686">
      <c r="A686" s="389"/>
      <c r="B686" s="390"/>
      <c r="C686" s="391"/>
      <c r="D686" s="392"/>
      <c r="E686" s="383"/>
      <c r="F686" s="383"/>
      <c r="G686" s="383"/>
      <c r="H686" s="383"/>
      <c r="I686" s="383"/>
      <c r="J686" s="383"/>
      <c r="K686" s="383"/>
      <c r="L686" s="383"/>
      <c r="M686" s="383"/>
      <c r="N686" s="383"/>
      <c r="O686" s="383"/>
      <c r="P686" s="383"/>
      <c r="Q686" s="383"/>
      <c r="R686" s="383"/>
      <c r="S686" s="383"/>
      <c r="T686" s="383"/>
      <c r="U686" s="383"/>
      <c r="V686" s="383"/>
      <c r="W686" s="383"/>
      <c r="X686" s="383"/>
      <c r="Y686" s="383"/>
      <c r="Z686" s="383"/>
    </row>
    <row r="687">
      <c r="A687" s="389"/>
      <c r="B687" s="390"/>
      <c r="C687" s="391"/>
      <c r="D687" s="392"/>
      <c r="E687" s="383"/>
      <c r="F687" s="383"/>
      <c r="G687" s="383"/>
      <c r="H687" s="383"/>
      <c r="I687" s="383"/>
      <c r="J687" s="383"/>
      <c r="K687" s="383"/>
      <c r="L687" s="383"/>
      <c r="M687" s="383"/>
      <c r="N687" s="383"/>
      <c r="O687" s="383"/>
      <c r="P687" s="383"/>
      <c r="Q687" s="383"/>
      <c r="R687" s="383"/>
      <c r="S687" s="383"/>
      <c r="T687" s="383"/>
      <c r="U687" s="383"/>
      <c r="V687" s="383"/>
      <c r="W687" s="383"/>
      <c r="X687" s="383"/>
      <c r="Y687" s="383"/>
      <c r="Z687" s="383"/>
    </row>
    <row r="688">
      <c r="A688" s="389"/>
      <c r="B688" s="390"/>
      <c r="C688" s="391"/>
      <c r="D688" s="392"/>
      <c r="E688" s="383"/>
      <c r="F688" s="383"/>
      <c r="G688" s="383"/>
      <c r="H688" s="383"/>
      <c r="I688" s="383"/>
      <c r="J688" s="383"/>
      <c r="K688" s="383"/>
      <c r="L688" s="383"/>
      <c r="M688" s="383"/>
      <c r="N688" s="383"/>
      <c r="O688" s="383"/>
      <c r="P688" s="383"/>
      <c r="Q688" s="383"/>
      <c r="R688" s="383"/>
      <c r="S688" s="383"/>
      <c r="T688" s="383"/>
      <c r="U688" s="383"/>
      <c r="V688" s="383"/>
      <c r="W688" s="383"/>
      <c r="X688" s="383"/>
      <c r="Y688" s="383"/>
      <c r="Z688" s="383"/>
    </row>
    <row r="689">
      <c r="A689" s="389"/>
      <c r="B689" s="390"/>
      <c r="C689" s="391"/>
      <c r="D689" s="392"/>
      <c r="E689" s="383"/>
      <c r="F689" s="383"/>
      <c r="G689" s="383"/>
      <c r="H689" s="383"/>
      <c r="I689" s="383"/>
      <c r="J689" s="383"/>
      <c r="K689" s="383"/>
      <c r="L689" s="383"/>
      <c r="M689" s="383"/>
      <c r="N689" s="383"/>
      <c r="O689" s="383"/>
      <c r="P689" s="383"/>
      <c r="Q689" s="383"/>
      <c r="R689" s="383"/>
      <c r="S689" s="383"/>
      <c r="T689" s="383"/>
      <c r="U689" s="383"/>
      <c r="V689" s="383"/>
      <c r="W689" s="383"/>
      <c r="X689" s="383"/>
      <c r="Y689" s="383"/>
      <c r="Z689" s="383"/>
    </row>
    <row r="690">
      <c r="A690" s="389"/>
      <c r="B690" s="390"/>
      <c r="C690" s="391"/>
      <c r="D690" s="392"/>
      <c r="E690" s="383"/>
      <c r="F690" s="383"/>
      <c r="G690" s="383"/>
      <c r="H690" s="383"/>
      <c r="I690" s="383"/>
      <c r="J690" s="383"/>
      <c r="K690" s="383"/>
      <c r="L690" s="383"/>
      <c r="M690" s="383"/>
      <c r="N690" s="383"/>
      <c r="O690" s="383"/>
      <c r="P690" s="383"/>
      <c r="Q690" s="383"/>
      <c r="R690" s="383"/>
      <c r="S690" s="383"/>
      <c r="T690" s="383"/>
      <c r="U690" s="383"/>
      <c r="V690" s="383"/>
      <c r="W690" s="383"/>
      <c r="X690" s="383"/>
      <c r="Y690" s="383"/>
      <c r="Z690" s="383"/>
    </row>
    <row r="691">
      <c r="A691" s="389"/>
      <c r="B691" s="390"/>
      <c r="C691" s="391"/>
      <c r="D691" s="392"/>
      <c r="E691" s="383"/>
      <c r="F691" s="383"/>
      <c r="G691" s="383"/>
      <c r="H691" s="383"/>
      <c r="I691" s="383"/>
      <c r="J691" s="383"/>
      <c r="K691" s="383"/>
      <c r="L691" s="383"/>
      <c r="M691" s="383"/>
      <c r="N691" s="383"/>
      <c r="O691" s="383"/>
      <c r="P691" s="383"/>
      <c r="Q691" s="383"/>
      <c r="R691" s="383"/>
      <c r="S691" s="383"/>
      <c r="T691" s="383"/>
      <c r="U691" s="383"/>
      <c r="V691" s="383"/>
      <c r="W691" s="383"/>
      <c r="X691" s="383"/>
      <c r="Y691" s="383"/>
      <c r="Z691" s="383"/>
    </row>
    <row r="692">
      <c r="A692" s="389"/>
      <c r="B692" s="390"/>
      <c r="C692" s="391"/>
      <c r="D692" s="392"/>
      <c r="E692" s="383"/>
      <c r="F692" s="383"/>
      <c r="G692" s="383"/>
      <c r="H692" s="383"/>
      <c r="I692" s="383"/>
      <c r="J692" s="383"/>
      <c r="K692" s="383"/>
      <c r="L692" s="383"/>
      <c r="M692" s="383"/>
      <c r="N692" s="383"/>
      <c r="O692" s="383"/>
      <c r="P692" s="383"/>
      <c r="Q692" s="383"/>
      <c r="R692" s="383"/>
      <c r="S692" s="383"/>
      <c r="T692" s="383"/>
      <c r="U692" s="383"/>
      <c r="V692" s="383"/>
      <c r="W692" s="383"/>
      <c r="X692" s="383"/>
      <c r="Y692" s="383"/>
      <c r="Z692" s="383"/>
    </row>
    <row r="693">
      <c r="A693" s="389"/>
      <c r="B693" s="390"/>
      <c r="C693" s="391"/>
      <c r="D693" s="392"/>
      <c r="E693" s="383"/>
      <c r="F693" s="383"/>
      <c r="G693" s="383"/>
      <c r="H693" s="383"/>
      <c r="I693" s="383"/>
      <c r="J693" s="383"/>
      <c r="K693" s="383"/>
      <c r="L693" s="383"/>
      <c r="M693" s="383"/>
      <c r="N693" s="383"/>
      <c r="O693" s="383"/>
      <c r="P693" s="383"/>
      <c r="Q693" s="383"/>
      <c r="R693" s="383"/>
      <c r="S693" s="383"/>
      <c r="T693" s="383"/>
      <c r="U693" s="383"/>
      <c r="V693" s="383"/>
      <c r="W693" s="383"/>
      <c r="X693" s="383"/>
      <c r="Y693" s="383"/>
      <c r="Z693" s="383"/>
    </row>
    <row r="694">
      <c r="A694" s="389"/>
      <c r="B694" s="390"/>
      <c r="C694" s="391"/>
      <c r="D694" s="392"/>
      <c r="E694" s="383"/>
      <c r="F694" s="383"/>
      <c r="G694" s="383"/>
      <c r="H694" s="383"/>
      <c r="I694" s="383"/>
      <c r="J694" s="383"/>
      <c r="K694" s="383"/>
      <c r="L694" s="383"/>
      <c r="M694" s="383"/>
      <c r="N694" s="383"/>
      <c r="O694" s="383"/>
      <c r="P694" s="383"/>
      <c r="Q694" s="383"/>
      <c r="R694" s="383"/>
      <c r="S694" s="383"/>
      <c r="T694" s="383"/>
      <c r="U694" s="383"/>
      <c r="V694" s="383"/>
      <c r="W694" s="383"/>
      <c r="X694" s="383"/>
      <c r="Y694" s="383"/>
      <c r="Z694" s="383"/>
    </row>
    <row r="695">
      <c r="A695" s="389"/>
      <c r="B695" s="390"/>
      <c r="C695" s="391"/>
      <c r="D695" s="392"/>
      <c r="E695" s="383"/>
      <c r="F695" s="383"/>
      <c r="G695" s="383"/>
      <c r="H695" s="383"/>
      <c r="I695" s="383"/>
      <c r="J695" s="383"/>
      <c r="K695" s="383"/>
      <c r="L695" s="383"/>
      <c r="M695" s="383"/>
      <c r="N695" s="383"/>
      <c r="O695" s="383"/>
      <c r="P695" s="383"/>
      <c r="Q695" s="383"/>
      <c r="R695" s="383"/>
      <c r="S695" s="383"/>
      <c r="T695" s="383"/>
      <c r="U695" s="383"/>
      <c r="V695" s="383"/>
      <c r="W695" s="383"/>
      <c r="X695" s="383"/>
      <c r="Y695" s="383"/>
      <c r="Z695" s="383"/>
    </row>
    <row r="696">
      <c r="A696" s="389"/>
      <c r="B696" s="390"/>
      <c r="C696" s="391"/>
      <c r="D696" s="392"/>
      <c r="E696" s="383"/>
      <c r="F696" s="383"/>
      <c r="G696" s="383"/>
      <c r="H696" s="383"/>
      <c r="I696" s="383"/>
      <c r="J696" s="383"/>
      <c r="K696" s="383"/>
      <c r="L696" s="383"/>
      <c r="M696" s="383"/>
      <c r="N696" s="383"/>
      <c r="O696" s="383"/>
      <c r="P696" s="383"/>
      <c r="Q696" s="383"/>
      <c r="R696" s="383"/>
      <c r="S696" s="383"/>
      <c r="T696" s="383"/>
      <c r="U696" s="383"/>
      <c r="V696" s="383"/>
      <c r="W696" s="383"/>
      <c r="X696" s="383"/>
      <c r="Y696" s="383"/>
      <c r="Z696" s="383"/>
    </row>
    <row r="697">
      <c r="A697" s="389"/>
      <c r="B697" s="390"/>
      <c r="C697" s="391"/>
      <c r="D697" s="392"/>
      <c r="E697" s="383"/>
      <c r="F697" s="383"/>
      <c r="G697" s="383"/>
      <c r="H697" s="383"/>
      <c r="I697" s="383"/>
      <c r="J697" s="383"/>
      <c r="K697" s="383"/>
      <c r="L697" s="383"/>
      <c r="M697" s="383"/>
      <c r="N697" s="383"/>
      <c r="O697" s="383"/>
      <c r="P697" s="383"/>
      <c r="Q697" s="383"/>
      <c r="R697" s="383"/>
      <c r="S697" s="383"/>
      <c r="T697" s="383"/>
      <c r="U697" s="383"/>
      <c r="V697" s="383"/>
      <c r="W697" s="383"/>
      <c r="X697" s="383"/>
      <c r="Y697" s="383"/>
      <c r="Z697" s="383"/>
    </row>
    <row r="698">
      <c r="A698" s="389"/>
      <c r="B698" s="390"/>
      <c r="C698" s="391"/>
      <c r="D698" s="392"/>
      <c r="E698" s="383"/>
      <c r="F698" s="383"/>
      <c r="G698" s="383"/>
      <c r="H698" s="383"/>
      <c r="I698" s="383"/>
      <c r="J698" s="383"/>
      <c r="K698" s="383"/>
      <c r="L698" s="383"/>
      <c r="M698" s="383"/>
      <c r="N698" s="383"/>
      <c r="O698" s="383"/>
      <c r="P698" s="383"/>
      <c r="Q698" s="383"/>
      <c r="R698" s="383"/>
      <c r="S698" s="383"/>
      <c r="T698" s="383"/>
      <c r="U698" s="383"/>
      <c r="V698" s="383"/>
      <c r="W698" s="383"/>
      <c r="X698" s="383"/>
      <c r="Y698" s="383"/>
      <c r="Z698" s="383"/>
    </row>
    <row r="699">
      <c r="A699" s="389"/>
      <c r="B699" s="390"/>
      <c r="C699" s="391"/>
      <c r="D699" s="392"/>
      <c r="E699" s="383"/>
      <c r="F699" s="383"/>
      <c r="G699" s="383"/>
      <c r="H699" s="383"/>
      <c r="I699" s="383"/>
      <c r="J699" s="383"/>
      <c r="K699" s="383"/>
      <c r="L699" s="383"/>
      <c r="M699" s="383"/>
      <c r="N699" s="383"/>
      <c r="O699" s="383"/>
      <c r="P699" s="383"/>
      <c r="Q699" s="383"/>
      <c r="R699" s="383"/>
      <c r="S699" s="383"/>
      <c r="T699" s="383"/>
      <c r="U699" s="383"/>
      <c r="V699" s="383"/>
      <c r="W699" s="383"/>
      <c r="X699" s="383"/>
      <c r="Y699" s="383"/>
      <c r="Z699" s="383"/>
    </row>
    <row r="700">
      <c r="A700" s="389"/>
      <c r="B700" s="390"/>
      <c r="C700" s="391"/>
      <c r="D700" s="392"/>
      <c r="E700" s="383"/>
      <c r="F700" s="383"/>
      <c r="G700" s="383"/>
      <c r="H700" s="383"/>
      <c r="I700" s="383"/>
      <c r="J700" s="383"/>
      <c r="K700" s="383"/>
      <c r="L700" s="383"/>
      <c r="M700" s="383"/>
      <c r="N700" s="383"/>
      <c r="O700" s="383"/>
      <c r="P700" s="383"/>
      <c r="Q700" s="383"/>
      <c r="R700" s="383"/>
      <c r="S700" s="383"/>
      <c r="T700" s="383"/>
      <c r="U700" s="383"/>
      <c r="V700" s="383"/>
      <c r="W700" s="383"/>
      <c r="X700" s="383"/>
      <c r="Y700" s="383"/>
      <c r="Z700" s="383"/>
    </row>
    <row r="701">
      <c r="A701" s="389"/>
      <c r="B701" s="390"/>
      <c r="C701" s="391"/>
      <c r="D701" s="392"/>
      <c r="E701" s="383"/>
      <c r="F701" s="383"/>
      <c r="G701" s="383"/>
      <c r="H701" s="383"/>
      <c r="I701" s="383"/>
      <c r="J701" s="383"/>
      <c r="K701" s="383"/>
      <c r="L701" s="383"/>
      <c r="M701" s="383"/>
      <c r="N701" s="383"/>
      <c r="O701" s="383"/>
      <c r="P701" s="383"/>
      <c r="Q701" s="383"/>
      <c r="R701" s="383"/>
      <c r="S701" s="383"/>
      <c r="T701" s="383"/>
      <c r="U701" s="383"/>
      <c r="V701" s="383"/>
      <c r="W701" s="383"/>
      <c r="X701" s="383"/>
      <c r="Y701" s="383"/>
      <c r="Z701" s="383"/>
    </row>
    <row r="702">
      <c r="A702" s="389"/>
      <c r="B702" s="390"/>
      <c r="C702" s="391"/>
      <c r="D702" s="392"/>
      <c r="E702" s="383"/>
      <c r="F702" s="383"/>
      <c r="G702" s="383"/>
      <c r="H702" s="383"/>
      <c r="I702" s="383"/>
      <c r="J702" s="383"/>
      <c r="K702" s="383"/>
      <c r="L702" s="383"/>
      <c r="M702" s="383"/>
      <c r="N702" s="383"/>
      <c r="O702" s="383"/>
      <c r="P702" s="383"/>
      <c r="Q702" s="383"/>
      <c r="R702" s="383"/>
      <c r="S702" s="383"/>
      <c r="T702" s="383"/>
      <c r="U702" s="383"/>
      <c r="V702" s="383"/>
      <c r="W702" s="383"/>
      <c r="X702" s="383"/>
      <c r="Y702" s="383"/>
      <c r="Z702" s="383"/>
    </row>
    <row r="703">
      <c r="A703" s="389"/>
      <c r="B703" s="390"/>
      <c r="C703" s="391"/>
      <c r="D703" s="392"/>
      <c r="E703" s="383"/>
      <c r="F703" s="383"/>
      <c r="G703" s="383"/>
      <c r="H703" s="383"/>
      <c r="I703" s="383"/>
      <c r="J703" s="383"/>
      <c r="K703" s="383"/>
      <c r="L703" s="383"/>
      <c r="M703" s="383"/>
      <c r="N703" s="383"/>
      <c r="O703" s="383"/>
      <c r="P703" s="383"/>
      <c r="Q703" s="383"/>
      <c r="R703" s="383"/>
      <c r="S703" s="383"/>
      <c r="T703" s="383"/>
      <c r="U703" s="383"/>
      <c r="V703" s="383"/>
      <c r="W703" s="383"/>
      <c r="X703" s="383"/>
      <c r="Y703" s="383"/>
      <c r="Z703" s="383"/>
    </row>
    <row r="704">
      <c r="A704" s="389"/>
      <c r="B704" s="390"/>
      <c r="C704" s="391"/>
      <c r="D704" s="392"/>
      <c r="E704" s="383"/>
      <c r="F704" s="383"/>
      <c r="G704" s="383"/>
      <c r="H704" s="383"/>
      <c r="I704" s="383"/>
      <c r="J704" s="383"/>
      <c r="K704" s="383"/>
      <c r="L704" s="383"/>
      <c r="M704" s="383"/>
      <c r="N704" s="383"/>
      <c r="O704" s="383"/>
      <c r="P704" s="383"/>
      <c r="Q704" s="383"/>
      <c r="R704" s="383"/>
      <c r="S704" s="383"/>
      <c r="T704" s="383"/>
      <c r="U704" s="383"/>
      <c r="V704" s="383"/>
      <c r="W704" s="383"/>
      <c r="X704" s="383"/>
      <c r="Y704" s="383"/>
      <c r="Z704" s="383"/>
    </row>
    <row r="705">
      <c r="A705" s="389"/>
      <c r="B705" s="390"/>
      <c r="C705" s="391"/>
      <c r="D705" s="392"/>
      <c r="E705" s="383"/>
      <c r="F705" s="383"/>
      <c r="G705" s="383"/>
      <c r="H705" s="383"/>
      <c r="I705" s="383"/>
      <c r="J705" s="383"/>
      <c r="K705" s="383"/>
      <c r="L705" s="383"/>
      <c r="M705" s="383"/>
      <c r="N705" s="383"/>
      <c r="O705" s="383"/>
      <c r="P705" s="383"/>
      <c r="Q705" s="383"/>
      <c r="R705" s="383"/>
      <c r="S705" s="383"/>
      <c r="T705" s="383"/>
      <c r="U705" s="383"/>
      <c r="V705" s="383"/>
      <c r="W705" s="383"/>
      <c r="X705" s="383"/>
      <c r="Y705" s="383"/>
      <c r="Z705" s="383"/>
    </row>
    <row r="706">
      <c r="A706" s="389"/>
      <c r="B706" s="390"/>
      <c r="C706" s="391"/>
      <c r="D706" s="392"/>
      <c r="E706" s="383"/>
      <c r="F706" s="383"/>
      <c r="G706" s="383"/>
      <c r="H706" s="383"/>
      <c r="I706" s="383"/>
      <c r="J706" s="383"/>
      <c r="K706" s="383"/>
      <c r="L706" s="383"/>
      <c r="M706" s="383"/>
      <c r="N706" s="383"/>
      <c r="O706" s="383"/>
      <c r="P706" s="383"/>
      <c r="Q706" s="383"/>
      <c r="R706" s="383"/>
      <c r="S706" s="383"/>
      <c r="T706" s="383"/>
      <c r="U706" s="383"/>
      <c r="V706" s="383"/>
      <c r="W706" s="383"/>
      <c r="X706" s="383"/>
      <c r="Y706" s="383"/>
      <c r="Z706" s="383"/>
    </row>
    <row r="707">
      <c r="A707" s="389"/>
      <c r="B707" s="390"/>
      <c r="C707" s="391"/>
      <c r="D707" s="392"/>
      <c r="E707" s="383"/>
      <c r="F707" s="383"/>
      <c r="G707" s="383"/>
      <c r="H707" s="383"/>
      <c r="I707" s="383"/>
      <c r="J707" s="383"/>
      <c r="K707" s="383"/>
      <c r="L707" s="383"/>
      <c r="M707" s="383"/>
      <c r="N707" s="383"/>
      <c r="O707" s="383"/>
      <c r="P707" s="383"/>
      <c r="Q707" s="383"/>
      <c r="R707" s="383"/>
      <c r="S707" s="383"/>
      <c r="T707" s="383"/>
      <c r="U707" s="383"/>
      <c r="V707" s="383"/>
      <c r="W707" s="383"/>
      <c r="X707" s="383"/>
      <c r="Y707" s="383"/>
      <c r="Z707" s="383"/>
    </row>
    <row r="708">
      <c r="A708" s="389"/>
      <c r="B708" s="390"/>
      <c r="C708" s="391"/>
      <c r="D708" s="392"/>
      <c r="E708" s="383"/>
      <c r="F708" s="383"/>
      <c r="G708" s="383"/>
      <c r="H708" s="383"/>
      <c r="I708" s="383"/>
      <c r="J708" s="383"/>
      <c r="K708" s="383"/>
      <c r="L708" s="383"/>
      <c r="M708" s="383"/>
      <c r="N708" s="383"/>
      <c r="O708" s="383"/>
      <c r="P708" s="383"/>
      <c r="Q708" s="383"/>
      <c r="R708" s="383"/>
      <c r="S708" s="383"/>
      <c r="T708" s="383"/>
      <c r="U708" s="383"/>
      <c r="V708" s="383"/>
      <c r="W708" s="383"/>
      <c r="X708" s="383"/>
      <c r="Y708" s="383"/>
      <c r="Z708" s="383"/>
    </row>
    <row r="709">
      <c r="A709" s="389"/>
      <c r="B709" s="390"/>
      <c r="C709" s="391"/>
      <c r="D709" s="392"/>
      <c r="E709" s="383"/>
      <c r="F709" s="383"/>
      <c r="G709" s="383"/>
      <c r="H709" s="383"/>
      <c r="I709" s="383"/>
      <c r="J709" s="383"/>
      <c r="K709" s="383"/>
      <c r="L709" s="383"/>
      <c r="M709" s="383"/>
      <c r="N709" s="383"/>
      <c r="O709" s="383"/>
      <c r="P709" s="383"/>
      <c r="Q709" s="383"/>
      <c r="R709" s="383"/>
      <c r="S709" s="383"/>
      <c r="T709" s="383"/>
      <c r="U709" s="383"/>
      <c r="V709" s="383"/>
      <c r="W709" s="383"/>
      <c r="X709" s="383"/>
      <c r="Y709" s="383"/>
      <c r="Z709" s="383"/>
    </row>
    <row r="710">
      <c r="A710" s="389"/>
      <c r="B710" s="390"/>
      <c r="C710" s="391"/>
      <c r="D710" s="392"/>
      <c r="E710" s="383"/>
      <c r="F710" s="383"/>
      <c r="G710" s="383"/>
      <c r="H710" s="383"/>
      <c r="I710" s="383"/>
      <c r="J710" s="383"/>
      <c r="K710" s="383"/>
      <c r="L710" s="383"/>
      <c r="M710" s="383"/>
      <c r="N710" s="383"/>
      <c r="O710" s="383"/>
      <c r="P710" s="383"/>
      <c r="Q710" s="383"/>
      <c r="R710" s="383"/>
      <c r="S710" s="383"/>
      <c r="T710" s="383"/>
      <c r="U710" s="383"/>
      <c r="V710" s="383"/>
      <c r="W710" s="383"/>
      <c r="X710" s="383"/>
      <c r="Y710" s="383"/>
      <c r="Z710" s="383"/>
    </row>
    <row r="711">
      <c r="A711" s="389"/>
      <c r="B711" s="390"/>
      <c r="C711" s="391"/>
      <c r="D711" s="392"/>
      <c r="E711" s="383"/>
      <c r="F711" s="383"/>
      <c r="G711" s="383"/>
      <c r="H711" s="383"/>
      <c r="I711" s="383"/>
      <c r="J711" s="383"/>
      <c r="K711" s="383"/>
      <c r="L711" s="383"/>
      <c r="M711" s="383"/>
      <c r="N711" s="383"/>
      <c r="O711" s="383"/>
      <c r="P711" s="383"/>
      <c r="Q711" s="383"/>
      <c r="R711" s="383"/>
      <c r="S711" s="383"/>
      <c r="T711" s="383"/>
      <c r="U711" s="383"/>
      <c r="V711" s="383"/>
      <c r="W711" s="383"/>
      <c r="X711" s="383"/>
      <c r="Y711" s="383"/>
      <c r="Z711" s="383"/>
    </row>
    <row r="712">
      <c r="A712" s="389"/>
      <c r="B712" s="390"/>
      <c r="C712" s="391"/>
      <c r="D712" s="392"/>
      <c r="E712" s="383"/>
      <c r="F712" s="383"/>
      <c r="G712" s="383"/>
      <c r="H712" s="383"/>
      <c r="I712" s="383"/>
      <c r="J712" s="383"/>
      <c r="K712" s="383"/>
      <c r="L712" s="383"/>
      <c r="M712" s="383"/>
      <c r="N712" s="383"/>
      <c r="O712" s="383"/>
      <c r="P712" s="383"/>
      <c r="Q712" s="383"/>
      <c r="R712" s="383"/>
      <c r="S712" s="383"/>
      <c r="T712" s="383"/>
      <c r="U712" s="383"/>
      <c r="V712" s="383"/>
      <c r="W712" s="383"/>
      <c r="X712" s="383"/>
      <c r="Y712" s="383"/>
      <c r="Z712" s="383"/>
    </row>
    <row r="713">
      <c r="A713" s="389"/>
      <c r="B713" s="390"/>
      <c r="C713" s="391"/>
      <c r="D713" s="392"/>
      <c r="E713" s="383"/>
      <c r="F713" s="383"/>
      <c r="G713" s="383"/>
      <c r="H713" s="383"/>
      <c r="I713" s="383"/>
      <c r="J713" s="383"/>
      <c r="K713" s="383"/>
      <c r="L713" s="383"/>
      <c r="M713" s="383"/>
      <c r="N713" s="383"/>
      <c r="O713" s="383"/>
      <c r="P713" s="383"/>
      <c r="Q713" s="383"/>
      <c r="R713" s="383"/>
      <c r="S713" s="383"/>
      <c r="T713" s="383"/>
      <c r="U713" s="383"/>
      <c r="V713" s="383"/>
      <c r="W713" s="383"/>
      <c r="X713" s="383"/>
      <c r="Y713" s="383"/>
      <c r="Z713" s="383"/>
    </row>
    <row r="714">
      <c r="A714" s="389"/>
      <c r="B714" s="390"/>
      <c r="C714" s="391"/>
      <c r="D714" s="392"/>
      <c r="E714" s="383"/>
      <c r="F714" s="383"/>
      <c r="G714" s="383"/>
      <c r="H714" s="383"/>
      <c r="I714" s="383"/>
      <c r="J714" s="383"/>
      <c r="K714" s="383"/>
      <c r="L714" s="383"/>
      <c r="M714" s="383"/>
      <c r="N714" s="383"/>
      <c r="O714" s="383"/>
      <c r="P714" s="383"/>
      <c r="Q714" s="383"/>
      <c r="R714" s="383"/>
      <c r="S714" s="383"/>
      <c r="T714" s="383"/>
      <c r="U714" s="383"/>
      <c r="V714" s="383"/>
      <c r="W714" s="383"/>
      <c r="X714" s="383"/>
      <c r="Y714" s="383"/>
      <c r="Z714" s="383"/>
    </row>
    <row r="715">
      <c r="A715" s="389"/>
      <c r="B715" s="390"/>
      <c r="C715" s="391"/>
      <c r="D715" s="392"/>
      <c r="E715" s="383"/>
      <c r="F715" s="383"/>
      <c r="G715" s="383"/>
      <c r="H715" s="383"/>
      <c r="I715" s="383"/>
      <c r="J715" s="383"/>
      <c r="K715" s="383"/>
      <c r="L715" s="383"/>
      <c r="M715" s="383"/>
      <c r="N715" s="383"/>
      <c r="O715" s="383"/>
      <c r="P715" s="383"/>
      <c r="Q715" s="383"/>
      <c r="R715" s="383"/>
      <c r="S715" s="383"/>
      <c r="T715" s="383"/>
      <c r="U715" s="383"/>
      <c r="V715" s="383"/>
      <c r="W715" s="383"/>
      <c r="X715" s="383"/>
      <c r="Y715" s="383"/>
      <c r="Z715" s="383"/>
    </row>
    <row r="716">
      <c r="A716" s="389"/>
      <c r="B716" s="390"/>
      <c r="C716" s="391"/>
      <c r="D716" s="392"/>
      <c r="E716" s="383"/>
      <c r="F716" s="383"/>
      <c r="G716" s="383"/>
      <c r="H716" s="383"/>
      <c r="I716" s="383"/>
      <c r="J716" s="383"/>
      <c r="K716" s="383"/>
      <c r="L716" s="383"/>
      <c r="M716" s="383"/>
      <c r="N716" s="383"/>
      <c r="O716" s="383"/>
      <c r="P716" s="383"/>
      <c r="Q716" s="383"/>
      <c r="R716" s="383"/>
      <c r="S716" s="383"/>
      <c r="T716" s="383"/>
      <c r="U716" s="383"/>
      <c r="V716" s="383"/>
      <c r="W716" s="383"/>
      <c r="X716" s="383"/>
      <c r="Y716" s="383"/>
      <c r="Z716" s="383"/>
    </row>
    <row r="717">
      <c r="A717" s="389"/>
      <c r="B717" s="390"/>
      <c r="C717" s="391"/>
      <c r="D717" s="392"/>
      <c r="E717" s="383"/>
      <c r="F717" s="383"/>
      <c r="G717" s="383"/>
      <c r="H717" s="383"/>
      <c r="I717" s="383"/>
      <c r="J717" s="383"/>
      <c r="K717" s="383"/>
      <c r="L717" s="383"/>
      <c r="M717" s="383"/>
      <c r="N717" s="383"/>
      <c r="O717" s="383"/>
      <c r="P717" s="383"/>
      <c r="Q717" s="383"/>
      <c r="R717" s="383"/>
      <c r="S717" s="383"/>
      <c r="T717" s="383"/>
      <c r="U717" s="383"/>
      <c r="V717" s="383"/>
      <c r="W717" s="383"/>
      <c r="X717" s="383"/>
      <c r="Y717" s="383"/>
      <c r="Z717" s="383"/>
    </row>
    <row r="718">
      <c r="A718" s="389"/>
      <c r="B718" s="390"/>
      <c r="C718" s="391"/>
      <c r="D718" s="392"/>
      <c r="E718" s="383"/>
      <c r="F718" s="383"/>
      <c r="G718" s="383"/>
      <c r="H718" s="383"/>
      <c r="I718" s="383"/>
      <c r="J718" s="383"/>
      <c r="K718" s="383"/>
      <c r="L718" s="383"/>
      <c r="M718" s="383"/>
      <c r="N718" s="383"/>
      <c r="O718" s="383"/>
      <c r="P718" s="383"/>
      <c r="Q718" s="383"/>
      <c r="R718" s="383"/>
      <c r="S718" s="383"/>
      <c r="T718" s="383"/>
      <c r="U718" s="383"/>
      <c r="V718" s="383"/>
      <c r="W718" s="383"/>
      <c r="X718" s="383"/>
      <c r="Y718" s="383"/>
      <c r="Z718" s="383"/>
    </row>
    <row r="719">
      <c r="A719" s="389"/>
      <c r="B719" s="390"/>
      <c r="C719" s="391"/>
      <c r="D719" s="392"/>
      <c r="E719" s="383"/>
      <c r="F719" s="383"/>
      <c r="G719" s="383"/>
      <c r="H719" s="383"/>
      <c r="I719" s="383"/>
      <c r="J719" s="383"/>
      <c r="K719" s="383"/>
      <c r="L719" s="383"/>
      <c r="M719" s="383"/>
      <c r="N719" s="383"/>
      <c r="O719" s="383"/>
      <c r="P719" s="383"/>
      <c r="Q719" s="383"/>
      <c r="R719" s="383"/>
      <c r="S719" s="383"/>
      <c r="T719" s="383"/>
      <c r="U719" s="383"/>
      <c r="V719" s="383"/>
      <c r="W719" s="383"/>
      <c r="X719" s="383"/>
      <c r="Y719" s="383"/>
      <c r="Z719" s="383"/>
    </row>
    <row r="720">
      <c r="A720" s="389"/>
      <c r="B720" s="390"/>
      <c r="C720" s="391"/>
      <c r="D720" s="392"/>
      <c r="E720" s="383"/>
      <c r="F720" s="383"/>
      <c r="G720" s="383"/>
      <c r="H720" s="383"/>
      <c r="I720" s="383"/>
      <c r="J720" s="383"/>
      <c r="K720" s="383"/>
      <c r="L720" s="383"/>
      <c r="M720" s="383"/>
      <c r="N720" s="383"/>
      <c r="O720" s="383"/>
      <c r="P720" s="383"/>
      <c r="Q720" s="383"/>
      <c r="R720" s="383"/>
      <c r="S720" s="383"/>
      <c r="T720" s="383"/>
      <c r="U720" s="383"/>
      <c r="V720" s="383"/>
      <c r="W720" s="383"/>
      <c r="X720" s="383"/>
      <c r="Y720" s="383"/>
      <c r="Z720" s="383"/>
    </row>
    <row r="721">
      <c r="A721" s="389"/>
      <c r="B721" s="390"/>
      <c r="C721" s="391"/>
      <c r="D721" s="392"/>
      <c r="E721" s="383"/>
      <c r="F721" s="383"/>
      <c r="G721" s="383"/>
      <c r="H721" s="383"/>
      <c r="I721" s="383"/>
      <c r="J721" s="383"/>
      <c r="K721" s="383"/>
      <c r="L721" s="383"/>
      <c r="M721" s="383"/>
      <c r="N721" s="383"/>
      <c r="O721" s="383"/>
      <c r="P721" s="383"/>
      <c r="Q721" s="383"/>
      <c r="R721" s="383"/>
      <c r="S721" s="383"/>
      <c r="T721" s="383"/>
      <c r="U721" s="383"/>
      <c r="V721" s="383"/>
      <c r="W721" s="383"/>
      <c r="X721" s="383"/>
      <c r="Y721" s="383"/>
      <c r="Z721" s="383"/>
    </row>
    <row r="722">
      <c r="A722" s="389"/>
      <c r="B722" s="390"/>
      <c r="C722" s="391"/>
      <c r="D722" s="392"/>
      <c r="E722" s="383"/>
      <c r="F722" s="383"/>
      <c r="G722" s="383"/>
      <c r="H722" s="383"/>
      <c r="I722" s="383"/>
      <c r="J722" s="383"/>
      <c r="K722" s="383"/>
      <c r="L722" s="383"/>
      <c r="M722" s="383"/>
      <c r="N722" s="383"/>
      <c r="O722" s="383"/>
      <c r="P722" s="383"/>
      <c r="Q722" s="383"/>
      <c r="R722" s="383"/>
      <c r="S722" s="383"/>
      <c r="T722" s="383"/>
      <c r="U722" s="383"/>
      <c r="V722" s="383"/>
      <c r="W722" s="383"/>
      <c r="X722" s="383"/>
      <c r="Y722" s="383"/>
      <c r="Z722" s="383"/>
    </row>
    <row r="723">
      <c r="A723" s="389"/>
      <c r="B723" s="390"/>
      <c r="C723" s="391"/>
      <c r="D723" s="392"/>
      <c r="E723" s="383"/>
      <c r="F723" s="383"/>
      <c r="G723" s="383"/>
      <c r="H723" s="383"/>
      <c r="I723" s="383"/>
      <c r="J723" s="383"/>
      <c r="K723" s="383"/>
      <c r="L723" s="383"/>
      <c r="M723" s="383"/>
      <c r="N723" s="383"/>
      <c r="O723" s="383"/>
      <c r="P723" s="383"/>
      <c r="Q723" s="383"/>
      <c r="R723" s="383"/>
      <c r="S723" s="383"/>
      <c r="T723" s="383"/>
      <c r="U723" s="383"/>
      <c r="V723" s="383"/>
      <c r="W723" s="383"/>
      <c r="X723" s="383"/>
      <c r="Y723" s="383"/>
      <c r="Z723" s="383"/>
    </row>
    <row r="724">
      <c r="A724" s="389"/>
      <c r="B724" s="390"/>
      <c r="C724" s="391"/>
      <c r="D724" s="392"/>
      <c r="E724" s="383"/>
      <c r="F724" s="383"/>
      <c r="G724" s="383"/>
      <c r="H724" s="383"/>
      <c r="I724" s="383"/>
      <c r="J724" s="383"/>
      <c r="K724" s="383"/>
      <c r="L724" s="383"/>
      <c r="M724" s="383"/>
      <c r="N724" s="383"/>
      <c r="O724" s="383"/>
      <c r="P724" s="383"/>
      <c r="Q724" s="383"/>
      <c r="R724" s="383"/>
      <c r="S724" s="383"/>
      <c r="T724" s="383"/>
      <c r="U724" s="383"/>
      <c r="V724" s="383"/>
      <c r="W724" s="383"/>
      <c r="X724" s="383"/>
      <c r="Y724" s="383"/>
      <c r="Z724" s="383"/>
    </row>
    <row r="725">
      <c r="A725" s="389"/>
      <c r="B725" s="390"/>
      <c r="C725" s="391"/>
      <c r="D725" s="392"/>
      <c r="E725" s="383"/>
      <c r="F725" s="383"/>
      <c r="G725" s="383"/>
      <c r="H725" s="383"/>
      <c r="I725" s="383"/>
      <c r="J725" s="383"/>
      <c r="K725" s="383"/>
      <c r="L725" s="383"/>
      <c r="M725" s="383"/>
      <c r="N725" s="383"/>
      <c r="O725" s="383"/>
      <c r="P725" s="383"/>
      <c r="Q725" s="383"/>
      <c r="R725" s="383"/>
      <c r="S725" s="383"/>
      <c r="T725" s="383"/>
      <c r="U725" s="383"/>
      <c r="V725" s="383"/>
      <c r="W725" s="383"/>
      <c r="X725" s="383"/>
      <c r="Y725" s="383"/>
      <c r="Z725" s="383"/>
    </row>
    <row r="726">
      <c r="A726" s="389"/>
      <c r="B726" s="390"/>
      <c r="C726" s="391"/>
      <c r="D726" s="392"/>
      <c r="E726" s="383"/>
      <c r="F726" s="383"/>
      <c r="G726" s="383"/>
      <c r="H726" s="383"/>
      <c r="I726" s="383"/>
      <c r="J726" s="383"/>
      <c r="K726" s="383"/>
      <c r="L726" s="383"/>
      <c r="M726" s="383"/>
      <c r="N726" s="383"/>
      <c r="O726" s="383"/>
      <c r="P726" s="383"/>
      <c r="Q726" s="383"/>
      <c r="R726" s="383"/>
      <c r="S726" s="383"/>
      <c r="T726" s="383"/>
      <c r="U726" s="383"/>
      <c r="V726" s="383"/>
      <c r="W726" s="383"/>
      <c r="X726" s="383"/>
      <c r="Y726" s="383"/>
      <c r="Z726" s="383"/>
    </row>
    <row r="727">
      <c r="A727" s="389"/>
      <c r="B727" s="390"/>
      <c r="C727" s="391"/>
      <c r="D727" s="392"/>
      <c r="E727" s="383"/>
      <c r="F727" s="383"/>
      <c r="G727" s="383"/>
      <c r="H727" s="383"/>
      <c r="I727" s="383"/>
      <c r="J727" s="383"/>
      <c r="K727" s="383"/>
      <c r="L727" s="383"/>
      <c r="M727" s="383"/>
      <c r="N727" s="383"/>
      <c r="O727" s="383"/>
      <c r="P727" s="383"/>
      <c r="Q727" s="383"/>
      <c r="R727" s="383"/>
      <c r="S727" s="383"/>
      <c r="T727" s="383"/>
      <c r="U727" s="383"/>
      <c r="V727" s="383"/>
      <c r="W727" s="383"/>
      <c r="X727" s="383"/>
      <c r="Y727" s="383"/>
      <c r="Z727" s="383"/>
    </row>
    <row r="728">
      <c r="A728" s="389"/>
      <c r="B728" s="390"/>
      <c r="C728" s="391"/>
      <c r="D728" s="392"/>
      <c r="E728" s="383"/>
      <c r="F728" s="383"/>
      <c r="G728" s="383"/>
      <c r="H728" s="383"/>
      <c r="I728" s="383"/>
      <c r="J728" s="383"/>
      <c r="K728" s="383"/>
      <c r="L728" s="383"/>
      <c r="M728" s="383"/>
      <c r="N728" s="383"/>
      <c r="O728" s="383"/>
      <c r="P728" s="383"/>
      <c r="Q728" s="383"/>
      <c r="R728" s="383"/>
      <c r="S728" s="383"/>
      <c r="T728" s="383"/>
      <c r="U728" s="383"/>
      <c r="V728" s="383"/>
      <c r="W728" s="383"/>
      <c r="X728" s="383"/>
      <c r="Y728" s="383"/>
      <c r="Z728" s="383"/>
    </row>
    <row r="729">
      <c r="A729" s="389"/>
      <c r="B729" s="390"/>
      <c r="C729" s="391"/>
      <c r="D729" s="392"/>
      <c r="E729" s="383"/>
      <c r="F729" s="383"/>
      <c r="G729" s="383"/>
      <c r="H729" s="383"/>
      <c r="I729" s="383"/>
      <c r="J729" s="383"/>
      <c r="K729" s="383"/>
      <c r="L729" s="383"/>
      <c r="M729" s="383"/>
      <c r="N729" s="383"/>
      <c r="O729" s="383"/>
      <c r="P729" s="383"/>
      <c r="Q729" s="383"/>
      <c r="R729" s="383"/>
      <c r="S729" s="383"/>
      <c r="T729" s="383"/>
      <c r="U729" s="383"/>
      <c r="V729" s="383"/>
      <c r="W729" s="383"/>
      <c r="X729" s="383"/>
      <c r="Y729" s="383"/>
      <c r="Z729" s="383"/>
    </row>
    <row r="730">
      <c r="A730" s="389"/>
      <c r="B730" s="390"/>
      <c r="C730" s="391"/>
      <c r="D730" s="392"/>
      <c r="E730" s="383"/>
      <c r="F730" s="383"/>
      <c r="G730" s="383"/>
      <c r="H730" s="383"/>
      <c r="I730" s="383"/>
      <c r="J730" s="383"/>
      <c r="K730" s="383"/>
      <c r="L730" s="383"/>
      <c r="M730" s="383"/>
      <c r="N730" s="383"/>
      <c r="O730" s="383"/>
      <c r="P730" s="383"/>
      <c r="Q730" s="383"/>
      <c r="R730" s="383"/>
      <c r="S730" s="383"/>
      <c r="T730" s="383"/>
      <c r="U730" s="383"/>
      <c r="V730" s="383"/>
      <c r="W730" s="383"/>
      <c r="X730" s="383"/>
      <c r="Y730" s="383"/>
      <c r="Z730" s="383"/>
    </row>
    <row r="731">
      <c r="A731" s="389"/>
      <c r="B731" s="390"/>
      <c r="C731" s="391"/>
      <c r="D731" s="392"/>
      <c r="E731" s="383"/>
      <c r="F731" s="383"/>
      <c r="G731" s="383"/>
      <c r="H731" s="383"/>
      <c r="I731" s="383"/>
      <c r="J731" s="383"/>
      <c r="K731" s="383"/>
      <c r="L731" s="383"/>
      <c r="M731" s="383"/>
      <c r="N731" s="383"/>
      <c r="O731" s="383"/>
      <c r="P731" s="383"/>
      <c r="Q731" s="383"/>
      <c r="R731" s="383"/>
      <c r="S731" s="383"/>
      <c r="T731" s="383"/>
      <c r="U731" s="383"/>
      <c r="V731" s="383"/>
      <c r="W731" s="383"/>
      <c r="X731" s="383"/>
      <c r="Y731" s="383"/>
      <c r="Z731" s="383"/>
    </row>
    <row r="732">
      <c r="A732" s="389"/>
      <c r="B732" s="390"/>
      <c r="C732" s="391"/>
      <c r="D732" s="392"/>
      <c r="E732" s="383"/>
      <c r="F732" s="383"/>
      <c r="G732" s="383"/>
      <c r="H732" s="383"/>
      <c r="I732" s="383"/>
      <c r="J732" s="383"/>
      <c r="K732" s="383"/>
      <c r="L732" s="383"/>
      <c r="M732" s="383"/>
      <c r="N732" s="383"/>
      <c r="O732" s="383"/>
      <c r="P732" s="383"/>
      <c r="Q732" s="383"/>
      <c r="R732" s="383"/>
      <c r="S732" s="383"/>
      <c r="T732" s="383"/>
      <c r="U732" s="383"/>
      <c r="V732" s="383"/>
      <c r="W732" s="383"/>
      <c r="X732" s="383"/>
      <c r="Y732" s="383"/>
      <c r="Z732" s="383"/>
    </row>
    <row r="733">
      <c r="A733" s="389"/>
      <c r="B733" s="390"/>
      <c r="C733" s="391"/>
      <c r="D733" s="392"/>
      <c r="E733" s="383"/>
      <c r="F733" s="383"/>
      <c r="G733" s="383"/>
      <c r="H733" s="383"/>
      <c r="I733" s="383"/>
      <c r="J733" s="383"/>
      <c r="K733" s="383"/>
      <c r="L733" s="383"/>
      <c r="M733" s="383"/>
      <c r="N733" s="383"/>
      <c r="O733" s="383"/>
      <c r="P733" s="383"/>
      <c r="Q733" s="383"/>
      <c r="R733" s="383"/>
      <c r="S733" s="383"/>
      <c r="T733" s="383"/>
      <c r="U733" s="383"/>
      <c r="V733" s="383"/>
      <c r="W733" s="383"/>
      <c r="X733" s="383"/>
      <c r="Y733" s="383"/>
      <c r="Z733" s="383"/>
    </row>
    <row r="734">
      <c r="A734" s="389"/>
      <c r="B734" s="390"/>
      <c r="C734" s="391"/>
      <c r="D734" s="392"/>
      <c r="E734" s="383"/>
      <c r="F734" s="383"/>
      <c r="G734" s="383"/>
      <c r="H734" s="383"/>
      <c r="I734" s="383"/>
      <c r="J734" s="383"/>
      <c r="K734" s="383"/>
      <c r="L734" s="383"/>
      <c r="M734" s="383"/>
      <c r="N734" s="383"/>
      <c r="O734" s="383"/>
      <c r="P734" s="383"/>
      <c r="Q734" s="383"/>
      <c r="R734" s="383"/>
      <c r="S734" s="383"/>
      <c r="T734" s="383"/>
      <c r="U734" s="383"/>
      <c r="V734" s="383"/>
      <c r="W734" s="383"/>
      <c r="X734" s="383"/>
      <c r="Y734" s="383"/>
      <c r="Z734" s="383"/>
    </row>
    <row r="735">
      <c r="A735" s="389"/>
      <c r="B735" s="390"/>
      <c r="C735" s="391"/>
      <c r="D735" s="392"/>
      <c r="E735" s="383"/>
      <c r="F735" s="383"/>
      <c r="G735" s="383"/>
      <c r="H735" s="383"/>
      <c r="I735" s="383"/>
      <c r="J735" s="383"/>
      <c r="K735" s="383"/>
      <c r="L735" s="383"/>
      <c r="M735" s="383"/>
      <c r="N735" s="383"/>
      <c r="O735" s="383"/>
      <c r="P735" s="383"/>
      <c r="Q735" s="383"/>
      <c r="R735" s="383"/>
      <c r="S735" s="383"/>
      <c r="T735" s="383"/>
      <c r="U735" s="383"/>
      <c r="V735" s="383"/>
      <c r="W735" s="383"/>
      <c r="X735" s="383"/>
      <c r="Y735" s="383"/>
      <c r="Z735" s="383"/>
    </row>
    <row r="736">
      <c r="A736" s="389"/>
      <c r="B736" s="390"/>
      <c r="C736" s="391"/>
      <c r="D736" s="392"/>
      <c r="E736" s="383"/>
      <c r="F736" s="383"/>
      <c r="G736" s="383"/>
      <c r="H736" s="383"/>
      <c r="I736" s="383"/>
      <c r="J736" s="383"/>
      <c r="K736" s="383"/>
      <c r="L736" s="383"/>
      <c r="M736" s="383"/>
      <c r="N736" s="383"/>
      <c r="O736" s="383"/>
      <c r="P736" s="383"/>
      <c r="Q736" s="383"/>
      <c r="R736" s="383"/>
      <c r="S736" s="383"/>
      <c r="T736" s="383"/>
      <c r="U736" s="383"/>
      <c r="V736" s="383"/>
      <c r="W736" s="383"/>
      <c r="X736" s="383"/>
      <c r="Y736" s="383"/>
      <c r="Z736" s="383"/>
    </row>
    <row r="737">
      <c r="A737" s="389"/>
      <c r="B737" s="390"/>
      <c r="C737" s="391"/>
      <c r="D737" s="392"/>
      <c r="E737" s="383"/>
      <c r="F737" s="383"/>
      <c r="G737" s="383"/>
      <c r="H737" s="383"/>
      <c r="I737" s="383"/>
      <c r="J737" s="383"/>
      <c r="K737" s="383"/>
      <c r="L737" s="383"/>
      <c r="M737" s="383"/>
      <c r="N737" s="383"/>
      <c r="O737" s="383"/>
      <c r="P737" s="383"/>
      <c r="Q737" s="383"/>
      <c r="R737" s="383"/>
      <c r="S737" s="383"/>
      <c r="T737" s="383"/>
      <c r="U737" s="383"/>
      <c r="V737" s="383"/>
      <c r="W737" s="383"/>
      <c r="X737" s="383"/>
      <c r="Y737" s="383"/>
      <c r="Z737" s="383"/>
    </row>
    <row r="738">
      <c r="A738" s="389"/>
      <c r="B738" s="390"/>
      <c r="C738" s="391"/>
      <c r="D738" s="392"/>
      <c r="E738" s="383"/>
      <c r="F738" s="383"/>
      <c r="G738" s="383"/>
      <c r="H738" s="383"/>
      <c r="I738" s="383"/>
      <c r="J738" s="383"/>
      <c r="K738" s="383"/>
      <c r="L738" s="383"/>
      <c r="M738" s="383"/>
      <c r="N738" s="383"/>
      <c r="O738" s="383"/>
      <c r="P738" s="383"/>
      <c r="Q738" s="383"/>
      <c r="R738" s="383"/>
      <c r="S738" s="383"/>
      <c r="T738" s="383"/>
      <c r="U738" s="383"/>
      <c r="V738" s="383"/>
      <c r="W738" s="383"/>
      <c r="X738" s="383"/>
      <c r="Y738" s="383"/>
      <c r="Z738" s="383"/>
    </row>
    <row r="739">
      <c r="A739" s="389"/>
      <c r="B739" s="390"/>
      <c r="C739" s="391"/>
      <c r="D739" s="392"/>
      <c r="E739" s="383"/>
      <c r="F739" s="383"/>
      <c r="G739" s="383"/>
      <c r="H739" s="383"/>
      <c r="I739" s="383"/>
      <c r="J739" s="383"/>
      <c r="K739" s="383"/>
      <c r="L739" s="383"/>
      <c r="M739" s="383"/>
      <c r="N739" s="383"/>
      <c r="O739" s="383"/>
      <c r="P739" s="383"/>
      <c r="Q739" s="383"/>
      <c r="R739" s="383"/>
      <c r="S739" s="383"/>
      <c r="T739" s="383"/>
      <c r="U739" s="383"/>
      <c r="V739" s="383"/>
      <c r="W739" s="383"/>
      <c r="X739" s="383"/>
      <c r="Y739" s="383"/>
      <c r="Z739" s="383"/>
    </row>
    <row r="740">
      <c r="A740" s="389"/>
      <c r="B740" s="390"/>
      <c r="C740" s="391"/>
      <c r="D740" s="392"/>
      <c r="E740" s="383"/>
      <c r="F740" s="383"/>
      <c r="G740" s="383"/>
      <c r="H740" s="383"/>
      <c r="I740" s="383"/>
      <c r="J740" s="383"/>
      <c r="K740" s="383"/>
      <c r="L740" s="383"/>
      <c r="M740" s="383"/>
      <c r="N740" s="383"/>
      <c r="O740" s="383"/>
      <c r="P740" s="383"/>
      <c r="Q740" s="383"/>
      <c r="R740" s="383"/>
      <c r="S740" s="383"/>
      <c r="T740" s="383"/>
      <c r="U740" s="383"/>
      <c r="V740" s="383"/>
      <c r="W740" s="383"/>
      <c r="X740" s="383"/>
      <c r="Y740" s="383"/>
      <c r="Z740" s="383"/>
    </row>
    <row r="741">
      <c r="A741" s="389"/>
      <c r="B741" s="390"/>
      <c r="C741" s="391"/>
      <c r="D741" s="392"/>
      <c r="E741" s="383"/>
      <c r="F741" s="383"/>
      <c r="G741" s="383"/>
      <c r="H741" s="383"/>
      <c r="I741" s="383"/>
      <c r="J741" s="383"/>
      <c r="K741" s="383"/>
      <c r="L741" s="383"/>
      <c r="M741" s="383"/>
      <c r="N741" s="383"/>
      <c r="O741" s="383"/>
      <c r="P741" s="383"/>
      <c r="Q741" s="383"/>
      <c r="R741" s="383"/>
      <c r="S741" s="383"/>
      <c r="T741" s="383"/>
      <c r="U741" s="383"/>
      <c r="V741" s="383"/>
      <c r="W741" s="383"/>
      <c r="X741" s="383"/>
      <c r="Y741" s="383"/>
      <c r="Z741" s="383"/>
    </row>
    <row r="742">
      <c r="A742" s="389"/>
      <c r="B742" s="390"/>
      <c r="C742" s="391"/>
      <c r="D742" s="392"/>
      <c r="E742" s="383"/>
      <c r="F742" s="383"/>
      <c r="G742" s="383"/>
      <c r="H742" s="383"/>
      <c r="I742" s="383"/>
      <c r="J742" s="383"/>
      <c r="K742" s="383"/>
      <c r="L742" s="383"/>
      <c r="M742" s="383"/>
      <c r="N742" s="383"/>
      <c r="O742" s="383"/>
      <c r="P742" s="383"/>
      <c r="Q742" s="383"/>
      <c r="R742" s="383"/>
      <c r="S742" s="383"/>
      <c r="T742" s="383"/>
      <c r="U742" s="383"/>
      <c r="V742" s="383"/>
      <c r="W742" s="383"/>
      <c r="X742" s="383"/>
      <c r="Y742" s="383"/>
      <c r="Z742" s="383"/>
    </row>
    <row r="743">
      <c r="A743" s="389"/>
      <c r="B743" s="390"/>
      <c r="C743" s="391"/>
      <c r="D743" s="392"/>
      <c r="E743" s="383"/>
      <c r="F743" s="383"/>
      <c r="G743" s="383"/>
      <c r="H743" s="383"/>
      <c r="I743" s="383"/>
      <c r="J743" s="383"/>
      <c r="K743" s="383"/>
      <c r="L743" s="383"/>
      <c r="M743" s="383"/>
      <c r="N743" s="383"/>
      <c r="O743" s="383"/>
      <c r="P743" s="383"/>
      <c r="Q743" s="383"/>
      <c r="R743" s="383"/>
      <c r="S743" s="383"/>
      <c r="T743" s="383"/>
      <c r="U743" s="383"/>
      <c r="V743" s="383"/>
      <c r="W743" s="383"/>
      <c r="X743" s="383"/>
      <c r="Y743" s="383"/>
      <c r="Z743" s="383"/>
    </row>
    <row r="744">
      <c r="A744" s="389"/>
      <c r="B744" s="390"/>
      <c r="C744" s="391"/>
      <c r="D744" s="392"/>
      <c r="E744" s="383"/>
      <c r="F744" s="383"/>
      <c r="G744" s="383"/>
      <c r="H744" s="383"/>
      <c r="I744" s="383"/>
      <c r="J744" s="383"/>
      <c r="K744" s="383"/>
      <c r="L744" s="383"/>
      <c r="M744" s="383"/>
      <c r="N744" s="383"/>
      <c r="O744" s="383"/>
      <c r="P744" s="383"/>
      <c r="Q744" s="383"/>
      <c r="R744" s="383"/>
      <c r="S744" s="383"/>
      <c r="T744" s="383"/>
      <c r="U744" s="383"/>
      <c r="V744" s="383"/>
      <c r="W744" s="383"/>
      <c r="X744" s="383"/>
      <c r="Y744" s="383"/>
      <c r="Z744" s="383"/>
    </row>
    <row r="745">
      <c r="A745" s="389"/>
      <c r="B745" s="390"/>
      <c r="C745" s="391"/>
      <c r="D745" s="392"/>
      <c r="E745" s="383"/>
      <c r="F745" s="383"/>
      <c r="G745" s="383"/>
      <c r="H745" s="383"/>
      <c r="I745" s="383"/>
      <c r="J745" s="383"/>
      <c r="K745" s="383"/>
      <c r="L745" s="383"/>
      <c r="M745" s="383"/>
      <c r="N745" s="383"/>
      <c r="O745" s="383"/>
      <c r="P745" s="383"/>
      <c r="Q745" s="383"/>
      <c r="R745" s="383"/>
      <c r="S745" s="383"/>
      <c r="T745" s="383"/>
      <c r="U745" s="383"/>
      <c r="V745" s="383"/>
      <c r="W745" s="383"/>
      <c r="X745" s="383"/>
      <c r="Y745" s="383"/>
      <c r="Z745" s="383"/>
    </row>
    <row r="746">
      <c r="A746" s="389"/>
      <c r="B746" s="390"/>
      <c r="C746" s="391"/>
      <c r="D746" s="392"/>
      <c r="E746" s="383"/>
      <c r="F746" s="383"/>
      <c r="G746" s="383"/>
      <c r="H746" s="383"/>
      <c r="I746" s="383"/>
      <c r="J746" s="383"/>
      <c r="K746" s="383"/>
      <c r="L746" s="383"/>
      <c r="M746" s="383"/>
      <c r="N746" s="383"/>
      <c r="O746" s="383"/>
      <c r="P746" s="383"/>
      <c r="Q746" s="383"/>
      <c r="R746" s="383"/>
      <c r="S746" s="383"/>
      <c r="T746" s="383"/>
      <c r="U746" s="383"/>
      <c r="V746" s="383"/>
      <c r="W746" s="383"/>
      <c r="X746" s="383"/>
      <c r="Y746" s="383"/>
      <c r="Z746" s="383"/>
    </row>
    <row r="747">
      <c r="A747" s="389"/>
      <c r="B747" s="390"/>
      <c r="C747" s="391"/>
      <c r="D747" s="392"/>
      <c r="E747" s="383"/>
      <c r="F747" s="383"/>
      <c r="G747" s="383"/>
      <c r="H747" s="383"/>
      <c r="I747" s="383"/>
      <c r="J747" s="383"/>
      <c r="K747" s="383"/>
      <c r="L747" s="383"/>
      <c r="M747" s="383"/>
      <c r="N747" s="383"/>
      <c r="O747" s="383"/>
      <c r="P747" s="383"/>
      <c r="Q747" s="383"/>
      <c r="R747" s="383"/>
      <c r="S747" s="383"/>
      <c r="T747" s="383"/>
      <c r="U747" s="383"/>
      <c r="V747" s="383"/>
      <c r="W747" s="383"/>
      <c r="X747" s="383"/>
      <c r="Y747" s="383"/>
      <c r="Z747" s="383"/>
    </row>
    <row r="748">
      <c r="A748" s="389"/>
      <c r="B748" s="390"/>
      <c r="C748" s="391"/>
      <c r="D748" s="392"/>
      <c r="E748" s="383"/>
      <c r="F748" s="383"/>
      <c r="G748" s="383"/>
      <c r="H748" s="383"/>
      <c r="I748" s="383"/>
      <c r="J748" s="383"/>
      <c r="K748" s="383"/>
      <c r="L748" s="383"/>
      <c r="M748" s="383"/>
      <c r="N748" s="383"/>
      <c r="O748" s="383"/>
      <c r="P748" s="383"/>
      <c r="Q748" s="383"/>
      <c r="R748" s="383"/>
      <c r="S748" s="383"/>
      <c r="T748" s="383"/>
      <c r="U748" s="383"/>
      <c r="V748" s="383"/>
      <c r="W748" s="383"/>
      <c r="X748" s="383"/>
      <c r="Y748" s="383"/>
      <c r="Z748" s="383"/>
    </row>
    <row r="749">
      <c r="A749" s="389"/>
      <c r="B749" s="390"/>
      <c r="C749" s="391"/>
      <c r="D749" s="392"/>
      <c r="E749" s="383"/>
      <c r="F749" s="383"/>
      <c r="G749" s="383"/>
      <c r="H749" s="383"/>
      <c r="I749" s="383"/>
      <c r="J749" s="383"/>
      <c r="K749" s="383"/>
      <c r="L749" s="383"/>
      <c r="M749" s="383"/>
      <c r="N749" s="383"/>
      <c r="O749" s="383"/>
      <c r="P749" s="383"/>
      <c r="Q749" s="383"/>
      <c r="R749" s="383"/>
      <c r="S749" s="383"/>
      <c r="T749" s="383"/>
      <c r="U749" s="383"/>
      <c r="V749" s="383"/>
      <c r="W749" s="383"/>
      <c r="X749" s="383"/>
      <c r="Y749" s="383"/>
      <c r="Z749" s="383"/>
    </row>
    <row r="750">
      <c r="A750" s="389"/>
      <c r="B750" s="390"/>
      <c r="C750" s="391"/>
      <c r="D750" s="392"/>
      <c r="E750" s="383"/>
      <c r="F750" s="383"/>
      <c r="G750" s="383"/>
      <c r="H750" s="383"/>
      <c r="I750" s="383"/>
      <c r="J750" s="383"/>
      <c r="K750" s="383"/>
      <c r="L750" s="383"/>
      <c r="M750" s="383"/>
      <c r="N750" s="383"/>
      <c r="O750" s="383"/>
      <c r="P750" s="383"/>
      <c r="Q750" s="383"/>
      <c r="R750" s="383"/>
      <c r="S750" s="383"/>
      <c r="T750" s="383"/>
      <c r="U750" s="383"/>
      <c r="V750" s="383"/>
      <c r="W750" s="383"/>
      <c r="X750" s="383"/>
      <c r="Y750" s="383"/>
      <c r="Z750" s="383"/>
    </row>
    <row r="751">
      <c r="A751" s="389"/>
      <c r="B751" s="390"/>
      <c r="C751" s="391"/>
      <c r="D751" s="392"/>
      <c r="E751" s="383"/>
      <c r="F751" s="383"/>
      <c r="G751" s="383"/>
      <c r="H751" s="383"/>
      <c r="I751" s="383"/>
      <c r="J751" s="383"/>
      <c r="K751" s="383"/>
      <c r="L751" s="383"/>
      <c r="M751" s="383"/>
      <c r="N751" s="383"/>
      <c r="O751" s="383"/>
      <c r="P751" s="383"/>
      <c r="Q751" s="383"/>
      <c r="R751" s="383"/>
      <c r="S751" s="383"/>
      <c r="T751" s="383"/>
      <c r="U751" s="383"/>
      <c r="V751" s="383"/>
      <c r="W751" s="383"/>
      <c r="X751" s="383"/>
      <c r="Y751" s="383"/>
      <c r="Z751" s="383"/>
    </row>
    <row r="752">
      <c r="A752" s="389"/>
      <c r="B752" s="390"/>
      <c r="C752" s="391"/>
      <c r="D752" s="392"/>
      <c r="E752" s="383"/>
      <c r="F752" s="383"/>
      <c r="G752" s="383"/>
      <c r="H752" s="383"/>
      <c r="I752" s="383"/>
      <c r="J752" s="383"/>
      <c r="K752" s="383"/>
      <c r="L752" s="383"/>
      <c r="M752" s="383"/>
      <c r="N752" s="383"/>
      <c r="O752" s="383"/>
      <c r="P752" s="383"/>
      <c r="Q752" s="383"/>
      <c r="R752" s="383"/>
      <c r="S752" s="383"/>
      <c r="T752" s="383"/>
      <c r="U752" s="383"/>
      <c r="V752" s="383"/>
      <c r="W752" s="383"/>
      <c r="X752" s="383"/>
      <c r="Y752" s="383"/>
      <c r="Z752" s="383"/>
    </row>
    <row r="753">
      <c r="A753" s="389"/>
      <c r="B753" s="390"/>
      <c r="C753" s="391"/>
      <c r="D753" s="392"/>
      <c r="E753" s="383"/>
      <c r="F753" s="383"/>
      <c r="G753" s="383"/>
      <c r="H753" s="383"/>
      <c r="I753" s="383"/>
      <c r="J753" s="383"/>
      <c r="K753" s="383"/>
      <c r="L753" s="383"/>
      <c r="M753" s="383"/>
      <c r="N753" s="383"/>
      <c r="O753" s="383"/>
      <c r="P753" s="383"/>
      <c r="Q753" s="383"/>
      <c r="R753" s="383"/>
      <c r="S753" s="383"/>
      <c r="T753" s="383"/>
      <c r="U753" s="383"/>
      <c r="V753" s="383"/>
      <c r="W753" s="383"/>
      <c r="X753" s="383"/>
      <c r="Y753" s="383"/>
      <c r="Z753" s="383"/>
    </row>
    <row r="754">
      <c r="A754" s="389"/>
      <c r="B754" s="390"/>
      <c r="C754" s="391"/>
      <c r="D754" s="392"/>
      <c r="E754" s="383"/>
      <c r="F754" s="383"/>
      <c r="G754" s="383"/>
      <c r="H754" s="383"/>
      <c r="I754" s="383"/>
      <c r="J754" s="383"/>
      <c r="K754" s="383"/>
      <c r="L754" s="383"/>
      <c r="M754" s="383"/>
      <c r="N754" s="383"/>
      <c r="O754" s="383"/>
      <c r="P754" s="383"/>
      <c r="Q754" s="383"/>
      <c r="R754" s="383"/>
      <c r="S754" s="383"/>
      <c r="T754" s="383"/>
      <c r="U754" s="383"/>
      <c r="V754" s="383"/>
      <c r="W754" s="383"/>
      <c r="X754" s="383"/>
      <c r="Y754" s="383"/>
      <c r="Z754" s="383"/>
    </row>
    <row r="755">
      <c r="A755" s="389"/>
      <c r="B755" s="390"/>
      <c r="C755" s="391"/>
      <c r="D755" s="392"/>
      <c r="E755" s="383"/>
      <c r="F755" s="383"/>
      <c r="G755" s="383"/>
      <c r="H755" s="383"/>
      <c r="I755" s="383"/>
      <c r="J755" s="383"/>
      <c r="K755" s="383"/>
      <c r="L755" s="383"/>
      <c r="M755" s="383"/>
      <c r="N755" s="383"/>
      <c r="O755" s="383"/>
      <c r="P755" s="383"/>
      <c r="Q755" s="383"/>
      <c r="R755" s="383"/>
      <c r="S755" s="383"/>
      <c r="T755" s="383"/>
      <c r="U755" s="383"/>
      <c r="V755" s="383"/>
      <c r="W755" s="383"/>
      <c r="X755" s="383"/>
      <c r="Y755" s="383"/>
      <c r="Z755" s="383"/>
    </row>
    <row r="756">
      <c r="A756" s="389"/>
      <c r="B756" s="390"/>
      <c r="C756" s="391"/>
      <c r="D756" s="392"/>
      <c r="E756" s="383"/>
      <c r="F756" s="383"/>
      <c r="G756" s="383"/>
      <c r="H756" s="383"/>
      <c r="I756" s="383"/>
      <c r="J756" s="383"/>
      <c r="K756" s="383"/>
      <c r="L756" s="383"/>
      <c r="M756" s="383"/>
      <c r="N756" s="383"/>
      <c r="O756" s="383"/>
      <c r="P756" s="383"/>
      <c r="Q756" s="383"/>
      <c r="R756" s="383"/>
      <c r="S756" s="383"/>
      <c r="T756" s="383"/>
      <c r="U756" s="383"/>
      <c r="V756" s="383"/>
      <c r="W756" s="383"/>
      <c r="X756" s="383"/>
      <c r="Y756" s="383"/>
      <c r="Z756" s="383"/>
    </row>
    <row r="757">
      <c r="A757" s="389"/>
      <c r="B757" s="390"/>
      <c r="C757" s="391"/>
      <c r="D757" s="392"/>
      <c r="E757" s="383"/>
      <c r="F757" s="383"/>
      <c r="G757" s="383"/>
      <c r="H757" s="383"/>
      <c r="I757" s="383"/>
      <c r="J757" s="383"/>
      <c r="K757" s="383"/>
      <c r="L757" s="383"/>
      <c r="M757" s="383"/>
      <c r="N757" s="383"/>
      <c r="O757" s="383"/>
      <c r="P757" s="383"/>
      <c r="Q757" s="383"/>
      <c r="R757" s="383"/>
      <c r="S757" s="383"/>
      <c r="T757" s="383"/>
      <c r="U757" s="383"/>
      <c r="V757" s="383"/>
      <c r="W757" s="383"/>
      <c r="X757" s="383"/>
      <c r="Y757" s="383"/>
      <c r="Z757" s="383"/>
    </row>
    <row r="758">
      <c r="A758" s="389"/>
      <c r="B758" s="390"/>
      <c r="C758" s="391"/>
      <c r="D758" s="392"/>
      <c r="E758" s="383"/>
      <c r="F758" s="383"/>
      <c r="G758" s="383"/>
      <c r="H758" s="383"/>
      <c r="I758" s="383"/>
      <c r="J758" s="383"/>
      <c r="K758" s="383"/>
      <c r="L758" s="383"/>
      <c r="M758" s="383"/>
      <c r="N758" s="383"/>
      <c r="O758" s="383"/>
      <c r="P758" s="383"/>
      <c r="Q758" s="383"/>
      <c r="R758" s="383"/>
      <c r="S758" s="383"/>
      <c r="T758" s="383"/>
      <c r="U758" s="383"/>
      <c r="V758" s="383"/>
      <c r="W758" s="383"/>
      <c r="X758" s="383"/>
      <c r="Y758" s="383"/>
      <c r="Z758" s="383"/>
    </row>
    <row r="759">
      <c r="A759" s="389"/>
      <c r="B759" s="390"/>
      <c r="C759" s="391"/>
      <c r="D759" s="392"/>
      <c r="E759" s="383"/>
      <c r="F759" s="383"/>
      <c r="G759" s="383"/>
      <c r="H759" s="383"/>
      <c r="I759" s="383"/>
      <c r="J759" s="383"/>
      <c r="K759" s="383"/>
      <c r="L759" s="383"/>
      <c r="M759" s="383"/>
      <c r="N759" s="383"/>
      <c r="O759" s="383"/>
      <c r="P759" s="383"/>
      <c r="Q759" s="383"/>
      <c r="R759" s="383"/>
      <c r="S759" s="383"/>
      <c r="T759" s="383"/>
      <c r="U759" s="383"/>
      <c r="V759" s="383"/>
      <c r="W759" s="383"/>
      <c r="X759" s="383"/>
      <c r="Y759" s="383"/>
      <c r="Z759" s="383"/>
    </row>
    <row r="760">
      <c r="A760" s="389"/>
      <c r="B760" s="390"/>
      <c r="C760" s="391"/>
      <c r="D760" s="392"/>
      <c r="E760" s="383"/>
      <c r="F760" s="383"/>
      <c r="G760" s="383"/>
      <c r="H760" s="383"/>
      <c r="I760" s="383"/>
      <c r="J760" s="383"/>
      <c r="K760" s="383"/>
      <c r="L760" s="383"/>
      <c r="M760" s="383"/>
      <c r="N760" s="383"/>
      <c r="O760" s="383"/>
      <c r="P760" s="383"/>
      <c r="Q760" s="383"/>
      <c r="R760" s="383"/>
      <c r="S760" s="383"/>
      <c r="T760" s="383"/>
      <c r="U760" s="383"/>
      <c r="V760" s="383"/>
      <c r="W760" s="383"/>
      <c r="X760" s="383"/>
      <c r="Y760" s="383"/>
      <c r="Z760" s="383"/>
    </row>
    <row r="761">
      <c r="A761" s="389"/>
      <c r="B761" s="390"/>
      <c r="C761" s="391"/>
      <c r="D761" s="392"/>
      <c r="E761" s="383"/>
      <c r="F761" s="383"/>
      <c r="G761" s="383"/>
      <c r="H761" s="383"/>
      <c r="I761" s="383"/>
      <c r="J761" s="383"/>
      <c r="K761" s="383"/>
      <c r="L761" s="383"/>
      <c r="M761" s="383"/>
      <c r="N761" s="383"/>
      <c r="O761" s="383"/>
      <c r="P761" s="383"/>
      <c r="Q761" s="383"/>
      <c r="R761" s="383"/>
      <c r="S761" s="383"/>
      <c r="T761" s="383"/>
      <c r="U761" s="383"/>
      <c r="V761" s="383"/>
      <c r="W761" s="383"/>
      <c r="X761" s="383"/>
      <c r="Y761" s="383"/>
      <c r="Z761" s="383"/>
    </row>
    <row r="762">
      <c r="A762" s="389"/>
      <c r="B762" s="390"/>
      <c r="C762" s="391"/>
      <c r="D762" s="392"/>
      <c r="E762" s="383"/>
      <c r="F762" s="383"/>
      <c r="G762" s="383"/>
      <c r="H762" s="383"/>
      <c r="I762" s="383"/>
      <c r="J762" s="383"/>
      <c r="K762" s="383"/>
      <c r="L762" s="383"/>
      <c r="M762" s="383"/>
      <c r="N762" s="383"/>
      <c r="O762" s="383"/>
      <c r="P762" s="383"/>
      <c r="Q762" s="383"/>
      <c r="R762" s="383"/>
      <c r="S762" s="383"/>
      <c r="T762" s="383"/>
      <c r="U762" s="383"/>
      <c r="V762" s="383"/>
      <c r="W762" s="383"/>
      <c r="X762" s="383"/>
      <c r="Y762" s="383"/>
      <c r="Z762" s="383"/>
    </row>
    <row r="763">
      <c r="A763" s="389"/>
      <c r="B763" s="390"/>
      <c r="C763" s="391"/>
      <c r="D763" s="392"/>
      <c r="E763" s="383"/>
      <c r="F763" s="383"/>
      <c r="G763" s="383"/>
      <c r="H763" s="383"/>
      <c r="I763" s="383"/>
      <c r="J763" s="383"/>
      <c r="K763" s="383"/>
      <c r="L763" s="383"/>
      <c r="M763" s="383"/>
      <c r="N763" s="383"/>
      <c r="O763" s="383"/>
      <c r="P763" s="383"/>
      <c r="Q763" s="383"/>
      <c r="R763" s="383"/>
      <c r="S763" s="383"/>
      <c r="T763" s="383"/>
      <c r="U763" s="383"/>
      <c r="V763" s="383"/>
      <c r="W763" s="383"/>
      <c r="X763" s="383"/>
      <c r="Y763" s="383"/>
      <c r="Z763" s="383"/>
    </row>
    <row r="764">
      <c r="A764" s="389"/>
      <c r="B764" s="390"/>
      <c r="C764" s="391"/>
      <c r="D764" s="392"/>
      <c r="E764" s="383"/>
      <c r="F764" s="383"/>
      <c r="G764" s="383"/>
      <c r="H764" s="383"/>
      <c r="I764" s="383"/>
      <c r="J764" s="383"/>
      <c r="K764" s="383"/>
      <c r="L764" s="383"/>
      <c r="M764" s="383"/>
      <c r="N764" s="383"/>
      <c r="O764" s="383"/>
      <c r="P764" s="383"/>
      <c r="Q764" s="383"/>
      <c r="R764" s="383"/>
      <c r="S764" s="383"/>
      <c r="T764" s="383"/>
      <c r="U764" s="383"/>
      <c r="V764" s="383"/>
      <c r="W764" s="383"/>
      <c r="X764" s="383"/>
      <c r="Y764" s="383"/>
      <c r="Z764" s="383"/>
    </row>
    <row r="765">
      <c r="A765" s="389"/>
      <c r="B765" s="390"/>
      <c r="C765" s="391"/>
      <c r="D765" s="392"/>
      <c r="E765" s="383"/>
      <c r="F765" s="383"/>
      <c r="G765" s="383"/>
      <c r="H765" s="383"/>
      <c r="I765" s="383"/>
      <c r="J765" s="383"/>
      <c r="K765" s="383"/>
      <c r="L765" s="383"/>
      <c r="M765" s="383"/>
      <c r="N765" s="383"/>
      <c r="O765" s="383"/>
      <c r="P765" s="383"/>
      <c r="Q765" s="383"/>
      <c r="R765" s="383"/>
      <c r="S765" s="383"/>
      <c r="T765" s="383"/>
      <c r="U765" s="383"/>
      <c r="V765" s="383"/>
      <c r="W765" s="383"/>
      <c r="X765" s="383"/>
      <c r="Y765" s="383"/>
      <c r="Z765" s="383"/>
    </row>
    <row r="766">
      <c r="A766" s="389"/>
      <c r="B766" s="390"/>
      <c r="C766" s="391"/>
      <c r="D766" s="392"/>
      <c r="E766" s="383"/>
      <c r="F766" s="383"/>
      <c r="G766" s="383"/>
      <c r="H766" s="383"/>
      <c r="I766" s="383"/>
      <c r="J766" s="383"/>
      <c r="K766" s="383"/>
      <c r="L766" s="383"/>
      <c r="M766" s="383"/>
      <c r="N766" s="383"/>
      <c r="O766" s="383"/>
      <c r="P766" s="383"/>
      <c r="Q766" s="383"/>
      <c r="R766" s="383"/>
      <c r="S766" s="383"/>
      <c r="T766" s="383"/>
      <c r="U766" s="383"/>
      <c r="V766" s="383"/>
      <c r="W766" s="383"/>
      <c r="X766" s="383"/>
      <c r="Y766" s="383"/>
      <c r="Z766" s="383"/>
    </row>
    <row r="767">
      <c r="A767" s="389"/>
      <c r="B767" s="390"/>
      <c r="C767" s="391"/>
      <c r="D767" s="392"/>
      <c r="E767" s="383"/>
      <c r="F767" s="383"/>
      <c r="G767" s="383"/>
      <c r="H767" s="383"/>
      <c r="I767" s="383"/>
      <c r="J767" s="383"/>
      <c r="K767" s="383"/>
      <c r="L767" s="383"/>
      <c r="M767" s="383"/>
      <c r="N767" s="383"/>
      <c r="O767" s="383"/>
      <c r="P767" s="383"/>
      <c r="Q767" s="383"/>
      <c r="R767" s="383"/>
      <c r="S767" s="383"/>
      <c r="T767" s="383"/>
      <c r="U767" s="383"/>
      <c r="V767" s="383"/>
      <c r="W767" s="383"/>
      <c r="X767" s="383"/>
      <c r="Y767" s="383"/>
      <c r="Z767" s="383"/>
    </row>
    <row r="768">
      <c r="A768" s="389"/>
      <c r="B768" s="390"/>
      <c r="C768" s="391"/>
      <c r="D768" s="392"/>
      <c r="E768" s="383"/>
      <c r="F768" s="383"/>
      <c r="G768" s="383"/>
      <c r="H768" s="383"/>
      <c r="I768" s="383"/>
      <c r="J768" s="383"/>
      <c r="K768" s="383"/>
      <c r="L768" s="383"/>
      <c r="M768" s="383"/>
      <c r="N768" s="383"/>
      <c r="O768" s="383"/>
      <c r="P768" s="383"/>
      <c r="Q768" s="383"/>
      <c r="R768" s="383"/>
      <c r="S768" s="383"/>
      <c r="T768" s="383"/>
      <c r="U768" s="383"/>
      <c r="V768" s="383"/>
      <c r="W768" s="383"/>
      <c r="X768" s="383"/>
      <c r="Y768" s="383"/>
      <c r="Z768" s="383"/>
    </row>
    <row r="769">
      <c r="A769" s="389"/>
      <c r="B769" s="390"/>
      <c r="C769" s="391"/>
      <c r="D769" s="392"/>
      <c r="E769" s="383"/>
      <c r="F769" s="383"/>
      <c r="G769" s="383"/>
      <c r="H769" s="383"/>
      <c r="I769" s="383"/>
      <c r="J769" s="383"/>
      <c r="K769" s="383"/>
      <c r="L769" s="383"/>
      <c r="M769" s="383"/>
      <c r="N769" s="383"/>
      <c r="O769" s="383"/>
      <c r="P769" s="383"/>
      <c r="Q769" s="383"/>
      <c r="R769" s="383"/>
      <c r="S769" s="383"/>
      <c r="T769" s="383"/>
      <c r="U769" s="383"/>
      <c r="V769" s="383"/>
      <c r="W769" s="383"/>
      <c r="X769" s="383"/>
      <c r="Y769" s="383"/>
      <c r="Z769" s="383"/>
    </row>
    <row r="770">
      <c r="A770" s="389"/>
      <c r="B770" s="390"/>
      <c r="C770" s="391"/>
      <c r="D770" s="392"/>
      <c r="E770" s="383"/>
      <c r="F770" s="383"/>
      <c r="G770" s="383"/>
      <c r="H770" s="383"/>
      <c r="I770" s="383"/>
      <c r="J770" s="383"/>
      <c r="K770" s="383"/>
      <c r="L770" s="383"/>
      <c r="M770" s="383"/>
      <c r="N770" s="383"/>
      <c r="O770" s="383"/>
      <c r="P770" s="383"/>
      <c r="Q770" s="383"/>
      <c r="R770" s="383"/>
      <c r="S770" s="383"/>
      <c r="T770" s="383"/>
      <c r="U770" s="383"/>
      <c r="V770" s="383"/>
      <c r="W770" s="383"/>
      <c r="X770" s="383"/>
      <c r="Y770" s="383"/>
      <c r="Z770" s="383"/>
    </row>
    <row r="771">
      <c r="A771" s="389"/>
      <c r="B771" s="390"/>
      <c r="C771" s="391"/>
      <c r="D771" s="392"/>
      <c r="E771" s="383"/>
      <c r="F771" s="383"/>
      <c r="G771" s="383"/>
      <c r="H771" s="383"/>
      <c r="I771" s="383"/>
      <c r="J771" s="383"/>
      <c r="K771" s="383"/>
      <c r="L771" s="383"/>
      <c r="M771" s="383"/>
      <c r="N771" s="383"/>
      <c r="O771" s="383"/>
      <c r="P771" s="383"/>
      <c r="Q771" s="383"/>
      <c r="R771" s="383"/>
      <c r="S771" s="383"/>
      <c r="T771" s="383"/>
      <c r="U771" s="383"/>
      <c r="V771" s="383"/>
      <c r="W771" s="383"/>
      <c r="X771" s="383"/>
      <c r="Y771" s="383"/>
      <c r="Z771" s="383"/>
    </row>
    <row r="772">
      <c r="A772" s="389"/>
      <c r="B772" s="390"/>
      <c r="C772" s="391"/>
      <c r="D772" s="392"/>
      <c r="E772" s="383"/>
      <c r="F772" s="383"/>
      <c r="G772" s="383"/>
      <c r="H772" s="383"/>
      <c r="I772" s="383"/>
      <c r="J772" s="383"/>
      <c r="K772" s="383"/>
      <c r="L772" s="383"/>
      <c r="M772" s="383"/>
      <c r="N772" s="383"/>
      <c r="O772" s="383"/>
      <c r="P772" s="383"/>
      <c r="Q772" s="383"/>
      <c r="R772" s="383"/>
      <c r="S772" s="383"/>
      <c r="T772" s="383"/>
      <c r="U772" s="383"/>
      <c r="V772" s="383"/>
      <c r="W772" s="383"/>
      <c r="X772" s="383"/>
      <c r="Y772" s="383"/>
      <c r="Z772" s="383"/>
    </row>
    <row r="773">
      <c r="A773" s="389"/>
      <c r="B773" s="390"/>
      <c r="C773" s="391"/>
      <c r="D773" s="392"/>
      <c r="E773" s="383"/>
      <c r="F773" s="383"/>
      <c r="G773" s="383"/>
      <c r="H773" s="383"/>
      <c r="I773" s="383"/>
      <c r="J773" s="383"/>
      <c r="K773" s="383"/>
      <c r="L773" s="383"/>
      <c r="M773" s="383"/>
      <c r="N773" s="383"/>
      <c r="O773" s="383"/>
      <c r="P773" s="383"/>
      <c r="Q773" s="383"/>
      <c r="R773" s="383"/>
      <c r="S773" s="383"/>
      <c r="T773" s="383"/>
      <c r="U773" s="383"/>
      <c r="V773" s="383"/>
      <c r="W773" s="383"/>
      <c r="X773" s="383"/>
      <c r="Y773" s="383"/>
      <c r="Z773" s="383"/>
    </row>
    <row r="774">
      <c r="A774" s="389"/>
      <c r="B774" s="390"/>
      <c r="C774" s="391"/>
      <c r="D774" s="392"/>
      <c r="E774" s="383"/>
      <c r="F774" s="383"/>
      <c r="G774" s="383"/>
      <c r="H774" s="383"/>
      <c r="I774" s="383"/>
      <c r="J774" s="383"/>
      <c r="K774" s="383"/>
      <c r="L774" s="383"/>
      <c r="M774" s="383"/>
      <c r="N774" s="383"/>
      <c r="O774" s="383"/>
      <c r="P774" s="383"/>
      <c r="Q774" s="383"/>
      <c r="R774" s="383"/>
      <c r="S774" s="383"/>
      <c r="T774" s="383"/>
      <c r="U774" s="383"/>
      <c r="V774" s="383"/>
      <c r="W774" s="383"/>
      <c r="X774" s="383"/>
      <c r="Y774" s="383"/>
      <c r="Z774" s="383"/>
    </row>
    <row r="775">
      <c r="A775" s="389"/>
      <c r="B775" s="390"/>
      <c r="C775" s="391"/>
      <c r="D775" s="392"/>
      <c r="E775" s="383"/>
      <c r="F775" s="383"/>
      <c r="G775" s="383"/>
      <c r="H775" s="383"/>
      <c r="I775" s="383"/>
      <c r="J775" s="383"/>
      <c r="K775" s="383"/>
      <c r="L775" s="383"/>
      <c r="M775" s="383"/>
      <c r="N775" s="383"/>
      <c r="O775" s="383"/>
      <c r="P775" s="383"/>
      <c r="Q775" s="383"/>
      <c r="R775" s="383"/>
      <c r="S775" s="383"/>
      <c r="T775" s="383"/>
      <c r="U775" s="383"/>
      <c r="V775" s="383"/>
      <c r="W775" s="383"/>
      <c r="X775" s="383"/>
      <c r="Y775" s="383"/>
      <c r="Z775" s="383"/>
    </row>
    <row r="776">
      <c r="A776" s="389"/>
      <c r="B776" s="390"/>
      <c r="C776" s="391"/>
      <c r="D776" s="392"/>
      <c r="E776" s="383"/>
      <c r="F776" s="383"/>
      <c r="G776" s="383"/>
      <c r="H776" s="383"/>
      <c r="I776" s="383"/>
      <c r="J776" s="383"/>
      <c r="K776" s="383"/>
      <c r="L776" s="383"/>
      <c r="M776" s="383"/>
      <c r="N776" s="383"/>
      <c r="O776" s="383"/>
      <c r="P776" s="383"/>
      <c r="Q776" s="383"/>
      <c r="R776" s="383"/>
      <c r="S776" s="383"/>
      <c r="T776" s="383"/>
      <c r="U776" s="383"/>
      <c r="V776" s="383"/>
      <c r="W776" s="383"/>
      <c r="X776" s="383"/>
      <c r="Y776" s="383"/>
      <c r="Z776" s="383"/>
    </row>
    <row r="777">
      <c r="A777" s="389"/>
      <c r="B777" s="390"/>
      <c r="C777" s="391"/>
      <c r="D777" s="392"/>
      <c r="E777" s="383"/>
      <c r="F777" s="383"/>
      <c r="G777" s="383"/>
      <c r="H777" s="383"/>
      <c r="I777" s="383"/>
      <c r="J777" s="383"/>
      <c r="K777" s="383"/>
      <c r="L777" s="383"/>
      <c r="M777" s="383"/>
      <c r="N777" s="383"/>
      <c r="O777" s="383"/>
      <c r="P777" s="383"/>
      <c r="Q777" s="383"/>
      <c r="R777" s="383"/>
      <c r="S777" s="383"/>
      <c r="T777" s="383"/>
      <c r="U777" s="383"/>
      <c r="V777" s="383"/>
      <c r="W777" s="383"/>
      <c r="X777" s="383"/>
      <c r="Y777" s="383"/>
      <c r="Z777" s="383"/>
    </row>
    <row r="778">
      <c r="A778" s="389"/>
      <c r="B778" s="390"/>
      <c r="C778" s="391"/>
      <c r="D778" s="392"/>
      <c r="E778" s="383"/>
      <c r="F778" s="383"/>
      <c r="G778" s="383"/>
      <c r="H778" s="383"/>
      <c r="I778" s="383"/>
      <c r="J778" s="383"/>
      <c r="K778" s="383"/>
      <c r="L778" s="383"/>
      <c r="M778" s="383"/>
      <c r="N778" s="383"/>
      <c r="O778" s="383"/>
      <c r="P778" s="383"/>
      <c r="Q778" s="383"/>
      <c r="R778" s="383"/>
      <c r="S778" s="383"/>
      <c r="T778" s="383"/>
      <c r="U778" s="383"/>
      <c r="V778" s="383"/>
      <c r="W778" s="383"/>
      <c r="X778" s="383"/>
      <c r="Y778" s="383"/>
      <c r="Z778" s="383"/>
    </row>
    <row r="779">
      <c r="A779" s="389"/>
      <c r="B779" s="390"/>
      <c r="C779" s="391"/>
      <c r="D779" s="392"/>
      <c r="E779" s="383"/>
      <c r="F779" s="383"/>
      <c r="G779" s="383"/>
      <c r="H779" s="383"/>
      <c r="I779" s="383"/>
      <c r="J779" s="383"/>
      <c r="K779" s="383"/>
      <c r="L779" s="383"/>
      <c r="M779" s="383"/>
      <c r="N779" s="383"/>
      <c r="O779" s="383"/>
      <c r="P779" s="383"/>
      <c r="Q779" s="383"/>
      <c r="R779" s="383"/>
      <c r="S779" s="383"/>
      <c r="T779" s="383"/>
      <c r="U779" s="383"/>
      <c r="V779" s="383"/>
      <c r="W779" s="383"/>
      <c r="X779" s="383"/>
      <c r="Y779" s="383"/>
      <c r="Z779" s="383"/>
    </row>
    <row r="780">
      <c r="A780" s="389"/>
      <c r="B780" s="390"/>
      <c r="C780" s="391"/>
      <c r="D780" s="392"/>
      <c r="E780" s="383"/>
      <c r="F780" s="383"/>
      <c r="G780" s="383"/>
      <c r="H780" s="383"/>
      <c r="I780" s="383"/>
      <c r="J780" s="383"/>
      <c r="K780" s="383"/>
      <c r="L780" s="383"/>
      <c r="M780" s="383"/>
      <c r="N780" s="383"/>
      <c r="O780" s="383"/>
      <c r="P780" s="383"/>
      <c r="Q780" s="383"/>
      <c r="R780" s="383"/>
      <c r="S780" s="383"/>
      <c r="T780" s="383"/>
      <c r="U780" s="383"/>
      <c r="V780" s="383"/>
      <c r="W780" s="383"/>
      <c r="X780" s="383"/>
      <c r="Y780" s="383"/>
      <c r="Z780" s="383"/>
    </row>
    <row r="781">
      <c r="A781" s="389"/>
      <c r="B781" s="390"/>
      <c r="C781" s="391"/>
      <c r="D781" s="392"/>
      <c r="E781" s="383"/>
      <c r="F781" s="383"/>
      <c r="G781" s="383"/>
      <c r="H781" s="383"/>
      <c r="I781" s="383"/>
      <c r="J781" s="383"/>
      <c r="K781" s="383"/>
      <c r="L781" s="383"/>
      <c r="M781" s="383"/>
      <c r="N781" s="383"/>
      <c r="O781" s="383"/>
      <c r="P781" s="383"/>
      <c r="Q781" s="383"/>
      <c r="R781" s="383"/>
      <c r="S781" s="383"/>
      <c r="T781" s="383"/>
      <c r="U781" s="383"/>
      <c r="V781" s="383"/>
      <c r="W781" s="383"/>
      <c r="X781" s="383"/>
      <c r="Y781" s="383"/>
      <c r="Z781" s="383"/>
    </row>
    <row r="782">
      <c r="A782" s="389"/>
      <c r="B782" s="390"/>
      <c r="C782" s="391"/>
      <c r="D782" s="392"/>
      <c r="E782" s="383"/>
      <c r="F782" s="383"/>
      <c r="G782" s="383"/>
      <c r="H782" s="383"/>
      <c r="I782" s="383"/>
      <c r="J782" s="383"/>
      <c r="K782" s="383"/>
      <c r="L782" s="383"/>
      <c r="M782" s="383"/>
      <c r="N782" s="383"/>
      <c r="O782" s="383"/>
      <c r="P782" s="383"/>
      <c r="Q782" s="383"/>
      <c r="R782" s="383"/>
      <c r="S782" s="383"/>
      <c r="T782" s="383"/>
      <c r="U782" s="383"/>
      <c r="V782" s="383"/>
      <c r="W782" s="383"/>
      <c r="X782" s="383"/>
      <c r="Y782" s="383"/>
      <c r="Z782" s="383"/>
    </row>
    <row r="783">
      <c r="A783" s="389"/>
      <c r="B783" s="390"/>
      <c r="C783" s="391"/>
      <c r="D783" s="392"/>
      <c r="E783" s="383"/>
      <c r="F783" s="383"/>
      <c r="G783" s="383"/>
      <c r="H783" s="383"/>
      <c r="I783" s="383"/>
      <c r="J783" s="383"/>
      <c r="K783" s="383"/>
      <c r="L783" s="383"/>
      <c r="M783" s="383"/>
      <c r="N783" s="383"/>
      <c r="O783" s="383"/>
      <c r="P783" s="383"/>
      <c r="Q783" s="383"/>
      <c r="R783" s="383"/>
      <c r="S783" s="383"/>
      <c r="T783" s="383"/>
      <c r="U783" s="383"/>
      <c r="V783" s="383"/>
      <c r="W783" s="383"/>
      <c r="X783" s="383"/>
      <c r="Y783" s="383"/>
      <c r="Z783" s="383"/>
    </row>
    <row r="784">
      <c r="A784" s="389"/>
      <c r="B784" s="390"/>
      <c r="C784" s="391"/>
      <c r="D784" s="392"/>
      <c r="E784" s="383"/>
      <c r="F784" s="383"/>
      <c r="G784" s="383"/>
      <c r="H784" s="383"/>
      <c r="I784" s="383"/>
      <c r="J784" s="383"/>
      <c r="K784" s="383"/>
      <c r="L784" s="383"/>
      <c r="M784" s="383"/>
      <c r="N784" s="383"/>
      <c r="O784" s="383"/>
      <c r="P784" s="383"/>
      <c r="Q784" s="383"/>
      <c r="R784" s="383"/>
      <c r="S784" s="383"/>
      <c r="T784" s="383"/>
      <c r="U784" s="383"/>
      <c r="V784" s="383"/>
      <c r="W784" s="383"/>
      <c r="X784" s="383"/>
      <c r="Y784" s="383"/>
      <c r="Z784" s="383"/>
    </row>
    <row r="785">
      <c r="A785" s="389"/>
      <c r="B785" s="390"/>
      <c r="C785" s="391"/>
      <c r="D785" s="392"/>
      <c r="E785" s="383"/>
      <c r="F785" s="383"/>
      <c r="G785" s="383"/>
      <c r="H785" s="383"/>
      <c r="I785" s="383"/>
      <c r="J785" s="383"/>
      <c r="K785" s="383"/>
      <c r="L785" s="383"/>
      <c r="M785" s="383"/>
      <c r="N785" s="383"/>
      <c r="O785" s="383"/>
      <c r="P785" s="383"/>
      <c r="Q785" s="383"/>
      <c r="R785" s="383"/>
      <c r="S785" s="383"/>
      <c r="T785" s="383"/>
      <c r="U785" s="383"/>
      <c r="V785" s="383"/>
      <c r="W785" s="383"/>
      <c r="X785" s="383"/>
      <c r="Y785" s="383"/>
      <c r="Z785" s="383"/>
    </row>
    <row r="786">
      <c r="A786" s="389"/>
      <c r="B786" s="390"/>
      <c r="C786" s="391"/>
      <c r="D786" s="392"/>
      <c r="E786" s="383"/>
      <c r="F786" s="383"/>
      <c r="G786" s="383"/>
      <c r="H786" s="383"/>
      <c r="I786" s="383"/>
      <c r="J786" s="383"/>
      <c r="K786" s="383"/>
      <c r="L786" s="383"/>
      <c r="M786" s="383"/>
      <c r="N786" s="383"/>
      <c r="O786" s="383"/>
      <c r="P786" s="383"/>
      <c r="Q786" s="383"/>
      <c r="R786" s="383"/>
      <c r="S786" s="383"/>
      <c r="T786" s="383"/>
      <c r="U786" s="383"/>
      <c r="V786" s="383"/>
      <c r="W786" s="383"/>
      <c r="X786" s="383"/>
      <c r="Y786" s="383"/>
      <c r="Z786" s="383"/>
    </row>
    <row r="787">
      <c r="A787" s="389"/>
      <c r="B787" s="390"/>
      <c r="C787" s="391"/>
      <c r="D787" s="392"/>
      <c r="E787" s="383"/>
      <c r="F787" s="383"/>
      <c r="G787" s="383"/>
      <c r="H787" s="383"/>
      <c r="I787" s="383"/>
      <c r="J787" s="383"/>
      <c r="K787" s="383"/>
      <c r="L787" s="383"/>
      <c r="M787" s="383"/>
      <c r="N787" s="383"/>
      <c r="O787" s="383"/>
      <c r="P787" s="383"/>
      <c r="Q787" s="383"/>
      <c r="R787" s="383"/>
      <c r="S787" s="383"/>
      <c r="T787" s="383"/>
      <c r="U787" s="383"/>
      <c r="V787" s="383"/>
      <c r="W787" s="383"/>
      <c r="X787" s="383"/>
      <c r="Y787" s="383"/>
      <c r="Z787" s="383"/>
    </row>
    <row r="788">
      <c r="A788" s="389"/>
      <c r="B788" s="390"/>
      <c r="C788" s="391"/>
      <c r="D788" s="392"/>
      <c r="E788" s="383"/>
      <c r="F788" s="383"/>
      <c r="G788" s="383"/>
      <c r="H788" s="383"/>
      <c r="I788" s="383"/>
      <c r="J788" s="383"/>
      <c r="K788" s="383"/>
      <c r="L788" s="383"/>
      <c r="M788" s="383"/>
      <c r="N788" s="383"/>
      <c r="O788" s="383"/>
      <c r="P788" s="383"/>
      <c r="Q788" s="383"/>
      <c r="R788" s="383"/>
      <c r="S788" s="383"/>
      <c r="T788" s="383"/>
      <c r="U788" s="383"/>
      <c r="V788" s="383"/>
      <c r="W788" s="383"/>
      <c r="X788" s="383"/>
      <c r="Y788" s="383"/>
      <c r="Z788" s="383"/>
    </row>
    <row r="789">
      <c r="A789" s="389"/>
      <c r="B789" s="390"/>
      <c r="C789" s="391"/>
      <c r="D789" s="392"/>
      <c r="E789" s="383"/>
      <c r="F789" s="383"/>
      <c r="G789" s="383"/>
      <c r="H789" s="383"/>
      <c r="I789" s="383"/>
      <c r="J789" s="383"/>
      <c r="K789" s="383"/>
      <c r="L789" s="383"/>
      <c r="M789" s="383"/>
      <c r="N789" s="383"/>
      <c r="O789" s="383"/>
      <c r="P789" s="383"/>
      <c r="Q789" s="383"/>
      <c r="R789" s="383"/>
      <c r="S789" s="383"/>
      <c r="T789" s="383"/>
      <c r="U789" s="383"/>
      <c r="V789" s="383"/>
      <c r="W789" s="383"/>
      <c r="X789" s="383"/>
      <c r="Y789" s="383"/>
      <c r="Z789" s="383"/>
    </row>
    <row r="790">
      <c r="A790" s="389"/>
      <c r="B790" s="390"/>
      <c r="C790" s="391"/>
      <c r="D790" s="392"/>
      <c r="E790" s="383"/>
      <c r="F790" s="383"/>
      <c r="G790" s="383"/>
      <c r="H790" s="383"/>
      <c r="I790" s="383"/>
      <c r="J790" s="383"/>
      <c r="K790" s="383"/>
      <c r="L790" s="383"/>
      <c r="M790" s="383"/>
      <c r="N790" s="383"/>
      <c r="O790" s="383"/>
      <c r="P790" s="383"/>
      <c r="Q790" s="383"/>
      <c r="R790" s="383"/>
      <c r="S790" s="383"/>
      <c r="T790" s="383"/>
      <c r="U790" s="383"/>
      <c r="V790" s="383"/>
      <c r="W790" s="383"/>
      <c r="X790" s="383"/>
      <c r="Y790" s="383"/>
      <c r="Z790" s="383"/>
    </row>
    <row r="791">
      <c r="A791" s="389"/>
      <c r="B791" s="390"/>
      <c r="C791" s="391"/>
      <c r="D791" s="392"/>
      <c r="E791" s="383"/>
      <c r="F791" s="383"/>
      <c r="G791" s="383"/>
      <c r="H791" s="383"/>
      <c r="I791" s="383"/>
      <c r="J791" s="383"/>
      <c r="K791" s="383"/>
      <c r="L791" s="383"/>
      <c r="M791" s="383"/>
      <c r="N791" s="383"/>
      <c r="O791" s="383"/>
      <c r="P791" s="383"/>
      <c r="Q791" s="383"/>
      <c r="R791" s="383"/>
      <c r="S791" s="383"/>
      <c r="T791" s="383"/>
      <c r="U791" s="383"/>
      <c r="V791" s="383"/>
      <c r="W791" s="383"/>
      <c r="X791" s="383"/>
      <c r="Y791" s="383"/>
      <c r="Z791" s="383"/>
    </row>
    <row r="792">
      <c r="A792" s="389"/>
      <c r="B792" s="390"/>
      <c r="C792" s="391"/>
      <c r="D792" s="392"/>
      <c r="E792" s="383"/>
      <c r="F792" s="383"/>
      <c r="G792" s="383"/>
      <c r="H792" s="383"/>
      <c r="I792" s="383"/>
      <c r="J792" s="383"/>
      <c r="K792" s="383"/>
      <c r="L792" s="383"/>
      <c r="M792" s="383"/>
      <c r="N792" s="383"/>
      <c r="O792" s="383"/>
      <c r="P792" s="383"/>
      <c r="Q792" s="383"/>
      <c r="R792" s="383"/>
      <c r="S792" s="383"/>
      <c r="T792" s="383"/>
      <c r="U792" s="383"/>
      <c r="V792" s="383"/>
      <c r="W792" s="383"/>
      <c r="X792" s="383"/>
      <c r="Y792" s="383"/>
      <c r="Z792" s="383"/>
    </row>
    <row r="793">
      <c r="A793" s="389"/>
      <c r="B793" s="390"/>
      <c r="C793" s="391"/>
      <c r="D793" s="392"/>
      <c r="E793" s="383"/>
      <c r="F793" s="383"/>
      <c r="G793" s="383"/>
      <c r="H793" s="383"/>
      <c r="I793" s="383"/>
      <c r="J793" s="383"/>
      <c r="K793" s="383"/>
      <c r="L793" s="383"/>
      <c r="M793" s="383"/>
      <c r="N793" s="383"/>
      <c r="O793" s="383"/>
      <c r="P793" s="383"/>
      <c r="Q793" s="383"/>
      <c r="R793" s="383"/>
      <c r="S793" s="383"/>
      <c r="T793" s="383"/>
      <c r="U793" s="383"/>
      <c r="V793" s="383"/>
      <c r="W793" s="383"/>
      <c r="X793" s="383"/>
      <c r="Y793" s="383"/>
      <c r="Z793" s="383"/>
    </row>
    <row r="794">
      <c r="A794" s="389"/>
      <c r="B794" s="390"/>
      <c r="C794" s="391"/>
      <c r="D794" s="392"/>
      <c r="E794" s="383"/>
      <c r="F794" s="383"/>
      <c r="G794" s="383"/>
      <c r="H794" s="383"/>
      <c r="I794" s="383"/>
      <c r="J794" s="383"/>
      <c r="K794" s="383"/>
      <c r="L794" s="383"/>
      <c r="M794" s="383"/>
      <c r="N794" s="383"/>
      <c r="O794" s="383"/>
      <c r="P794" s="383"/>
      <c r="Q794" s="383"/>
      <c r="R794" s="383"/>
      <c r="S794" s="383"/>
      <c r="T794" s="383"/>
      <c r="U794" s="383"/>
      <c r="V794" s="383"/>
      <c r="W794" s="383"/>
      <c r="X794" s="383"/>
      <c r="Y794" s="383"/>
      <c r="Z794" s="383"/>
    </row>
    <row r="795">
      <c r="A795" s="389"/>
      <c r="B795" s="390"/>
      <c r="C795" s="391"/>
      <c r="D795" s="392"/>
      <c r="E795" s="383"/>
      <c r="F795" s="383"/>
      <c r="G795" s="383"/>
      <c r="H795" s="383"/>
      <c r="I795" s="383"/>
      <c r="J795" s="383"/>
      <c r="K795" s="383"/>
      <c r="L795" s="383"/>
      <c r="M795" s="383"/>
      <c r="N795" s="383"/>
      <c r="O795" s="383"/>
      <c r="P795" s="383"/>
      <c r="Q795" s="383"/>
      <c r="R795" s="383"/>
      <c r="S795" s="383"/>
      <c r="T795" s="383"/>
      <c r="U795" s="383"/>
      <c r="V795" s="383"/>
      <c r="W795" s="383"/>
      <c r="X795" s="383"/>
      <c r="Y795" s="383"/>
      <c r="Z795" s="383"/>
    </row>
    <row r="796">
      <c r="A796" s="389"/>
      <c r="B796" s="390"/>
      <c r="C796" s="391"/>
      <c r="D796" s="392"/>
      <c r="E796" s="383"/>
      <c r="F796" s="383"/>
      <c r="G796" s="383"/>
      <c r="H796" s="383"/>
      <c r="I796" s="383"/>
      <c r="J796" s="383"/>
      <c r="K796" s="383"/>
      <c r="L796" s="383"/>
      <c r="M796" s="383"/>
      <c r="N796" s="383"/>
      <c r="O796" s="383"/>
      <c r="P796" s="383"/>
      <c r="Q796" s="383"/>
      <c r="R796" s="383"/>
      <c r="S796" s="383"/>
      <c r="T796" s="383"/>
      <c r="U796" s="383"/>
      <c r="V796" s="383"/>
      <c r="W796" s="383"/>
      <c r="X796" s="383"/>
      <c r="Y796" s="383"/>
      <c r="Z796" s="383"/>
    </row>
    <row r="797">
      <c r="A797" s="389"/>
      <c r="B797" s="390"/>
      <c r="C797" s="391"/>
      <c r="D797" s="392"/>
      <c r="E797" s="383"/>
      <c r="F797" s="383"/>
      <c r="G797" s="383"/>
      <c r="H797" s="383"/>
      <c r="I797" s="383"/>
      <c r="J797" s="383"/>
      <c r="K797" s="383"/>
      <c r="L797" s="383"/>
      <c r="M797" s="383"/>
      <c r="N797" s="383"/>
      <c r="O797" s="383"/>
      <c r="P797" s="383"/>
      <c r="Q797" s="383"/>
      <c r="R797" s="383"/>
      <c r="S797" s="383"/>
      <c r="T797" s="383"/>
      <c r="U797" s="383"/>
      <c r="V797" s="383"/>
      <c r="W797" s="383"/>
      <c r="X797" s="383"/>
      <c r="Y797" s="383"/>
      <c r="Z797" s="383"/>
    </row>
    <row r="798">
      <c r="A798" s="389"/>
      <c r="B798" s="390"/>
      <c r="C798" s="391"/>
      <c r="D798" s="392"/>
      <c r="E798" s="383"/>
      <c r="F798" s="383"/>
      <c r="G798" s="383"/>
      <c r="H798" s="383"/>
      <c r="I798" s="383"/>
      <c r="J798" s="383"/>
      <c r="K798" s="383"/>
      <c r="L798" s="383"/>
      <c r="M798" s="383"/>
      <c r="N798" s="383"/>
      <c r="O798" s="383"/>
      <c r="P798" s="383"/>
      <c r="Q798" s="383"/>
      <c r="R798" s="383"/>
      <c r="S798" s="383"/>
      <c r="T798" s="383"/>
      <c r="U798" s="383"/>
      <c r="V798" s="383"/>
      <c r="W798" s="383"/>
      <c r="X798" s="383"/>
      <c r="Y798" s="383"/>
      <c r="Z798" s="383"/>
    </row>
    <row r="799">
      <c r="A799" s="389"/>
      <c r="B799" s="390"/>
      <c r="C799" s="391"/>
      <c r="D799" s="392"/>
      <c r="E799" s="383"/>
      <c r="F799" s="383"/>
      <c r="G799" s="383"/>
      <c r="H799" s="383"/>
      <c r="I799" s="383"/>
      <c r="J799" s="383"/>
      <c r="K799" s="383"/>
      <c r="L799" s="383"/>
      <c r="M799" s="383"/>
      <c r="N799" s="383"/>
      <c r="O799" s="383"/>
      <c r="P799" s="383"/>
      <c r="Q799" s="383"/>
      <c r="R799" s="383"/>
      <c r="S799" s="383"/>
      <c r="T799" s="383"/>
      <c r="U799" s="383"/>
      <c r="V799" s="383"/>
      <c r="W799" s="383"/>
      <c r="X799" s="383"/>
      <c r="Y799" s="383"/>
      <c r="Z799" s="383"/>
    </row>
    <row r="800">
      <c r="A800" s="389"/>
      <c r="B800" s="390"/>
      <c r="C800" s="391"/>
      <c r="D800" s="392"/>
      <c r="E800" s="383"/>
      <c r="F800" s="383"/>
      <c r="G800" s="383"/>
      <c r="H800" s="383"/>
      <c r="I800" s="383"/>
      <c r="J800" s="383"/>
      <c r="K800" s="383"/>
      <c r="L800" s="383"/>
      <c r="M800" s="383"/>
      <c r="N800" s="383"/>
      <c r="O800" s="383"/>
      <c r="P800" s="383"/>
      <c r="Q800" s="383"/>
      <c r="R800" s="383"/>
      <c r="S800" s="383"/>
      <c r="T800" s="383"/>
      <c r="U800" s="383"/>
      <c r="V800" s="383"/>
      <c r="W800" s="383"/>
      <c r="X800" s="383"/>
      <c r="Y800" s="383"/>
      <c r="Z800" s="383"/>
    </row>
    <row r="801">
      <c r="A801" s="389"/>
      <c r="B801" s="390"/>
      <c r="C801" s="391"/>
      <c r="D801" s="392"/>
      <c r="E801" s="383"/>
      <c r="F801" s="383"/>
      <c r="G801" s="383"/>
      <c r="H801" s="383"/>
      <c r="I801" s="383"/>
      <c r="J801" s="383"/>
      <c r="K801" s="383"/>
      <c r="L801" s="383"/>
      <c r="M801" s="383"/>
      <c r="N801" s="383"/>
      <c r="O801" s="383"/>
      <c r="P801" s="383"/>
      <c r="Q801" s="383"/>
      <c r="R801" s="383"/>
      <c r="S801" s="383"/>
      <c r="T801" s="383"/>
      <c r="U801" s="383"/>
      <c r="V801" s="383"/>
      <c r="W801" s="383"/>
      <c r="X801" s="383"/>
      <c r="Y801" s="383"/>
      <c r="Z801" s="383"/>
    </row>
    <row r="802">
      <c r="A802" s="389"/>
      <c r="B802" s="390"/>
      <c r="C802" s="391"/>
      <c r="D802" s="392"/>
      <c r="E802" s="383"/>
      <c r="F802" s="383"/>
      <c r="G802" s="383"/>
      <c r="H802" s="383"/>
      <c r="I802" s="383"/>
      <c r="J802" s="383"/>
      <c r="K802" s="383"/>
      <c r="L802" s="383"/>
      <c r="M802" s="383"/>
      <c r="N802" s="383"/>
      <c r="O802" s="383"/>
      <c r="P802" s="383"/>
      <c r="Q802" s="383"/>
      <c r="R802" s="383"/>
      <c r="S802" s="383"/>
      <c r="T802" s="383"/>
      <c r="U802" s="383"/>
      <c r="V802" s="383"/>
      <c r="W802" s="383"/>
      <c r="X802" s="383"/>
      <c r="Y802" s="383"/>
      <c r="Z802" s="383"/>
    </row>
    <row r="803">
      <c r="A803" s="389"/>
      <c r="B803" s="390"/>
      <c r="C803" s="391"/>
      <c r="D803" s="392"/>
      <c r="E803" s="383"/>
      <c r="F803" s="383"/>
      <c r="G803" s="383"/>
      <c r="H803" s="383"/>
      <c r="I803" s="383"/>
      <c r="J803" s="383"/>
      <c r="K803" s="383"/>
      <c r="L803" s="383"/>
      <c r="M803" s="383"/>
      <c r="N803" s="383"/>
      <c r="O803" s="383"/>
      <c r="P803" s="383"/>
      <c r="Q803" s="383"/>
      <c r="R803" s="383"/>
      <c r="S803" s="383"/>
      <c r="T803" s="383"/>
      <c r="U803" s="383"/>
      <c r="V803" s="383"/>
      <c r="W803" s="383"/>
      <c r="X803" s="383"/>
      <c r="Y803" s="383"/>
      <c r="Z803" s="383"/>
    </row>
    <row r="804">
      <c r="A804" s="389"/>
      <c r="B804" s="390"/>
      <c r="C804" s="391"/>
      <c r="D804" s="392"/>
      <c r="E804" s="383"/>
      <c r="F804" s="383"/>
      <c r="G804" s="383"/>
      <c r="H804" s="383"/>
      <c r="I804" s="383"/>
      <c r="J804" s="383"/>
      <c r="K804" s="383"/>
      <c r="L804" s="383"/>
      <c r="M804" s="383"/>
      <c r="N804" s="383"/>
      <c r="O804" s="383"/>
      <c r="P804" s="383"/>
      <c r="Q804" s="383"/>
      <c r="R804" s="383"/>
      <c r="S804" s="383"/>
      <c r="T804" s="383"/>
      <c r="U804" s="383"/>
      <c r="V804" s="383"/>
      <c r="W804" s="383"/>
      <c r="X804" s="383"/>
      <c r="Y804" s="383"/>
      <c r="Z804" s="383"/>
    </row>
    <row r="805">
      <c r="A805" s="389"/>
      <c r="B805" s="390"/>
      <c r="C805" s="391"/>
      <c r="D805" s="392"/>
      <c r="E805" s="383"/>
      <c r="F805" s="383"/>
      <c r="G805" s="383"/>
      <c r="H805" s="383"/>
      <c r="I805" s="383"/>
      <c r="J805" s="383"/>
      <c r="K805" s="383"/>
      <c r="L805" s="383"/>
      <c r="M805" s="383"/>
      <c r="N805" s="383"/>
      <c r="O805" s="383"/>
      <c r="P805" s="383"/>
      <c r="Q805" s="383"/>
      <c r="R805" s="383"/>
      <c r="S805" s="383"/>
      <c r="T805" s="383"/>
      <c r="U805" s="383"/>
      <c r="V805" s="383"/>
      <c r="W805" s="383"/>
      <c r="X805" s="383"/>
      <c r="Y805" s="383"/>
      <c r="Z805" s="383"/>
    </row>
    <row r="806">
      <c r="A806" s="389"/>
      <c r="B806" s="390"/>
      <c r="C806" s="391"/>
      <c r="D806" s="392"/>
      <c r="E806" s="383"/>
      <c r="F806" s="383"/>
      <c r="G806" s="383"/>
      <c r="H806" s="383"/>
      <c r="I806" s="383"/>
      <c r="J806" s="383"/>
      <c r="K806" s="383"/>
      <c r="L806" s="383"/>
      <c r="M806" s="383"/>
      <c r="N806" s="383"/>
      <c r="O806" s="383"/>
      <c r="P806" s="383"/>
      <c r="Q806" s="383"/>
      <c r="R806" s="383"/>
      <c r="S806" s="383"/>
      <c r="T806" s="383"/>
      <c r="U806" s="383"/>
      <c r="V806" s="383"/>
      <c r="W806" s="383"/>
      <c r="X806" s="383"/>
      <c r="Y806" s="383"/>
      <c r="Z806" s="383"/>
    </row>
    <row r="807">
      <c r="A807" s="389"/>
      <c r="B807" s="390"/>
      <c r="C807" s="391"/>
      <c r="D807" s="392"/>
      <c r="E807" s="383"/>
      <c r="F807" s="383"/>
      <c r="G807" s="383"/>
      <c r="H807" s="383"/>
      <c r="I807" s="383"/>
      <c r="J807" s="383"/>
      <c r="K807" s="383"/>
      <c r="L807" s="383"/>
      <c r="M807" s="383"/>
      <c r="N807" s="383"/>
      <c r="O807" s="383"/>
      <c r="P807" s="383"/>
      <c r="Q807" s="383"/>
      <c r="R807" s="383"/>
      <c r="S807" s="383"/>
      <c r="T807" s="383"/>
      <c r="U807" s="383"/>
      <c r="V807" s="383"/>
      <c r="W807" s="383"/>
      <c r="X807" s="383"/>
      <c r="Y807" s="383"/>
      <c r="Z807" s="383"/>
    </row>
    <row r="808">
      <c r="A808" s="389"/>
      <c r="B808" s="390"/>
      <c r="C808" s="391"/>
      <c r="D808" s="392"/>
      <c r="E808" s="383"/>
      <c r="F808" s="383"/>
      <c r="G808" s="383"/>
      <c r="H808" s="383"/>
      <c r="I808" s="383"/>
      <c r="J808" s="383"/>
      <c r="K808" s="383"/>
      <c r="L808" s="383"/>
      <c r="M808" s="383"/>
      <c r="N808" s="383"/>
      <c r="O808" s="383"/>
      <c r="P808" s="383"/>
      <c r="Q808" s="383"/>
      <c r="R808" s="383"/>
      <c r="S808" s="383"/>
      <c r="T808" s="383"/>
      <c r="U808" s="383"/>
      <c r="V808" s="383"/>
      <c r="W808" s="383"/>
      <c r="X808" s="383"/>
      <c r="Y808" s="383"/>
      <c r="Z808" s="383"/>
    </row>
    <row r="809">
      <c r="A809" s="389"/>
      <c r="B809" s="390"/>
      <c r="C809" s="391"/>
      <c r="D809" s="392"/>
      <c r="E809" s="383"/>
      <c r="F809" s="383"/>
      <c r="G809" s="383"/>
      <c r="H809" s="383"/>
      <c r="I809" s="383"/>
      <c r="J809" s="383"/>
      <c r="K809" s="383"/>
      <c r="L809" s="383"/>
      <c r="M809" s="383"/>
      <c r="N809" s="383"/>
      <c r="O809" s="383"/>
      <c r="P809" s="383"/>
      <c r="Q809" s="383"/>
      <c r="R809" s="383"/>
      <c r="S809" s="383"/>
      <c r="T809" s="383"/>
      <c r="U809" s="383"/>
      <c r="V809" s="383"/>
      <c r="W809" s="383"/>
      <c r="X809" s="383"/>
      <c r="Y809" s="383"/>
      <c r="Z809" s="383"/>
    </row>
    <row r="810">
      <c r="A810" s="389"/>
      <c r="B810" s="390"/>
      <c r="C810" s="391"/>
      <c r="D810" s="392"/>
      <c r="E810" s="383"/>
      <c r="F810" s="383"/>
      <c r="G810" s="383"/>
      <c r="H810" s="383"/>
      <c r="I810" s="383"/>
      <c r="J810" s="383"/>
      <c r="K810" s="383"/>
      <c r="L810" s="383"/>
      <c r="M810" s="383"/>
      <c r="N810" s="383"/>
      <c r="O810" s="383"/>
      <c r="P810" s="383"/>
      <c r="Q810" s="383"/>
      <c r="R810" s="383"/>
      <c r="S810" s="383"/>
      <c r="T810" s="383"/>
      <c r="U810" s="383"/>
      <c r="V810" s="383"/>
      <c r="W810" s="383"/>
      <c r="X810" s="383"/>
      <c r="Y810" s="383"/>
      <c r="Z810" s="383"/>
    </row>
    <row r="811">
      <c r="A811" s="389"/>
      <c r="B811" s="390"/>
      <c r="C811" s="391"/>
      <c r="D811" s="392"/>
      <c r="E811" s="383"/>
      <c r="F811" s="383"/>
      <c r="G811" s="383"/>
      <c r="H811" s="383"/>
      <c r="I811" s="383"/>
      <c r="J811" s="383"/>
      <c r="K811" s="383"/>
      <c r="L811" s="383"/>
      <c r="M811" s="383"/>
      <c r="N811" s="383"/>
      <c r="O811" s="383"/>
      <c r="P811" s="383"/>
      <c r="Q811" s="383"/>
      <c r="R811" s="383"/>
      <c r="S811" s="383"/>
      <c r="T811" s="383"/>
      <c r="U811" s="383"/>
      <c r="V811" s="383"/>
      <c r="W811" s="383"/>
      <c r="X811" s="383"/>
      <c r="Y811" s="383"/>
      <c r="Z811" s="383"/>
    </row>
    <row r="812">
      <c r="A812" s="389"/>
      <c r="B812" s="390"/>
      <c r="C812" s="391"/>
      <c r="D812" s="392"/>
      <c r="E812" s="383"/>
      <c r="F812" s="383"/>
      <c r="G812" s="383"/>
      <c r="H812" s="383"/>
      <c r="I812" s="383"/>
      <c r="J812" s="383"/>
      <c r="K812" s="383"/>
      <c r="L812" s="383"/>
      <c r="M812" s="383"/>
      <c r="N812" s="383"/>
      <c r="O812" s="383"/>
      <c r="P812" s="383"/>
      <c r="Q812" s="383"/>
      <c r="R812" s="383"/>
      <c r="S812" s="383"/>
      <c r="T812" s="383"/>
      <c r="U812" s="383"/>
      <c r="V812" s="383"/>
      <c r="W812" s="383"/>
      <c r="X812" s="383"/>
      <c r="Y812" s="383"/>
      <c r="Z812" s="383"/>
    </row>
    <row r="813">
      <c r="A813" s="389"/>
      <c r="B813" s="390"/>
      <c r="C813" s="391"/>
      <c r="D813" s="392"/>
      <c r="E813" s="383"/>
      <c r="F813" s="383"/>
      <c r="G813" s="383"/>
      <c r="H813" s="383"/>
      <c r="I813" s="383"/>
      <c r="J813" s="383"/>
      <c r="K813" s="383"/>
      <c r="L813" s="383"/>
      <c r="M813" s="383"/>
      <c r="N813" s="383"/>
      <c r="O813" s="383"/>
      <c r="P813" s="383"/>
      <c r="Q813" s="383"/>
      <c r="R813" s="383"/>
      <c r="S813" s="383"/>
      <c r="T813" s="383"/>
      <c r="U813" s="383"/>
      <c r="V813" s="383"/>
      <c r="W813" s="383"/>
      <c r="X813" s="383"/>
      <c r="Y813" s="383"/>
      <c r="Z813" s="383"/>
    </row>
    <row r="814">
      <c r="A814" s="389"/>
      <c r="B814" s="390"/>
      <c r="C814" s="391"/>
      <c r="D814" s="392"/>
      <c r="E814" s="383"/>
      <c r="F814" s="383"/>
      <c r="G814" s="383"/>
      <c r="H814" s="383"/>
      <c r="I814" s="383"/>
      <c r="J814" s="383"/>
      <c r="K814" s="383"/>
      <c r="L814" s="383"/>
      <c r="M814" s="383"/>
      <c r="N814" s="383"/>
      <c r="O814" s="383"/>
      <c r="P814" s="383"/>
      <c r="Q814" s="383"/>
      <c r="R814" s="383"/>
      <c r="S814" s="383"/>
      <c r="T814" s="383"/>
      <c r="U814" s="383"/>
      <c r="V814" s="383"/>
      <c r="W814" s="383"/>
      <c r="X814" s="383"/>
      <c r="Y814" s="383"/>
      <c r="Z814" s="383"/>
    </row>
    <row r="815">
      <c r="A815" s="389"/>
      <c r="B815" s="390"/>
      <c r="C815" s="391"/>
      <c r="D815" s="392"/>
      <c r="E815" s="383"/>
      <c r="F815" s="383"/>
      <c r="G815" s="383"/>
      <c r="H815" s="383"/>
      <c r="I815" s="383"/>
      <c r="J815" s="383"/>
      <c r="K815" s="383"/>
      <c r="L815" s="383"/>
      <c r="M815" s="383"/>
      <c r="N815" s="383"/>
      <c r="O815" s="383"/>
      <c r="P815" s="383"/>
      <c r="Q815" s="383"/>
      <c r="R815" s="383"/>
      <c r="S815" s="383"/>
      <c r="T815" s="383"/>
      <c r="U815" s="383"/>
      <c r="V815" s="383"/>
      <c r="W815" s="383"/>
      <c r="X815" s="383"/>
      <c r="Y815" s="383"/>
      <c r="Z815" s="383"/>
    </row>
    <row r="816">
      <c r="A816" s="389"/>
      <c r="B816" s="390"/>
      <c r="C816" s="391"/>
      <c r="D816" s="392"/>
      <c r="E816" s="383"/>
      <c r="F816" s="383"/>
      <c r="G816" s="383"/>
      <c r="H816" s="383"/>
      <c r="I816" s="383"/>
      <c r="J816" s="383"/>
      <c r="K816" s="383"/>
      <c r="L816" s="383"/>
      <c r="M816" s="383"/>
      <c r="N816" s="383"/>
      <c r="O816" s="383"/>
      <c r="P816" s="383"/>
      <c r="Q816" s="383"/>
      <c r="R816" s="383"/>
      <c r="S816" s="383"/>
      <c r="T816" s="383"/>
      <c r="U816" s="383"/>
      <c r="V816" s="383"/>
      <c r="W816" s="383"/>
      <c r="X816" s="383"/>
      <c r="Y816" s="383"/>
      <c r="Z816" s="383"/>
    </row>
    <row r="817">
      <c r="A817" s="389"/>
      <c r="B817" s="390"/>
      <c r="C817" s="391"/>
      <c r="D817" s="392"/>
      <c r="E817" s="383"/>
      <c r="F817" s="383"/>
      <c r="G817" s="383"/>
      <c r="H817" s="383"/>
      <c r="I817" s="383"/>
      <c r="J817" s="383"/>
      <c r="K817" s="383"/>
      <c r="L817" s="383"/>
      <c r="M817" s="383"/>
      <c r="N817" s="383"/>
      <c r="O817" s="383"/>
      <c r="P817" s="383"/>
      <c r="Q817" s="383"/>
      <c r="R817" s="383"/>
      <c r="S817" s="383"/>
      <c r="T817" s="383"/>
      <c r="U817" s="383"/>
      <c r="V817" s="383"/>
      <c r="W817" s="383"/>
      <c r="X817" s="383"/>
      <c r="Y817" s="383"/>
      <c r="Z817" s="383"/>
    </row>
    <row r="818">
      <c r="A818" s="389"/>
      <c r="B818" s="390"/>
      <c r="C818" s="391"/>
      <c r="D818" s="392"/>
      <c r="E818" s="383"/>
      <c r="F818" s="383"/>
      <c r="G818" s="383"/>
      <c r="H818" s="383"/>
      <c r="I818" s="383"/>
      <c r="J818" s="383"/>
      <c r="K818" s="383"/>
      <c r="L818" s="383"/>
      <c r="M818" s="383"/>
      <c r="N818" s="383"/>
      <c r="O818" s="383"/>
      <c r="P818" s="383"/>
      <c r="Q818" s="383"/>
      <c r="R818" s="383"/>
      <c r="S818" s="383"/>
      <c r="T818" s="383"/>
      <c r="U818" s="383"/>
      <c r="V818" s="383"/>
      <c r="W818" s="383"/>
      <c r="X818" s="383"/>
      <c r="Y818" s="383"/>
      <c r="Z818" s="383"/>
    </row>
    <row r="819">
      <c r="A819" s="389"/>
      <c r="B819" s="390"/>
      <c r="C819" s="391"/>
      <c r="D819" s="392"/>
      <c r="E819" s="383"/>
      <c r="F819" s="383"/>
      <c r="G819" s="383"/>
      <c r="H819" s="383"/>
      <c r="I819" s="383"/>
      <c r="J819" s="383"/>
      <c r="K819" s="383"/>
      <c r="L819" s="383"/>
      <c r="M819" s="383"/>
      <c r="N819" s="383"/>
      <c r="O819" s="383"/>
      <c r="P819" s="383"/>
      <c r="Q819" s="383"/>
      <c r="R819" s="383"/>
      <c r="S819" s="383"/>
      <c r="T819" s="383"/>
      <c r="U819" s="383"/>
      <c r="V819" s="383"/>
      <c r="W819" s="383"/>
      <c r="X819" s="383"/>
      <c r="Y819" s="383"/>
      <c r="Z819" s="383"/>
    </row>
    <row r="820">
      <c r="A820" s="389"/>
      <c r="B820" s="390"/>
      <c r="C820" s="391"/>
      <c r="D820" s="392"/>
      <c r="E820" s="383"/>
      <c r="F820" s="383"/>
      <c r="G820" s="383"/>
      <c r="H820" s="383"/>
      <c r="I820" s="383"/>
      <c r="J820" s="383"/>
      <c r="K820" s="383"/>
      <c r="L820" s="383"/>
      <c r="M820" s="383"/>
      <c r="N820" s="383"/>
      <c r="O820" s="383"/>
      <c r="P820" s="383"/>
      <c r="Q820" s="383"/>
      <c r="R820" s="383"/>
      <c r="S820" s="383"/>
      <c r="T820" s="383"/>
      <c r="U820" s="383"/>
      <c r="V820" s="383"/>
      <c r="W820" s="383"/>
      <c r="X820" s="383"/>
      <c r="Y820" s="383"/>
      <c r="Z820" s="383"/>
    </row>
    <row r="821">
      <c r="A821" s="389"/>
      <c r="B821" s="390"/>
      <c r="C821" s="391"/>
      <c r="D821" s="392"/>
      <c r="E821" s="383"/>
      <c r="F821" s="383"/>
      <c r="G821" s="383"/>
      <c r="H821" s="383"/>
      <c r="I821" s="383"/>
      <c r="J821" s="383"/>
      <c r="K821" s="383"/>
      <c r="L821" s="383"/>
      <c r="M821" s="383"/>
      <c r="N821" s="383"/>
      <c r="O821" s="383"/>
      <c r="P821" s="383"/>
      <c r="Q821" s="383"/>
      <c r="R821" s="383"/>
      <c r="S821" s="383"/>
      <c r="T821" s="383"/>
      <c r="U821" s="383"/>
      <c r="V821" s="383"/>
      <c r="W821" s="383"/>
      <c r="X821" s="383"/>
      <c r="Y821" s="383"/>
      <c r="Z821" s="383"/>
    </row>
    <row r="822">
      <c r="A822" s="389"/>
      <c r="B822" s="390"/>
      <c r="C822" s="391"/>
      <c r="D822" s="392"/>
      <c r="E822" s="383"/>
      <c r="F822" s="383"/>
      <c r="G822" s="383"/>
      <c r="H822" s="383"/>
      <c r="I822" s="383"/>
      <c r="J822" s="383"/>
      <c r="K822" s="383"/>
      <c r="L822" s="383"/>
      <c r="M822" s="383"/>
      <c r="N822" s="383"/>
      <c r="O822" s="383"/>
      <c r="P822" s="383"/>
      <c r="Q822" s="383"/>
      <c r="R822" s="383"/>
      <c r="S822" s="383"/>
      <c r="T822" s="383"/>
      <c r="U822" s="383"/>
      <c r="V822" s="383"/>
      <c r="W822" s="383"/>
      <c r="X822" s="383"/>
      <c r="Y822" s="383"/>
      <c r="Z822" s="383"/>
    </row>
    <row r="823">
      <c r="A823" s="389"/>
      <c r="B823" s="390"/>
      <c r="C823" s="391"/>
      <c r="D823" s="392"/>
      <c r="E823" s="383"/>
      <c r="F823" s="383"/>
      <c r="G823" s="383"/>
      <c r="H823" s="383"/>
      <c r="I823" s="383"/>
      <c r="J823" s="383"/>
      <c r="K823" s="383"/>
      <c r="L823" s="383"/>
      <c r="M823" s="383"/>
      <c r="N823" s="383"/>
      <c r="O823" s="383"/>
      <c r="P823" s="383"/>
      <c r="Q823" s="383"/>
      <c r="R823" s="383"/>
      <c r="S823" s="383"/>
      <c r="T823" s="383"/>
      <c r="U823" s="383"/>
      <c r="V823" s="383"/>
      <c r="W823" s="383"/>
      <c r="X823" s="383"/>
      <c r="Y823" s="383"/>
      <c r="Z823" s="383"/>
    </row>
    <row r="824">
      <c r="A824" s="389"/>
      <c r="B824" s="390"/>
      <c r="C824" s="391"/>
      <c r="D824" s="392"/>
      <c r="E824" s="383"/>
      <c r="F824" s="383"/>
      <c r="G824" s="383"/>
      <c r="H824" s="383"/>
      <c r="I824" s="383"/>
      <c r="J824" s="383"/>
      <c r="K824" s="383"/>
      <c r="L824" s="383"/>
      <c r="M824" s="383"/>
      <c r="N824" s="383"/>
      <c r="O824" s="383"/>
      <c r="P824" s="383"/>
      <c r="Q824" s="383"/>
      <c r="R824" s="383"/>
      <c r="S824" s="383"/>
      <c r="T824" s="383"/>
      <c r="U824" s="383"/>
      <c r="V824" s="383"/>
      <c r="W824" s="383"/>
      <c r="X824" s="383"/>
      <c r="Y824" s="383"/>
      <c r="Z824" s="383"/>
    </row>
    <row r="825">
      <c r="A825" s="389"/>
      <c r="B825" s="390"/>
      <c r="C825" s="391"/>
      <c r="D825" s="392"/>
      <c r="E825" s="383"/>
      <c r="F825" s="383"/>
      <c r="G825" s="383"/>
      <c r="H825" s="383"/>
      <c r="I825" s="383"/>
      <c r="J825" s="383"/>
      <c r="K825" s="383"/>
      <c r="L825" s="383"/>
      <c r="M825" s="383"/>
      <c r="N825" s="383"/>
      <c r="O825" s="383"/>
      <c r="P825" s="383"/>
      <c r="Q825" s="383"/>
      <c r="R825" s="383"/>
      <c r="S825" s="383"/>
      <c r="T825" s="383"/>
      <c r="U825" s="383"/>
      <c r="V825" s="383"/>
      <c r="W825" s="383"/>
      <c r="X825" s="383"/>
      <c r="Y825" s="383"/>
      <c r="Z825" s="383"/>
    </row>
    <row r="826">
      <c r="A826" s="389"/>
      <c r="B826" s="390"/>
      <c r="C826" s="391"/>
      <c r="D826" s="392"/>
      <c r="E826" s="383"/>
      <c r="F826" s="383"/>
      <c r="G826" s="383"/>
      <c r="H826" s="383"/>
      <c r="I826" s="383"/>
      <c r="J826" s="383"/>
      <c r="K826" s="383"/>
      <c r="L826" s="383"/>
      <c r="M826" s="383"/>
      <c r="N826" s="383"/>
      <c r="O826" s="383"/>
      <c r="P826" s="383"/>
      <c r="Q826" s="383"/>
      <c r="R826" s="383"/>
      <c r="S826" s="383"/>
      <c r="T826" s="383"/>
      <c r="U826" s="383"/>
      <c r="V826" s="383"/>
      <c r="W826" s="383"/>
      <c r="X826" s="383"/>
      <c r="Y826" s="383"/>
      <c r="Z826" s="383"/>
    </row>
    <row r="827">
      <c r="A827" s="389"/>
      <c r="B827" s="390"/>
      <c r="C827" s="391"/>
      <c r="D827" s="392"/>
      <c r="E827" s="383"/>
      <c r="F827" s="383"/>
      <c r="G827" s="383"/>
      <c r="H827" s="383"/>
      <c r="I827" s="383"/>
      <c r="J827" s="383"/>
      <c r="K827" s="383"/>
      <c r="L827" s="383"/>
      <c r="M827" s="383"/>
      <c r="N827" s="383"/>
      <c r="O827" s="383"/>
      <c r="P827" s="383"/>
      <c r="Q827" s="383"/>
      <c r="R827" s="383"/>
      <c r="S827" s="383"/>
      <c r="T827" s="383"/>
      <c r="U827" s="383"/>
      <c r="V827" s="383"/>
      <c r="W827" s="383"/>
      <c r="X827" s="383"/>
      <c r="Y827" s="383"/>
      <c r="Z827" s="383"/>
    </row>
    <row r="828">
      <c r="A828" s="389"/>
      <c r="B828" s="390"/>
      <c r="C828" s="391"/>
      <c r="D828" s="392"/>
      <c r="E828" s="383"/>
      <c r="F828" s="383"/>
      <c r="G828" s="383"/>
      <c r="H828" s="383"/>
      <c r="I828" s="383"/>
      <c r="J828" s="383"/>
      <c r="K828" s="383"/>
      <c r="L828" s="383"/>
      <c r="M828" s="383"/>
      <c r="N828" s="383"/>
      <c r="O828" s="383"/>
      <c r="P828" s="383"/>
      <c r="Q828" s="383"/>
      <c r="R828" s="383"/>
      <c r="S828" s="383"/>
      <c r="T828" s="383"/>
      <c r="U828" s="383"/>
      <c r="V828" s="383"/>
      <c r="W828" s="383"/>
      <c r="X828" s="383"/>
      <c r="Y828" s="383"/>
      <c r="Z828" s="383"/>
    </row>
    <row r="829">
      <c r="A829" s="389"/>
      <c r="B829" s="390"/>
      <c r="C829" s="391"/>
      <c r="D829" s="392"/>
      <c r="E829" s="383"/>
      <c r="F829" s="383"/>
      <c r="G829" s="383"/>
      <c r="H829" s="383"/>
      <c r="I829" s="383"/>
      <c r="J829" s="383"/>
      <c r="K829" s="383"/>
      <c r="L829" s="383"/>
      <c r="M829" s="383"/>
      <c r="N829" s="383"/>
      <c r="O829" s="383"/>
      <c r="P829" s="383"/>
      <c r="Q829" s="383"/>
      <c r="R829" s="383"/>
      <c r="S829" s="383"/>
      <c r="T829" s="383"/>
      <c r="U829" s="383"/>
      <c r="V829" s="383"/>
      <c r="W829" s="383"/>
      <c r="X829" s="383"/>
      <c r="Y829" s="383"/>
      <c r="Z829" s="383"/>
    </row>
    <row r="830">
      <c r="A830" s="389"/>
      <c r="B830" s="390"/>
      <c r="C830" s="391"/>
      <c r="D830" s="392"/>
      <c r="E830" s="383"/>
      <c r="F830" s="383"/>
      <c r="G830" s="383"/>
      <c r="H830" s="383"/>
      <c r="I830" s="383"/>
      <c r="J830" s="383"/>
      <c r="K830" s="383"/>
      <c r="L830" s="383"/>
      <c r="M830" s="383"/>
      <c r="N830" s="383"/>
      <c r="O830" s="383"/>
      <c r="P830" s="383"/>
      <c r="Q830" s="383"/>
      <c r="R830" s="383"/>
      <c r="S830" s="383"/>
      <c r="T830" s="383"/>
      <c r="U830" s="383"/>
      <c r="V830" s="383"/>
      <c r="W830" s="383"/>
      <c r="X830" s="383"/>
      <c r="Y830" s="383"/>
      <c r="Z830" s="383"/>
    </row>
    <row r="831">
      <c r="A831" s="389"/>
      <c r="B831" s="390"/>
      <c r="C831" s="391"/>
      <c r="D831" s="392"/>
      <c r="E831" s="383"/>
      <c r="F831" s="383"/>
      <c r="G831" s="383"/>
      <c r="H831" s="383"/>
      <c r="I831" s="383"/>
      <c r="J831" s="383"/>
      <c r="K831" s="383"/>
      <c r="L831" s="383"/>
      <c r="M831" s="383"/>
      <c r="N831" s="383"/>
      <c r="O831" s="383"/>
      <c r="P831" s="383"/>
      <c r="Q831" s="383"/>
      <c r="R831" s="383"/>
      <c r="S831" s="383"/>
      <c r="T831" s="383"/>
      <c r="U831" s="383"/>
      <c r="V831" s="383"/>
      <c r="W831" s="383"/>
      <c r="X831" s="383"/>
      <c r="Y831" s="383"/>
      <c r="Z831" s="383"/>
    </row>
    <row r="832">
      <c r="A832" s="389"/>
      <c r="B832" s="390"/>
      <c r="C832" s="391"/>
      <c r="D832" s="392"/>
      <c r="E832" s="383"/>
      <c r="F832" s="383"/>
      <c r="G832" s="383"/>
      <c r="H832" s="383"/>
      <c r="I832" s="383"/>
      <c r="J832" s="383"/>
      <c r="K832" s="383"/>
      <c r="L832" s="383"/>
      <c r="M832" s="383"/>
      <c r="N832" s="383"/>
      <c r="O832" s="383"/>
      <c r="P832" s="383"/>
      <c r="Q832" s="383"/>
      <c r="R832" s="383"/>
      <c r="S832" s="383"/>
      <c r="T832" s="383"/>
      <c r="U832" s="383"/>
      <c r="V832" s="383"/>
      <c r="W832" s="383"/>
      <c r="X832" s="383"/>
      <c r="Y832" s="383"/>
      <c r="Z832" s="383"/>
    </row>
    <row r="833">
      <c r="A833" s="389"/>
      <c r="B833" s="390"/>
      <c r="C833" s="391"/>
      <c r="D833" s="392"/>
      <c r="E833" s="383"/>
      <c r="F833" s="383"/>
      <c r="G833" s="383"/>
      <c r="H833" s="383"/>
      <c r="I833" s="383"/>
      <c r="J833" s="383"/>
      <c r="K833" s="383"/>
      <c r="L833" s="383"/>
      <c r="M833" s="383"/>
      <c r="N833" s="383"/>
      <c r="O833" s="383"/>
      <c r="P833" s="383"/>
      <c r="Q833" s="383"/>
      <c r="R833" s="383"/>
      <c r="S833" s="383"/>
      <c r="T833" s="383"/>
      <c r="U833" s="383"/>
      <c r="V833" s="383"/>
      <c r="W833" s="383"/>
      <c r="X833" s="383"/>
      <c r="Y833" s="383"/>
      <c r="Z833" s="383"/>
    </row>
    <row r="834">
      <c r="A834" s="389"/>
      <c r="B834" s="390"/>
      <c r="C834" s="391"/>
      <c r="D834" s="392"/>
      <c r="E834" s="383"/>
      <c r="F834" s="383"/>
      <c r="G834" s="383"/>
      <c r="H834" s="383"/>
      <c r="I834" s="383"/>
      <c r="J834" s="383"/>
      <c r="K834" s="383"/>
      <c r="L834" s="383"/>
      <c r="M834" s="383"/>
      <c r="N834" s="383"/>
      <c r="O834" s="383"/>
      <c r="P834" s="383"/>
      <c r="Q834" s="383"/>
      <c r="R834" s="383"/>
      <c r="S834" s="383"/>
      <c r="T834" s="383"/>
      <c r="U834" s="383"/>
      <c r="V834" s="383"/>
      <c r="W834" s="383"/>
      <c r="X834" s="383"/>
      <c r="Y834" s="383"/>
      <c r="Z834" s="383"/>
    </row>
    <row r="835">
      <c r="A835" s="389"/>
      <c r="B835" s="390"/>
      <c r="C835" s="391"/>
      <c r="D835" s="392"/>
      <c r="E835" s="383"/>
      <c r="F835" s="383"/>
      <c r="G835" s="383"/>
      <c r="H835" s="383"/>
      <c r="I835" s="383"/>
      <c r="J835" s="383"/>
      <c r="K835" s="383"/>
      <c r="L835" s="383"/>
      <c r="M835" s="383"/>
      <c r="N835" s="383"/>
      <c r="O835" s="383"/>
      <c r="P835" s="383"/>
      <c r="Q835" s="383"/>
      <c r="R835" s="383"/>
      <c r="S835" s="383"/>
      <c r="T835" s="383"/>
      <c r="U835" s="383"/>
      <c r="V835" s="383"/>
      <c r="W835" s="383"/>
      <c r="X835" s="383"/>
      <c r="Y835" s="383"/>
      <c r="Z835" s="383"/>
    </row>
    <row r="836">
      <c r="A836" s="389"/>
      <c r="B836" s="390"/>
      <c r="C836" s="391"/>
      <c r="D836" s="392"/>
      <c r="E836" s="383"/>
      <c r="F836" s="383"/>
      <c r="G836" s="383"/>
      <c r="H836" s="383"/>
      <c r="I836" s="383"/>
      <c r="J836" s="383"/>
      <c r="K836" s="383"/>
      <c r="L836" s="383"/>
      <c r="M836" s="383"/>
      <c r="N836" s="383"/>
      <c r="O836" s="383"/>
      <c r="P836" s="383"/>
      <c r="Q836" s="383"/>
      <c r="R836" s="383"/>
      <c r="S836" s="383"/>
      <c r="T836" s="383"/>
      <c r="U836" s="383"/>
      <c r="V836" s="383"/>
      <c r="W836" s="383"/>
      <c r="X836" s="383"/>
      <c r="Y836" s="383"/>
      <c r="Z836" s="383"/>
    </row>
    <row r="837">
      <c r="A837" s="389"/>
      <c r="B837" s="390"/>
      <c r="C837" s="391"/>
      <c r="D837" s="392"/>
      <c r="E837" s="383"/>
      <c r="F837" s="383"/>
      <c r="G837" s="383"/>
      <c r="H837" s="383"/>
      <c r="I837" s="383"/>
      <c r="J837" s="383"/>
      <c r="K837" s="383"/>
      <c r="L837" s="383"/>
      <c r="M837" s="383"/>
      <c r="N837" s="383"/>
      <c r="O837" s="383"/>
      <c r="P837" s="383"/>
      <c r="Q837" s="383"/>
      <c r="R837" s="383"/>
      <c r="S837" s="383"/>
      <c r="T837" s="383"/>
      <c r="U837" s="383"/>
      <c r="V837" s="383"/>
      <c r="W837" s="383"/>
      <c r="X837" s="383"/>
      <c r="Y837" s="383"/>
      <c r="Z837" s="383"/>
    </row>
    <row r="838">
      <c r="A838" s="389"/>
      <c r="B838" s="390"/>
      <c r="C838" s="391"/>
      <c r="D838" s="392"/>
      <c r="E838" s="383"/>
      <c r="F838" s="383"/>
      <c r="G838" s="383"/>
      <c r="H838" s="383"/>
      <c r="I838" s="383"/>
      <c r="J838" s="383"/>
      <c r="K838" s="383"/>
      <c r="L838" s="383"/>
      <c r="M838" s="383"/>
      <c r="N838" s="383"/>
      <c r="O838" s="383"/>
      <c r="P838" s="383"/>
      <c r="Q838" s="383"/>
      <c r="R838" s="383"/>
      <c r="S838" s="383"/>
      <c r="T838" s="383"/>
      <c r="U838" s="383"/>
      <c r="V838" s="383"/>
      <c r="W838" s="383"/>
      <c r="X838" s="383"/>
      <c r="Y838" s="383"/>
      <c r="Z838" s="383"/>
    </row>
    <row r="839">
      <c r="A839" s="389"/>
      <c r="B839" s="390"/>
      <c r="C839" s="391"/>
      <c r="D839" s="392"/>
      <c r="E839" s="383"/>
      <c r="F839" s="383"/>
      <c r="G839" s="383"/>
      <c r="H839" s="383"/>
      <c r="I839" s="383"/>
      <c r="J839" s="383"/>
      <c r="K839" s="383"/>
      <c r="L839" s="383"/>
      <c r="M839" s="383"/>
      <c r="N839" s="383"/>
      <c r="O839" s="383"/>
      <c r="P839" s="383"/>
      <c r="Q839" s="383"/>
      <c r="R839" s="383"/>
      <c r="S839" s="383"/>
      <c r="T839" s="383"/>
      <c r="U839" s="383"/>
      <c r="V839" s="383"/>
      <c r="W839" s="383"/>
      <c r="X839" s="383"/>
      <c r="Y839" s="383"/>
      <c r="Z839" s="383"/>
    </row>
    <row r="840">
      <c r="A840" s="389"/>
      <c r="B840" s="390"/>
      <c r="C840" s="391"/>
      <c r="D840" s="392"/>
      <c r="E840" s="383"/>
      <c r="F840" s="383"/>
      <c r="G840" s="383"/>
      <c r="H840" s="383"/>
      <c r="I840" s="383"/>
      <c r="J840" s="383"/>
      <c r="K840" s="383"/>
      <c r="L840" s="383"/>
      <c r="M840" s="383"/>
      <c r="N840" s="383"/>
      <c r="O840" s="383"/>
      <c r="P840" s="383"/>
      <c r="Q840" s="383"/>
      <c r="R840" s="383"/>
      <c r="S840" s="383"/>
      <c r="T840" s="383"/>
      <c r="U840" s="383"/>
      <c r="V840" s="383"/>
      <c r="W840" s="383"/>
      <c r="X840" s="383"/>
      <c r="Y840" s="383"/>
      <c r="Z840" s="383"/>
    </row>
    <row r="841">
      <c r="A841" s="389"/>
      <c r="B841" s="390"/>
      <c r="C841" s="391"/>
      <c r="D841" s="392"/>
      <c r="E841" s="383"/>
      <c r="F841" s="383"/>
      <c r="G841" s="383"/>
      <c r="H841" s="383"/>
      <c r="I841" s="383"/>
      <c r="J841" s="383"/>
      <c r="K841" s="383"/>
      <c r="L841" s="383"/>
      <c r="M841" s="383"/>
      <c r="N841" s="383"/>
      <c r="O841" s="383"/>
      <c r="P841" s="383"/>
      <c r="Q841" s="383"/>
      <c r="R841" s="383"/>
      <c r="S841" s="383"/>
      <c r="T841" s="383"/>
      <c r="U841" s="383"/>
      <c r="V841" s="383"/>
      <c r="W841" s="383"/>
      <c r="X841" s="383"/>
      <c r="Y841" s="383"/>
      <c r="Z841" s="383"/>
    </row>
    <row r="842">
      <c r="A842" s="389"/>
      <c r="B842" s="390"/>
      <c r="C842" s="391"/>
      <c r="D842" s="392"/>
      <c r="E842" s="383"/>
      <c r="F842" s="383"/>
      <c r="G842" s="383"/>
      <c r="H842" s="383"/>
      <c r="I842" s="383"/>
      <c r="J842" s="383"/>
      <c r="K842" s="383"/>
      <c r="L842" s="383"/>
      <c r="M842" s="383"/>
      <c r="N842" s="383"/>
      <c r="O842" s="383"/>
      <c r="P842" s="383"/>
      <c r="Q842" s="383"/>
      <c r="R842" s="383"/>
      <c r="S842" s="383"/>
      <c r="T842" s="383"/>
      <c r="U842" s="383"/>
      <c r="V842" s="383"/>
      <c r="W842" s="383"/>
      <c r="X842" s="383"/>
      <c r="Y842" s="383"/>
      <c r="Z842" s="383"/>
    </row>
    <row r="843">
      <c r="A843" s="389"/>
      <c r="B843" s="390"/>
      <c r="C843" s="391"/>
      <c r="D843" s="392"/>
      <c r="E843" s="383"/>
      <c r="F843" s="383"/>
      <c r="G843" s="383"/>
      <c r="H843" s="383"/>
      <c r="I843" s="383"/>
      <c r="J843" s="383"/>
      <c r="K843" s="383"/>
      <c r="L843" s="383"/>
      <c r="M843" s="383"/>
      <c r="N843" s="383"/>
      <c r="O843" s="383"/>
      <c r="P843" s="383"/>
      <c r="Q843" s="383"/>
      <c r="R843" s="383"/>
      <c r="S843" s="383"/>
      <c r="T843" s="383"/>
      <c r="U843" s="383"/>
      <c r="V843" s="383"/>
      <c r="W843" s="383"/>
      <c r="X843" s="383"/>
      <c r="Y843" s="383"/>
      <c r="Z843" s="383"/>
    </row>
    <row r="844">
      <c r="A844" s="389"/>
      <c r="B844" s="390"/>
      <c r="C844" s="391"/>
      <c r="D844" s="392"/>
      <c r="E844" s="383"/>
      <c r="F844" s="383"/>
      <c r="G844" s="383"/>
      <c r="H844" s="383"/>
      <c r="I844" s="383"/>
      <c r="J844" s="383"/>
      <c r="K844" s="383"/>
      <c r="L844" s="383"/>
      <c r="M844" s="383"/>
      <c r="N844" s="383"/>
      <c r="O844" s="383"/>
      <c r="P844" s="383"/>
      <c r="Q844" s="383"/>
      <c r="R844" s="383"/>
      <c r="S844" s="383"/>
      <c r="T844" s="383"/>
      <c r="U844" s="383"/>
      <c r="V844" s="383"/>
      <c r="W844" s="383"/>
      <c r="X844" s="383"/>
      <c r="Y844" s="383"/>
      <c r="Z844" s="383"/>
    </row>
    <row r="845">
      <c r="A845" s="389"/>
      <c r="B845" s="390"/>
      <c r="C845" s="391"/>
      <c r="D845" s="392"/>
      <c r="E845" s="383"/>
      <c r="F845" s="383"/>
      <c r="G845" s="383"/>
      <c r="H845" s="383"/>
      <c r="I845" s="383"/>
      <c r="J845" s="383"/>
      <c r="K845" s="383"/>
      <c r="L845" s="383"/>
      <c r="M845" s="383"/>
      <c r="N845" s="383"/>
      <c r="O845" s="383"/>
      <c r="P845" s="383"/>
      <c r="Q845" s="383"/>
      <c r="R845" s="383"/>
      <c r="S845" s="383"/>
      <c r="T845" s="383"/>
      <c r="U845" s="383"/>
      <c r="V845" s="383"/>
      <c r="W845" s="383"/>
      <c r="X845" s="383"/>
      <c r="Y845" s="383"/>
      <c r="Z845" s="383"/>
    </row>
    <row r="846">
      <c r="A846" s="389"/>
      <c r="B846" s="390"/>
      <c r="C846" s="391"/>
      <c r="D846" s="392"/>
      <c r="E846" s="383"/>
      <c r="F846" s="383"/>
      <c r="G846" s="383"/>
      <c r="H846" s="383"/>
      <c r="I846" s="383"/>
      <c r="J846" s="383"/>
      <c r="K846" s="383"/>
      <c r="L846" s="383"/>
      <c r="M846" s="383"/>
      <c r="N846" s="383"/>
      <c r="O846" s="383"/>
      <c r="P846" s="383"/>
      <c r="Q846" s="383"/>
      <c r="R846" s="383"/>
      <c r="S846" s="383"/>
      <c r="T846" s="383"/>
      <c r="U846" s="383"/>
      <c r="V846" s="383"/>
      <c r="W846" s="383"/>
      <c r="X846" s="383"/>
      <c r="Y846" s="383"/>
      <c r="Z846" s="383"/>
    </row>
    <row r="847">
      <c r="A847" s="389"/>
      <c r="B847" s="390"/>
      <c r="C847" s="391"/>
      <c r="D847" s="392"/>
      <c r="E847" s="383"/>
      <c r="F847" s="383"/>
      <c r="G847" s="383"/>
      <c r="H847" s="383"/>
      <c r="I847" s="383"/>
      <c r="J847" s="383"/>
      <c r="K847" s="383"/>
      <c r="L847" s="383"/>
      <c r="M847" s="383"/>
      <c r="N847" s="383"/>
      <c r="O847" s="383"/>
      <c r="P847" s="383"/>
      <c r="Q847" s="383"/>
      <c r="R847" s="383"/>
      <c r="S847" s="383"/>
      <c r="T847" s="383"/>
      <c r="U847" s="383"/>
      <c r="V847" s="383"/>
      <c r="W847" s="383"/>
      <c r="X847" s="383"/>
      <c r="Y847" s="383"/>
      <c r="Z847" s="383"/>
    </row>
    <row r="848">
      <c r="A848" s="389"/>
      <c r="B848" s="390"/>
      <c r="C848" s="391"/>
      <c r="D848" s="392"/>
      <c r="E848" s="383"/>
      <c r="F848" s="383"/>
      <c r="G848" s="383"/>
      <c r="H848" s="383"/>
      <c r="I848" s="383"/>
      <c r="J848" s="383"/>
      <c r="K848" s="383"/>
      <c r="L848" s="383"/>
      <c r="M848" s="383"/>
      <c r="N848" s="383"/>
      <c r="O848" s="383"/>
      <c r="P848" s="383"/>
      <c r="Q848" s="383"/>
      <c r="R848" s="383"/>
      <c r="S848" s="383"/>
      <c r="T848" s="383"/>
      <c r="U848" s="383"/>
      <c r="V848" s="383"/>
      <c r="W848" s="383"/>
      <c r="X848" s="383"/>
      <c r="Y848" s="383"/>
      <c r="Z848" s="383"/>
    </row>
    <row r="849">
      <c r="A849" s="389"/>
      <c r="B849" s="390"/>
      <c r="C849" s="391"/>
      <c r="D849" s="392"/>
      <c r="E849" s="383"/>
      <c r="F849" s="383"/>
      <c r="G849" s="383"/>
      <c r="H849" s="383"/>
      <c r="I849" s="383"/>
      <c r="J849" s="383"/>
      <c r="K849" s="383"/>
      <c r="L849" s="383"/>
      <c r="M849" s="383"/>
      <c r="N849" s="383"/>
      <c r="O849" s="383"/>
      <c r="P849" s="383"/>
      <c r="Q849" s="383"/>
      <c r="R849" s="383"/>
      <c r="S849" s="383"/>
      <c r="T849" s="383"/>
      <c r="U849" s="383"/>
      <c r="V849" s="383"/>
      <c r="W849" s="383"/>
      <c r="X849" s="383"/>
      <c r="Y849" s="383"/>
      <c r="Z849" s="383"/>
    </row>
    <row r="850">
      <c r="A850" s="389"/>
      <c r="B850" s="390"/>
      <c r="C850" s="391"/>
      <c r="D850" s="392"/>
      <c r="E850" s="383"/>
      <c r="F850" s="383"/>
      <c r="G850" s="383"/>
      <c r="H850" s="383"/>
      <c r="I850" s="383"/>
      <c r="J850" s="383"/>
      <c r="K850" s="383"/>
      <c r="L850" s="383"/>
      <c r="M850" s="383"/>
      <c r="N850" s="383"/>
      <c r="O850" s="383"/>
      <c r="P850" s="383"/>
      <c r="Q850" s="383"/>
      <c r="R850" s="383"/>
      <c r="S850" s="383"/>
      <c r="T850" s="383"/>
      <c r="U850" s="383"/>
      <c r="V850" s="383"/>
      <c r="W850" s="383"/>
      <c r="X850" s="383"/>
      <c r="Y850" s="383"/>
      <c r="Z850" s="383"/>
    </row>
    <row r="851">
      <c r="A851" s="389"/>
      <c r="B851" s="390"/>
      <c r="C851" s="391"/>
      <c r="D851" s="392"/>
      <c r="E851" s="383"/>
      <c r="F851" s="383"/>
      <c r="G851" s="383"/>
      <c r="H851" s="383"/>
      <c r="I851" s="383"/>
      <c r="J851" s="383"/>
      <c r="K851" s="383"/>
      <c r="L851" s="383"/>
      <c r="M851" s="383"/>
      <c r="N851" s="383"/>
      <c r="O851" s="383"/>
      <c r="P851" s="383"/>
      <c r="Q851" s="383"/>
      <c r="R851" s="383"/>
      <c r="S851" s="383"/>
      <c r="T851" s="383"/>
      <c r="U851" s="383"/>
      <c r="V851" s="383"/>
      <c r="W851" s="383"/>
      <c r="X851" s="383"/>
      <c r="Y851" s="383"/>
      <c r="Z851" s="383"/>
    </row>
    <row r="852">
      <c r="A852" s="389"/>
      <c r="B852" s="390"/>
      <c r="C852" s="391"/>
      <c r="D852" s="392"/>
      <c r="E852" s="383"/>
      <c r="F852" s="383"/>
      <c r="G852" s="383"/>
      <c r="H852" s="383"/>
      <c r="I852" s="383"/>
      <c r="J852" s="383"/>
      <c r="K852" s="383"/>
      <c r="L852" s="383"/>
      <c r="M852" s="383"/>
      <c r="N852" s="383"/>
      <c r="O852" s="383"/>
      <c r="P852" s="383"/>
      <c r="Q852" s="383"/>
      <c r="R852" s="383"/>
      <c r="S852" s="383"/>
      <c r="T852" s="383"/>
      <c r="U852" s="383"/>
      <c r="V852" s="383"/>
      <c r="W852" s="383"/>
      <c r="X852" s="383"/>
      <c r="Y852" s="383"/>
      <c r="Z852" s="383"/>
    </row>
    <row r="853">
      <c r="A853" s="389"/>
      <c r="B853" s="390"/>
      <c r="C853" s="391"/>
      <c r="D853" s="392"/>
      <c r="E853" s="383"/>
      <c r="F853" s="383"/>
      <c r="G853" s="383"/>
      <c r="H853" s="383"/>
      <c r="I853" s="383"/>
      <c r="J853" s="383"/>
      <c r="K853" s="383"/>
      <c r="L853" s="383"/>
      <c r="M853" s="383"/>
      <c r="N853" s="383"/>
      <c r="O853" s="383"/>
      <c r="P853" s="383"/>
      <c r="Q853" s="383"/>
      <c r="R853" s="383"/>
      <c r="S853" s="383"/>
      <c r="T853" s="383"/>
      <c r="U853" s="383"/>
      <c r="V853" s="383"/>
      <c r="W853" s="383"/>
      <c r="X853" s="383"/>
      <c r="Y853" s="383"/>
      <c r="Z853" s="383"/>
    </row>
    <row r="854">
      <c r="A854" s="389"/>
      <c r="B854" s="390"/>
      <c r="C854" s="391"/>
      <c r="D854" s="392"/>
      <c r="E854" s="383"/>
      <c r="F854" s="383"/>
      <c r="G854" s="383"/>
      <c r="H854" s="383"/>
      <c r="I854" s="383"/>
      <c r="J854" s="383"/>
      <c r="K854" s="383"/>
      <c r="L854" s="383"/>
      <c r="M854" s="383"/>
      <c r="N854" s="383"/>
      <c r="O854" s="383"/>
      <c r="P854" s="383"/>
      <c r="Q854" s="383"/>
      <c r="R854" s="383"/>
      <c r="S854" s="383"/>
      <c r="T854" s="383"/>
      <c r="U854" s="383"/>
      <c r="V854" s="383"/>
      <c r="W854" s="383"/>
      <c r="X854" s="383"/>
      <c r="Y854" s="383"/>
      <c r="Z854" s="383"/>
    </row>
    <row r="855">
      <c r="A855" s="389"/>
      <c r="B855" s="390"/>
      <c r="C855" s="391"/>
      <c r="D855" s="392"/>
      <c r="E855" s="383"/>
      <c r="F855" s="383"/>
      <c r="G855" s="383"/>
      <c r="H855" s="383"/>
      <c r="I855" s="383"/>
      <c r="J855" s="383"/>
      <c r="K855" s="383"/>
      <c r="L855" s="383"/>
      <c r="M855" s="383"/>
      <c r="N855" s="383"/>
      <c r="O855" s="383"/>
      <c r="P855" s="383"/>
      <c r="Q855" s="383"/>
      <c r="R855" s="383"/>
      <c r="S855" s="383"/>
      <c r="T855" s="383"/>
      <c r="U855" s="383"/>
      <c r="V855" s="383"/>
      <c r="W855" s="383"/>
      <c r="X855" s="383"/>
      <c r="Y855" s="383"/>
      <c r="Z855" s="383"/>
    </row>
    <row r="856">
      <c r="A856" s="389"/>
      <c r="B856" s="390"/>
      <c r="C856" s="391"/>
      <c r="D856" s="392"/>
      <c r="E856" s="383"/>
      <c r="F856" s="383"/>
      <c r="G856" s="383"/>
      <c r="H856" s="383"/>
      <c r="I856" s="383"/>
      <c r="J856" s="383"/>
      <c r="K856" s="383"/>
      <c r="L856" s="383"/>
      <c r="M856" s="383"/>
      <c r="N856" s="383"/>
      <c r="O856" s="383"/>
      <c r="P856" s="383"/>
      <c r="Q856" s="383"/>
      <c r="R856" s="383"/>
      <c r="S856" s="383"/>
      <c r="T856" s="383"/>
      <c r="U856" s="383"/>
      <c r="V856" s="383"/>
      <c r="W856" s="383"/>
      <c r="X856" s="383"/>
      <c r="Y856" s="383"/>
      <c r="Z856" s="383"/>
    </row>
    <row r="857">
      <c r="A857" s="389"/>
      <c r="B857" s="390"/>
      <c r="C857" s="391"/>
      <c r="D857" s="392"/>
      <c r="E857" s="383"/>
      <c r="F857" s="383"/>
      <c r="G857" s="383"/>
      <c r="H857" s="383"/>
      <c r="I857" s="383"/>
      <c r="J857" s="383"/>
      <c r="K857" s="383"/>
      <c r="L857" s="383"/>
      <c r="M857" s="383"/>
      <c r="N857" s="383"/>
      <c r="O857" s="383"/>
      <c r="P857" s="383"/>
      <c r="Q857" s="383"/>
      <c r="R857" s="383"/>
      <c r="S857" s="383"/>
      <c r="T857" s="383"/>
      <c r="U857" s="383"/>
      <c r="V857" s="383"/>
      <c r="W857" s="383"/>
      <c r="X857" s="383"/>
      <c r="Y857" s="383"/>
      <c r="Z857" s="383"/>
    </row>
    <row r="858">
      <c r="A858" s="389"/>
      <c r="B858" s="390"/>
      <c r="C858" s="391"/>
      <c r="D858" s="392"/>
      <c r="E858" s="383"/>
      <c r="F858" s="383"/>
      <c r="G858" s="383"/>
      <c r="H858" s="383"/>
      <c r="I858" s="383"/>
      <c r="J858" s="383"/>
      <c r="K858" s="383"/>
      <c r="L858" s="383"/>
      <c r="M858" s="383"/>
      <c r="N858" s="383"/>
      <c r="O858" s="383"/>
      <c r="P858" s="383"/>
      <c r="Q858" s="383"/>
      <c r="R858" s="383"/>
      <c r="S858" s="383"/>
      <c r="T858" s="383"/>
      <c r="U858" s="383"/>
      <c r="V858" s="383"/>
      <c r="W858" s="383"/>
      <c r="X858" s="383"/>
      <c r="Y858" s="383"/>
      <c r="Z858" s="383"/>
    </row>
    <row r="859">
      <c r="A859" s="389"/>
      <c r="B859" s="390"/>
      <c r="C859" s="391"/>
      <c r="D859" s="392"/>
      <c r="E859" s="383"/>
      <c r="F859" s="383"/>
      <c r="G859" s="383"/>
      <c r="H859" s="383"/>
      <c r="I859" s="383"/>
      <c r="J859" s="383"/>
      <c r="K859" s="383"/>
      <c r="L859" s="383"/>
      <c r="M859" s="383"/>
      <c r="N859" s="383"/>
      <c r="O859" s="383"/>
      <c r="P859" s="383"/>
      <c r="Q859" s="383"/>
      <c r="R859" s="383"/>
      <c r="S859" s="383"/>
      <c r="T859" s="383"/>
      <c r="U859" s="383"/>
      <c r="V859" s="383"/>
      <c r="W859" s="383"/>
      <c r="X859" s="383"/>
      <c r="Y859" s="383"/>
      <c r="Z859" s="383"/>
    </row>
    <row r="860">
      <c r="A860" s="389"/>
      <c r="B860" s="390"/>
      <c r="C860" s="391"/>
      <c r="D860" s="392"/>
      <c r="E860" s="383"/>
      <c r="F860" s="383"/>
      <c r="G860" s="383"/>
      <c r="H860" s="383"/>
      <c r="I860" s="383"/>
      <c r="J860" s="383"/>
      <c r="K860" s="383"/>
      <c r="L860" s="383"/>
      <c r="M860" s="383"/>
      <c r="N860" s="383"/>
      <c r="O860" s="383"/>
      <c r="P860" s="383"/>
      <c r="Q860" s="383"/>
      <c r="R860" s="383"/>
      <c r="S860" s="383"/>
      <c r="T860" s="383"/>
      <c r="U860" s="383"/>
      <c r="V860" s="383"/>
      <c r="W860" s="383"/>
      <c r="X860" s="383"/>
      <c r="Y860" s="383"/>
      <c r="Z860" s="383"/>
    </row>
    <row r="861">
      <c r="A861" s="389"/>
      <c r="B861" s="390"/>
      <c r="C861" s="391"/>
      <c r="D861" s="392"/>
      <c r="E861" s="383"/>
      <c r="F861" s="383"/>
      <c r="G861" s="383"/>
      <c r="H861" s="383"/>
      <c r="I861" s="383"/>
      <c r="J861" s="383"/>
      <c r="K861" s="383"/>
      <c r="L861" s="383"/>
      <c r="M861" s="383"/>
      <c r="N861" s="383"/>
      <c r="O861" s="383"/>
      <c r="P861" s="383"/>
      <c r="Q861" s="383"/>
      <c r="R861" s="383"/>
      <c r="S861" s="383"/>
      <c r="T861" s="383"/>
      <c r="U861" s="383"/>
      <c r="V861" s="383"/>
      <c r="W861" s="383"/>
      <c r="X861" s="383"/>
      <c r="Y861" s="383"/>
      <c r="Z861" s="383"/>
    </row>
    <row r="862">
      <c r="A862" s="389"/>
      <c r="B862" s="390"/>
      <c r="C862" s="391"/>
      <c r="D862" s="392"/>
      <c r="E862" s="383"/>
      <c r="F862" s="383"/>
      <c r="G862" s="383"/>
      <c r="H862" s="383"/>
      <c r="I862" s="383"/>
      <c r="J862" s="383"/>
      <c r="K862" s="383"/>
      <c r="L862" s="383"/>
      <c r="M862" s="383"/>
      <c r="N862" s="383"/>
      <c r="O862" s="383"/>
      <c r="P862" s="383"/>
      <c r="Q862" s="383"/>
      <c r="R862" s="383"/>
      <c r="S862" s="383"/>
      <c r="T862" s="383"/>
      <c r="U862" s="383"/>
      <c r="V862" s="383"/>
      <c r="W862" s="383"/>
      <c r="X862" s="383"/>
      <c r="Y862" s="383"/>
      <c r="Z862" s="383"/>
    </row>
    <row r="863">
      <c r="A863" s="389"/>
      <c r="B863" s="390"/>
      <c r="C863" s="391"/>
      <c r="D863" s="392"/>
      <c r="E863" s="383"/>
      <c r="F863" s="383"/>
      <c r="G863" s="383"/>
      <c r="H863" s="383"/>
      <c r="I863" s="383"/>
      <c r="J863" s="383"/>
      <c r="K863" s="383"/>
      <c r="L863" s="383"/>
      <c r="M863" s="383"/>
      <c r="N863" s="383"/>
      <c r="O863" s="383"/>
      <c r="P863" s="383"/>
      <c r="Q863" s="383"/>
      <c r="R863" s="383"/>
      <c r="S863" s="383"/>
      <c r="T863" s="383"/>
      <c r="U863" s="383"/>
      <c r="V863" s="383"/>
      <c r="W863" s="383"/>
      <c r="X863" s="383"/>
      <c r="Y863" s="383"/>
      <c r="Z863" s="383"/>
    </row>
    <row r="864">
      <c r="A864" s="389"/>
      <c r="B864" s="390"/>
      <c r="C864" s="391"/>
      <c r="D864" s="392"/>
      <c r="E864" s="383"/>
      <c r="F864" s="383"/>
      <c r="G864" s="383"/>
      <c r="H864" s="383"/>
      <c r="I864" s="383"/>
      <c r="J864" s="383"/>
      <c r="K864" s="383"/>
      <c r="L864" s="383"/>
      <c r="M864" s="383"/>
      <c r="N864" s="383"/>
      <c r="O864" s="383"/>
      <c r="P864" s="383"/>
      <c r="Q864" s="383"/>
      <c r="R864" s="383"/>
      <c r="S864" s="383"/>
      <c r="T864" s="383"/>
      <c r="U864" s="383"/>
      <c r="V864" s="383"/>
      <c r="W864" s="383"/>
      <c r="X864" s="383"/>
      <c r="Y864" s="383"/>
      <c r="Z864" s="383"/>
    </row>
    <row r="865">
      <c r="A865" s="389"/>
      <c r="B865" s="390"/>
      <c r="C865" s="391"/>
      <c r="D865" s="392"/>
      <c r="E865" s="383"/>
      <c r="F865" s="383"/>
      <c r="G865" s="383"/>
      <c r="H865" s="383"/>
      <c r="I865" s="383"/>
      <c r="J865" s="383"/>
      <c r="K865" s="383"/>
      <c r="L865" s="383"/>
      <c r="M865" s="383"/>
      <c r="N865" s="383"/>
      <c r="O865" s="383"/>
      <c r="P865" s="383"/>
      <c r="Q865" s="383"/>
      <c r="R865" s="383"/>
      <c r="S865" s="383"/>
      <c r="T865" s="383"/>
      <c r="U865" s="383"/>
      <c r="V865" s="383"/>
      <c r="W865" s="383"/>
      <c r="X865" s="383"/>
      <c r="Y865" s="383"/>
      <c r="Z865" s="383"/>
    </row>
    <row r="866">
      <c r="A866" s="389"/>
      <c r="B866" s="390"/>
      <c r="C866" s="391"/>
      <c r="D866" s="392"/>
      <c r="E866" s="383"/>
      <c r="F866" s="383"/>
      <c r="G866" s="383"/>
      <c r="H866" s="383"/>
      <c r="I866" s="383"/>
      <c r="J866" s="383"/>
      <c r="K866" s="383"/>
      <c r="L866" s="383"/>
      <c r="M866" s="383"/>
      <c r="N866" s="383"/>
      <c r="O866" s="383"/>
      <c r="P866" s="383"/>
      <c r="Q866" s="383"/>
      <c r="R866" s="383"/>
      <c r="S866" s="383"/>
      <c r="T866" s="383"/>
      <c r="U866" s="383"/>
      <c r="V866" s="383"/>
      <c r="W866" s="383"/>
      <c r="X866" s="383"/>
      <c r="Y866" s="383"/>
      <c r="Z866" s="383"/>
    </row>
    <row r="867">
      <c r="A867" s="389"/>
      <c r="B867" s="390"/>
      <c r="C867" s="391"/>
      <c r="D867" s="392"/>
      <c r="E867" s="383"/>
      <c r="F867" s="383"/>
      <c r="G867" s="383"/>
      <c r="H867" s="383"/>
      <c r="I867" s="383"/>
      <c r="J867" s="383"/>
      <c r="K867" s="383"/>
      <c r="L867" s="383"/>
      <c r="M867" s="383"/>
      <c r="N867" s="383"/>
      <c r="O867" s="383"/>
      <c r="P867" s="383"/>
      <c r="Q867" s="383"/>
      <c r="R867" s="383"/>
      <c r="S867" s="383"/>
      <c r="T867" s="383"/>
      <c r="U867" s="383"/>
      <c r="V867" s="383"/>
      <c r="W867" s="383"/>
      <c r="X867" s="383"/>
      <c r="Y867" s="383"/>
      <c r="Z867" s="383"/>
    </row>
    <row r="868">
      <c r="A868" s="389"/>
      <c r="B868" s="390"/>
      <c r="C868" s="391"/>
      <c r="D868" s="392"/>
      <c r="E868" s="383"/>
      <c r="F868" s="383"/>
      <c r="G868" s="383"/>
      <c r="H868" s="383"/>
      <c r="I868" s="383"/>
      <c r="J868" s="383"/>
      <c r="K868" s="383"/>
      <c r="L868" s="383"/>
      <c r="M868" s="383"/>
      <c r="N868" s="383"/>
      <c r="O868" s="383"/>
      <c r="P868" s="383"/>
      <c r="Q868" s="383"/>
      <c r="R868" s="383"/>
      <c r="S868" s="383"/>
      <c r="T868" s="383"/>
      <c r="U868" s="383"/>
      <c r="V868" s="383"/>
      <c r="W868" s="383"/>
      <c r="X868" s="383"/>
      <c r="Y868" s="383"/>
      <c r="Z868" s="383"/>
    </row>
    <row r="869">
      <c r="A869" s="389"/>
      <c r="B869" s="390"/>
      <c r="C869" s="391"/>
      <c r="D869" s="392"/>
      <c r="E869" s="383"/>
      <c r="F869" s="383"/>
      <c r="G869" s="383"/>
      <c r="H869" s="383"/>
      <c r="I869" s="383"/>
      <c r="J869" s="383"/>
      <c r="K869" s="383"/>
      <c r="L869" s="383"/>
      <c r="M869" s="383"/>
      <c r="N869" s="383"/>
      <c r="O869" s="383"/>
      <c r="P869" s="383"/>
      <c r="Q869" s="383"/>
      <c r="R869" s="383"/>
      <c r="S869" s="383"/>
      <c r="T869" s="383"/>
      <c r="U869" s="383"/>
      <c r="V869" s="383"/>
      <c r="W869" s="383"/>
      <c r="X869" s="383"/>
      <c r="Y869" s="383"/>
      <c r="Z869" s="383"/>
    </row>
    <row r="870">
      <c r="A870" s="389"/>
      <c r="B870" s="390"/>
      <c r="C870" s="391"/>
      <c r="D870" s="392"/>
      <c r="E870" s="383"/>
      <c r="F870" s="383"/>
      <c r="G870" s="383"/>
      <c r="H870" s="383"/>
      <c r="I870" s="383"/>
      <c r="J870" s="383"/>
      <c r="K870" s="383"/>
      <c r="L870" s="383"/>
      <c r="M870" s="383"/>
      <c r="N870" s="383"/>
      <c r="O870" s="383"/>
      <c r="P870" s="383"/>
      <c r="Q870" s="383"/>
      <c r="R870" s="383"/>
      <c r="S870" s="383"/>
      <c r="T870" s="383"/>
      <c r="U870" s="383"/>
      <c r="V870" s="383"/>
      <c r="W870" s="383"/>
      <c r="X870" s="383"/>
      <c r="Y870" s="383"/>
      <c r="Z870" s="383"/>
    </row>
    <row r="871">
      <c r="A871" s="389"/>
      <c r="B871" s="390"/>
      <c r="C871" s="391"/>
      <c r="D871" s="392"/>
      <c r="E871" s="383"/>
      <c r="F871" s="383"/>
      <c r="G871" s="383"/>
      <c r="H871" s="383"/>
      <c r="I871" s="383"/>
      <c r="J871" s="383"/>
      <c r="K871" s="383"/>
      <c r="L871" s="383"/>
      <c r="M871" s="383"/>
      <c r="N871" s="383"/>
      <c r="O871" s="383"/>
      <c r="P871" s="383"/>
      <c r="Q871" s="383"/>
      <c r="R871" s="383"/>
      <c r="S871" s="383"/>
      <c r="T871" s="383"/>
      <c r="U871" s="383"/>
      <c r="V871" s="383"/>
      <c r="W871" s="383"/>
      <c r="X871" s="383"/>
      <c r="Y871" s="383"/>
      <c r="Z871" s="383"/>
    </row>
    <row r="872">
      <c r="A872" s="389"/>
      <c r="B872" s="390"/>
      <c r="C872" s="391"/>
      <c r="D872" s="392"/>
      <c r="E872" s="383"/>
      <c r="F872" s="383"/>
      <c r="G872" s="383"/>
      <c r="H872" s="383"/>
      <c r="I872" s="383"/>
      <c r="J872" s="383"/>
      <c r="K872" s="383"/>
      <c r="L872" s="383"/>
      <c r="M872" s="383"/>
      <c r="N872" s="383"/>
      <c r="O872" s="383"/>
      <c r="P872" s="383"/>
      <c r="Q872" s="383"/>
      <c r="R872" s="383"/>
      <c r="S872" s="383"/>
      <c r="T872" s="383"/>
      <c r="U872" s="383"/>
      <c r="V872" s="383"/>
      <c r="W872" s="383"/>
      <c r="X872" s="383"/>
      <c r="Y872" s="383"/>
      <c r="Z872" s="383"/>
    </row>
    <row r="873">
      <c r="A873" s="389"/>
      <c r="B873" s="390"/>
      <c r="C873" s="391"/>
      <c r="D873" s="392"/>
      <c r="E873" s="383"/>
      <c r="F873" s="383"/>
      <c r="G873" s="383"/>
      <c r="H873" s="383"/>
      <c r="I873" s="383"/>
      <c r="J873" s="383"/>
      <c r="K873" s="383"/>
      <c r="L873" s="383"/>
      <c r="M873" s="383"/>
      <c r="N873" s="383"/>
      <c r="O873" s="383"/>
      <c r="P873" s="383"/>
      <c r="Q873" s="383"/>
      <c r="R873" s="383"/>
      <c r="S873" s="383"/>
      <c r="T873" s="383"/>
      <c r="U873" s="383"/>
      <c r="V873" s="383"/>
      <c r="W873" s="383"/>
      <c r="X873" s="383"/>
      <c r="Y873" s="383"/>
      <c r="Z873" s="383"/>
    </row>
    <row r="874">
      <c r="A874" s="389"/>
      <c r="B874" s="390"/>
      <c r="C874" s="391"/>
      <c r="D874" s="392"/>
      <c r="E874" s="383"/>
      <c r="F874" s="383"/>
      <c r="G874" s="383"/>
      <c r="H874" s="383"/>
      <c r="I874" s="383"/>
      <c r="J874" s="383"/>
      <c r="K874" s="383"/>
      <c r="L874" s="383"/>
      <c r="M874" s="383"/>
      <c r="N874" s="383"/>
      <c r="O874" s="383"/>
      <c r="P874" s="383"/>
      <c r="Q874" s="383"/>
      <c r="R874" s="383"/>
      <c r="S874" s="383"/>
      <c r="T874" s="383"/>
      <c r="U874" s="383"/>
      <c r="V874" s="383"/>
      <c r="W874" s="383"/>
      <c r="X874" s="383"/>
      <c r="Y874" s="383"/>
      <c r="Z874" s="383"/>
    </row>
    <row r="875">
      <c r="A875" s="389"/>
      <c r="B875" s="390"/>
      <c r="C875" s="391"/>
      <c r="D875" s="392"/>
      <c r="E875" s="383"/>
      <c r="F875" s="383"/>
      <c r="G875" s="383"/>
      <c r="H875" s="383"/>
      <c r="I875" s="383"/>
      <c r="J875" s="383"/>
      <c r="K875" s="383"/>
      <c r="L875" s="383"/>
      <c r="M875" s="383"/>
      <c r="N875" s="383"/>
      <c r="O875" s="383"/>
      <c r="P875" s="383"/>
      <c r="Q875" s="383"/>
      <c r="R875" s="383"/>
      <c r="S875" s="383"/>
      <c r="T875" s="383"/>
      <c r="U875" s="383"/>
      <c r="V875" s="383"/>
      <c r="W875" s="383"/>
      <c r="X875" s="383"/>
      <c r="Y875" s="383"/>
      <c r="Z875" s="383"/>
    </row>
    <row r="876">
      <c r="A876" s="389"/>
      <c r="B876" s="390"/>
      <c r="C876" s="391"/>
      <c r="D876" s="392"/>
      <c r="E876" s="383"/>
      <c r="F876" s="383"/>
      <c r="G876" s="383"/>
      <c r="H876" s="383"/>
      <c r="I876" s="383"/>
      <c r="J876" s="383"/>
      <c r="K876" s="383"/>
      <c r="L876" s="383"/>
      <c r="M876" s="383"/>
      <c r="N876" s="383"/>
      <c r="O876" s="383"/>
      <c r="P876" s="383"/>
      <c r="Q876" s="383"/>
      <c r="R876" s="383"/>
      <c r="S876" s="383"/>
      <c r="T876" s="383"/>
      <c r="U876" s="383"/>
      <c r="V876" s="383"/>
      <c r="W876" s="383"/>
      <c r="X876" s="383"/>
      <c r="Y876" s="383"/>
      <c r="Z876" s="383"/>
    </row>
    <row r="877">
      <c r="A877" s="389"/>
      <c r="B877" s="390"/>
      <c r="C877" s="391"/>
      <c r="D877" s="392"/>
      <c r="E877" s="383"/>
      <c r="F877" s="383"/>
      <c r="G877" s="383"/>
      <c r="H877" s="383"/>
      <c r="I877" s="383"/>
      <c r="J877" s="383"/>
      <c r="K877" s="383"/>
      <c r="L877" s="383"/>
      <c r="M877" s="383"/>
      <c r="N877" s="383"/>
      <c r="O877" s="383"/>
      <c r="P877" s="383"/>
      <c r="Q877" s="383"/>
      <c r="R877" s="383"/>
      <c r="S877" s="383"/>
      <c r="T877" s="383"/>
      <c r="U877" s="383"/>
      <c r="V877" s="383"/>
      <c r="W877" s="383"/>
      <c r="X877" s="383"/>
      <c r="Y877" s="383"/>
      <c r="Z877" s="383"/>
    </row>
    <row r="878">
      <c r="A878" s="389"/>
      <c r="B878" s="390"/>
      <c r="C878" s="391"/>
      <c r="D878" s="392"/>
      <c r="E878" s="383"/>
      <c r="F878" s="383"/>
      <c r="G878" s="383"/>
      <c r="H878" s="383"/>
      <c r="I878" s="383"/>
      <c r="J878" s="383"/>
      <c r="K878" s="383"/>
      <c r="L878" s="383"/>
      <c r="M878" s="383"/>
      <c r="N878" s="383"/>
      <c r="O878" s="383"/>
      <c r="P878" s="383"/>
      <c r="Q878" s="383"/>
      <c r="R878" s="383"/>
      <c r="S878" s="383"/>
      <c r="T878" s="383"/>
      <c r="U878" s="383"/>
      <c r="V878" s="383"/>
      <c r="W878" s="383"/>
      <c r="X878" s="383"/>
      <c r="Y878" s="383"/>
      <c r="Z878" s="383"/>
    </row>
    <row r="879">
      <c r="A879" s="389"/>
      <c r="B879" s="390"/>
      <c r="C879" s="391"/>
      <c r="D879" s="392"/>
      <c r="E879" s="383"/>
      <c r="F879" s="383"/>
      <c r="G879" s="383"/>
      <c r="H879" s="383"/>
      <c r="I879" s="383"/>
      <c r="J879" s="383"/>
      <c r="K879" s="383"/>
      <c r="L879" s="383"/>
      <c r="M879" s="383"/>
      <c r="N879" s="383"/>
      <c r="O879" s="383"/>
      <c r="P879" s="383"/>
      <c r="Q879" s="383"/>
      <c r="R879" s="383"/>
      <c r="S879" s="383"/>
      <c r="T879" s="383"/>
      <c r="U879" s="383"/>
      <c r="V879" s="383"/>
      <c r="W879" s="383"/>
      <c r="X879" s="383"/>
      <c r="Y879" s="383"/>
      <c r="Z879" s="383"/>
    </row>
    <row r="880">
      <c r="A880" s="389"/>
      <c r="B880" s="390"/>
      <c r="C880" s="391"/>
      <c r="D880" s="392"/>
      <c r="E880" s="383"/>
      <c r="F880" s="383"/>
      <c r="G880" s="383"/>
      <c r="H880" s="383"/>
      <c r="I880" s="383"/>
      <c r="J880" s="383"/>
      <c r="K880" s="383"/>
      <c r="L880" s="383"/>
      <c r="M880" s="383"/>
      <c r="N880" s="383"/>
      <c r="O880" s="383"/>
      <c r="P880" s="383"/>
      <c r="Q880" s="383"/>
      <c r="R880" s="383"/>
      <c r="S880" s="383"/>
      <c r="T880" s="383"/>
      <c r="U880" s="383"/>
      <c r="V880" s="383"/>
      <c r="W880" s="383"/>
      <c r="X880" s="383"/>
      <c r="Y880" s="383"/>
      <c r="Z880" s="383"/>
    </row>
    <row r="881">
      <c r="A881" s="389"/>
      <c r="B881" s="390"/>
      <c r="C881" s="391"/>
      <c r="D881" s="392"/>
      <c r="E881" s="383"/>
      <c r="F881" s="383"/>
      <c r="G881" s="383"/>
      <c r="H881" s="383"/>
      <c r="I881" s="383"/>
      <c r="J881" s="383"/>
      <c r="K881" s="383"/>
      <c r="L881" s="383"/>
      <c r="M881" s="383"/>
      <c r="N881" s="383"/>
      <c r="O881" s="383"/>
      <c r="P881" s="383"/>
      <c r="Q881" s="383"/>
      <c r="R881" s="383"/>
      <c r="S881" s="383"/>
      <c r="T881" s="383"/>
      <c r="U881" s="383"/>
      <c r="V881" s="383"/>
      <c r="W881" s="383"/>
      <c r="X881" s="383"/>
      <c r="Y881" s="383"/>
      <c r="Z881" s="383"/>
    </row>
    <row r="882">
      <c r="A882" s="389"/>
      <c r="B882" s="390"/>
      <c r="C882" s="391"/>
      <c r="D882" s="392"/>
      <c r="E882" s="383"/>
      <c r="F882" s="383"/>
      <c r="G882" s="383"/>
      <c r="H882" s="383"/>
      <c r="I882" s="383"/>
      <c r="J882" s="383"/>
      <c r="K882" s="383"/>
      <c r="L882" s="383"/>
      <c r="M882" s="383"/>
      <c r="N882" s="383"/>
      <c r="O882" s="383"/>
      <c r="P882" s="383"/>
      <c r="Q882" s="383"/>
      <c r="R882" s="383"/>
      <c r="S882" s="383"/>
      <c r="T882" s="383"/>
      <c r="U882" s="383"/>
      <c r="V882" s="383"/>
      <c r="W882" s="383"/>
      <c r="X882" s="383"/>
      <c r="Y882" s="383"/>
      <c r="Z882" s="383"/>
    </row>
    <row r="883">
      <c r="A883" s="389"/>
      <c r="B883" s="390"/>
      <c r="C883" s="391"/>
      <c r="D883" s="392"/>
      <c r="E883" s="383"/>
      <c r="F883" s="383"/>
      <c r="G883" s="383"/>
      <c r="H883" s="383"/>
      <c r="I883" s="383"/>
      <c r="J883" s="383"/>
      <c r="K883" s="383"/>
      <c r="L883" s="383"/>
      <c r="M883" s="383"/>
      <c r="N883" s="383"/>
      <c r="O883" s="383"/>
      <c r="P883" s="383"/>
      <c r="Q883" s="383"/>
      <c r="R883" s="383"/>
      <c r="S883" s="383"/>
      <c r="T883" s="383"/>
      <c r="U883" s="383"/>
      <c r="V883" s="383"/>
      <c r="W883" s="383"/>
      <c r="X883" s="383"/>
      <c r="Y883" s="383"/>
      <c r="Z883" s="383"/>
    </row>
    <row r="884">
      <c r="A884" s="389"/>
      <c r="B884" s="390"/>
      <c r="C884" s="391"/>
      <c r="D884" s="392"/>
      <c r="E884" s="383"/>
      <c r="F884" s="383"/>
      <c r="G884" s="383"/>
      <c r="H884" s="383"/>
      <c r="I884" s="383"/>
      <c r="J884" s="383"/>
      <c r="K884" s="383"/>
      <c r="L884" s="383"/>
      <c r="M884" s="383"/>
      <c r="N884" s="383"/>
      <c r="O884" s="383"/>
      <c r="P884" s="383"/>
      <c r="Q884" s="383"/>
      <c r="R884" s="383"/>
      <c r="S884" s="383"/>
      <c r="T884" s="383"/>
      <c r="U884" s="383"/>
      <c r="V884" s="383"/>
      <c r="W884" s="383"/>
      <c r="X884" s="383"/>
      <c r="Y884" s="383"/>
      <c r="Z884" s="383"/>
    </row>
    <row r="885">
      <c r="A885" s="389"/>
      <c r="B885" s="390"/>
      <c r="C885" s="391"/>
      <c r="D885" s="392"/>
      <c r="E885" s="383"/>
      <c r="F885" s="383"/>
      <c r="G885" s="383"/>
      <c r="H885" s="383"/>
      <c r="I885" s="383"/>
      <c r="J885" s="383"/>
      <c r="K885" s="383"/>
      <c r="L885" s="383"/>
      <c r="M885" s="383"/>
      <c r="N885" s="383"/>
      <c r="O885" s="383"/>
      <c r="P885" s="383"/>
      <c r="Q885" s="383"/>
      <c r="R885" s="383"/>
      <c r="S885" s="383"/>
      <c r="T885" s="383"/>
      <c r="U885" s="383"/>
      <c r="V885" s="383"/>
      <c r="W885" s="383"/>
      <c r="X885" s="383"/>
      <c r="Y885" s="383"/>
      <c r="Z885" s="383"/>
    </row>
    <row r="886">
      <c r="A886" s="389"/>
      <c r="B886" s="390"/>
      <c r="C886" s="391"/>
      <c r="D886" s="392"/>
      <c r="E886" s="383"/>
      <c r="F886" s="383"/>
      <c r="G886" s="383"/>
      <c r="H886" s="383"/>
      <c r="I886" s="383"/>
      <c r="J886" s="383"/>
      <c r="K886" s="383"/>
      <c r="L886" s="383"/>
      <c r="M886" s="383"/>
      <c r="N886" s="383"/>
      <c r="O886" s="383"/>
      <c r="P886" s="383"/>
      <c r="Q886" s="383"/>
      <c r="R886" s="383"/>
      <c r="S886" s="383"/>
      <c r="T886" s="383"/>
      <c r="U886" s="383"/>
      <c r="V886" s="383"/>
      <c r="W886" s="383"/>
      <c r="X886" s="383"/>
      <c r="Y886" s="383"/>
      <c r="Z886" s="383"/>
    </row>
    <row r="887">
      <c r="A887" s="389"/>
      <c r="B887" s="390"/>
      <c r="C887" s="391"/>
      <c r="D887" s="392"/>
      <c r="E887" s="383"/>
      <c r="F887" s="383"/>
      <c r="G887" s="383"/>
      <c r="H887" s="383"/>
      <c r="I887" s="383"/>
      <c r="J887" s="383"/>
      <c r="K887" s="383"/>
      <c r="L887" s="383"/>
      <c r="M887" s="383"/>
      <c r="N887" s="383"/>
      <c r="O887" s="383"/>
      <c r="P887" s="383"/>
      <c r="Q887" s="383"/>
      <c r="R887" s="383"/>
      <c r="S887" s="383"/>
      <c r="T887" s="383"/>
      <c r="U887" s="383"/>
      <c r="V887" s="383"/>
      <c r="W887" s="383"/>
      <c r="X887" s="383"/>
      <c r="Y887" s="383"/>
      <c r="Z887" s="383"/>
    </row>
    <row r="888">
      <c r="A888" s="389"/>
      <c r="B888" s="390"/>
      <c r="C888" s="391"/>
      <c r="D888" s="392"/>
      <c r="E888" s="383"/>
      <c r="F888" s="383"/>
      <c r="G888" s="383"/>
      <c r="H888" s="383"/>
      <c r="I888" s="383"/>
      <c r="J888" s="383"/>
      <c r="K888" s="383"/>
      <c r="L888" s="383"/>
      <c r="M888" s="383"/>
      <c r="N888" s="383"/>
      <c r="O888" s="383"/>
      <c r="P888" s="383"/>
      <c r="Q888" s="383"/>
      <c r="R888" s="383"/>
      <c r="S888" s="383"/>
      <c r="T888" s="383"/>
      <c r="U888" s="383"/>
      <c r="V888" s="383"/>
      <c r="W888" s="383"/>
      <c r="X888" s="383"/>
      <c r="Y888" s="383"/>
      <c r="Z888" s="383"/>
    </row>
    <row r="889">
      <c r="A889" s="389"/>
      <c r="B889" s="390"/>
      <c r="C889" s="391"/>
      <c r="D889" s="392"/>
      <c r="E889" s="383"/>
      <c r="F889" s="383"/>
      <c r="G889" s="383"/>
      <c r="H889" s="383"/>
      <c r="I889" s="383"/>
      <c r="J889" s="383"/>
      <c r="K889" s="383"/>
      <c r="L889" s="383"/>
      <c r="M889" s="383"/>
      <c r="N889" s="383"/>
      <c r="O889" s="383"/>
      <c r="P889" s="383"/>
      <c r="Q889" s="383"/>
      <c r="R889" s="383"/>
      <c r="S889" s="383"/>
      <c r="T889" s="383"/>
      <c r="U889" s="383"/>
      <c r="V889" s="383"/>
      <c r="W889" s="383"/>
      <c r="X889" s="383"/>
      <c r="Y889" s="383"/>
      <c r="Z889" s="383"/>
    </row>
    <row r="890">
      <c r="A890" s="389"/>
      <c r="B890" s="390"/>
      <c r="C890" s="391"/>
      <c r="D890" s="392"/>
      <c r="E890" s="383"/>
      <c r="F890" s="383"/>
      <c r="G890" s="383"/>
      <c r="H890" s="383"/>
      <c r="I890" s="383"/>
      <c r="J890" s="383"/>
      <c r="K890" s="383"/>
      <c r="L890" s="383"/>
      <c r="M890" s="383"/>
      <c r="N890" s="383"/>
      <c r="O890" s="383"/>
      <c r="P890" s="383"/>
      <c r="Q890" s="383"/>
      <c r="R890" s="383"/>
      <c r="S890" s="383"/>
      <c r="T890" s="383"/>
      <c r="U890" s="383"/>
      <c r="V890" s="383"/>
      <c r="W890" s="383"/>
      <c r="X890" s="383"/>
      <c r="Y890" s="383"/>
      <c r="Z890" s="383"/>
    </row>
    <row r="891">
      <c r="A891" s="389"/>
      <c r="B891" s="390"/>
      <c r="C891" s="391"/>
      <c r="D891" s="392"/>
      <c r="E891" s="383"/>
      <c r="F891" s="383"/>
      <c r="G891" s="383"/>
      <c r="H891" s="383"/>
      <c r="I891" s="383"/>
      <c r="J891" s="383"/>
      <c r="K891" s="383"/>
      <c r="L891" s="383"/>
      <c r="M891" s="383"/>
      <c r="N891" s="383"/>
      <c r="O891" s="383"/>
      <c r="P891" s="383"/>
      <c r="Q891" s="383"/>
      <c r="R891" s="383"/>
      <c r="S891" s="383"/>
      <c r="T891" s="383"/>
      <c r="U891" s="383"/>
      <c r="V891" s="383"/>
      <c r="W891" s="383"/>
      <c r="X891" s="383"/>
      <c r="Y891" s="383"/>
      <c r="Z891" s="383"/>
    </row>
    <row r="892">
      <c r="A892" s="389"/>
      <c r="B892" s="390"/>
      <c r="C892" s="391"/>
      <c r="D892" s="392"/>
      <c r="E892" s="383"/>
      <c r="F892" s="383"/>
      <c r="G892" s="383"/>
      <c r="H892" s="383"/>
      <c r="I892" s="383"/>
      <c r="J892" s="383"/>
      <c r="K892" s="383"/>
      <c r="L892" s="383"/>
      <c r="M892" s="383"/>
      <c r="N892" s="383"/>
      <c r="O892" s="383"/>
      <c r="P892" s="383"/>
      <c r="Q892" s="383"/>
      <c r="R892" s="383"/>
      <c r="S892" s="383"/>
      <c r="T892" s="383"/>
      <c r="U892" s="383"/>
      <c r="V892" s="383"/>
      <c r="W892" s="383"/>
      <c r="X892" s="383"/>
      <c r="Y892" s="383"/>
      <c r="Z892" s="383"/>
    </row>
    <row r="893">
      <c r="A893" s="389"/>
      <c r="B893" s="390"/>
      <c r="C893" s="391"/>
      <c r="D893" s="392"/>
      <c r="E893" s="383"/>
      <c r="F893" s="383"/>
      <c r="G893" s="383"/>
      <c r="H893" s="383"/>
      <c r="I893" s="383"/>
      <c r="J893" s="383"/>
      <c r="K893" s="383"/>
      <c r="L893" s="383"/>
      <c r="M893" s="383"/>
      <c r="N893" s="383"/>
      <c r="O893" s="383"/>
      <c r="P893" s="383"/>
      <c r="Q893" s="383"/>
      <c r="R893" s="383"/>
      <c r="S893" s="383"/>
      <c r="T893" s="383"/>
      <c r="U893" s="383"/>
      <c r="V893" s="383"/>
      <c r="W893" s="383"/>
      <c r="X893" s="383"/>
      <c r="Y893" s="383"/>
      <c r="Z893" s="383"/>
    </row>
    <row r="894">
      <c r="A894" s="389"/>
      <c r="B894" s="390"/>
      <c r="C894" s="391"/>
      <c r="D894" s="392"/>
      <c r="E894" s="383"/>
      <c r="F894" s="383"/>
      <c r="G894" s="383"/>
      <c r="H894" s="383"/>
      <c r="I894" s="383"/>
      <c r="J894" s="383"/>
      <c r="K894" s="383"/>
      <c r="L894" s="383"/>
      <c r="M894" s="383"/>
      <c r="N894" s="383"/>
      <c r="O894" s="383"/>
      <c r="P894" s="383"/>
      <c r="Q894" s="383"/>
      <c r="R894" s="383"/>
      <c r="S894" s="383"/>
      <c r="T894" s="383"/>
      <c r="U894" s="383"/>
      <c r="V894" s="383"/>
      <c r="W894" s="383"/>
      <c r="X894" s="383"/>
      <c r="Y894" s="383"/>
      <c r="Z894" s="383"/>
    </row>
    <row r="895">
      <c r="A895" s="389"/>
      <c r="B895" s="390"/>
      <c r="C895" s="391"/>
      <c r="D895" s="392"/>
      <c r="E895" s="383"/>
      <c r="F895" s="383"/>
      <c r="G895" s="383"/>
      <c r="H895" s="383"/>
      <c r="I895" s="383"/>
      <c r="J895" s="383"/>
      <c r="K895" s="383"/>
      <c r="L895" s="383"/>
      <c r="M895" s="383"/>
      <c r="N895" s="383"/>
      <c r="O895" s="383"/>
      <c r="P895" s="383"/>
      <c r="Q895" s="383"/>
      <c r="R895" s="383"/>
      <c r="S895" s="383"/>
      <c r="T895" s="383"/>
      <c r="U895" s="383"/>
      <c r="V895" s="383"/>
      <c r="W895" s="383"/>
      <c r="X895" s="383"/>
      <c r="Y895" s="383"/>
      <c r="Z895" s="383"/>
    </row>
    <row r="896">
      <c r="A896" s="389"/>
      <c r="B896" s="390"/>
      <c r="C896" s="391"/>
      <c r="D896" s="392"/>
      <c r="E896" s="383"/>
      <c r="F896" s="383"/>
      <c r="G896" s="383"/>
      <c r="H896" s="383"/>
      <c r="I896" s="383"/>
      <c r="J896" s="383"/>
      <c r="K896" s="383"/>
      <c r="L896" s="383"/>
      <c r="M896" s="383"/>
      <c r="N896" s="383"/>
      <c r="O896" s="383"/>
      <c r="P896" s="383"/>
      <c r="Q896" s="383"/>
      <c r="R896" s="383"/>
      <c r="S896" s="383"/>
      <c r="T896" s="383"/>
      <c r="U896" s="383"/>
      <c r="V896" s="383"/>
      <c r="W896" s="383"/>
      <c r="X896" s="383"/>
      <c r="Y896" s="383"/>
      <c r="Z896" s="383"/>
    </row>
    <row r="897">
      <c r="A897" s="389"/>
      <c r="B897" s="390"/>
      <c r="C897" s="391"/>
      <c r="D897" s="392"/>
      <c r="E897" s="383"/>
      <c r="F897" s="383"/>
      <c r="G897" s="383"/>
      <c r="H897" s="383"/>
      <c r="I897" s="383"/>
      <c r="J897" s="383"/>
      <c r="K897" s="383"/>
      <c r="L897" s="383"/>
      <c r="M897" s="383"/>
      <c r="N897" s="383"/>
      <c r="O897" s="383"/>
      <c r="P897" s="383"/>
      <c r="Q897" s="383"/>
      <c r="R897" s="383"/>
      <c r="S897" s="383"/>
      <c r="T897" s="383"/>
      <c r="U897" s="383"/>
      <c r="V897" s="383"/>
      <c r="W897" s="383"/>
      <c r="X897" s="383"/>
      <c r="Y897" s="383"/>
      <c r="Z897" s="383"/>
    </row>
    <row r="898">
      <c r="A898" s="389"/>
      <c r="B898" s="390"/>
      <c r="C898" s="391"/>
      <c r="D898" s="392"/>
      <c r="E898" s="383"/>
      <c r="F898" s="383"/>
      <c r="G898" s="383"/>
      <c r="H898" s="383"/>
      <c r="I898" s="383"/>
      <c r="J898" s="383"/>
      <c r="K898" s="383"/>
      <c r="L898" s="383"/>
      <c r="M898" s="383"/>
      <c r="N898" s="383"/>
      <c r="O898" s="383"/>
      <c r="P898" s="383"/>
      <c r="Q898" s="383"/>
      <c r="R898" s="383"/>
      <c r="S898" s="383"/>
      <c r="T898" s="383"/>
      <c r="U898" s="383"/>
      <c r="V898" s="383"/>
      <c r="W898" s="383"/>
      <c r="X898" s="383"/>
      <c r="Y898" s="383"/>
      <c r="Z898" s="383"/>
    </row>
    <row r="899">
      <c r="A899" s="389"/>
      <c r="B899" s="390"/>
      <c r="C899" s="391"/>
      <c r="D899" s="392"/>
      <c r="E899" s="383"/>
      <c r="F899" s="383"/>
      <c r="G899" s="383"/>
      <c r="H899" s="383"/>
      <c r="I899" s="383"/>
      <c r="J899" s="383"/>
      <c r="K899" s="383"/>
      <c r="L899" s="383"/>
      <c r="M899" s="383"/>
      <c r="N899" s="383"/>
      <c r="O899" s="383"/>
      <c r="P899" s="383"/>
      <c r="Q899" s="383"/>
      <c r="R899" s="383"/>
      <c r="S899" s="383"/>
      <c r="T899" s="383"/>
      <c r="U899" s="383"/>
      <c r="V899" s="383"/>
      <c r="W899" s="383"/>
      <c r="X899" s="383"/>
      <c r="Y899" s="383"/>
      <c r="Z899" s="383"/>
    </row>
    <row r="900">
      <c r="A900" s="389"/>
      <c r="B900" s="390"/>
      <c r="C900" s="391"/>
      <c r="D900" s="392"/>
      <c r="E900" s="383"/>
      <c r="F900" s="383"/>
      <c r="G900" s="383"/>
      <c r="H900" s="383"/>
      <c r="I900" s="383"/>
      <c r="J900" s="383"/>
      <c r="K900" s="383"/>
      <c r="L900" s="383"/>
      <c r="M900" s="383"/>
      <c r="N900" s="383"/>
      <c r="O900" s="383"/>
      <c r="P900" s="383"/>
      <c r="Q900" s="383"/>
      <c r="R900" s="383"/>
      <c r="S900" s="383"/>
      <c r="T900" s="383"/>
      <c r="U900" s="383"/>
      <c r="V900" s="383"/>
      <c r="W900" s="383"/>
      <c r="X900" s="383"/>
      <c r="Y900" s="383"/>
      <c r="Z900" s="383"/>
    </row>
    <row r="901">
      <c r="A901" s="389"/>
      <c r="B901" s="390"/>
      <c r="C901" s="391"/>
      <c r="D901" s="392"/>
      <c r="E901" s="383"/>
      <c r="F901" s="383"/>
      <c r="G901" s="383"/>
      <c r="H901" s="383"/>
      <c r="I901" s="383"/>
      <c r="J901" s="383"/>
      <c r="K901" s="383"/>
      <c r="L901" s="383"/>
      <c r="M901" s="383"/>
      <c r="N901" s="383"/>
      <c r="O901" s="383"/>
      <c r="P901" s="383"/>
      <c r="Q901" s="383"/>
      <c r="R901" s="383"/>
      <c r="S901" s="383"/>
      <c r="T901" s="383"/>
      <c r="U901" s="383"/>
      <c r="V901" s="383"/>
      <c r="W901" s="383"/>
      <c r="X901" s="383"/>
      <c r="Y901" s="383"/>
      <c r="Z901" s="383"/>
    </row>
    <row r="902">
      <c r="A902" s="389"/>
      <c r="B902" s="390"/>
      <c r="C902" s="391"/>
      <c r="D902" s="392"/>
      <c r="E902" s="383"/>
      <c r="F902" s="383"/>
      <c r="G902" s="383"/>
      <c r="H902" s="383"/>
      <c r="I902" s="383"/>
      <c r="J902" s="383"/>
      <c r="K902" s="383"/>
      <c r="L902" s="383"/>
      <c r="M902" s="383"/>
      <c r="N902" s="383"/>
      <c r="O902" s="383"/>
      <c r="P902" s="383"/>
      <c r="Q902" s="383"/>
      <c r="R902" s="383"/>
      <c r="S902" s="383"/>
      <c r="T902" s="383"/>
      <c r="U902" s="383"/>
      <c r="V902" s="383"/>
      <c r="W902" s="383"/>
      <c r="X902" s="383"/>
      <c r="Y902" s="383"/>
      <c r="Z902" s="383"/>
    </row>
    <row r="903">
      <c r="A903" s="389"/>
      <c r="B903" s="390"/>
      <c r="C903" s="391"/>
      <c r="D903" s="392"/>
      <c r="E903" s="383"/>
      <c r="F903" s="383"/>
      <c r="G903" s="383"/>
      <c r="H903" s="383"/>
      <c r="I903" s="383"/>
      <c r="J903" s="383"/>
      <c r="K903" s="383"/>
      <c r="L903" s="383"/>
      <c r="M903" s="383"/>
      <c r="N903" s="383"/>
      <c r="O903" s="383"/>
      <c r="P903" s="383"/>
      <c r="Q903" s="383"/>
      <c r="R903" s="383"/>
      <c r="S903" s="383"/>
      <c r="T903" s="383"/>
      <c r="U903" s="383"/>
      <c r="V903" s="383"/>
      <c r="W903" s="383"/>
      <c r="X903" s="383"/>
      <c r="Y903" s="383"/>
      <c r="Z903" s="383"/>
    </row>
    <row r="904">
      <c r="A904" s="389"/>
      <c r="B904" s="390"/>
      <c r="C904" s="391"/>
      <c r="D904" s="392"/>
      <c r="E904" s="383"/>
      <c r="F904" s="383"/>
      <c r="G904" s="383"/>
      <c r="H904" s="383"/>
      <c r="I904" s="383"/>
      <c r="J904" s="383"/>
      <c r="K904" s="383"/>
      <c r="L904" s="383"/>
      <c r="M904" s="383"/>
      <c r="N904" s="383"/>
      <c r="O904" s="383"/>
      <c r="P904" s="383"/>
      <c r="Q904" s="383"/>
      <c r="R904" s="383"/>
      <c r="S904" s="383"/>
      <c r="T904" s="383"/>
      <c r="U904" s="383"/>
      <c r="V904" s="383"/>
      <c r="W904" s="383"/>
      <c r="X904" s="383"/>
      <c r="Y904" s="383"/>
      <c r="Z904" s="383"/>
    </row>
    <row r="905">
      <c r="A905" s="389"/>
      <c r="B905" s="390"/>
      <c r="C905" s="391"/>
      <c r="D905" s="392"/>
      <c r="E905" s="383"/>
      <c r="F905" s="383"/>
      <c r="G905" s="383"/>
      <c r="H905" s="383"/>
      <c r="I905" s="383"/>
      <c r="J905" s="383"/>
      <c r="K905" s="383"/>
      <c r="L905" s="383"/>
      <c r="M905" s="383"/>
      <c r="N905" s="383"/>
      <c r="O905" s="383"/>
      <c r="P905" s="383"/>
      <c r="Q905" s="383"/>
      <c r="R905" s="383"/>
      <c r="S905" s="383"/>
      <c r="T905" s="383"/>
      <c r="U905" s="383"/>
      <c r="V905" s="383"/>
      <c r="W905" s="383"/>
      <c r="X905" s="383"/>
      <c r="Y905" s="383"/>
      <c r="Z905" s="383"/>
    </row>
    <row r="906">
      <c r="A906" s="389"/>
      <c r="B906" s="390"/>
      <c r="C906" s="391"/>
      <c r="D906" s="392"/>
      <c r="E906" s="383"/>
      <c r="F906" s="383"/>
      <c r="G906" s="383"/>
      <c r="H906" s="383"/>
      <c r="I906" s="383"/>
      <c r="J906" s="383"/>
      <c r="K906" s="383"/>
      <c r="L906" s="383"/>
      <c r="M906" s="383"/>
      <c r="N906" s="383"/>
      <c r="O906" s="383"/>
      <c r="P906" s="383"/>
      <c r="Q906" s="383"/>
      <c r="R906" s="383"/>
      <c r="S906" s="383"/>
      <c r="T906" s="383"/>
      <c r="U906" s="383"/>
      <c r="V906" s="383"/>
      <c r="W906" s="383"/>
      <c r="X906" s="383"/>
      <c r="Y906" s="383"/>
      <c r="Z906" s="383"/>
    </row>
    <row r="907">
      <c r="A907" s="389"/>
      <c r="B907" s="390"/>
      <c r="C907" s="391"/>
      <c r="D907" s="392"/>
      <c r="E907" s="383"/>
      <c r="F907" s="383"/>
      <c r="G907" s="383"/>
      <c r="H907" s="383"/>
      <c r="I907" s="383"/>
      <c r="J907" s="383"/>
      <c r="K907" s="383"/>
      <c r="L907" s="383"/>
      <c r="M907" s="383"/>
      <c r="N907" s="383"/>
      <c r="O907" s="383"/>
      <c r="P907" s="383"/>
      <c r="Q907" s="383"/>
      <c r="R907" s="383"/>
      <c r="S907" s="383"/>
      <c r="T907" s="383"/>
      <c r="U907" s="383"/>
      <c r="V907" s="383"/>
      <c r="W907" s="383"/>
      <c r="X907" s="383"/>
      <c r="Y907" s="383"/>
      <c r="Z907" s="383"/>
    </row>
    <row r="908">
      <c r="A908" s="389"/>
      <c r="B908" s="390"/>
      <c r="C908" s="391"/>
      <c r="D908" s="392"/>
      <c r="E908" s="383"/>
      <c r="F908" s="383"/>
      <c r="G908" s="383"/>
      <c r="H908" s="383"/>
      <c r="I908" s="383"/>
      <c r="J908" s="383"/>
      <c r="K908" s="383"/>
      <c r="L908" s="383"/>
      <c r="M908" s="383"/>
      <c r="N908" s="383"/>
      <c r="O908" s="383"/>
      <c r="P908" s="383"/>
      <c r="Q908" s="383"/>
      <c r="R908" s="383"/>
      <c r="S908" s="383"/>
      <c r="T908" s="383"/>
      <c r="U908" s="383"/>
      <c r="V908" s="383"/>
      <c r="W908" s="383"/>
      <c r="X908" s="383"/>
      <c r="Y908" s="383"/>
      <c r="Z908" s="383"/>
    </row>
    <row r="909">
      <c r="A909" s="389"/>
      <c r="B909" s="390"/>
      <c r="C909" s="391"/>
      <c r="D909" s="392"/>
      <c r="E909" s="383"/>
      <c r="F909" s="383"/>
      <c r="G909" s="383"/>
      <c r="H909" s="383"/>
      <c r="I909" s="383"/>
      <c r="J909" s="383"/>
      <c r="K909" s="383"/>
      <c r="L909" s="383"/>
      <c r="M909" s="383"/>
      <c r="N909" s="383"/>
      <c r="O909" s="383"/>
      <c r="P909" s="383"/>
      <c r="Q909" s="383"/>
      <c r="R909" s="383"/>
      <c r="S909" s="383"/>
      <c r="T909" s="383"/>
      <c r="U909" s="383"/>
      <c r="V909" s="383"/>
      <c r="W909" s="383"/>
      <c r="X909" s="383"/>
      <c r="Y909" s="383"/>
      <c r="Z909" s="383"/>
    </row>
    <row r="910">
      <c r="A910" s="389"/>
      <c r="B910" s="390"/>
      <c r="C910" s="391"/>
      <c r="D910" s="392"/>
      <c r="E910" s="383"/>
      <c r="F910" s="383"/>
      <c r="G910" s="383"/>
      <c r="H910" s="383"/>
      <c r="I910" s="383"/>
      <c r="J910" s="383"/>
      <c r="K910" s="383"/>
      <c r="L910" s="383"/>
      <c r="M910" s="383"/>
      <c r="N910" s="383"/>
      <c r="O910" s="383"/>
      <c r="P910" s="383"/>
      <c r="Q910" s="383"/>
      <c r="R910" s="383"/>
      <c r="S910" s="383"/>
      <c r="T910" s="383"/>
      <c r="U910" s="383"/>
      <c r="V910" s="383"/>
      <c r="W910" s="383"/>
      <c r="X910" s="383"/>
      <c r="Y910" s="383"/>
      <c r="Z910" s="383"/>
    </row>
    <row r="911">
      <c r="A911" s="389"/>
      <c r="B911" s="390"/>
      <c r="C911" s="391"/>
      <c r="D911" s="392"/>
      <c r="E911" s="383"/>
      <c r="F911" s="383"/>
      <c r="G911" s="383"/>
      <c r="H911" s="383"/>
      <c r="I911" s="383"/>
      <c r="J911" s="383"/>
      <c r="K911" s="383"/>
      <c r="L911" s="383"/>
      <c r="M911" s="383"/>
      <c r="N911" s="383"/>
      <c r="O911" s="383"/>
      <c r="P911" s="383"/>
      <c r="Q911" s="383"/>
      <c r="R911" s="383"/>
      <c r="S911" s="383"/>
      <c r="T911" s="383"/>
      <c r="U911" s="383"/>
      <c r="V911" s="383"/>
      <c r="W911" s="383"/>
      <c r="X911" s="383"/>
      <c r="Y911" s="383"/>
      <c r="Z911" s="383"/>
    </row>
    <row r="912">
      <c r="A912" s="389"/>
      <c r="B912" s="390"/>
      <c r="C912" s="391"/>
      <c r="D912" s="392"/>
      <c r="E912" s="383"/>
      <c r="F912" s="383"/>
      <c r="G912" s="383"/>
      <c r="H912" s="383"/>
      <c r="I912" s="383"/>
      <c r="J912" s="383"/>
      <c r="K912" s="383"/>
      <c r="L912" s="383"/>
      <c r="M912" s="383"/>
      <c r="N912" s="383"/>
      <c r="O912" s="383"/>
      <c r="P912" s="383"/>
      <c r="Q912" s="383"/>
      <c r="R912" s="383"/>
      <c r="S912" s="383"/>
      <c r="T912" s="383"/>
      <c r="U912" s="383"/>
      <c r="V912" s="383"/>
      <c r="W912" s="383"/>
      <c r="X912" s="383"/>
      <c r="Y912" s="383"/>
      <c r="Z912" s="383"/>
    </row>
    <row r="913">
      <c r="A913" s="389"/>
      <c r="B913" s="390"/>
      <c r="C913" s="391"/>
      <c r="D913" s="392"/>
      <c r="E913" s="383"/>
      <c r="F913" s="383"/>
      <c r="G913" s="383"/>
      <c r="H913" s="383"/>
      <c r="I913" s="383"/>
      <c r="J913" s="383"/>
      <c r="K913" s="383"/>
      <c r="L913" s="383"/>
      <c r="M913" s="383"/>
      <c r="N913" s="383"/>
      <c r="O913" s="383"/>
      <c r="P913" s="383"/>
      <c r="Q913" s="383"/>
      <c r="R913" s="383"/>
      <c r="S913" s="383"/>
      <c r="T913" s="383"/>
      <c r="U913" s="383"/>
      <c r="V913" s="383"/>
      <c r="W913" s="383"/>
      <c r="X913" s="383"/>
      <c r="Y913" s="383"/>
      <c r="Z913" s="383"/>
    </row>
    <row r="914">
      <c r="A914" s="389"/>
      <c r="B914" s="390"/>
      <c r="C914" s="391"/>
      <c r="D914" s="392"/>
      <c r="E914" s="383"/>
      <c r="F914" s="383"/>
      <c r="G914" s="383"/>
      <c r="H914" s="383"/>
      <c r="I914" s="383"/>
      <c r="J914" s="383"/>
      <c r="K914" s="383"/>
      <c r="L914" s="383"/>
      <c r="M914" s="383"/>
      <c r="N914" s="383"/>
      <c r="O914" s="383"/>
      <c r="P914" s="383"/>
      <c r="Q914" s="383"/>
      <c r="R914" s="383"/>
      <c r="S914" s="383"/>
      <c r="T914" s="383"/>
      <c r="U914" s="383"/>
      <c r="V914" s="383"/>
      <c r="W914" s="383"/>
      <c r="X914" s="383"/>
      <c r="Y914" s="383"/>
      <c r="Z914" s="383"/>
    </row>
    <row r="915">
      <c r="A915" s="389"/>
      <c r="B915" s="390"/>
      <c r="C915" s="391"/>
      <c r="D915" s="392"/>
      <c r="E915" s="383"/>
      <c r="F915" s="383"/>
      <c r="G915" s="383"/>
      <c r="H915" s="383"/>
      <c r="I915" s="383"/>
      <c r="J915" s="383"/>
      <c r="K915" s="383"/>
      <c r="L915" s="383"/>
      <c r="M915" s="383"/>
      <c r="N915" s="383"/>
      <c r="O915" s="383"/>
      <c r="P915" s="383"/>
      <c r="Q915" s="383"/>
      <c r="R915" s="383"/>
      <c r="S915" s="383"/>
      <c r="T915" s="383"/>
      <c r="U915" s="383"/>
      <c r="V915" s="383"/>
      <c r="W915" s="383"/>
      <c r="X915" s="383"/>
      <c r="Y915" s="383"/>
      <c r="Z915" s="383"/>
    </row>
    <row r="916">
      <c r="A916" s="389"/>
      <c r="B916" s="390"/>
      <c r="C916" s="391"/>
      <c r="D916" s="392"/>
      <c r="E916" s="383"/>
      <c r="F916" s="383"/>
      <c r="G916" s="383"/>
      <c r="H916" s="383"/>
      <c r="I916" s="383"/>
      <c r="J916" s="383"/>
      <c r="K916" s="383"/>
      <c r="L916" s="383"/>
      <c r="M916" s="383"/>
      <c r="N916" s="383"/>
      <c r="O916" s="383"/>
      <c r="P916" s="383"/>
      <c r="Q916" s="383"/>
      <c r="R916" s="383"/>
      <c r="S916" s="383"/>
      <c r="T916" s="383"/>
      <c r="U916" s="383"/>
      <c r="V916" s="383"/>
      <c r="W916" s="383"/>
      <c r="X916" s="383"/>
      <c r="Y916" s="383"/>
      <c r="Z916" s="383"/>
    </row>
    <row r="917">
      <c r="A917" s="389"/>
      <c r="B917" s="390"/>
      <c r="C917" s="391"/>
      <c r="D917" s="392"/>
      <c r="E917" s="383"/>
      <c r="F917" s="383"/>
      <c r="G917" s="383"/>
      <c r="H917" s="383"/>
      <c r="I917" s="383"/>
      <c r="J917" s="383"/>
      <c r="K917" s="383"/>
      <c r="L917" s="383"/>
      <c r="M917" s="383"/>
      <c r="N917" s="383"/>
      <c r="O917" s="383"/>
      <c r="P917" s="383"/>
      <c r="Q917" s="383"/>
      <c r="R917" s="383"/>
      <c r="S917" s="383"/>
      <c r="T917" s="383"/>
      <c r="U917" s="383"/>
      <c r="V917" s="383"/>
      <c r="W917" s="383"/>
      <c r="X917" s="383"/>
      <c r="Y917" s="383"/>
      <c r="Z917" s="383"/>
    </row>
    <row r="918">
      <c r="A918" s="389"/>
      <c r="B918" s="390"/>
      <c r="C918" s="391"/>
      <c r="D918" s="392"/>
      <c r="E918" s="383"/>
      <c r="F918" s="383"/>
      <c r="G918" s="383"/>
      <c r="H918" s="383"/>
      <c r="I918" s="383"/>
      <c r="J918" s="383"/>
      <c r="K918" s="383"/>
      <c r="L918" s="383"/>
      <c r="M918" s="383"/>
      <c r="N918" s="383"/>
      <c r="O918" s="383"/>
      <c r="P918" s="383"/>
      <c r="Q918" s="383"/>
      <c r="R918" s="383"/>
      <c r="S918" s="383"/>
      <c r="T918" s="383"/>
      <c r="U918" s="383"/>
      <c r="V918" s="383"/>
      <c r="W918" s="383"/>
      <c r="X918" s="383"/>
      <c r="Y918" s="383"/>
      <c r="Z918" s="383"/>
    </row>
    <row r="919">
      <c r="A919" s="389"/>
      <c r="B919" s="390"/>
      <c r="C919" s="391"/>
      <c r="D919" s="392"/>
      <c r="E919" s="383"/>
      <c r="F919" s="383"/>
      <c r="G919" s="383"/>
      <c r="H919" s="383"/>
      <c r="I919" s="383"/>
      <c r="J919" s="383"/>
      <c r="K919" s="383"/>
      <c r="L919" s="383"/>
      <c r="M919" s="383"/>
      <c r="N919" s="383"/>
      <c r="O919" s="383"/>
      <c r="P919" s="383"/>
      <c r="Q919" s="383"/>
      <c r="R919" s="383"/>
      <c r="S919" s="383"/>
      <c r="T919" s="383"/>
      <c r="U919" s="383"/>
      <c r="V919" s="383"/>
      <c r="W919" s="383"/>
      <c r="X919" s="383"/>
      <c r="Y919" s="383"/>
      <c r="Z919" s="383"/>
    </row>
    <row r="920">
      <c r="A920" s="389"/>
      <c r="B920" s="390"/>
      <c r="C920" s="391"/>
      <c r="D920" s="392"/>
      <c r="E920" s="383"/>
      <c r="F920" s="383"/>
      <c r="G920" s="383"/>
      <c r="H920" s="383"/>
      <c r="I920" s="383"/>
      <c r="J920" s="383"/>
      <c r="K920" s="383"/>
      <c r="L920" s="383"/>
      <c r="M920" s="383"/>
      <c r="N920" s="383"/>
      <c r="O920" s="383"/>
      <c r="P920" s="383"/>
      <c r="Q920" s="383"/>
      <c r="R920" s="383"/>
      <c r="S920" s="383"/>
      <c r="T920" s="383"/>
      <c r="U920" s="383"/>
      <c r="V920" s="383"/>
      <c r="W920" s="383"/>
      <c r="X920" s="383"/>
      <c r="Y920" s="383"/>
      <c r="Z920" s="383"/>
    </row>
    <row r="921">
      <c r="A921" s="389"/>
      <c r="B921" s="390"/>
      <c r="C921" s="391"/>
      <c r="D921" s="392"/>
      <c r="E921" s="383"/>
      <c r="F921" s="383"/>
      <c r="G921" s="383"/>
      <c r="H921" s="383"/>
      <c r="I921" s="383"/>
      <c r="J921" s="383"/>
      <c r="K921" s="383"/>
      <c r="L921" s="383"/>
      <c r="M921" s="383"/>
      <c r="N921" s="383"/>
      <c r="O921" s="383"/>
      <c r="P921" s="383"/>
      <c r="Q921" s="383"/>
      <c r="R921" s="383"/>
      <c r="S921" s="383"/>
      <c r="T921" s="383"/>
      <c r="U921" s="383"/>
      <c r="V921" s="383"/>
      <c r="W921" s="383"/>
      <c r="X921" s="383"/>
      <c r="Y921" s="383"/>
      <c r="Z921" s="383"/>
    </row>
    <row r="922">
      <c r="A922" s="389"/>
      <c r="B922" s="390"/>
      <c r="C922" s="391"/>
      <c r="D922" s="392"/>
      <c r="E922" s="383"/>
      <c r="F922" s="383"/>
      <c r="G922" s="383"/>
      <c r="H922" s="383"/>
      <c r="I922" s="383"/>
      <c r="J922" s="383"/>
      <c r="K922" s="383"/>
      <c r="L922" s="383"/>
      <c r="M922" s="383"/>
      <c r="N922" s="383"/>
      <c r="O922" s="383"/>
      <c r="P922" s="383"/>
      <c r="Q922" s="383"/>
      <c r="R922" s="383"/>
      <c r="S922" s="383"/>
      <c r="T922" s="383"/>
      <c r="U922" s="383"/>
      <c r="V922" s="383"/>
      <c r="W922" s="383"/>
      <c r="X922" s="383"/>
      <c r="Y922" s="383"/>
      <c r="Z922" s="383"/>
    </row>
    <row r="923">
      <c r="A923" s="389"/>
      <c r="B923" s="390"/>
      <c r="C923" s="391"/>
      <c r="D923" s="392"/>
      <c r="E923" s="383"/>
      <c r="F923" s="383"/>
      <c r="G923" s="383"/>
      <c r="H923" s="383"/>
      <c r="I923" s="383"/>
      <c r="J923" s="383"/>
      <c r="K923" s="383"/>
      <c r="L923" s="383"/>
      <c r="M923" s="383"/>
      <c r="N923" s="383"/>
      <c r="O923" s="383"/>
      <c r="P923" s="383"/>
      <c r="Q923" s="383"/>
      <c r="R923" s="383"/>
      <c r="S923" s="383"/>
      <c r="T923" s="383"/>
      <c r="U923" s="383"/>
      <c r="V923" s="383"/>
      <c r="W923" s="383"/>
      <c r="X923" s="383"/>
      <c r="Y923" s="383"/>
      <c r="Z923" s="383"/>
    </row>
    <row r="924">
      <c r="A924" s="389"/>
      <c r="B924" s="390"/>
      <c r="C924" s="391"/>
      <c r="D924" s="392"/>
      <c r="E924" s="383"/>
      <c r="F924" s="383"/>
      <c r="G924" s="383"/>
      <c r="H924" s="383"/>
      <c r="I924" s="383"/>
      <c r="J924" s="383"/>
      <c r="K924" s="383"/>
      <c r="L924" s="383"/>
      <c r="M924" s="383"/>
      <c r="N924" s="383"/>
      <c r="O924" s="383"/>
      <c r="P924" s="383"/>
      <c r="Q924" s="383"/>
      <c r="R924" s="383"/>
      <c r="S924" s="383"/>
      <c r="T924" s="383"/>
      <c r="U924" s="383"/>
      <c r="V924" s="383"/>
      <c r="W924" s="383"/>
      <c r="X924" s="383"/>
      <c r="Y924" s="383"/>
      <c r="Z924" s="383"/>
    </row>
    <row r="925">
      <c r="A925" s="389"/>
      <c r="B925" s="390"/>
      <c r="C925" s="391"/>
      <c r="D925" s="392"/>
      <c r="E925" s="383"/>
      <c r="F925" s="383"/>
      <c r="G925" s="383"/>
      <c r="H925" s="383"/>
      <c r="I925" s="383"/>
      <c r="J925" s="383"/>
      <c r="K925" s="383"/>
      <c r="L925" s="383"/>
      <c r="M925" s="383"/>
      <c r="N925" s="383"/>
      <c r="O925" s="383"/>
      <c r="P925" s="383"/>
      <c r="Q925" s="383"/>
      <c r="R925" s="383"/>
      <c r="S925" s="383"/>
      <c r="T925" s="383"/>
      <c r="U925" s="383"/>
      <c r="V925" s="383"/>
      <c r="W925" s="383"/>
      <c r="X925" s="383"/>
      <c r="Y925" s="383"/>
      <c r="Z925" s="383"/>
    </row>
    <row r="926">
      <c r="A926" s="389"/>
      <c r="B926" s="390"/>
      <c r="C926" s="391"/>
      <c r="D926" s="392"/>
      <c r="E926" s="383"/>
      <c r="F926" s="383"/>
      <c r="G926" s="383"/>
      <c r="H926" s="383"/>
      <c r="I926" s="383"/>
      <c r="J926" s="383"/>
      <c r="K926" s="383"/>
      <c r="L926" s="383"/>
      <c r="M926" s="383"/>
      <c r="N926" s="383"/>
      <c r="O926" s="383"/>
      <c r="P926" s="383"/>
      <c r="Q926" s="383"/>
      <c r="R926" s="383"/>
      <c r="S926" s="383"/>
      <c r="T926" s="383"/>
      <c r="U926" s="383"/>
      <c r="V926" s="383"/>
      <c r="W926" s="383"/>
      <c r="X926" s="383"/>
      <c r="Y926" s="383"/>
      <c r="Z926" s="383"/>
    </row>
    <row r="927">
      <c r="A927" s="389"/>
      <c r="B927" s="390"/>
      <c r="C927" s="391"/>
      <c r="D927" s="392"/>
      <c r="E927" s="383"/>
      <c r="F927" s="383"/>
      <c r="G927" s="383"/>
      <c r="H927" s="383"/>
      <c r="I927" s="383"/>
      <c r="J927" s="383"/>
      <c r="K927" s="383"/>
      <c r="L927" s="383"/>
      <c r="M927" s="383"/>
      <c r="N927" s="383"/>
      <c r="O927" s="383"/>
      <c r="P927" s="383"/>
      <c r="Q927" s="383"/>
      <c r="R927" s="383"/>
      <c r="S927" s="383"/>
      <c r="T927" s="383"/>
      <c r="U927" s="383"/>
      <c r="V927" s="383"/>
      <c r="W927" s="383"/>
      <c r="X927" s="383"/>
      <c r="Y927" s="383"/>
      <c r="Z927" s="383"/>
    </row>
    <row r="928">
      <c r="A928" s="389"/>
      <c r="B928" s="390"/>
      <c r="C928" s="391"/>
      <c r="D928" s="392"/>
      <c r="E928" s="383"/>
      <c r="F928" s="383"/>
      <c r="G928" s="383"/>
      <c r="H928" s="383"/>
      <c r="I928" s="383"/>
      <c r="J928" s="383"/>
      <c r="K928" s="383"/>
      <c r="L928" s="383"/>
      <c r="M928" s="383"/>
      <c r="N928" s="383"/>
      <c r="O928" s="383"/>
      <c r="P928" s="383"/>
      <c r="Q928" s="383"/>
      <c r="R928" s="383"/>
      <c r="S928" s="383"/>
      <c r="T928" s="383"/>
      <c r="U928" s="383"/>
      <c r="V928" s="383"/>
      <c r="W928" s="383"/>
      <c r="X928" s="383"/>
      <c r="Y928" s="383"/>
      <c r="Z928" s="383"/>
    </row>
    <row r="929">
      <c r="A929" s="389"/>
      <c r="B929" s="390"/>
      <c r="C929" s="391"/>
      <c r="D929" s="392"/>
      <c r="E929" s="383"/>
      <c r="F929" s="383"/>
      <c r="G929" s="383"/>
      <c r="H929" s="383"/>
      <c r="I929" s="383"/>
      <c r="J929" s="383"/>
      <c r="K929" s="383"/>
      <c r="L929" s="383"/>
      <c r="M929" s="383"/>
      <c r="N929" s="383"/>
      <c r="O929" s="383"/>
      <c r="P929" s="383"/>
      <c r="Q929" s="383"/>
      <c r="R929" s="383"/>
      <c r="S929" s="383"/>
      <c r="T929" s="383"/>
      <c r="U929" s="383"/>
      <c r="V929" s="383"/>
      <c r="W929" s="383"/>
      <c r="X929" s="383"/>
      <c r="Y929" s="383"/>
      <c r="Z929" s="383"/>
    </row>
    <row r="930">
      <c r="A930" s="389"/>
      <c r="B930" s="390"/>
      <c r="C930" s="391"/>
      <c r="D930" s="392"/>
      <c r="E930" s="383"/>
      <c r="F930" s="383"/>
      <c r="G930" s="383"/>
      <c r="H930" s="383"/>
      <c r="I930" s="383"/>
      <c r="J930" s="383"/>
      <c r="K930" s="383"/>
      <c r="L930" s="383"/>
      <c r="M930" s="383"/>
      <c r="N930" s="383"/>
      <c r="O930" s="383"/>
      <c r="P930" s="383"/>
      <c r="Q930" s="383"/>
      <c r="R930" s="383"/>
      <c r="S930" s="383"/>
      <c r="T930" s="383"/>
      <c r="U930" s="383"/>
      <c r="V930" s="383"/>
      <c r="W930" s="383"/>
      <c r="X930" s="383"/>
      <c r="Y930" s="383"/>
      <c r="Z930" s="383"/>
    </row>
    <row r="931">
      <c r="A931" s="389"/>
      <c r="B931" s="390"/>
      <c r="C931" s="391"/>
      <c r="D931" s="392"/>
      <c r="E931" s="383"/>
      <c r="F931" s="383"/>
      <c r="G931" s="383"/>
      <c r="H931" s="383"/>
      <c r="I931" s="383"/>
      <c r="J931" s="383"/>
      <c r="K931" s="383"/>
      <c r="L931" s="383"/>
      <c r="M931" s="383"/>
      <c r="N931" s="383"/>
      <c r="O931" s="383"/>
      <c r="P931" s="383"/>
      <c r="Q931" s="383"/>
      <c r="R931" s="383"/>
      <c r="S931" s="383"/>
      <c r="T931" s="383"/>
      <c r="U931" s="383"/>
      <c r="V931" s="383"/>
      <c r="W931" s="383"/>
      <c r="X931" s="383"/>
      <c r="Y931" s="383"/>
      <c r="Z931" s="383"/>
    </row>
    <row r="932">
      <c r="A932" s="389"/>
      <c r="B932" s="390"/>
      <c r="C932" s="391"/>
      <c r="D932" s="392"/>
      <c r="E932" s="383"/>
      <c r="F932" s="383"/>
      <c r="G932" s="383"/>
      <c r="H932" s="383"/>
      <c r="I932" s="383"/>
      <c r="J932" s="383"/>
      <c r="K932" s="383"/>
      <c r="L932" s="383"/>
      <c r="M932" s="383"/>
      <c r="N932" s="383"/>
      <c r="O932" s="383"/>
      <c r="P932" s="383"/>
      <c r="Q932" s="383"/>
      <c r="R932" s="383"/>
      <c r="S932" s="383"/>
      <c r="T932" s="383"/>
      <c r="U932" s="383"/>
      <c r="V932" s="383"/>
      <c r="W932" s="383"/>
      <c r="X932" s="383"/>
      <c r="Y932" s="383"/>
      <c r="Z932" s="383"/>
    </row>
    <row r="933">
      <c r="A933" s="389"/>
      <c r="B933" s="390"/>
      <c r="C933" s="391"/>
      <c r="D933" s="392"/>
      <c r="E933" s="383"/>
      <c r="F933" s="383"/>
      <c r="G933" s="383"/>
      <c r="H933" s="383"/>
      <c r="I933" s="383"/>
      <c r="J933" s="383"/>
      <c r="K933" s="383"/>
      <c r="L933" s="383"/>
      <c r="M933" s="383"/>
      <c r="N933" s="383"/>
      <c r="O933" s="383"/>
      <c r="P933" s="383"/>
      <c r="Q933" s="383"/>
      <c r="R933" s="383"/>
      <c r="S933" s="383"/>
      <c r="T933" s="383"/>
      <c r="U933" s="383"/>
      <c r="V933" s="383"/>
      <c r="W933" s="383"/>
      <c r="X933" s="383"/>
      <c r="Y933" s="383"/>
      <c r="Z933" s="383"/>
    </row>
    <row r="934">
      <c r="A934" s="389"/>
      <c r="B934" s="390"/>
      <c r="C934" s="391"/>
      <c r="D934" s="392"/>
      <c r="E934" s="383"/>
      <c r="F934" s="383"/>
      <c r="G934" s="383"/>
      <c r="H934" s="383"/>
      <c r="I934" s="383"/>
      <c r="J934" s="383"/>
      <c r="K934" s="383"/>
      <c r="L934" s="383"/>
      <c r="M934" s="383"/>
      <c r="N934" s="383"/>
      <c r="O934" s="383"/>
      <c r="P934" s="383"/>
      <c r="Q934" s="383"/>
      <c r="R934" s="383"/>
      <c r="S934" s="383"/>
      <c r="T934" s="383"/>
      <c r="U934" s="383"/>
      <c r="V934" s="383"/>
      <c r="W934" s="383"/>
      <c r="X934" s="383"/>
      <c r="Y934" s="383"/>
      <c r="Z934" s="383"/>
    </row>
    <row r="935">
      <c r="A935" s="389"/>
      <c r="B935" s="390"/>
      <c r="C935" s="391"/>
      <c r="D935" s="392"/>
      <c r="E935" s="383"/>
      <c r="F935" s="383"/>
      <c r="G935" s="383"/>
      <c r="H935" s="383"/>
      <c r="I935" s="383"/>
      <c r="J935" s="383"/>
      <c r="K935" s="383"/>
      <c r="L935" s="383"/>
      <c r="M935" s="383"/>
      <c r="N935" s="383"/>
      <c r="O935" s="383"/>
      <c r="P935" s="383"/>
      <c r="Q935" s="383"/>
      <c r="R935" s="383"/>
      <c r="S935" s="383"/>
      <c r="T935" s="383"/>
      <c r="U935" s="383"/>
      <c r="V935" s="383"/>
      <c r="W935" s="383"/>
      <c r="X935" s="383"/>
      <c r="Y935" s="383"/>
      <c r="Z935" s="383"/>
    </row>
    <row r="936">
      <c r="A936" s="389"/>
      <c r="B936" s="390"/>
      <c r="C936" s="391"/>
      <c r="D936" s="392"/>
      <c r="E936" s="383"/>
      <c r="F936" s="383"/>
      <c r="G936" s="383"/>
      <c r="H936" s="383"/>
      <c r="I936" s="383"/>
      <c r="J936" s="383"/>
      <c r="K936" s="383"/>
      <c r="L936" s="383"/>
      <c r="M936" s="383"/>
      <c r="N936" s="383"/>
      <c r="O936" s="383"/>
      <c r="P936" s="383"/>
      <c r="Q936" s="383"/>
      <c r="R936" s="383"/>
      <c r="S936" s="383"/>
      <c r="T936" s="383"/>
      <c r="U936" s="383"/>
      <c r="V936" s="383"/>
      <c r="W936" s="383"/>
      <c r="X936" s="383"/>
      <c r="Y936" s="383"/>
      <c r="Z936" s="383"/>
    </row>
    <row r="937">
      <c r="A937" s="389"/>
      <c r="B937" s="390"/>
      <c r="C937" s="391"/>
      <c r="D937" s="392"/>
      <c r="E937" s="383"/>
      <c r="F937" s="383"/>
      <c r="G937" s="383"/>
      <c r="H937" s="383"/>
      <c r="I937" s="383"/>
      <c r="J937" s="383"/>
      <c r="K937" s="383"/>
      <c r="L937" s="383"/>
      <c r="M937" s="383"/>
      <c r="N937" s="383"/>
      <c r="O937" s="383"/>
      <c r="P937" s="383"/>
      <c r="Q937" s="383"/>
      <c r="R937" s="383"/>
      <c r="S937" s="383"/>
      <c r="T937" s="383"/>
      <c r="U937" s="383"/>
      <c r="V937" s="383"/>
      <c r="W937" s="383"/>
      <c r="X937" s="383"/>
      <c r="Y937" s="383"/>
      <c r="Z937" s="383"/>
    </row>
    <row r="938">
      <c r="A938" s="389"/>
      <c r="B938" s="390"/>
      <c r="C938" s="391"/>
      <c r="D938" s="392"/>
      <c r="E938" s="383"/>
      <c r="F938" s="383"/>
      <c r="G938" s="383"/>
      <c r="H938" s="383"/>
      <c r="I938" s="383"/>
      <c r="J938" s="383"/>
      <c r="K938" s="383"/>
      <c r="L938" s="383"/>
      <c r="M938" s="383"/>
      <c r="N938" s="383"/>
      <c r="O938" s="383"/>
      <c r="P938" s="383"/>
      <c r="Q938" s="383"/>
      <c r="R938" s="383"/>
      <c r="S938" s="383"/>
      <c r="T938" s="383"/>
      <c r="U938" s="383"/>
      <c r="V938" s="383"/>
      <c r="W938" s="383"/>
      <c r="X938" s="383"/>
      <c r="Y938" s="383"/>
      <c r="Z938" s="383"/>
    </row>
    <row r="939">
      <c r="A939" s="389"/>
      <c r="B939" s="390"/>
      <c r="C939" s="391"/>
      <c r="D939" s="392"/>
      <c r="E939" s="383"/>
      <c r="F939" s="383"/>
      <c r="G939" s="383"/>
      <c r="H939" s="383"/>
      <c r="I939" s="383"/>
      <c r="J939" s="383"/>
      <c r="K939" s="383"/>
      <c r="L939" s="383"/>
      <c r="M939" s="383"/>
      <c r="N939" s="383"/>
      <c r="O939" s="383"/>
      <c r="P939" s="383"/>
      <c r="Q939" s="383"/>
      <c r="R939" s="383"/>
      <c r="S939" s="383"/>
      <c r="T939" s="383"/>
      <c r="U939" s="383"/>
      <c r="V939" s="383"/>
      <c r="W939" s="383"/>
      <c r="X939" s="383"/>
      <c r="Y939" s="383"/>
      <c r="Z939" s="383"/>
    </row>
    <row r="940">
      <c r="A940" s="389"/>
      <c r="B940" s="390"/>
      <c r="C940" s="391"/>
      <c r="D940" s="392"/>
      <c r="E940" s="383"/>
      <c r="F940" s="383"/>
      <c r="G940" s="383"/>
      <c r="H940" s="383"/>
      <c r="I940" s="383"/>
      <c r="J940" s="383"/>
      <c r="K940" s="383"/>
      <c r="L940" s="383"/>
      <c r="M940" s="383"/>
      <c r="N940" s="383"/>
      <c r="O940" s="383"/>
      <c r="P940" s="383"/>
      <c r="Q940" s="383"/>
      <c r="R940" s="383"/>
      <c r="S940" s="383"/>
      <c r="T940" s="383"/>
      <c r="U940" s="383"/>
      <c r="V940" s="383"/>
      <c r="W940" s="383"/>
      <c r="X940" s="383"/>
      <c r="Y940" s="383"/>
      <c r="Z940" s="383"/>
    </row>
    <row r="941">
      <c r="A941" s="389"/>
      <c r="B941" s="390"/>
      <c r="C941" s="391"/>
      <c r="D941" s="392"/>
      <c r="E941" s="383"/>
      <c r="F941" s="383"/>
      <c r="G941" s="383"/>
      <c r="H941" s="383"/>
      <c r="I941" s="383"/>
      <c r="J941" s="383"/>
      <c r="K941" s="383"/>
      <c r="L941" s="383"/>
      <c r="M941" s="383"/>
      <c r="N941" s="383"/>
      <c r="O941" s="383"/>
      <c r="P941" s="383"/>
      <c r="Q941" s="383"/>
      <c r="R941" s="383"/>
      <c r="S941" s="383"/>
      <c r="T941" s="383"/>
      <c r="U941" s="383"/>
      <c r="V941" s="383"/>
      <c r="W941" s="383"/>
      <c r="X941" s="383"/>
      <c r="Y941" s="383"/>
      <c r="Z941" s="383"/>
    </row>
    <row r="942">
      <c r="A942" s="389"/>
      <c r="B942" s="390"/>
      <c r="C942" s="391"/>
      <c r="D942" s="392"/>
      <c r="E942" s="383"/>
      <c r="F942" s="383"/>
      <c r="G942" s="383"/>
      <c r="H942" s="383"/>
      <c r="I942" s="383"/>
      <c r="J942" s="383"/>
      <c r="K942" s="383"/>
      <c r="L942" s="383"/>
      <c r="M942" s="383"/>
      <c r="N942" s="383"/>
      <c r="O942" s="383"/>
      <c r="P942" s="383"/>
      <c r="Q942" s="383"/>
      <c r="R942" s="383"/>
      <c r="S942" s="383"/>
      <c r="T942" s="383"/>
      <c r="U942" s="383"/>
      <c r="V942" s="383"/>
      <c r="W942" s="383"/>
      <c r="X942" s="383"/>
      <c r="Y942" s="383"/>
      <c r="Z942" s="383"/>
    </row>
    <row r="943">
      <c r="A943" s="389"/>
      <c r="B943" s="390"/>
      <c r="C943" s="391"/>
      <c r="D943" s="392"/>
      <c r="E943" s="383"/>
      <c r="F943" s="383"/>
      <c r="G943" s="383"/>
      <c r="H943" s="383"/>
      <c r="I943" s="383"/>
      <c r="J943" s="383"/>
      <c r="K943" s="383"/>
      <c r="L943" s="383"/>
      <c r="M943" s="383"/>
      <c r="N943" s="383"/>
      <c r="O943" s="383"/>
      <c r="P943" s="383"/>
      <c r="Q943" s="383"/>
      <c r="R943" s="383"/>
      <c r="S943" s="383"/>
      <c r="T943" s="383"/>
      <c r="U943" s="383"/>
      <c r="V943" s="383"/>
      <c r="W943" s="383"/>
      <c r="X943" s="383"/>
      <c r="Y943" s="383"/>
      <c r="Z943" s="383"/>
    </row>
    <row r="944">
      <c r="A944" s="389"/>
      <c r="B944" s="390"/>
      <c r="C944" s="391"/>
      <c r="D944" s="392"/>
      <c r="E944" s="383"/>
      <c r="F944" s="383"/>
      <c r="G944" s="383"/>
      <c r="H944" s="383"/>
      <c r="I944" s="383"/>
      <c r="J944" s="383"/>
      <c r="K944" s="383"/>
      <c r="L944" s="383"/>
      <c r="M944" s="383"/>
      <c r="N944" s="383"/>
      <c r="O944" s="383"/>
      <c r="P944" s="383"/>
      <c r="Q944" s="383"/>
      <c r="R944" s="383"/>
      <c r="S944" s="383"/>
      <c r="T944" s="383"/>
      <c r="U944" s="383"/>
      <c r="V944" s="383"/>
      <c r="W944" s="383"/>
      <c r="X944" s="383"/>
      <c r="Y944" s="383"/>
      <c r="Z944" s="383"/>
    </row>
    <row r="945">
      <c r="A945" s="389"/>
      <c r="B945" s="390"/>
      <c r="C945" s="391"/>
      <c r="D945" s="392"/>
      <c r="E945" s="383"/>
      <c r="F945" s="383"/>
      <c r="G945" s="383"/>
      <c r="H945" s="383"/>
      <c r="I945" s="383"/>
      <c r="J945" s="383"/>
      <c r="K945" s="383"/>
      <c r="L945" s="383"/>
      <c r="M945" s="383"/>
      <c r="N945" s="383"/>
      <c r="O945" s="383"/>
      <c r="P945" s="383"/>
      <c r="Q945" s="383"/>
      <c r="R945" s="383"/>
      <c r="S945" s="383"/>
      <c r="T945" s="383"/>
      <c r="U945" s="383"/>
      <c r="V945" s="383"/>
      <c r="W945" s="383"/>
      <c r="X945" s="383"/>
      <c r="Y945" s="383"/>
      <c r="Z945" s="383"/>
    </row>
    <row r="946">
      <c r="A946" s="389"/>
      <c r="B946" s="390"/>
      <c r="C946" s="391"/>
      <c r="D946" s="392"/>
      <c r="E946" s="383"/>
      <c r="F946" s="383"/>
      <c r="G946" s="383"/>
      <c r="H946" s="383"/>
      <c r="I946" s="383"/>
      <c r="J946" s="383"/>
      <c r="K946" s="383"/>
      <c r="L946" s="383"/>
      <c r="M946" s="383"/>
      <c r="N946" s="383"/>
      <c r="O946" s="383"/>
      <c r="P946" s="383"/>
      <c r="Q946" s="383"/>
      <c r="R946" s="383"/>
      <c r="S946" s="383"/>
      <c r="T946" s="383"/>
      <c r="U946" s="383"/>
      <c r="V946" s="383"/>
      <c r="W946" s="383"/>
      <c r="X946" s="383"/>
      <c r="Y946" s="383"/>
      <c r="Z946" s="383"/>
    </row>
    <row r="947">
      <c r="A947" s="389"/>
      <c r="B947" s="390"/>
      <c r="C947" s="391"/>
      <c r="D947" s="392"/>
      <c r="E947" s="383"/>
      <c r="F947" s="383"/>
      <c r="G947" s="383"/>
      <c r="H947" s="383"/>
      <c r="I947" s="383"/>
      <c r="J947" s="383"/>
      <c r="K947" s="383"/>
      <c r="L947" s="383"/>
      <c r="M947" s="383"/>
      <c r="N947" s="383"/>
      <c r="O947" s="383"/>
      <c r="P947" s="383"/>
      <c r="Q947" s="383"/>
      <c r="R947" s="383"/>
      <c r="S947" s="383"/>
      <c r="T947" s="383"/>
      <c r="U947" s="383"/>
      <c r="V947" s="383"/>
      <c r="W947" s="383"/>
      <c r="X947" s="383"/>
      <c r="Y947" s="383"/>
      <c r="Z947" s="383"/>
    </row>
    <row r="948">
      <c r="A948" s="389"/>
      <c r="B948" s="390"/>
      <c r="C948" s="391"/>
      <c r="D948" s="392"/>
      <c r="E948" s="383"/>
      <c r="F948" s="383"/>
      <c r="G948" s="383"/>
      <c r="H948" s="383"/>
      <c r="I948" s="383"/>
      <c r="J948" s="383"/>
      <c r="K948" s="383"/>
      <c r="L948" s="383"/>
      <c r="M948" s="383"/>
      <c r="N948" s="383"/>
      <c r="O948" s="383"/>
      <c r="P948" s="383"/>
      <c r="Q948" s="383"/>
      <c r="R948" s="383"/>
      <c r="S948" s="383"/>
      <c r="T948" s="383"/>
      <c r="U948" s="383"/>
      <c r="V948" s="383"/>
      <c r="W948" s="383"/>
      <c r="X948" s="383"/>
      <c r="Y948" s="383"/>
      <c r="Z948" s="383"/>
    </row>
    <row r="949">
      <c r="A949" s="389"/>
      <c r="B949" s="390"/>
      <c r="C949" s="391"/>
      <c r="D949" s="392"/>
      <c r="E949" s="383"/>
      <c r="F949" s="383"/>
      <c r="G949" s="383"/>
      <c r="H949" s="383"/>
      <c r="I949" s="383"/>
      <c r="J949" s="383"/>
      <c r="K949" s="383"/>
      <c r="L949" s="383"/>
      <c r="M949" s="383"/>
      <c r="N949" s="383"/>
      <c r="O949" s="383"/>
      <c r="P949" s="383"/>
      <c r="Q949" s="383"/>
      <c r="R949" s="383"/>
      <c r="S949" s="383"/>
      <c r="T949" s="383"/>
      <c r="U949" s="383"/>
      <c r="V949" s="383"/>
      <c r="W949" s="383"/>
      <c r="X949" s="383"/>
      <c r="Y949" s="383"/>
      <c r="Z949" s="383"/>
    </row>
    <row r="950">
      <c r="A950" s="389"/>
      <c r="B950" s="390"/>
      <c r="C950" s="391"/>
      <c r="D950" s="392"/>
      <c r="E950" s="383"/>
      <c r="F950" s="383"/>
      <c r="G950" s="383"/>
      <c r="H950" s="383"/>
      <c r="I950" s="383"/>
      <c r="J950" s="383"/>
      <c r="K950" s="383"/>
      <c r="L950" s="383"/>
      <c r="M950" s="383"/>
      <c r="N950" s="383"/>
      <c r="O950" s="383"/>
      <c r="P950" s="383"/>
      <c r="Q950" s="383"/>
      <c r="R950" s="383"/>
      <c r="S950" s="383"/>
      <c r="T950" s="383"/>
      <c r="U950" s="383"/>
      <c r="V950" s="383"/>
      <c r="W950" s="383"/>
      <c r="X950" s="383"/>
      <c r="Y950" s="383"/>
      <c r="Z950" s="383"/>
    </row>
    <row r="951">
      <c r="A951" s="389"/>
      <c r="B951" s="390"/>
      <c r="C951" s="391"/>
      <c r="D951" s="392"/>
      <c r="E951" s="383"/>
      <c r="F951" s="383"/>
      <c r="G951" s="383"/>
      <c r="H951" s="383"/>
      <c r="I951" s="383"/>
      <c r="J951" s="383"/>
      <c r="K951" s="383"/>
      <c r="L951" s="383"/>
      <c r="M951" s="383"/>
      <c r="N951" s="383"/>
      <c r="O951" s="383"/>
      <c r="P951" s="383"/>
      <c r="Q951" s="383"/>
      <c r="R951" s="383"/>
      <c r="S951" s="383"/>
      <c r="T951" s="383"/>
      <c r="U951" s="383"/>
      <c r="V951" s="383"/>
      <c r="W951" s="383"/>
      <c r="X951" s="383"/>
      <c r="Y951" s="383"/>
      <c r="Z951" s="383"/>
    </row>
    <row r="952">
      <c r="A952" s="389"/>
      <c r="B952" s="390"/>
      <c r="C952" s="391"/>
      <c r="D952" s="392"/>
      <c r="E952" s="383"/>
      <c r="F952" s="383"/>
      <c r="G952" s="383"/>
      <c r="H952" s="383"/>
      <c r="I952" s="383"/>
      <c r="J952" s="383"/>
      <c r="K952" s="383"/>
      <c r="L952" s="383"/>
      <c r="M952" s="383"/>
      <c r="N952" s="383"/>
      <c r="O952" s="383"/>
      <c r="P952" s="383"/>
      <c r="Q952" s="383"/>
      <c r="R952" s="383"/>
      <c r="S952" s="383"/>
      <c r="T952" s="383"/>
      <c r="U952" s="383"/>
      <c r="V952" s="383"/>
      <c r="W952" s="383"/>
      <c r="X952" s="383"/>
      <c r="Y952" s="383"/>
      <c r="Z952" s="383"/>
    </row>
    <row r="953">
      <c r="A953" s="389"/>
      <c r="B953" s="390"/>
      <c r="C953" s="391"/>
      <c r="D953" s="392"/>
      <c r="E953" s="383"/>
      <c r="F953" s="383"/>
      <c r="G953" s="383"/>
      <c r="H953" s="383"/>
      <c r="I953" s="383"/>
      <c r="J953" s="383"/>
      <c r="K953" s="383"/>
      <c r="L953" s="383"/>
      <c r="M953" s="383"/>
      <c r="N953" s="383"/>
      <c r="O953" s="383"/>
      <c r="P953" s="383"/>
      <c r="Q953" s="383"/>
      <c r="R953" s="383"/>
      <c r="S953" s="383"/>
      <c r="T953" s="383"/>
      <c r="U953" s="383"/>
      <c r="V953" s="383"/>
      <c r="W953" s="383"/>
      <c r="X953" s="383"/>
      <c r="Y953" s="383"/>
      <c r="Z953" s="383"/>
    </row>
    <row r="954">
      <c r="A954" s="389"/>
      <c r="B954" s="390"/>
      <c r="C954" s="391"/>
      <c r="D954" s="392"/>
      <c r="E954" s="383"/>
      <c r="F954" s="383"/>
      <c r="G954" s="383"/>
      <c r="H954" s="383"/>
      <c r="I954" s="383"/>
      <c r="J954" s="383"/>
      <c r="K954" s="383"/>
      <c r="L954" s="383"/>
      <c r="M954" s="383"/>
      <c r="N954" s="383"/>
      <c r="O954" s="383"/>
      <c r="P954" s="383"/>
      <c r="Q954" s="383"/>
      <c r="R954" s="383"/>
      <c r="S954" s="383"/>
      <c r="T954" s="383"/>
      <c r="U954" s="383"/>
      <c r="V954" s="383"/>
      <c r="W954" s="383"/>
      <c r="X954" s="383"/>
      <c r="Y954" s="383"/>
      <c r="Z954" s="383"/>
    </row>
    <row r="955">
      <c r="A955" s="389"/>
      <c r="B955" s="390"/>
      <c r="C955" s="391"/>
      <c r="D955" s="392"/>
      <c r="E955" s="383"/>
      <c r="F955" s="383"/>
      <c r="G955" s="383"/>
      <c r="H955" s="383"/>
      <c r="I955" s="383"/>
      <c r="J955" s="383"/>
      <c r="K955" s="383"/>
      <c r="L955" s="383"/>
      <c r="M955" s="383"/>
      <c r="N955" s="383"/>
      <c r="O955" s="383"/>
      <c r="P955" s="383"/>
      <c r="Q955" s="383"/>
      <c r="R955" s="383"/>
      <c r="S955" s="383"/>
      <c r="T955" s="383"/>
      <c r="U955" s="383"/>
      <c r="V955" s="383"/>
      <c r="W955" s="383"/>
      <c r="X955" s="383"/>
      <c r="Y955" s="383"/>
      <c r="Z955" s="383"/>
    </row>
    <row r="956">
      <c r="A956" s="389"/>
      <c r="B956" s="390"/>
      <c r="C956" s="391"/>
      <c r="D956" s="392"/>
      <c r="E956" s="383"/>
      <c r="F956" s="383"/>
      <c r="G956" s="383"/>
      <c r="H956" s="383"/>
      <c r="I956" s="383"/>
      <c r="J956" s="383"/>
      <c r="K956" s="383"/>
      <c r="L956" s="383"/>
      <c r="M956" s="383"/>
      <c r="N956" s="383"/>
      <c r="O956" s="383"/>
      <c r="P956" s="383"/>
      <c r="Q956" s="383"/>
      <c r="R956" s="383"/>
      <c r="S956" s="383"/>
      <c r="T956" s="383"/>
      <c r="U956" s="383"/>
      <c r="V956" s="383"/>
      <c r="W956" s="383"/>
      <c r="X956" s="383"/>
      <c r="Y956" s="383"/>
      <c r="Z956" s="383"/>
    </row>
    <row r="957">
      <c r="A957" s="389"/>
      <c r="B957" s="390"/>
      <c r="C957" s="391"/>
      <c r="D957" s="392"/>
      <c r="E957" s="383"/>
      <c r="F957" s="383"/>
      <c r="G957" s="383"/>
      <c r="H957" s="383"/>
      <c r="I957" s="383"/>
      <c r="J957" s="383"/>
      <c r="K957" s="383"/>
      <c r="L957" s="383"/>
      <c r="M957" s="383"/>
      <c r="N957" s="383"/>
      <c r="O957" s="383"/>
      <c r="P957" s="383"/>
      <c r="Q957" s="383"/>
      <c r="R957" s="383"/>
      <c r="S957" s="383"/>
      <c r="T957" s="383"/>
      <c r="U957" s="383"/>
      <c r="V957" s="383"/>
      <c r="W957" s="383"/>
      <c r="X957" s="383"/>
      <c r="Y957" s="383"/>
      <c r="Z957" s="383"/>
    </row>
    <row r="958">
      <c r="A958" s="389"/>
      <c r="B958" s="390"/>
      <c r="C958" s="391"/>
      <c r="D958" s="392"/>
      <c r="E958" s="383"/>
      <c r="F958" s="383"/>
      <c r="G958" s="383"/>
      <c r="H958" s="383"/>
      <c r="I958" s="383"/>
      <c r="J958" s="383"/>
      <c r="K958" s="383"/>
      <c r="L958" s="383"/>
      <c r="M958" s="383"/>
      <c r="N958" s="383"/>
      <c r="O958" s="383"/>
      <c r="P958" s="383"/>
      <c r="Q958" s="383"/>
      <c r="R958" s="383"/>
      <c r="S958" s="383"/>
      <c r="T958" s="383"/>
      <c r="U958" s="383"/>
      <c r="V958" s="383"/>
      <c r="W958" s="383"/>
      <c r="X958" s="383"/>
      <c r="Y958" s="383"/>
      <c r="Z958" s="383"/>
    </row>
    <row r="959">
      <c r="A959" s="389"/>
      <c r="B959" s="390"/>
      <c r="C959" s="391"/>
      <c r="D959" s="392"/>
      <c r="E959" s="383"/>
      <c r="F959" s="383"/>
      <c r="G959" s="383"/>
      <c r="H959" s="383"/>
      <c r="I959" s="383"/>
      <c r="J959" s="383"/>
      <c r="K959" s="383"/>
      <c r="L959" s="383"/>
      <c r="M959" s="383"/>
      <c r="N959" s="383"/>
      <c r="O959" s="383"/>
      <c r="P959" s="383"/>
      <c r="Q959" s="383"/>
      <c r="R959" s="383"/>
      <c r="S959" s="383"/>
      <c r="T959" s="383"/>
      <c r="U959" s="383"/>
      <c r="V959" s="383"/>
      <c r="W959" s="383"/>
      <c r="X959" s="383"/>
      <c r="Y959" s="383"/>
      <c r="Z959" s="383"/>
    </row>
    <row r="960">
      <c r="A960" s="389"/>
      <c r="B960" s="390"/>
      <c r="C960" s="391"/>
      <c r="D960" s="392"/>
      <c r="E960" s="383"/>
      <c r="F960" s="383"/>
      <c r="G960" s="383"/>
      <c r="H960" s="383"/>
      <c r="I960" s="383"/>
      <c r="J960" s="383"/>
      <c r="K960" s="383"/>
      <c r="L960" s="383"/>
      <c r="M960" s="383"/>
      <c r="N960" s="383"/>
      <c r="O960" s="383"/>
      <c r="P960" s="383"/>
      <c r="Q960" s="383"/>
      <c r="R960" s="383"/>
      <c r="S960" s="383"/>
      <c r="T960" s="383"/>
      <c r="U960" s="383"/>
      <c r="V960" s="383"/>
      <c r="W960" s="383"/>
      <c r="X960" s="383"/>
      <c r="Y960" s="383"/>
      <c r="Z960" s="383"/>
    </row>
    <row r="961">
      <c r="A961" s="389"/>
      <c r="B961" s="390"/>
      <c r="C961" s="391"/>
      <c r="D961" s="392"/>
      <c r="E961" s="383"/>
      <c r="F961" s="383"/>
      <c r="G961" s="383"/>
      <c r="H961" s="383"/>
      <c r="I961" s="383"/>
      <c r="J961" s="383"/>
      <c r="K961" s="383"/>
      <c r="L961" s="383"/>
      <c r="M961" s="383"/>
      <c r="N961" s="383"/>
      <c r="O961" s="383"/>
      <c r="P961" s="383"/>
      <c r="Q961" s="383"/>
      <c r="R961" s="383"/>
      <c r="S961" s="383"/>
      <c r="T961" s="383"/>
      <c r="U961" s="383"/>
      <c r="V961" s="383"/>
      <c r="W961" s="383"/>
      <c r="X961" s="383"/>
      <c r="Y961" s="383"/>
      <c r="Z961" s="383"/>
    </row>
    <row r="962">
      <c r="A962" s="389"/>
      <c r="B962" s="390"/>
      <c r="C962" s="391"/>
      <c r="D962" s="392"/>
      <c r="E962" s="383"/>
      <c r="F962" s="383"/>
      <c r="G962" s="383"/>
      <c r="H962" s="383"/>
      <c r="I962" s="383"/>
      <c r="J962" s="383"/>
      <c r="K962" s="383"/>
      <c r="L962" s="383"/>
      <c r="M962" s="383"/>
      <c r="N962" s="383"/>
      <c r="O962" s="383"/>
      <c r="P962" s="383"/>
      <c r="Q962" s="383"/>
      <c r="R962" s="383"/>
      <c r="S962" s="383"/>
      <c r="T962" s="383"/>
      <c r="U962" s="383"/>
      <c r="V962" s="383"/>
      <c r="W962" s="383"/>
      <c r="X962" s="383"/>
      <c r="Y962" s="383"/>
      <c r="Z962" s="383"/>
    </row>
    <row r="963">
      <c r="A963" s="389"/>
      <c r="B963" s="390"/>
      <c r="C963" s="391"/>
      <c r="D963" s="392"/>
      <c r="E963" s="383"/>
      <c r="F963" s="383"/>
      <c r="G963" s="383"/>
      <c r="H963" s="383"/>
      <c r="I963" s="383"/>
      <c r="J963" s="383"/>
      <c r="K963" s="383"/>
      <c r="L963" s="383"/>
      <c r="M963" s="383"/>
      <c r="N963" s="383"/>
      <c r="O963" s="383"/>
      <c r="P963" s="383"/>
      <c r="Q963" s="383"/>
      <c r="R963" s="383"/>
      <c r="S963" s="383"/>
      <c r="T963" s="383"/>
      <c r="U963" s="383"/>
      <c r="V963" s="383"/>
      <c r="W963" s="383"/>
      <c r="X963" s="383"/>
      <c r="Y963" s="383"/>
      <c r="Z963" s="383"/>
    </row>
    <row r="964">
      <c r="A964" s="389"/>
      <c r="B964" s="390"/>
      <c r="C964" s="391"/>
      <c r="D964" s="392"/>
      <c r="E964" s="383"/>
      <c r="F964" s="383"/>
      <c r="G964" s="383"/>
      <c r="H964" s="383"/>
      <c r="I964" s="383"/>
      <c r="J964" s="383"/>
      <c r="K964" s="383"/>
      <c r="L964" s="383"/>
      <c r="M964" s="383"/>
      <c r="N964" s="383"/>
      <c r="O964" s="383"/>
      <c r="P964" s="383"/>
      <c r="Q964" s="383"/>
      <c r="R964" s="383"/>
      <c r="S964" s="383"/>
      <c r="T964" s="383"/>
      <c r="U964" s="383"/>
      <c r="V964" s="383"/>
      <c r="W964" s="383"/>
      <c r="X964" s="383"/>
      <c r="Y964" s="383"/>
      <c r="Z964" s="383"/>
    </row>
    <row r="965">
      <c r="A965" s="389"/>
      <c r="B965" s="390"/>
      <c r="C965" s="391"/>
      <c r="D965" s="392"/>
      <c r="E965" s="383"/>
      <c r="F965" s="383"/>
      <c r="G965" s="383"/>
      <c r="H965" s="383"/>
      <c r="I965" s="383"/>
      <c r="J965" s="383"/>
      <c r="K965" s="383"/>
      <c r="L965" s="383"/>
      <c r="M965" s="383"/>
      <c r="N965" s="383"/>
      <c r="O965" s="383"/>
      <c r="P965" s="383"/>
      <c r="Q965" s="383"/>
      <c r="R965" s="383"/>
      <c r="S965" s="383"/>
      <c r="T965" s="383"/>
      <c r="U965" s="383"/>
      <c r="V965" s="383"/>
      <c r="W965" s="383"/>
      <c r="X965" s="383"/>
      <c r="Y965" s="383"/>
      <c r="Z965" s="383"/>
    </row>
    <row r="966">
      <c r="A966" s="389"/>
      <c r="B966" s="390"/>
      <c r="C966" s="391"/>
      <c r="D966" s="392"/>
      <c r="E966" s="383"/>
      <c r="F966" s="383"/>
      <c r="G966" s="383"/>
      <c r="H966" s="383"/>
      <c r="I966" s="383"/>
      <c r="J966" s="383"/>
      <c r="K966" s="383"/>
      <c r="L966" s="383"/>
      <c r="M966" s="383"/>
      <c r="N966" s="383"/>
      <c r="O966" s="383"/>
      <c r="P966" s="383"/>
      <c r="Q966" s="383"/>
      <c r="R966" s="383"/>
      <c r="S966" s="383"/>
      <c r="T966" s="383"/>
      <c r="U966" s="383"/>
      <c r="V966" s="383"/>
      <c r="W966" s="383"/>
      <c r="X966" s="383"/>
      <c r="Y966" s="383"/>
      <c r="Z966" s="383"/>
    </row>
    <row r="967">
      <c r="A967" s="389"/>
      <c r="B967" s="390"/>
      <c r="C967" s="391"/>
      <c r="D967" s="392"/>
      <c r="E967" s="383"/>
      <c r="F967" s="383"/>
      <c r="G967" s="383"/>
      <c r="H967" s="383"/>
      <c r="I967" s="383"/>
      <c r="J967" s="383"/>
      <c r="K967" s="383"/>
      <c r="L967" s="383"/>
      <c r="M967" s="383"/>
      <c r="N967" s="383"/>
      <c r="O967" s="383"/>
      <c r="P967" s="383"/>
      <c r="Q967" s="383"/>
      <c r="R967" s="383"/>
      <c r="S967" s="383"/>
      <c r="T967" s="383"/>
      <c r="U967" s="383"/>
      <c r="V967" s="383"/>
      <c r="W967" s="383"/>
      <c r="X967" s="383"/>
      <c r="Y967" s="383"/>
      <c r="Z967" s="383"/>
    </row>
    <row r="968">
      <c r="A968" s="389"/>
      <c r="B968" s="390"/>
      <c r="C968" s="391"/>
      <c r="D968" s="392"/>
      <c r="E968" s="383"/>
      <c r="F968" s="383"/>
      <c r="G968" s="383"/>
      <c r="H968" s="383"/>
      <c r="I968" s="383"/>
      <c r="J968" s="383"/>
      <c r="K968" s="383"/>
      <c r="L968" s="383"/>
      <c r="M968" s="383"/>
      <c r="N968" s="383"/>
      <c r="O968" s="383"/>
      <c r="P968" s="383"/>
      <c r="Q968" s="383"/>
      <c r="R968" s="383"/>
      <c r="S968" s="383"/>
      <c r="T968" s="383"/>
      <c r="U968" s="383"/>
      <c r="V968" s="383"/>
      <c r="W968" s="383"/>
      <c r="X968" s="383"/>
      <c r="Y968" s="383"/>
      <c r="Z968" s="383"/>
    </row>
    <row r="969">
      <c r="A969" s="389"/>
      <c r="B969" s="390"/>
      <c r="C969" s="391"/>
      <c r="D969" s="392"/>
      <c r="E969" s="383"/>
      <c r="F969" s="383"/>
      <c r="G969" s="383"/>
      <c r="H969" s="383"/>
      <c r="I969" s="383"/>
      <c r="J969" s="383"/>
      <c r="K969" s="383"/>
      <c r="L969" s="383"/>
      <c r="M969" s="383"/>
      <c r="N969" s="383"/>
      <c r="O969" s="383"/>
      <c r="P969" s="383"/>
      <c r="Q969" s="383"/>
      <c r="R969" s="383"/>
      <c r="S969" s="383"/>
      <c r="T969" s="383"/>
      <c r="U969" s="383"/>
      <c r="V969" s="383"/>
      <c r="W969" s="383"/>
      <c r="X969" s="383"/>
      <c r="Y969" s="383"/>
      <c r="Z969" s="383"/>
    </row>
    <row r="970">
      <c r="A970" s="389"/>
      <c r="B970" s="390"/>
      <c r="C970" s="391"/>
      <c r="D970" s="392"/>
      <c r="E970" s="383"/>
      <c r="F970" s="383"/>
      <c r="G970" s="383"/>
      <c r="H970" s="383"/>
      <c r="I970" s="383"/>
      <c r="J970" s="383"/>
      <c r="K970" s="383"/>
      <c r="L970" s="383"/>
      <c r="M970" s="383"/>
      <c r="N970" s="383"/>
      <c r="O970" s="383"/>
      <c r="P970" s="383"/>
      <c r="Q970" s="383"/>
      <c r="R970" s="383"/>
      <c r="S970" s="383"/>
      <c r="T970" s="383"/>
      <c r="U970" s="383"/>
      <c r="V970" s="383"/>
      <c r="W970" s="383"/>
      <c r="X970" s="383"/>
      <c r="Y970" s="383"/>
      <c r="Z970" s="383"/>
    </row>
    <row r="971">
      <c r="A971" s="389"/>
      <c r="B971" s="390"/>
      <c r="C971" s="391"/>
      <c r="D971" s="392"/>
      <c r="E971" s="383"/>
      <c r="F971" s="383"/>
      <c r="G971" s="383"/>
      <c r="H971" s="383"/>
      <c r="I971" s="383"/>
      <c r="J971" s="383"/>
      <c r="K971" s="383"/>
      <c r="L971" s="383"/>
      <c r="M971" s="383"/>
      <c r="N971" s="383"/>
      <c r="O971" s="383"/>
      <c r="P971" s="383"/>
      <c r="Q971" s="383"/>
      <c r="R971" s="383"/>
      <c r="S971" s="383"/>
      <c r="T971" s="383"/>
      <c r="U971" s="383"/>
      <c r="V971" s="383"/>
      <c r="W971" s="383"/>
      <c r="X971" s="383"/>
      <c r="Y971" s="383"/>
      <c r="Z971" s="383"/>
    </row>
    <row r="972">
      <c r="A972" s="389"/>
      <c r="B972" s="390"/>
      <c r="C972" s="391"/>
      <c r="D972" s="392"/>
      <c r="E972" s="383"/>
      <c r="F972" s="383"/>
      <c r="G972" s="383"/>
      <c r="H972" s="383"/>
      <c r="I972" s="383"/>
      <c r="J972" s="383"/>
      <c r="K972" s="383"/>
      <c r="L972" s="383"/>
      <c r="M972" s="383"/>
      <c r="N972" s="383"/>
      <c r="O972" s="383"/>
      <c r="P972" s="383"/>
      <c r="Q972" s="383"/>
      <c r="R972" s="383"/>
      <c r="S972" s="383"/>
      <c r="T972" s="383"/>
      <c r="U972" s="383"/>
      <c r="V972" s="383"/>
      <c r="W972" s="383"/>
      <c r="X972" s="383"/>
      <c r="Y972" s="383"/>
      <c r="Z972" s="383"/>
    </row>
    <row r="973">
      <c r="A973" s="389"/>
      <c r="B973" s="390"/>
      <c r="C973" s="391"/>
      <c r="D973" s="392"/>
      <c r="E973" s="383"/>
      <c r="F973" s="383"/>
      <c r="G973" s="383"/>
      <c r="H973" s="383"/>
      <c r="I973" s="383"/>
      <c r="J973" s="383"/>
      <c r="K973" s="383"/>
      <c r="L973" s="383"/>
      <c r="M973" s="383"/>
      <c r="N973" s="383"/>
      <c r="O973" s="383"/>
      <c r="P973" s="383"/>
      <c r="Q973" s="383"/>
      <c r="R973" s="383"/>
      <c r="S973" s="383"/>
      <c r="T973" s="383"/>
      <c r="U973" s="383"/>
      <c r="V973" s="383"/>
      <c r="W973" s="383"/>
      <c r="X973" s="383"/>
      <c r="Y973" s="383"/>
      <c r="Z973" s="383"/>
    </row>
    <row r="974">
      <c r="A974" s="389"/>
      <c r="B974" s="390"/>
      <c r="C974" s="391"/>
      <c r="D974" s="392"/>
      <c r="E974" s="383"/>
      <c r="F974" s="383"/>
      <c r="G974" s="383"/>
      <c r="H974" s="383"/>
      <c r="I974" s="383"/>
      <c r="J974" s="383"/>
      <c r="K974" s="383"/>
      <c r="L974" s="383"/>
      <c r="M974" s="383"/>
      <c r="N974" s="383"/>
      <c r="O974" s="383"/>
      <c r="P974" s="383"/>
      <c r="Q974" s="383"/>
      <c r="R974" s="383"/>
      <c r="S974" s="383"/>
      <c r="T974" s="383"/>
      <c r="U974" s="383"/>
      <c r="V974" s="383"/>
      <c r="W974" s="383"/>
      <c r="X974" s="383"/>
      <c r="Y974" s="383"/>
      <c r="Z974" s="383"/>
    </row>
    <row r="975">
      <c r="A975" s="389"/>
      <c r="B975" s="390"/>
      <c r="C975" s="391"/>
      <c r="D975" s="392"/>
      <c r="E975" s="383"/>
      <c r="F975" s="383"/>
      <c r="G975" s="383"/>
      <c r="H975" s="383"/>
      <c r="I975" s="383"/>
      <c r="J975" s="383"/>
      <c r="K975" s="383"/>
      <c r="L975" s="383"/>
      <c r="M975" s="383"/>
      <c r="N975" s="383"/>
      <c r="O975" s="383"/>
      <c r="P975" s="383"/>
      <c r="Q975" s="383"/>
      <c r="R975" s="383"/>
      <c r="S975" s="383"/>
      <c r="T975" s="383"/>
      <c r="U975" s="383"/>
      <c r="V975" s="383"/>
      <c r="W975" s="383"/>
      <c r="X975" s="383"/>
      <c r="Y975" s="383"/>
      <c r="Z975" s="383"/>
    </row>
    <row r="976">
      <c r="A976" s="389"/>
      <c r="B976" s="390"/>
      <c r="C976" s="391"/>
      <c r="D976" s="392"/>
      <c r="E976" s="383"/>
      <c r="F976" s="383"/>
      <c r="G976" s="383"/>
      <c r="H976" s="383"/>
      <c r="I976" s="383"/>
      <c r="J976" s="383"/>
      <c r="K976" s="383"/>
      <c r="L976" s="383"/>
      <c r="M976" s="383"/>
      <c r="N976" s="383"/>
      <c r="O976" s="383"/>
      <c r="P976" s="383"/>
      <c r="Q976" s="383"/>
      <c r="R976" s="383"/>
      <c r="S976" s="383"/>
      <c r="T976" s="383"/>
      <c r="U976" s="383"/>
      <c r="V976" s="383"/>
      <c r="W976" s="383"/>
      <c r="X976" s="383"/>
      <c r="Y976" s="383"/>
      <c r="Z976" s="383"/>
    </row>
    <row r="977">
      <c r="A977" s="389"/>
      <c r="B977" s="390"/>
      <c r="C977" s="391"/>
      <c r="D977" s="392"/>
      <c r="E977" s="383"/>
      <c r="F977" s="383"/>
      <c r="G977" s="383"/>
      <c r="H977" s="383"/>
      <c r="I977" s="383"/>
      <c r="J977" s="383"/>
      <c r="K977" s="383"/>
      <c r="L977" s="383"/>
      <c r="M977" s="383"/>
      <c r="N977" s="383"/>
      <c r="O977" s="383"/>
      <c r="P977" s="383"/>
      <c r="Q977" s="383"/>
      <c r="R977" s="383"/>
      <c r="S977" s="383"/>
      <c r="T977" s="383"/>
      <c r="U977" s="383"/>
      <c r="V977" s="383"/>
      <c r="W977" s="383"/>
      <c r="X977" s="383"/>
      <c r="Y977" s="383"/>
      <c r="Z977" s="383"/>
    </row>
    <row r="978">
      <c r="A978" s="389"/>
      <c r="B978" s="390"/>
      <c r="C978" s="391"/>
      <c r="D978" s="392"/>
      <c r="E978" s="383"/>
      <c r="F978" s="383"/>
      <c r="G978" s="383"/>
      <c r="H978" s="383"/>
      <c r="I978" s="383"/>
      <c r="J978" s="383"/>
      <c r="K978" s="383"/>
      <c r="L978" s="383"/>
      <c r="M978" s="383"/>
      <c r="N978" s="383"/>
      <c r="O978" s="383"/>
      <c r="P978" s="383"/>
      <c r="Q978" s="383"/>
      <c r="R978" s="383"/>
      <c r="S978" s="383"/>
      <c r="T978" s="383"/>
      <c r="U978" s="383"/>
      <c r="V978" s="383"/>
      <c r="W978" s="383"/>
      <c r="X978" s="383"/>
      <c r="Y978" s="383"/>
      <c r="Z978" s="383"/>
    </row>
    <row r="979">
      <c r="A979" s="389"/>
      <c r="B979" s="390"/>
      <c r="C979" s="391"/>
      <c r="D979" s="392"/>
      <c r="E979" s="383"/>
      <c r="F979" s="383"/>
      <c r="G979" s="383"/>
      <c r="H979" s="383"/>
      <c r="I979" s="383"/>
      <c r="J979" s="383"/>
      <c r="K979" s="383"/>
      <c r="L979" s="383"/>
      <c r="M979" s="383"/>
      <c r="N979" s="383"/>
      <c r="O979" s="383"/>
      <c r="P979" s="383"/>
      <c r="Q979" s="383"/>
      <c r="R979" s="383"/>
      <c r="S979" s="383"/>
      <c r="T979" s="383"/>
      <c r="U979" s="383"/>
      <c r="V979" s="383"/>
      <c r="W979" s="383"/>
      <c r="X979" s="383"/>
      <c r="Y979" s="383"/>
      <c r="Z979" s="383"/>
    </row>
    <row r="980">
      <c r="A980" s="389"/>
      <c r="B980" s="390"/>
      <c r="C980" s="391"/>
      <c r="D980" s="392"/>
      <c r="E980" s="383"/>
      <c r="F980" s="383"/>
      <c r="G980" s="383"/>
      <c r="H980" s="383"/>
      <c r="I980" s="383"/>
      <c r="J980" s="383"/>
      <c r="K980" s="383"/>
      <c r="L980" s="383"/>
      <c r="M980" s="383"/>
      <c r="N980" s="383"/>
      <c r="O980" s="383"/>
      <c r="P980" s="383"/>
      <c r="Q980" s="383"/>
      <c r="R980" s="383"/>
      <c r="S980" s="383"/>
      <c r="T980" s="383"/>
      <c r="U980" s="383"/>
      <c r="V980" s="383"/>
      <c r="W980" s="383"/>
      <c r="X980" s="383"/>
      <c r="Y980" s="383"/>
      <c r="Z980" s="383"/>
    </row>
    <row r="981">
      <c r="A981" s="389"/>
      <c r="B981" s="390"/>
      <c r="C981" s="391"/>
      <c r="D981" s="392"/>
      <c r="E981" s="383"/>
      <c r="F981" s="383"/>
      <c r="G981" s="383"/>
      <c r="H981" s="383"/>
      <c r="I981" s="383"/>
      <c r="J981" s="383"/>
      <c r="K981" s="383"/>
      <c r="L981" s="383"/>
      <c r="M981" s="383"/>
      <c r="N981" s="383"/>
      <c r="O981" s="383"/>
      <c r="P981" s="383"/>
      <c r="Q981" s="383"/>
      <c r="R981" s="383"/>
      <c r="S981" s="383"/>
      <c r="T981" s="383"/>
      <c r="U981" s="383"/>
      <c r="V981" s="383"/>
      <c r="W981" s="383"/>
      <c r="X981" s="383"/>
      <c r="Y981" s="383"/>
      <c r="Z981" s="383"/>
    </row>
    <row r="982">
      <c r="A982" s="389"/>
      <c r="B982" s="390"/>
      <c r="C982" s="391"/>
      <c r="D982" s="392"/>
      <c r="E982" s="383"/>
      <c r="F982" s="383"/>
      <c r="G982" s="383"/>
      <c r="H982" s="383"/>
      <c r="I982" s="383"/>
      <c r="J982" s="383"/>
      <c r="K982" s="383"/>
      <c r="L982" s="383"/>
      <c r="M982" s="383"/>
      <c r="N982" s="383"/>
      <c r="O982" s="383"/>
      <c r="P982" s="383"/>
      <c r="Q982" s="383"/>
      <c r="R982" s="383"/>
      <c r="S982" s="383"/>
      <c r="T982" s="383"/>
      <c r="U982" s="383"/>
      <c r="V982" s="383"/>
      <c r="W982" s="383"/>
      <c r="X982" s="383"/>
      <c r="Y982" s="383"/>
      <c r="Z982" s="383"/>
    </row>
    <row r="983">
      <c r="A983" s="389"/>
      <c r="B983" s="390"/>
      <c r="C983" s="391"/>
      <c r="D983" s="392"/>
      <c r="E983" s="383"/>
      <c r="F983" s="383"/>
      <c r="G983" s="383"/>
      <c r="H983" s="383"/>
      <c r="I983" s="383"/>
      <c r="J983" s="383"/>
      <c r="K983" s="383"/>
      <c r="L983" s="383"/>
      <c r="M983" s="383"/>
      <c r="N983" s="383"/>
      <c r="O983" s="383"/>
      <c r="P983" s="383"/>
      <c r="Q983" s="383"/>
      <c r="R983" s="383"/>
      <c r="S983" s="383"/>
      <c r="T983" s="383"/>
      <c r="U983" s="383"/>
      <c r="V983" s="383"/>
      <c r="W983" s="383"/>
      <c r="X983" s="383"/>
      <c r="Y983" s="383"/>
      <c r="Z983" s="383"/>
    </row>
    <row r="984">
      <c r="A984" s="389"/>
      <c r="B984" s="390"/>
      <c r="C984" s="391"/>
      <c r="D984" s="392"/>
      <c r="E984" s="383"/>
      <c r="F984" s="383"/>
      <c r="G984" s="383"/>
      <c r="H984" s="383"/>
      <c r="I984" s="383"/>
      <c r="J984" s="383"/>
      <c r="K984" s="383"/>
      <c r="L984" s="383"/>
      <c r="M984" s="383"/>
      <c r="N984" s="383"/>
      <c r="O984" s="383"/>
      <c r="P984" s="383"/>
      <c r="Q984" s="383"/>
      <c r="R984" s="383"/>
      <c r="S984" s="383"/>
      <c r="T984" s="383"/>
      <c r="U984" s="383"/>
      <c r="V984" s="383"/>
      <c r="W984" s="383"/>
      <c r="X984" s="383"/>
      <c r="Y984" s="383"/>
      <c r="Z984" s="383"/>
    </row>
    <row r="985">
      <c r="A985" s="389"/>
      <c r="B985" s="390"/>
      <c r="C985" s="391"/>
      <c r="D985" s="392"/>
      <c r="E985" s="383"/>
      <c r="F985" s="383"/>
      <c r="G985" s="383"/>
      <c r="H985" s="383"/>
      <c r="I985" s="383"/>
      <c r="J985" s="383"/>
      <c r="K985" s="383"/>
      <c r="L985" s="383"/>
      <c r="M985" s="383"/>
      <c r="N985" s="383"/>
      <c r="O985" s="383"/>
      <c r="P985" s="383"/>
      <c r="Q985" s="383"/>
      <c r="R985" s="383"/>
      <c r="S985" s="383"/>
      <c r="T985" s="383"/>
      <c r="U985" s="383"/>
      <c r="V985" s="383"/>
      <c r="W985" s="383"/>
      <c r="X985" s="383"/>
      <c r="Y985" s="383"/>
      <c r="Z985" s="383"/>
    </row>
    <row r="986">
      <c r="A986" s="389"/>
      <c r="B986" s="390"/>
      <c r="C986" s="391"/>
      <c r="D986" s="392"/>
      <c r="E986" s="383"/>
      <c r="F986" s="383"/>
      <c r="G986" s="383"/>
      <c r="H986" s="383"/>
      <c r="I986" s="383"/>
      <c r="J986" s="383"/>
      <c r="K986" s="383"/>
      <c r="L986" s="383"/>
      <c r="M986" s="383"/>
      <c r="N986" s="383"/>
      <c r="O986" s="383"/>
      <c r="P986" s="383"/>
      <c r="Q986" s="383"/>
      <c r="R986" s="383"/>
      <c r="S986" s="383"/>
      <c r="T986" s="383"/>
      <c r="U986" s="383"/>
      <c r="V986" s="383"/>
      <c r="W986" s="383"/>
      <c r="X986" s="383"/>
      <c r="Y986" s="383"/>
      <c r="Z986" s="383"/>
    </row>
    <row r="987">
      <c r="A987" s="389"/>
      <c r="B987" s="390"/>
      <c r="C987" s="391"/>
      <c r="D987" s="392"/>
      <c r="E987" s="383"/>
      <c r="F987" s="383"/>
      <c r="G987" s="383"/>
      <c r="H987" s="383"/>
      <c r="I987" s="383"/>
      <c r="J987" s="383"/>
      <c r="K987" s="383"/>
      <c r="L987" s="383"/>
      <c r="M987" s="383"/>
      <c r="N987" s="383"/>
      <c r="O987" s="383"/>
      <c r="P987" s="383"/>
      <c r="Q987" s="383"/>
      <c r="R987" s="383"/>
      <c r="S987" s="383"/>
      <c r="T987" s="383"/>
      <c r="U987" s="383"/>
      <c r="V987" s="383"/>
      <c r="W987" s="383"/>
      <c r="X987" s="383"/>
      <c r="Y987" s="383"/>
      <c r="Z987" s="383"/>
    </row>
    <row r="988">
      <c r="A988" s="389"/>
      <c r="B988" s="390"/>
      <c r="C988" s="391"/>
      <c r="D988" s="392"/>
      <c r="E988" s="383"/>
      <c r="F988" s="383"/>
      <c r="G988" s="383"/>
      <c r="H988" s="383"/>
      <c r="I988" s="383"/>
      <c r="J988" s="383"/>
      <c r="K988" s="383"/>
      <c r="L988" s="383"/>
      <c r="M988" s="383"/>
      <c r="N988" s="383"/>
      <c r="O988" s="383"/>
      <c r="P988" s="383"/>
      <c r="Q988" s="383"/>
      <c r="R988" s="383"/>
      <c r="S988" s="383"/>
      <c r="T988" s="383"/>
      <c r="U988" s="383"/>
      <c r="V988" s="383"/>
      <c r="W988" s="383"/>
      <c r="X988" s="383"/>
      <c r="Y988" s="383"/>
      <c r="Z988" s="383"/>
    </row>
    <row r="989">
      <c r="A989" s="389"/>
      <c r="B989" s="390"/>
      <c r="C989" s="391"/>
      <c r="D989" s="392"/>
      <c r="E989" s="383"/>
      <c r="F989" s="383"/>
      <c r="G989" s="383"/>
      <c r="H989" s="383"/>
      <c r="I989" s="383"/>
      <c r="J989" s="383"/>
      <c r="K989" s="383"/>
      <c r="L989" s="383"/>
      <c r="M989" s="383"/>
      <c r="N989" s="383"/>
      <c r="O989" s="383"/>
      <c r="P989" s="383"/>
      <c r="Q989" s="383"/>
      <c r="R989" s="383"/>
      <c r="S989" s="383"/>
      <c r="T989" s="383"/>
      <c r="U989" s="383"/>
      <c r="V989" s="383"/>
      <c r="W989" s="383"/>
      <c r="X989" s="383"/>
      <c r="Y989" s="383"/>
      <c r="Z989" s="383"/>
    </row>
    <row r="990">
      <c r="A990" s="389"/>
      <c r="B990" s="390"/>
      <c r="C990" s="391"/>
      <c r="D990" s="392"/>
      <c r="E990" s="383"/>
      <c r="F990" s="383"/>
      <c r="G990" s="383"/>
      <c r="H990" s="383"/>
      <c r="I990" s="383"/>
      <c r="J990" s="383"/>
      <c r="K990" s="383"/>
      <c r="L990" s="383"/>
      <c r="M990" s="383"/>
      <c r="N990" s="383"/>
      <c r="O990" s="383"/>
      <c r="P990" s="383"/>
      <c r="Q990" s="383"/>
      <c r="R990" s="383"/>
      <c r="S990" s="383"/>
      <c r="T990" s="383"/>
      <c r="U990" s="383"/>
      <c r="V990" s="383"/>
      <c r="W990" s="383"/>
      <c r="X990" s="383"/>
      <c r="Y990" s="383"/>
      <c r="Z990" s="383"/>
    </row>
    <row r="991">
      <c r="A991" s="389"/>
      <c r="B991" s="390"/>
      <c r="C991" s="391"/>
      <c r="D991" s="392"/>
      <c r="E991" s="383"/>
      <c r="F991" s="383"/>
      <c r="G991" s="383"/>
      <c r="H991" s="383"/>
      <c r="I991" s="383"/>
      <c r="J991" s="383"/>
      <c r="K991" s="383"/>
      <c r="L991" s="383"/>
      <c r="M991" s="383"/>
      <c r="N991" s="383"/>
      <c r="O991" s="383"/>
      <c r="P991" s="383"/>
      <c r="Q991" s="383"/>
      <c r="R991" s="383"/>
      <c r="S991" s="383"/>
      <c r="T991" s="383"/>
      <c r="U991" s="383"/>
      <c r="V991" s="383"/>
      <c r="W991" s="383"/>
      <c r="X991" s="383"/>
      <c r="Y991" s="383"/>
      <c r="Z991" s="383"/>
    </row>
    <row r="992">
      <c r="A992" s="389"/>
      <c r="B992" s="390"/>
      <c r="C992" s="391"/>
      <c r="D992" s="392"/>
      <c r="E992" s="383"/>
      <c r="F992" s="383"/>
      <c r="G992" s="383"/>
      <c r="H992" s="383"/>
      <c r="I992" s="383"/>
      <c r="J992" s="383"/>
      <c r="K992" s="383"/>
      <c r="L992" s="383"/>
      <c r="M992" s="383"/>
      <c r="N992" s="383"/>
      <c r="O992" s="383"/>
      <c r="P992" s="383"/>
      <c r="Q992" s="383"/>
      <c r="R992" s="383"/>
      <c r="S992" s="383"/>
      <c r="T992" s="383"/>
      <c r="U992" s="383"/>
      <c r="V992" s="383"/>
      <c r="W992" s="383"/>
      <c r="X992" s="383"/>
      <c r="Y992" s="383"/>
      <c r="Z992" s="383"/>
    </row>
    <row r="993">
      <c r="A993" s="389"/>
      <c r="B993" s="390"/>
      <c r="C993" s="391"/>
      <c r="D993" s="392"/>
      <c r="E993" s="383"/>
      <c r="F993" s="383"/>
      <c r="G993" s="383"/>
      <c r="H993" s="383"/>
      <c r="I993" s="383"/>
      <c r="J993" s="383"/>
      <c r="K993" s="383"/>
      <c r="L993" s="383"/>
      <c r="M993" s="383"/>
      <c r="N993" s="383"/>
      <c r="O993" s="383"/>
      <c r="P993" s="383"/>
      <c r="Q993" s="383"/>
      <c r="R993" s="383"/>
      <c r="S993" s="383"/>
      <c r="T993" s="383"/>
      <c r="U993" s="383"/>
      <c r="V993" s="383"/>
      <c r="W993" s="383"/>
      <c r="X993" s="383"/>
      <c r="Y993" s="383"/>
      <c r="Z993" s="383"/>
    </row>
    <row r="994">
      <c r="A994" s="389"/>
      <c r="B994" s="390"/>
      <c r="C994" s="391"/>
      <c r="D994" s="392"/>
      <c r="E994" s="383"/>
      <c r="F994" s="383"/>
      <c r="G994" s="383"/>
      <c r="H994" s="383"/>
      <c r="I994" s="383"/>
      <c r="J994" s="383"/>
      <c r="K994" s="383"/>
      <c r="L994" s="383"/>
      <c r="M994" s="383"/>
      <c r="N994" s="383"/>
      <c r="O994" s="383"/>
      <c r="P994" s="383"/>
      <c r="Q994" s="383"/>
      <c r="R994" s="383"/>
      <c r="S994" s="383"/>
      <c r="T994" s="383"/>
      <c r="U994" s="383"/>
      <c r="V994" s="383"/>
      <c r="W994" s="383"/>
      <c r="X994" s="383"/>
      <c r="Y994" s="383"/>
      <c r="Z994" s="383"/>
    </row>
    <row r="995">
      <c r="A995" s="389"/>
      <c r="B995" s="390"/>
      <c r="C995" s="391"/>
      <c r="D995" s="392"/>
      <c r="E995" s="383"/>
      <c r="F995" s="383"/>
      <c r="G995" s="383"/>
      <c r="H995" s="383"/>
      <c r="I995" s="383"/>
      <c r="J995" s="383"/>
      <c r="K995" s="383"/>
      <c r="L995" s="383"/>
      <c r="M995" s="383"/>
      <c r="N995" s="383"/>
      <c r="O995" s="383"/>
      <c r="P995" s="383"/>
      <c r="Q995" s="383"/>
      <c r="R995" s="383"/>
      <c r="S995" s="383"/>
      <c r="T995" s="383"/>
      <c r="U995" s="383"/>
      <c r="V995" s="383"/>
      <c r="W995" s="383"/>
      <c r="X995" s="383"/>
      <c r="Y995" s="383"/>
      <c r="Z995" s="383"/>
    </row>
    <row r="996">
      <c r="A996" s="389"/>
      <c r="B996" s="390"/>
      <c r="C996" s="391"/>
      <c r="D996" s="392"/>
      <c r="E996" s="383"/>
      <c r="F996" s="383"/>
      <c r="G996" s="383"/>
      <c r="H996" s="383"/>
      <c r="I996" s="383"/>
      <c r="J996" s="383"/>
      <c r="K996" s="383"/>
      <c r="L996" s="383"/>
      <c r="M996" s="383"/>
      <c r="N996" s="383"/>
      <c r="O996" s="383"/>
      <c r="P996" s="383"/>
      <c r="Q996" s="383"/>
      <c r="R996" s="383"/>
      <c r="S996" s="383"/>
      <c r="T996" s="383"/>
      <c r="U996" s="383"/>
      <c r="V996" s="383"/>
      <c r="W996" s="383"/>
      <c r="X996" s="383"/>
      <c r="Y996" s="383"/>
      <c r="Z996" s="383"/>
    </row>
    <row r="997">
      <c r="A997" s="389"/>
      <c r="B997" s="390"/>
      <c r="C997" s="391"/>
      <c r="D997" s="392"/>
      <c r="E997" s="383"/>
      <c r="F997" s="383"/>
      <c r="G997" s="383"/>
      <c r="H997" s="383"/>
      <c r="I997" s="383"/>
      <c r="J997" s="383"/>
      <c r="K997" s="383"/>
      <c r="L997" s="383"/>
      <c r="M997" s="383"/>
      <c r="N997" s="383"/>
      <c r="O997" s="383"/>
      <c r="P997" s="383"/>
      <c r="Q997" s="383"/>
      <c r="R997" s="383"/>
      <c r="S997" s="383"/>
      <c r="T997" s="383"/>
      <c r="U997" s="383"/>
      <c r="V997" s="383"/>
      <c r="W997" s="383"/>
      <c r="X997" s="383"/>
      <c r="Y997" s="383"/>
      <c r="Z997" s="383"/>
    </row>
    <row r="998">
      <c r="A998" s="389"/>
      <c r="B998" s="390"/>
      <c r="C998" s="391"/>
      <c r="D998" s="392"/>
      <c r="E998" s="383"/>
      <c r="F998" s="383"/>
      <c r="G998" s="383"/>
      <c r="H998" s="383"/>
      <c r="I998" s="383"/>
      <c r="J998" s="383"/>
      <c r="K998" s="383"/>
      <c r="L998" s="383"/>
      <c r="M998" s="383"/>
      <c r="N998" s="383"/>
      <c r="O998" s="383"/>
      <c r="P998" s="383"/>
      <c r="Q998" s="383"/>
      <c r="R998" s="383"/>
      <c r="S998" s="383"/>
      <c r="T998" s="383"/>
      <c r="U998" s="383"/>
      <c r="V998" s="383"/>
      <c r="W998" s="383"/>
      <c r="X998" s="383"/>
      <c r="Y998" s="383"/>
      <c r="Z998" s="383"/>
    </row>
    <row r="999">
      <c r="A999" s="389"/>
      <c r="B999" s="390"/>
      <c r="C999" s="391"/>
      <c r="D999" s="392"/>
      <c r="E999" s="383"/>
      <c r="F999" s="383"/>
      <c r="G999" s="383"/>
      <c r="H999" s="383"/>
      <c r="I999" s="383"/>
      <c r="J999" s="383"/>
      <c r="K999" s="383"/>
      <c r="L999" s="383"/>
      <c r="M999" s="383"/>
      <c r="N999" s="383"/>
      <c r="O999" s="383"/>
      <c r="P999" s="383"/>
      <c r="Q999" s="383"/>
      <c r="R999" s="383"/>
      <c r="S999" s="383"/>
      <c r="T999" s="383"/>
      <c r="U999" s="383"/>
      <c r="V999" s="383"/>
      <c r="W999" s="383"/>
      <c r="X999" s="383"/>
      <c r="Y999" s="383"/>
      <c r="Z999" s="383"/>
    </row>
    <row r="1000">
      <c r="A1000" s="389"/>
      <c r="B1000" s="390"/>
      <c r="C1000" s="391"/>
      <c r="D1000" s="392"/>
      <c r="E1000" s="383"/>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row>
    <row r="1001">
      <c r="A1001" s="389"/>
      <c r="B1001" s="390"/>
      <c r="C1001" s="391"/>
      <c r="D1001" s="392"/>
      <c r="E1001" s="383"/>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row>
    <row r="1002">
      <c r="A1002" s="389"/>
      <c r="B1002" s="390"/>
      <c r="C1002" s="391"/>
      <c r="D1002" s="392"/>
      <c r="E1002" s="383"/>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393" t="s">
        <v>8251</v>
      </c>
      <c r="B1" s="2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39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39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396"/>
      <c r="F1" s="108" t="s">
        <v>8252</v>
      </c>
      <c r="G1" s="397" t="s">
        <v>8253</v>
      </c>
      <c r="H1" s="398"/>
      <c r="I1" s="398"/>
      <c r="J1" s="398"/>
      <c r="K1" s="398"/>
      <c r="L1" s="398"/>
      <c r="M1" s="398"/>
      <c r="N1" s="398"/>
      <c r="O1" s="398"/>
      <c r="P1" s="398"/>
      <c r="Q1" s="398"/>
      <c r="R1" s="398"/>
    </row>
    <row r="2">
      <c r="A2" s="399" t="s">
        <v>8254</v>
      </c>
      <c r="B2" s="106" t="str">
        <f>IFERROR(__xludf.DUMMYFUNCTION("GOOGLETRANSLATE(A2,""zh-tw"",""ja"")"),"1 - Google Play で「ファイル マネージャー」を検索してインストールします。")</f>
        <v>1 - Google Play で「ファイル マネージャー」を検索してインストールします。</v>
      </c>
      <c r="C2" s="204" t="str">
        <f>IFERROR(__xludf.DUMMYFUNCTION("GOOGLETRANSLATE(A2,""zh-tw"",""en"")"),"1 - Search for ""File Manager"" on Google Play and install it.")</f>
        <v>1 - Search for "File Manager" on Google Play and install it.</v>
      </c>
      <c r="D2" s="400" t="str">
        <f>IFERROR(__xludf.DUMMYFUNCTION("GOOGLETRANSLATE(A2,""zh-tw"",""zh"")"),"1 - 在google play上搜寻 档案管理员 安装。")</f>
        <v>1 - 在google play上搜寻 档案管理员 安装。</v>
      </c>
      <c r="E2" s="401" t="s">
        <v>8255</v>
      </c>
      <c r="F2" s="180" t="s">
        <v>8256</v>
      </c>
      <c r="G2" s="402" t="s">
        <v>8257</v>
      </c>
      <c r="H2" s="130"/>
      <c r="I2" s="130"/>
      <c r="J2" s="130"/>
      <c r="K2" s="130"/>
      <c r="L2" s="130"/>
      <c r="M2" s="130"/>
      <c r="N2" s="130"/>
      <c r="O2" s="130"/>
      <c r="P2" s="130"/>
      <c r="Q2" s="130"/>
      <c r="R2" s="130"/>
    </row>
    <row r="3">
      <c r="A3" s="399" t="s">
        <v>8258</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01" t="s">
        <v>8259</v>
      </c>
      <c r="F3" s="180" t="s">
        <v>8260</v>
      </c>
      <c r="G3" s="403" t="s">
        <v>8261</v>
      </c>
      <c r="H3" s="130"/>
      <c r="I3" s="130"/>
      <c r="J3" s="130"/>
      <c r="K3" s="130"/>
      <c r="L3" s="130"/>
      <c r="M3" s="130"/>
      <c r="N3" s="130"/>
      <c r="O3" s="130"/>
      <c r="P3" s="130"/>
      <c r="Q3" s="130"/>
      <c r="R3" s="130"/>
    </row>
    <row r="4">
      <c r="A4" s="399" t="s">
        <v>8262</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01" t="s">
        <v>8263</v>
      </c>
      <c r="F4" s="180" t="s">
        <v>8264</v>
      </c>
      <c r="G4" s="402" t="s">
        <v>8265</v>
      </c>
      <c r="H4" s="130"/>
      <c r="I4" s="130"/>
      <c r="J4" s="130"/>
      <c r="K4" s="130"/>
      <c r="L4" s="130"/>
      <c r="M4" s="130"/>
      <c r="N4" s="130"/>
      <c r="O4" s="130"/>
      <c r="P4" s="130"/>
      <c r="Q4" s="130"/>
      <c r="R4" s="130"/>
    </row>
    <row r="5">
      <c r="A5" s="399" t="s">
        <v>8266</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01" t="s">
        <v>8267</v>
      </c>
      <c r="F5" s="180" t="s">
        <v>8268</v>
      </c>
      <c r="G5" s="403" t="s">
        <v>8269</v>
      </c>
      <c r="H5" s="130"/>
      <c r="I5" s="130"/>
      <c r="J5" s="130"/>
      <c r="K5" s="130"/>
      <c r="L5" s="130"/>
      <c r="M5" s="130"/>
      <c r="N5" s="130"/>
      <c r="O5" s="130"/>
      <c r="P5" s="130"/>
      <c r="Q5" s="130"/>
      <c r="R5" s="130"/>
    </row>
    <row r="6">
      <c r="A6" s="404" t="s">
        <v>8270</v>
      </c>
      <c r="B6" s="405" t="s">
        <v>8271</v>
      </c>
      <c r="C6" s="406" t="s">
        <v>8272</v>
      </c>
      <c r="D6" s="407" t="s">
        <v>8273</v>
      </c>
      <c r="E6" s="408" t="s">
        <v>8274</v>
      </c>
      <c r="F6" s="409" t="s">
        <v>8275</v>
      </c>
      <c r="G6" s="410" t="s">
        <v>8276</v>
      </c>
      <c r="H6" s="130"/>
      <c r="I6" s="130"/>
      <c r="J6" s="130"/>
      <c r="K6" s="130"/>
      <c r="L6" s="130"/>
      <c r="M6" s="130"/>
      <c r="N6" s="130"/>
      <c r="O6" s="130"/>
      <c r="P6" s="130"/>
      <c r="Q6" s="130"/>
      <c r="R6" s="130"/>
    </row>
    <row r="7">
      <c r="A7" s="411"/>
      <c r="B7" s="130"/>
      <c r="C7" s="411"/>
      <c r="D7" s="130"/>
      <c r="E7" s="338"/>
      <c r="F7" s="188"/>
      <c r="G7" s="130"/>
      <c r="H7" s="130"/>
      <c r="I7" s="130"/>
      <c r="J7" s="130"/>
      <c r="K7" s="130"/>
      <c r="L7" s="130"/>
      <c r="M7" s="130"/>
      <c r="N7" s="130"/>
      <c r="O7" s="130"/>
      <c r="P7" s="130"/>
      <c r="Q7" s="130"/>
      <c r="R7" s="130"/>
    </row>
    <row r="8">
      <c r="A8" s="411"/>
      <c r="B8" s="130"/>
      <c r="C8" s="130"/>
      <c r="D8" s="130"/>
      <c r="E8" s="130"/>
      <c r="F8" s="188"/>
      <c r="G8" s="130"/>
      <c r="H8" s="130"/>
      <c r="I8" s="130"/>
      <c r="J8" s="130"/>
      <c r="K8" s="130"/>
      <c r="L8" s="130"/>
      <c r="M8" s="130"/>
      <c r="N8" s="130"/>
      <c r="O8" s="130"/>
      <c r="P8" s="130"/>
      <c r="Q8" s="130"/>
      <c r="R8" s="130"/>
    </row>
    <row r="9">
      <c r="A9" s="411"/>
      <c r="B9" s="130"/>
      <c r="C9" s="130"/>
      <c r="D9" s="130"/>
      <c r="E9" s="130"/>
      <c r="F9" s="188"/>
      <c r="G9" s="130"/>
      <c r="H9" s="130"/>
      <c r="I9" s="130"/>
      <c r="J9" s="130"/>
      <c r="K9" s="130"/>
      <c r="L9" s="130"/>
      <c r="M9" s="130"/>
      <c r="N9" s="130"/>
      <c r="O9" s="130"/>
      <c r="P9" s="130"/>
      <c r="Q9" s="130"/>
      <c r="R9" s="130"/>
    </row>
    <row r="10">
      <c r="A10" s="411"/>
      <c r="B10" s="130"/>
      <c r="C10" s="130"/>
      <c r="D10" s="130"/>
      <c r="E10" s="130"/>
      <c r="F10" s="188"/>
      <c r="G10" s="130"/>
      <c r="H10" s="130"/>
      <c r="I10" s="130"/>
      <c r="J10" s="130"/>
      <c r="K10" s="130"/>
      <c r="L10" s="130"/>
      <c r="M10" s="130"/>
      <c r="N10" s="130"/>
      <c r="O10" s="130"/>
      <c r="P10" s="130"/>
      <c r="Q10" s="130"/>
      <c r="R10" s="130"/>
    </row>
    <row r="11">
      <c r="A11" s="411"/>
      <c r="B11" s="130"/>
      <c r="C11" s="130"/>
      <c r="D11" s="130"/>
      <c r="E11" s="130"/>
      <c r="F11" s="188"/>
      <c r="G11" s="130"/>
      <c r="H11" s="130"/>
      <c r="I11" s="130"/>
      <c r="J11" s="130"/>
      <c r="K11" s="130"/>
      <c r="L11" s="130"/>
      <c r="M11" s="130"/>
      <c r="N11" s="130"/>
      <c r="O11" s="130"/>
      <c r="P11" s="130"/>
      <c r="Q11" s="130"/>
      <c r="R11" s="130"/>
    </row>
    <row r="12">
      <c r="A12" s="411"/>
      <c r="B12" s="130"/>
      <c r="C12" s="130"/>
      <c r="D12" s="130"/>
      <c r="E12" s="130"/>
      <c r="F12" s="188"/>
      <c r="G12" s="130"/>
      <c r="H12" s="130"/>
      <c r="I12" s="130"/>
      <c r="J12" s="130"/>
      <c r="K12" s="130"/>
      <c r="L12" s="130"/>
      <c r="M12" s="130"/>
      <c r="N12" s="130"/>
      <c r="O12" s="130"/>
      <c r="P12" s="130"/>
      <c r="Q12" s="130"/>
      <c r="R12" s="130"/>
    </row>
    <row r="13">
      <c r="A13" s="411"/>
      <c r="B13" s="130"/>
      <c r="C13" s="130"/>
      <c r="D13" s="130"/>
      <c r="E13" s="130"/>
      <c r="F13" s="188"/>
      <c r="G13" s="130"/>
      <c r="H13" s="130"/>
      <c r="I13" s="130"/>
      <c r="J13" s="130"/>
      <c r="K13" s="130"/>
      <c r="L13" s="130"/>
      <c r="M13" s="130"/>
      <c r="N13" s="130"/>
      <c r="O13" s="130"/>
      <c r="P13" s="130"/>
      <c r="Q13" s="130"/>
      <c r="R13" s="130"/>
    </row>
    <row r="14">
      <c r="A14" s="411"/>
      <c r="B14" s="130"/>
      <c r="C14" s="130"/>
      <c r="D14" s="130"/>
      <c r="E14" s="130"/>
      <c r="F14" s="188"/>
      <c r="G14" s="130"/>
      <c r="H14" s="130"/>
      <c r="I14" s="130"/>
      <c r="J14" s="130"/>
      <c r="K14" s="130"/>
      <c r="L14" s="130"/>
      <c r="M14" s="130"/>
      <c r="N14" s="130"/>
      <c r="O14" s="130"/>
      <c r="P14" s="130"/>
      <c r="Q14" s="130"/>
      <c r="R14" s="130"/>
    </row>
    <row r="15">
      <c r="A15" s="411"/>
      <c r="B15" s="130"/>
      <c r="C15" s="130"/>
      <c r="D15" s="130"/>
      <c r="E15" s="130"/>
      <c r="F15" s="188"/>
      <c r="G15" s="130"/>
      <c r="H15" s="130"/>
      <c r="I15" s="130"/>
      <c r="J15" s="130"/>
      <c r="K15" s="130"/>
      <c r="L15" s="130"/>
      <c r="M15" s="130"/>
      <c r="N15" s="130"/>
      <c r="O15" s="130"/>
      <c r="P15" s="130"/>
      <c r="Q15" s="130"/>
      <c r="R15" s="130"/>
    </row>
    <row r="16">
      <c r="A16" s="411"/>
      <c r="B16" s="130"/>
      <c r="C16" s="130"/>
      <c r="D16" s="130"/>
      <c r="E16" s="130"/>
      <c r="F16" s="188"/>
      <c r="G16" s="130"/>
      <c r="H16" s="130"/>
      <c r="I16" s="130"/>
      <c r="J16" s="130"/>
      <c r="K16" s="130"/>
      <c r="L16" s="130"/>
      <c r="M16" s="130"/>
      <c r="N16" s="130"/>
      <c r="O16" s="130"/>
      <c r="P16" s="130"/>
      <c r="Q16" s="130"/>
      <c r="R16" s="130"/>
    </row>
    <row r="17">
      <c r="A17" s="411"/>
      <c r="B17" s="130"/>
      <c r="C17" s="130"/>
      <c r="D17" s="130"/>
      <c r="E17" s="130"/>
      <c r="F17" s="188"/>
      <c r="G17" s="130"/>
      <c r="H17" s="130"/>
      <c r="I17" s="130"/>
      <c r="J17" s="130"/>
      <c r="K17" s="130"/>
      <c r="L17" s="130"/>
      <c r="M17" s="130"/>
      <c r="N17" s="130"/>
      <c r="O17" s="130"/>
      <c r="P17" s="130"/>
      <c r="Q17" s="130"/>
      <c r="R17" s="130"/>
    </row>
    <row r="18">
      <c r="A18" s="411"/>
      <c r="B18" s="130"/>
      <c r="C18" s="130"/>
      <c r="D18" s="130"/>
      <c r="E18" s="130"/>
      <c r="F18" s="188"/>
      <c r="G18" s="130"/>
      <c r="H18" s="130"/>
      <c r="I18" s="130"/>
      <c r="J18" s="130"/>
      <c r="K18" s="130"/>
      <c r="L18" s="130"/>
      <c r="M18" s="130"/>
      <c r="N18" s="130"/>
      <c r="O18" s="130"/>
      <c r="P18" s="130"/>
      <c r="Q18" s="130"/>
      <c r="R18" s="130"/>
    </row>
    <row r="19">
      <c r="A19" s="411"/>
      <c r="B19" s="130"/>
      <c r="C19" s="130"/>
      <c r="D19" s="130"/>
      <c r="E19" s="130"/>
      <c r="F19" s="188"/>
      <c r="G19" s="130"/>
      <c r="H19" s="130"/>
      <c r="I19" s="130"/>
      <c r="J19" s="130"/>
      <c r="K19" s="130"/>
      <c r="L19" s="130"/>
      <c r="M19" s="130"/>
      <c r="N19" s="130"/>
      <c r="O19" s="130"/>
      <c r="P19" s="130"/>
      <c r="Q19" s="130"/>
      <c r="R19" s="130"/>
    </row>
    <row r="20">
      <c r="A20" s="411"/>
      <c r="B20" s="130"/>
      <c r="C20" s="130"/>
      <c r="D20" s="130"/>
      <c r="E20" s="130"/>
      <c r="F20" s="188"/>
      <c r="G20" s="130"/>
      <c r="H20" s="130"/>
      <c r="I20" s="130"/>
      <c r="J20" s="130"/>
      <c r="K20" s="130"/>
      <c r="L20" s="130"/>
      <c r="M20" s="130"/>
      <c r="N20" s="130"/>
      <c r="O20" s="130"/>
      <c r="P20" s="130"/>
      <c r="Q20" s="130"/>
      <c r="R20" s="130"/>
    </row>
    <row r="21">
      <c r="A21" s="411"/>
      <c r="B21" s="130"/>
      <c r="C21" s="130"/>
      <c r="D21" s="130"/>
      <c r="E21" s="130"/>
      <c r="F21" s="188"/>
      <c r="G21" s="130"/>
      <c r="H21" s="130"/>
      <c r="I21" s="130"/>
      <c r="J21" s="130"/>
      <c r="K21" s="130"/>
      <c r="L21" s="130"/>
      <c r="M21" s="130"/>
      <c r="N21" s="130"/>
      <c r="O21" s="130"/>
      <c r="P21" s="130"/>
      <c r="Q21" s="130"/>
      <c r="R21" s="130"/>
    </row>
    <row r="22">
      <c r="A22" s="411"/>
      <c r="B22" s="130"/>
      <c r="C22" s="130"/>
      <c r="D22" s="130"/>
      <c r="E22" s="130"/>
      <c r="F22" s="188"/>
      <c r="G22" s="130"/>
      <c r="H22" s="130"/>
      <c r="I22" s="130"/>
      <c r="J22" s="130"/>
      <c r="K22" s="130"/>
      <c r="L22" s="130"/>
      <c r="M22" s="130"/>
      <c r="N22" s="130"/>
      <c r="O22" s="130"/>
      <c r="P22" s="130"/>
      <c r="Q22" s="130"/>
      <c r="R22" s="130"/>
    </row>
    <row r="23">
      <c r="A23" s="411"/>
      <c r="B23" s="130"/>
      <c r="C23" s="130"/>
      <c r="D23" s="130"/>
      <c r="E23" s="130"/>
      <c r="F23" s="188"/>
      <c r="G23" s="130"/>
      <c r="H23" s="130"/>
      <c r="I23" s="130"/>
      <c r="J23" s="130"/>
      <c r="K23" s="130"/>
      <c r="L23" s="130"/>
      <c r="M23" s="130"/>
      <c r="N23" s="130"/>
      <c r="O23" s="130"/>
      <c r="P23" s="130"/>
      <c r="Q23" s="130"/>
      <c r="R23" s="130"/>
    </row>
    <row r="24">
      <c r="A24" s="411"/>
      <c r="B24" s="130"/>
      <c r="C24" s="130"/>
      <c r="D24" s="130"/>
      <c r="E24" s="130"/>
      <c r="F24" s="188"/>
      <c r="G24" s="130"/>
      <c r="H24" s="130"/>
      <c r="I24" s="130"/>
      <c r="J24" s="130"/>
      <c r="K24" s="130"/>
      <c r="L24" s="130"/>
      <c r="M24" s="130"/>
      <c r="N24" s="130"/>
      <c r="O24" s="130"/>
      <c r="P24" s="130"/>
      <c r="Q24" s="130"/>
      <c r="R24" s="130"/>
    </row>
    <row r="25">
      <c r="A25" s="411"/>
      <c r="B25" s="130"/>
      <c r="C25" s="130"/>
      <c r="D25" s="130"/>
      <c r="E25" s="130"/>
      <c r="F25" s="188"/>
      <c r="G25" s="130"/>
      <c r="H25" s="130"/>
      <c r="I25" s="130"/>
      <c r="J25" s="130"/>
      <c r="K25" s="130"/>
      <c r="L25" s="130"/>
      <c r="M25" s="130"/>
      <c r="N25" s="130"/>
      <c r="O25" s="130"/>
      <c r="P25" s="130"/>
      <c r="Q25" s="130"/>
      <c r="R25" s="130"/>
    </row>
    <row r="26">
      <c r="A26" s="411"/>
      <c r="B26" s="130"/>
      <c r="C26" s="130"/>
      <c r="D26" s="130"/>
      <c r="E26" s="130"/>
      <c r="F26" s="188"/>
      <c r="G26" s="130"/>
      <c r="H26" s="130"/>
      <c r="I26" s="130"/>
      <c r="J26" s="130"/>
      <c r="K26" s="130"/>
      <c r="L26" s="130"/>
      <c r="M26" s="130"/>
      <c r="N26" s="130"/>
      <c r="O26" s="130"/>
      <c r="P26" s="130"/>
      <c r="Q26" s="130"/>
      <c r="R26" s="130"/>
    </row>
    <row r="27">
      <c r="A27" s="411"/>
      <c r="B27" s="130"/>
      <c r="C27" s="130"/>
      <c r="D27" s="130"/>
      <c r="E27" s="130"/>
      <c r="F27" s="188"/>
      <c r="G27" s="130"/>
      <c r="H27" s="130"/>
      <c r="I27" s="130"/>
      <c r="J27" s="130"/>
      <c r="K27" s="130"/>
      <c r="L27" s="130"/>
      <c r="M27" s="130"/>
      <c r="N27" s="130"/>
      <c r="O27" s="130"/>
      <c r="P27" s="130"/>
      <c r="Q27" s="130"/>
      <c r="R27" s="130"/>
    </row>
    <row r="28">
      <c r="A28" s="411"/>
      <c r="B28" s="130"/>
      <c r="C28" s="130"/>
      <c r="D28" s="130"/>
      <c r="E28" s="130"/>
      <c r="F28" s="188"/>
      <c r="G28" s="130"/>
      <c r="H28" s="130"/>
      <c r="I28" s="130"/>
      <c r="J28" s="130"/>
      <c r="K28" s="130"/>
      <c r="L28" s="130"/>
      <c r="M28" s="130"/>
      <c r="N28" s="130"/>
      <c r="O28" s="130"/>
      <c r="P28" s="130"/>
      <c r="Q28" s="130"/>
      <c r="R28" s="130"/>
    </row>
    <row r="29">
      <c r="A29" s="411"/>
      <c r="B29" s="130"/>
      <c r="C29" s="130"/>
      <c r="D29" s="130"/>
      <c r="E29" s="130"/>
      <c r="F29" s="188"/>
      <c r="G29" s="130"/>
      <c r="H29" s="130"/>
      <c r="I29" s="130"/>
      <c r="J29" s="130"/>
      <c r="K29" s="130"/>
      <c r="L29" s="130"/>
      <c r="M29" s="130"/>
      <c r="N29" s="130"/>
      <c r="O29" s="130"/>
      <c r="P29" s="130"/>
      <c r="Q29" s="130"/>
      <c r="R29" s="130"/>
    </row>
    <row r="30">
      <c r="A30" s="411"/>
      <c r="B30" s="130"/>
      <c r="C30" s="130"/>
      <c r="D30" s="130"/>
      <c r="E30" s="130"/>
      <c r="F30" s="188"/>
      <c r="G30" s="130"/>
      <c r="H30" s="130"/>
      <c r="I30" s="130"/>
      <c r="J30" s="130"/>
      <c r="K30" s="130"/>
      <c r="L30" s="130"/>
      <c r="M30" s="130"/>
      <c r="N30" s="130"/>
      <c r="O30" s="130"/>
      <c r="P30" s="130"/>
      <c r="Q30" s="130"/>
      <c r="R30" s="130"/>
    </row>
    <row r="31">
      <c r="A31" s="411"/>
      <c r="B31" s="130"/>
      <c r="C31" s="130"/>
      <c r="D31" s="130"/>
      <c r="E31" s="130"/>
      <c r="F31" s="188"/>
      <c r="G31" s="130"/>
      <c r="H31" s="130"/>
      <c r="I31" s="130"/>
      <c r="J31" s="130"/>
      <c r="K31" s="130"/>
      <c r="L31" s="130"/>
      <c r="M31" s="130"/>
      <c r="N31" s="130"/>
      <c r="O31" s="130"/>
      <c r="P31" s="130"/>
      <c r="Q31" s="130"/>
      <c r="R31" s="130"/>
    </row>
    <row r="32">
      <c r="A32" s="130"/>
      <c r="B32" s="130"/>
      <c r="C32" s="130"/>
      <c r="D32" s="130"/>
      <c r="E32" s="130"/>
      <c r="F32" s="188"/>
      <c r="G32" s="130"/>
      <c r="H32" s="130"/>
      <c r="I32" s="130"/>
      <c r="J32" s="130"/>
      <c r="K32" s="130"/>
      <c r="L32" s="130"/>
      <c r="M32" s="130"/>
      <c r="N32" s="130"/>
      <c r="O32" s="130"/>
      <c r="P32" s="130"/>
      <c r="Q32" s="130"/>
      <c r="R32" s="130"/>
    </row>
    <row r="33">
      <c r="A33" s="130"/>
      <c r="B33" s="130"/>
      <c r="C33" s="130"/>
      <c r="D33" s="130"/>
      <c r="E33" s="130"/>
      <c r="F33" s="188"/>
      <c r="G33" s="130"/>
      <c r="H33" s="130"/>
      <c r="I33" s="130"/>
      <c r="J33" s="130"/>
      <c r="K33" s="130"/>
      <c r="L33" s="130"/>
      <c r="M33" s="130"/>
      <c r="N33" s="130"/>
      <c r="O33" s="130"/>
      <c r="P33" s="130"/>
      <c r="Q33" s="130"/>
      <c r="R33" s="130"/>
    </row>
    <row r="34">
      <c r="A34" s="130"/>
      <c r="B34" s="130"/>
      <c r="C34" s="130"/>
      <c r="D34" s="130"/>
      <c r="E34" s="130"/>
      <c r="F34" s="188"/>
      <c r="G34" s="130"/>
      <c r="H34" s="130"/>
      <c r="I34" s="130"/>
      <c r="J34" s="130"/>
      <c r="K34" s="130"/>
      <c r="L34" s="130"/>
      <c r="M34" s="130"/>
      <c r="N34" s="130"/>
      <c r="O34" s="130"/>
      <c r="P34" s="130"/>
      <c r="Q34" s="130"/>
      <c r="R34" s="130"/>
    </row>
    <row r="35">
      <c r="A35" s="130"/>
      <c r="B35" s="130"/>
      <c r="C35" s="130"/>
      <c r="D35" s="130"/>
      <c r="E35" s="130"/>
      <c r="F35" s="188"/>
      <c r="G35" s="130"/>
      <c r="H35" s="130"/>
      <c r="I35" s="130"/>
      <c r="J35" s="130"/>
      <c r="K35" s="130"/>
      <c r="L35" s="130"/>
      <c r="M35" s="130"/>
      <c r="N35" s="130"/>
      <c r="O35" s="130"/>
      <c r="P35" s="130"/>
      <c r="Q35" s="130"/>
      <c r="R35" s="130"/>
    </row>
    <row r="36">
      <c r="A36" s="130"/>
      <c r="B36" s="130"/>
      <c r="C36" s="130"/>
      <c r="D36" s="130"/>
      <c r="E36" s="130"/>
      <c r="F36" s="188"/>
      <c r="G36" s="130"/>
      <c r="H36" s="130"/>
      <c r="I36" s="130"/>
      <c r="J36" s="130"/>
      <c r="K36" s="130"/>
      <c r="L36" s="130"/>
      <c r="M36" s="130"/>
      <c r="N36" s="130"/>
      <c r="O36" s="130"/>
      <c r="P36" s="130"/>
      <c r="Q36" s="130"/>
      <c r="R36" s="130"/>
    </row>
    <row r="37">
      <c r="A37" s="130"/>
      <c r="B37" s="130"/>
      <c r="C37" s="130"/>
      <c r="D37" s="130"/>
      <c r="E37" s="130"/>
      <c r="F37" s="188"/>
      <c r="G37" s="130"/>
      <c r="H37" s="130"/>
      <c r="I37" s="130"/>
      <c r="J37" s="130"/>
      <c r="K37" s="130"/>
      <c r="L37" s="130"/>
      <c r="M37" s="130"/>
      <c r="N37" s="130"/>
      <c r="O37" s="130"/>
      <c r="P37" s="130"/>
      <c r="Q37" s="130"/>
      <c r="R37" s="130"/>
    </row>
    <row r="38">
      <c r="A38" s="130"/>
      <c r="B38" s="130"/>
      <c r="C38" s="130"/>
      <c r="D38" s="130"/>
      <c r="E38" s="130"/>
      <c r="F38" s="188"/>
      <c r="G38" s="130"/>
      <c r="H38" s="130"/>
      <c r="I38" s="130"/>
      <c r="J38" s="130"/>
      <c r="K38" s="130"/>
      <c r="L38" s="130"/>
      <c r="M38" s="130"/>
      <c r="N38" s="130"/>
      <c r="O38" s="130"/>
      <c r="P38" s="130"/>
      <c r="Q38" s="130"/>
      <c r="R38" s="130"/>
    </row>
    <row r="39">
      <c r="A39" s="130"/>
      <c r="B39" s="130"/>
      <c r="C39" s="130"/>
      <c r="D39" s="130"/>
      <c r="E39" s="130"/>
      <c r="F39" s="188"/>
      <c r="G39" s="130"/>
      <c r="H39" s="130"/>
      <c r="I39" s="130"/>
      <c r="J39" s="130"/>
      <c r="K39" s="130"/>
      <c r="L39" s="130"/>
      <c r="M39" s="130"/>
      <c r="N39" s="130"/>
      <c r="O39" s="130"/>
      <c r="P39" s="130"/>
      <c r="Q39" s="130"/>
      <c r="R39" s="130"/>
    </row>
    <row r="40">
      <c r="A40" s="130"/>
      <c r="B40" s="130"/>
      <c r="C40" s="130"/>
      <c r="D40" s="130"/>
      <c r="E40" s="130"/>
      <c r="F40" s="188"/>
      <c r="G40" s="130"/>
      <c r="H40" s="130"/>
      <c r="I40" s="130"/>
      <c r="J40" s="130"/>
      <c r="K40" s="130"/>
      <c r="L40" s="130"/>
      <c r="M40" s="130"/>
      <c r="N40" s="130"/>
      <c r="O40" s="130"/>
      <c r="P40" s="130"/>
      <c r="Q40" s="130"/>
      <c r="R40" s="130"/>
    </row>
    <row r="41">
      <c r="A41" s="130"/>
      <c r="B41" s="130"/>
      <c r="C41" s="130"/>
      <c r="D41" s="130"/>
      <c r="E41" s="130"/>
      <c r="F41" s="188"/>
      <c r="G41" s="130"/>
      <c r="H41" s="130"/>
      <c r="I41" s="130"/>
      <c r="J41" s="130"/>
      <c r="K41" s="130"/>
      <c r="L41" s="130"/>
      <c r="M41" s="130"/>
      <c r="N41" s="130"/>
      <c r="O41" s="130"/>
      <c r="P41" s="130"/>
      <c r="Q41" s="130"/>
      <c r="R41" s="130"/>
    </row>
    <row r="42">
      <c r="A42" s="130"/>
      <c r="B42" s="130"/>
      <c r="C42" s="130"/>
      <c r="D42" s="130"/>
      <c r="E42" s="130"/>
      <c r="F42" s="188"/>
      <c r="G42" s="130"/>
      <c r="H42" s="130"/>
      <c r="I42" s="130"/>
      <c r="J42" s="130"/>
      <c r="K42" s="130"/>
      <c r="L42" s="130"/>
      <c r="M42" s="130"/>
      <c r="N42" s="130"/>
      <c r="O42" s="130"/>
      <c r="P42" s="130"/>
      <c r="Q42" s="130"/>
      <c r="R42" s="130"/>
    </row>
    <row r="43">
      <c r="A43" s="130"/>
      <c r="B43" s="130"/>
      <c r="C43" s="130"/>
      <c r="D43" s="130"/>
      <c r="E43" s="130"/>
      <c r="F43" s="188"/>
      <c r="G43" s="130"/>
      <c r="H43" s="130"/>
      <c r="I43" s="130"/>
      <c r="J43" s="130"/>
      <c r="K43" s="130"/>
      <c r="L43" s="130"/>
      <c r="M43" s="130"/>
      <c r="N43" s="130"/>
      <c r="O43" s="130"/>
      <c r="P43" s="130"/>
      <c r="Q43" s="130"/>
      <c r="R43" s="130"/>
    </row>
    <row r="44">
      <c r="A44" s="130"/>
      <c r="B44" s="130"/>
      <c r="C44" s="130"/>
      <c r="D44" s="130"/>
      <c r="E44" s="130"/>
      <c r="F44" s="188"/>
      <c r="G44" s="130"/>
      <c r="H44" s="130"/>
      <c r="I44" s="130"/>
      <c r="J44" s="130"/>
      <c r="K44" s="130"/>
      <c r="L44" s="130"/>
      <c r="M44" s="130"/>
      <c r="N44" s="130"/>
      <c r="O44" s="130"/>
      <c r="P44" s="130"/>
      <c r="Q44" s="130"/>
      <c r="R44" s="130"/>
    </row>
    <row r="45">
      <c r="A45" s="130"/>
      <c r="B45" s="130"/>
      <c r="C45" s="130"/>
      <c r="D45" s="130"/>
      <c r="E45" s="130"/>
      <c r="F45" s="188"/>
      <c r="G45" s="130"/>
      <c r="H45" s="130"/>
      <c r="I45" s="130"/>
      <c r="J45" s="130"/>
      <c r="K45" s="130"/>
      <c r="L45" s="130"/>
      <c r="M45" s="130"/>
      <c r="N45" s="130"/>
      <c r="O45" s="130"/>
      <c r="P45" s="130"/>
      <c r="Q45" s="130"/>
      <c r="R45" s="130"/>
    </row>
    <row r="46">
      <c r="A46" s="130"/>
      <c r="B46" s="130"/>
      <c r="C46" s="130"/>
      <c r="D46" s="130"/>
      <c r="E46" s="130"/>
      <c r="F46" s="188"/>
      <c r="G46" s="130"/>
      <c r="H46" s="130"/>
      <c r="I46" s="130"/>
      <c r="J46" s="130"/>
      <c r="K46" s="130"/>
      <c r="L46" s="130"/>
      <c r="M46" s="130"/>
      <c r="N46" s="130"/>
      <c r="O46" s="130"/>
      <c r="P46" s="130"/>
      <c r="Q46" s="130"/>
      <c r="R46" s="130"/>
    </row>
    <row r="47">
      <c r="A47" s="130"/>
      <c r="B47" s="130"/>
      <c r="C47" s="130"/>
      <c r="D47" s="130"/>
      <c r="E47" s="130"/>
      <c r="F47" s="188"/>
      <c r="G47" s="130"/>
      <c r="H47" s="130"/>
      <c r="I47" s="130"/>
      <c r="J47" s="130"/>
      <c r="K47" s="130"/>
      <c r="L47" s="130"/>
      <c r="M47" s="130"/>
      <c r="N47" s="130"/>
      <c r="O47" s="130"/>
      <c r="P47" s="130"/>
      <c r="Q47" s="130"/>
      <c r="R47" s="130"/>
    </row>
    <row r="48">
      <c r="A48" s="130"/>
      <c r="B48" s="130"/>
      <c r="C48" s="130"/>
      <c r="D48" s="130"/>
      <c r="E48" s="130"/>
      <c r="F48" s="188"/>
      <c r="G48" s="130"/>
      <c r="H48" s="130"/>
      <c r="I48" s="130"/>
      <c r="J48" s="130"/>
      <c r="K48" s="130"/>
      <c r="L48" s="130"/>
      <c r="M48" s="130"/>
      <c r="N48" s="130"/>
      <c r="O48" s="130"/>
      <c r="P48" s="130"/>
      <c r="Q48" s="130"/>
      <c r="R48" s="130"/>
    </row>
    <row r="49">
      <c r="A49" s="130"/>
      <c r="B49" s="130"/>
      <c r="C49" s="130"/>
      <c r="D49" s="130"/>
      <c r="E49" s="130"/>
      <c r="F49" s="188"/>
      <c r="G49" s="130"/>
      <c r="H49" s="130"/>
      <c r="I49" s="130"/>
      <c r="J49" s="130"/>
      <c r="K49" s="130"/>
      <c r="L49" s="130"/>
      <c r="M49" s="130"/>
      <c r="N49" s="130"/>
      <c r="O49" s="130"/>
      <c r="P49" s="130"/>
      <c r="Q49" s="130"/>
      <c r="R49" s="130"/>
    </row>
    <row r="50">
      <c r="A50" s="130"/>
      <c r="B50" s="130"/>
      <c r="C50" s="130"/>
      <c r="D50" s="130"/>
      <c r="E50" s="130"/>
      <c r="F50" s="188"/>
      <c r="G50" s="130"/>
      <c r="H50" s="130"/>
      <c r="I50" s="130"/>
      <c r="J50" s="130"/>
      <c r="K50" s="130"/>
      <c r="L50" s="130"/>
      <c r="M50" s="130"/>
      <c r="N50" s="130"/>
      <c r="O50" s="130"/>
      <c r="P50" s="130"/>
      <c r="Q50" s="130"/>
      <c r="R50" s="130"/>
    </row>
    <row r="51">
      <c r="A51" s="130"/>
      <c r="B51" s="130"/>
      <c r="C51" s="130"/>
      <c r="D51" s="130"/>
      <c r="E51" s="130"/>
      <c r="F51" s="188"/>
      <c r="G51" s="130"/>
      <c r="H51" s="130"/>
      <c r="I51" s="130"/>
      <c r="J51" s="130"/>
      <c r="K51" s="130"/>
      <c r="L51" s="130"/>
      <c r="M51" s="130"/>
      <c r="N51" s="130"/>
      <c r="O51" s="130"/>
      <c r="P51" s="130"/>
      <c r="Q51" s="130"/>
      <c r="R51" s="130"/>
    </row>
    <row r="52">
      <c r="A52" s="130"/>
      <c r="B52" s="130"/>
      <c r="C52" s="130"/>
      <c r="D52" s="130"/>
      <c r="E52" s="130"/>
      <c r="F52" s="188"/>
      <c r="G52" s="130"/>
      <c r="H52" s="130"/>
      <c r="I52" s="130"/>
      <c r="J52" s="130"/>
      <c r="K52" s="130"/>
      <c r="L52" s="130"/>
      <c r="M52" s="130"/>
      <c r="N52" s="130"/>
      <c r="O52" s="130"/>
      <c r="P52" s="130"/>
      <c r="Q52" s="130"/>
      <c r="R52" s="130"/>
    </row>
    <row r="53">
      <c r="A53" s="130"/>
      <c r="B53" s="130"/>
      <c r="C53" s="130"/>
      <c r="D53" s="130"/>
      <c r="E53" s="130"/>
      <c r="F53" s="188"/>
      <c r="G53" s="130"/>
      <c r="H53" s="130"/>
      <c r="I53" s="130"/>
      <c r="J53" s="130"/>
      <c r="K53" s="130"/>
      <c r="L53" s="130"/>
      <c r="M53" s="130"/>
      <c r="N53" s="130"/>
      <c r="O53" s="130"/>
      <c r="P53" s="130"/>
      <c r="Q53" s="130"/>
      <c r="R53" s="130"/>
    </row>
    <row r="54">
      <c r="A54" s="130"/>
      <c r="B54" s="130"/>
      <c r="C54" s="130"/>
      <c r="D54" s="130"/>
      <c r="E54" s="130"/>
      <c r="F54" s="188"/>
      <c r="G54" s="130"/>
      <c r="H54" s="130"/>
      <c r="I54" s="130"/>
      <c r="J54" s="130"/>
      <c r="K54" s="130"/>
      <c r="L54" s="130"/>
      <c r="M54" s="130"/>
      <c r="N54" s="130"/>
      <c r="O54" s="130"/>
      <c r="P54" s="130"/>
      <c r="Q54" s="130"/>
      <c r="R54" s="130"/>
    </row>
    <row r="55">
      <c r="A55" s="130"/>
      <c r="B55" s="130"/>
      <c r="C55" s="130"/>
      <c r="D55" s="130"/>
      <c r="E55" s="130"/>
      <c r="F55" s="188"/>
      <c r="G55" s="130"/>
      <c r="H55" s="130"/>
      <c r="I55" s="130"/>
      <c r="J55" s="130"/>
      <c r="K55" s="130"/>
      <c r="L55" s="130"/>
      <c r="M55" s="130"/>
      <c r="N55" s="130"/>
      <c r="O55" s="130"/>
      <c r="P55" s="130"/>
      <c r="Q55" s="130"/>
      <c r="R55" s="130"/>
    </row>
    <row r="56">
      <c r="A56" s="130"/>
      <c r="B56" s="130"/>
      <c r="C56" s="130"/>
      <c r="D56" s="130"/>
      <c r="E56" s="130"/>
      <c r="F56" s="188"/>
      <c r="G56" s="130"/>
      <c r="H56" s="130"/>
      <c r="I56" s="130"/>
      <c r="J56" s="130"/>
      <c r="K56" s="130"/>
      <c r="L56" s="130"/>
      <c r="M56" s="130"/>
      <c r="N56" s="130"/>
      <c r="O56" s="130"/>
      <c r="P56" s="130"/>
      <c r="Q56" s="130"/>
      <c r="R56" s="130"/>
    </row>
    <row r="57">
      <c r="A57" s="130"/>
      <c r="B57" s="130"/>
      <c r="C57" s="130"/>
      <c r="D57" s="130"/>
      <c r="E57" s="130"/>
      <c r="F57" s="188"/>
      <c r="G57" s="130"/>
      <c r="H57" s="130"/>
      <c r="I57" s="130"/>
      <c r="J57" s="130"/>
      <c r="K57" s="130"/>
      <c r="L57" s="130"/>
      <c r="M57" s="130"/>
      <c r="N57" s="130"/>
      <c r="O57" s="130"/>
      <c r="P57" s="130"/>
      <c r="Q57" s="130"/>
      <c r="R57" s="130"/>
    </row>
    <row r="58">
      <c r="A58" s="130"/>
      <c r="B58" s="130"/>
      <c r="C58" s="130"/>
      <c r="D58" s="130"/>
      <c r="E58" s="130"/>
      <c r="F58" s="188"/>
      <c r="G58" s="130"/>
      <c r="H58" s="130"/>
      <c r="I58" s="130"/>
      <c r="J58" s="130"/>
      <c r="K58" s="130"/>
      <c r="L58" s="130"/>
      <c r="M58" s="130"/>
      <c r="N58" s="130"/>
      <c r="O58" s="130"/>
      <c r="P58" s="130"/>
      <c r="Q58" s="130"/>
      <c r="R58" s="130"/>
    </row>
    <row r="59">
      <c r="A59" s="130"/>
      <c r="B59" s="130"/>
      <c r="C59" s="130"/>
      <c r="D59" s="130"/>
      <c r="E59" s="130"/>
      <c r="F59" s="188"/>
      <c r="G59" s="130"/>
      <c r="H59" s="130"/>
      <c r="I59" s="130"/>
      <c r="J59" s="130"/>
      <c r="K59" s="130"/>
      <c r="L59" s="130"/>
      <c r="M59" s="130"/>
      <c r="N59" s="130"/>
      <c r="O59" s="130"/>
      <c r="P59" s="130"/>
      <c r="Q59" s="130"/>
      <c r="R59" s="130"/>
    </row>
    <row r="60">
      <c r="A60" s="130"/>
      <c r="B60" s="130"/>
      <c r="C60" s="130"/>
      <c r="D60" s="130"/>
      <c r="E60" s="130"/>
      <c r="F60" s="188"/>
      <c r="G60" s="130"/>
      <c r="H60" s="130"/>
      <c r="I60" s="130"/>
      <c r="J60" s="130"/>
      <c r="K60" s="130"/>
      <c r="L60" s="130"/>
      <c r="M60" s="130"/>
      <c r="N60" s="130"/>
      <c r="O60" s="130"/>
      <c r="P60" s="130"/>
      <c r="Q60" s="130"/>
      <c r="R60" s="130"/>
    </row>
    <row r="61">
      <c r="A61" s="130"/>
      <c r="B61" s="130"/>
      <c r="C61" s="130"/>
      <c r="D61" s="130"/>
      <c r="E61" s="130"/>
      <c r="F61" s="188"/>
      <c r="G61" s="130"/>
      <c r="H61" s="130"/>
      <c r="I61" s="130"/>
      <c r="J61" s="130"/>
      <c r="K61" s="130"/>
      <c r="L61" s="130"/>
      <c r="M61" s="130"/>
      <c r="N61" s="130"/>
      <c r="O61" s="130"/>
      <c r="P61" s="130"/>
      <c r="Q61" s="130"/>
      <c r="R61" s="130"/>
    </row>
    <row r="62">
      <c r="A62" s="130"/>
      <c r="B62" s="130"/>
      <c r="C62" s="130"/>
      <c r="D62" s="130"/>
      <c r="E62" s="130"/>
      <c r="F62" s="188"/>
      <c r="G62" s="130"/>
      <c r="H62" s="130"/>
      <c r="I62" s="130"/>
      <c r="J62" s="130"/>
      <c r="K62" s="130"/>
      <c r="L62" s="130"/>
      <c r="M62" s="130"/>
      <c r="N62" s="130"/>
      <c r="O62" s="130"/>
      <c r="P62" s="130"/>
      <c r="Q62" s="130"/>
      <c r="R62" s="130"/>
    </row>
    <row r="63">
      <c r="A63" s="130"/>
      <c r="B63" s="130"/>
      <c r="C63" s="130"/>
      <c r="D63" s="130"/>
      <c r="E63" s="130"/>
      <c r="F63" s="188"/>
      <c r="G63" s="130"/>
      <c r="H63" s="130"/>
      <c r="I63" s="130"/>
      <c r="J63" s="130"/>
      <c r="K63" s="130"/>
      <c r="L63" s="130"/>
      <c r="M63" s="130"/>
      <c r="N63" s="130"/>
      <c r="O63" s="130"/>
      <c r="P63" s="130"/>
      <c r="Q63" s="130"/>
      <c r="R63" s="130"/>
    </row>
    <row r="64">
      <c r="A64" s="130"/>
      <c r="B64" s="130"/>
      <c r="C64" s="130"/>
      <c r="D64" s="130"/>
      <c r="E64" s="130"/>
      <c r="F64" s="188"/>
      <c r="G64" s="130"/>
      <c r="H64" s="130"/>
      <c r="I64" s="130"/>
      <c r="J64" s="130"/>
      <c r="K64" s="130"/>
      <c r="L64" s="130"/>
      <c r="M64" s="130"/>
      <c r="N64" s="130"/>
      <c r="O64" s="130"/>
      <c r="P64" s="130"/>
      <c r="Q64" s="130"/>
      <c r="R64" s="130"/>
    </row>
    <row r="65">
      <c r="A65" s="130"/>
      <c r="B65" s="130"/>
      <c r="C65" s="130"/>
      <c r="D65" s="130"/>
      <c r="E65" s="130"/>
      <c r="F65" s="188"/>
      <c r="G65" s="130"/>
      <c r="H65" s="130"/>
      <c r="I65" s="130"/>
      <c r="J65" s="130"/>
      <c r="K65" s="130"/>
      <c r="L65" s="130"/>
      <c r="M65" s="130"/>
      <c r="N65" s="130"/>
      <c r="O65" s="130"/>
      <c r="P65" s="130"/>
      <c r="Q65" s="130"/>
      <c r="R65" s="130"/>
    </row>
    <row r="66">
      <c r="A66" s="130"/>
      <c r="B66" s="130"/>
      <c r="C66" s="130"/>
      <c r="D66" s="130"/>
      <c r="E66" s="130"/>
      <c r="F66" s="188"/>
      <c r="G66" s="130"/>
      <c r="H66" s="130"/>
      <c r="I66" s="130"/>
      <c r="J66" s="130"/>
      <c r="K66" s="130"/>
      <c r="L66" s="130"/>
      <c r="M66" s="130"/>
      <c r="N66" s="130"/>
      <c r="O66" s="130"/>
      <c r="P66" s="130"/>
      <c r="Q66" s="130"/>
      <c r="R66" s="130"/>
    </row>
    <row r="67">
      <c r="A67" s="130"/>
      <c r="B67" s="130"/>
      <c r="C67" s="130"/>
      <c r="D67" s="130"/>
      <c r="E67" s="130"/>
      <c r="F67" s="188"/>
      <c r="G67" s="130"/>
      <c r="H67" s="130"/>
      <c r="I67" s="130"/>
      <c r="J67" s="130"/>
      <c r="K67" s="130"/>
      <c r="L67" s="130"/>
      <c r="M67" s="130"/>
      <c r="N67" s="130"/>
      <c r="O67" s="130"/>
      <c r="P67" s="130"/>
      <c r="Q67" s="130"/>
      <c r="R67" s="130"/>
    </row>
    <row r="68">
      <c r="A68" s="130"/>
      <c r="B68" s="130"/>
      <c r="C68" s="130"/>
      <c r="D68" s="130"/>
      <c r="E68" s="130"/>
      <c r="F68" s="188"/>
      <c r="G68" s="130"/>
      <c r="H68" s="130"/>
      <c r="I68" s="130"/>
      <c r="J68" s="130"/>
      <c r="K68" s="130"/>
      <c r="L68" s="130"/>
      <c r="M68" s="130"/>
      <c r="N68" s="130"/>
      <c r="O68" s="130"/>
      <c r="P68" s="130"/>
      <c r="Q68" s="130"/>
      <c r="R68" s="130"/>
    </row>
    <row r="69">
      <c r="A69" s="130"/>
      <c r="B69" s="130"/>
      <c r="C69" s="130"/>
      <c r="D69" s="130"/>
      <c r="E69" s="130"/>
      <c r="F69" s="188"/>
      <c r="G69" s="130"/>
      <c r="H69" s="130"/>
      <c r="I69" s="130"/>
      <c r="J69" s="130"/>
      <c r="K69" s="130"/>
      <c r="L69" s="130"/>
      <c r="M69" s="130"/>
      <c r="N69" s="130"/>
      <c r="O69" s="130"/>
      <c r="P69" s="130"/>
      <c r="Q69" s="130"/>
      <c r="R69" s="130"/>
    </row>
    <row r="70">
      <c r="A70" s="130"/>
      <c r="B70" s="130"/>
      <c r="C70" s="130"/>
      <c r="D70" s="130"/>
      <c r="E70" s="130"/>
      <c r="F70" s="188"/>
      <c r="G70" s="130"/>
      <c r="H70" s="130"/>
      <c r="I70" s="130"/>
      <c r="J70" s="130"/>
      <c r="K70" s="130"/>
      <c r="L70" s="130"/>
      <c r="M70" s="130"/>
      <c r="N70" s="130"/>
      <c r="O70" s="130"/>
      <c r="P70" s="130"/>
      <c r="Q70" s="130"/>
      <c r="R70" s="130"/>
    </row>
    <row r="71">
      <c r="A71" s="130"/>
      <c r="B71" s="130"/>
      <c r="C71" s="130"/>
      <c r="D71" s="130"/>
      <c r="E71" s="130"/>
      <c r="F71" s="188"/>
      <c r="G71" s="130"/>
      <c r="H71" s="130"/>
      <c r="I71" s="130"/>
      <c r="J71" s="130"/>
      <c r="K71" s="130"/>
      <c r="L71" s="130"/>
      <c r="M71" s="130"/>
      <c r="N71" s="130"/>
      <c r="O71" s="130"/>
      <c r="P71" s="130"/>
      <c r="Q71" s="130"/>
      <c r="R71" s="130"/>
    </row>
    <row r="72">
      <c r="A72" s="130"/>
      <c r="B72" s="130"/>
      <c r="C72" s="130"/>
      <c r="D72" s="130"/>
      <c r="E72" s="130"/>
      <c r="F72" s="188"/>
      <c r="G72" s="130"/>
      <c r="H72" s="130"/>
      <c r="I72" s="130"/>
      <c r="J72" s="130"/>
      <c r="K72" s="130"/>
      <c r="L72" s="130"/>
      <c r="M72" s="130"/>
      <c r="N72" s="130"/>
      <c r="O72" s="130"/>
      <c r="P72" s="130"/>
      <c r="Q72" s="130"/>
      <c r="R72" s="130"/>
    </row>
    <row r="73">
      <c r="A73" s="130"/>
      <c r="B73" s="130"/>
      <c r="C73" s="130"/>
      <c r="D73" s="130"/>
      <c r="E73" s="130"/>
      <c r="F73" s="188"/>
      <c r="G73" s="130"/>
      <c r="H73" s="130"/>
      <c r="I73" s="130"/>
      <c r="J73" s="130"/>
      <c r="K73" s="130"/>
      <c r="L73" s="130"/>
      <c r="M73" s="130"/>
      <c r="N73" s="130"/>
      <c r="O73" s="130"/>
      <c r="P73" s="130"/>
      <c r="Q73" s="130"/>
      <c r="R73" s="130"/>
    </row>
    <row r="74">
      <c r="A74" s="130"/>
      <c r="B74" s="130"/>
      <c r="C74" s="130"/>
      <c r="D74" s="130"/>
      <c r="E74" s="130"/>
      <c r="F74" s="188"/>
      <c r="G74" s="130"/>
      <c r="H74" s="130"/>
      <c r="I74" s="130"/>
      <c r="J74" s="130"/>
      <c r="K74" s="130"/>
      <c r="L74" s="130"/>
      <c r="M74" s="130"/>
      <c r="N74" s="130"/>
      <c r="O74" s="130"/>
      <c r="P74" s="130"/>
      <c r="Q74" s="130"/>
      <c r="R74" s="130"/>
    </row>
    <row r="75">
      <c r="A75" s="130"/>
      <c r="B75" s="130"/>
      <c r="C75" s="130"/>
      <c r="D75" s="130"/>
      <c r="E75" s="130"/>
      <c r="F75" s="188"/>
      <c r="G75" s="130"/>
      <c r="H75" s="130"/>
      <c r="I75" s="130"/>
      <c r="J75" s="130"/>
      <c r="K75" s="130"/>
      <c r="L75" s="130"/>
      <c r="M75" s="130"/>
      <c r="N75" s="130"/>
      <c r="O75" s="130"/>
      <c r="P75" s="130"/>
      <c r="Q75" s="130"/>
      <c r="R75" s="130"/>
    </row>
    <row r="76">
      <c r="A76" s="130"/>
      <c r="B76" s="130"/>
      <c r="C76" s="130"/>
      <c r="D76" s="130"/>
      <c r="E76" s="130"/>
      <c r="F76" s="188"/>
      <c r="G76" s="130"/>
      <c r="H76" s="130"/>
      <c r="I76" s="130"/>
      <c r="J76" s="130"/>
      <c r="K76" s="130"/>
      <c r="L76" s="130"/>
      <c r="M76" s="130"/>
      <c r="N76" s="130"/>
      <c r="O76" s="130"/>
      <c r="P76" s="130"/>
      <c r="Q76" s="130"/>
      <c r="R76" s="130"/>
    </row>
    <row r="77">
      <c r="A77" s="130"/>
      <c r="B77" s="130"/>
      <c r="C77" s="130"/>
      <c r="D77" s="130"/>
      <c r="E77" s="130"/>
      <c r="F77" s="188"/>
      <c r="G77" s="130"/>
      <c r="H77" s="130"/>
      <c r="I77" s="130"/>
      <c r="J77" s="130"/>
      <c r="K77" s="130"/>
      <c r="L77" s="130"/>
      <c r="M77" s="130"/>
      <c r="N77" s="130"/>
      <c r="O77" s="130"/>
      <c r="P77" s="130"/>
      <c r="Q77" s="130"/>
      <c r="R77" s="130"/>
    </row>
    <row r="78">
      <c r="A78" s="130"/>
      <c r="B78" s="130"/>
      <c r="C78" s="130"/>
      <c r="D78" s="130"/>
      <c r="E78" s="130"/>
      <c r="F78" s="188"/>
      <c r="G78" s="130"/>
      <c r="H78" s="130"/>
      <c r="I78" s="130"/>
      <c r="J78" s="130"/>
      <c r="K78" s="130"/>
      <c r="L78" s="130"/>
      <c r="M78" s="130"/>
      <c r="N78" s="130"/>
      <c r="O78" s="130"/>
      <c r="P78" s="130"/>
      <c r="Q78" s="130"/>
      <c r="R78" s="130"/>
    </row>
    <row r="79">
      <c r="A79" s="130"/>
      <c r="B79" s="130"/>
      <c r="C79" s="130"/>
      <c r="D79" s="130"/>
      <c r="E79" s="130"/>
      <c r="F79" s="188"/>
      <c r="G79" s="130"/>
      <c r="H79" s="130"/>
      <c r="I79" s="130"/>
      <c r="J79" s="130"/>
      <c r="K79" s="130"/>
      <c r="L79" s="130"/>
      <c r="M79" s="130"/>
      <c r="N79" s="130"/>
      <c r="O79" s="130"/>
      <c r="P79" s="130"/>
      <c r="Q79" s="130"/>
      <c r="R79" s="130"/>
    </row>
    <row r="80">
      <c r="A80" s="130"/>
      <c r="B80" s="130"/>
      <c r="C80" s="130"/>
      <c r="D80" s="130"/>
      <c r="E80" s="130"/>
      <c r="F80" s="188"/>
      <c r="G80" s="130"/>
      <c r="H80" s="130"/>
      <c r="I80" s="130"/>
      <c r="J80" s="130"/>
      <c r="K80" s="130"/>
      <c r="L80" s="130"/>
      <c r="M80" s="130"/>
      <c r="N80" s="130"/>
      <c r="O80" s="130"/>
      <c r="P80" s="130"/>
      <c r="Q80" s="130"/>
      <c r="R80" s="130"/>
    </row>
    <row r="81">
      <c r="A81" s="130"/>
      <c r="B81" s="130"/>
      <c r="C81" s="130"/>
      <c r="D81" s="130"/>
      <c r="E81" s="130"/>
      <c r="F81" s="188"/>
      <c r="G81" s="130"/>
      <c r="H81" s="130"/>
      <c r="I81" s="130"/>
      <c r="J81" s="130"/>
      <c r="K81" s="130"/>
      <c r="L81" s="130"/>
      <c r="M81" s="130"/>
      <c r="N81" s="130"/>
      <c r="O81" s="130"/>
      <c r="P81" s="130"/>
      <c r="Q81" s="130"/>
      <c r="R81" s="130"/>
    </row>
    <row r="82">
      <c r="A82" s="130"/>
      <c r="B82" s="130"/>
      <c r="C82" s="130"/>
      <c r="D82" s="130"/>
      <c r="E82" s="130"/>
      <c r="F82" s="188"/>
      <c r="G82" s="130"/>
      <c r="H82" s="130"/>
      <c r="I82" s="130"/>
      <c r="J82" s="130"/>
      <c r="K82" s="130"/>
      <c r="L82" s="130"/>
      <c r="M82" s="130"/>
      <c r="N82" s="130"/>
      <c r="O82" s="130"/>
      <c r="P82" s="130"/>
      <c r="Q82" s="130"/>
      <c r="R82" s="130"/>
    </row>
    <row r="83">
      <c r="A83" s="130"/>
      <c r="B83" s="130"/>
      <c r="C83" s="130"/>
      <c r="D83" s="130"/>
      <c r="E83" s="130"/>
      <c r="F83" s="188"/>
      <c r="G83" s="130"/>
      <c r="H83" s="130"/>
      <c r="I83" s="130"/>
      <c r="J83" s="130"/>
      <c r="K83" s="130"/>
      <c r="L83" s="130"/>
      <c r="M83" s="130"/>
      <c r="N83" s="130"/>
      <c r="O83" s="130"/>
      <c r="P83" s="130"/>
      <c r="Q83" s="130"/>
      <c r="R83" s="130"/>
    </row>
    <row r="84">
      <c r="A84" s="130"/>
      <c r="B84" s="130"/>
      <c r="C84" s="130"/>
      <c r="D84" s="130"/>
      <c r="E84" s="130"/>
      <c r="F84" s="188"/>
      <c r="G84" s="130"/>
      <c r="H84" s="130"/>
      <c r="I84" s="130"/>
      <c r="J84" s="130"/>
      <c r="K84" s="130"/>
      <c r="L84" s="130"/>
      <c r="M84" s="130"/>
      <c r="N84" s="130"/>
      <c r="O84" s="130"/>
      <c r="P84" s="130"/>
      <c r="Q84" s="130"/>
      <c r="R84" s="130"/>
    </row>
    <row r="85">
      <c r="A85" s="130"/>
      <c r="B85" s="130"/>
      <c r="C85" s="130"/>
      <c r="D85" s="130"/>
      <c r="E85" s="130"/>
      <c r="F85" s="188"/>
      <c r="G85" s="130"/>
      <c r="H85" s="130"/>
      <c r="I85" s="130"/>
      <c r="J85" s="130"/>
      <c r="K85" s="130"/>
      <c r="L85" s="130"/>
      <c r="M85" s="130"/>
      <c r="N85" s="130"/>
      <c r="O85" s="130"/>
      <c r="P85" s="130"/>
      <c r="Q85" s="130"/>
      <c r="R85" s="130"/>
    </row>
    <row r="86">
      <c r="A86" s="130"/>
      <c r="B86" s="130"/>
      <c r="C86" s="130"/>
      <c r="D86" s="130"/>
      <c r="E86" s="130"/>
      <c r="F86" s="188"/>
      <c r="G86" s="130"/>
      <c r="H86" s="130"/>
      <c r="I86" s="130"/>
      <c r="J86" s="130"/>
      <c r="K86" s="130"/>
      <c r="L86" s="130"/>
      <c r="M86" s="130"/>
      <c r="N86" s="130"/>
      <c r="O86" s="130"/>
      <c r="P86" s="130"/>
      <c r="Q86" s="130"/>
      <c r="R86" s="130"/>
    </row>
    <row r="87">
      <c r="A87" s="130"/>
      <c r="B87" s="130"/>
      <c r="C87" s="130"/>
      <c r="D87" s="130"/>
      <c r="E87" s="130"/>
      <c r="F87" s="188"/>
      <c r="G87" s="130"/>
      <c r="H87" s="130"/>
      <c r="I87" s="130"/>
      <c r="J87" s="130"/>
      <c r="K87" s="130"/>
      <c r="L87" s="130"/>
      <c r="M87" s="130"/>
      <c r="N87" s="130"/>
      <c r="O87" s="130"/>
      <c r="P87" s="130"/>
      <c r="Q87" s="130"/>
      <c r="R87" s="130"/>
    </row>
    <row r="88">
      <c r="A88" s="130"/>
      <c r="B88" s="130"/>
      <c r="C88" s="130"/>
      <c r="D88" s="130"/>
      <c r="E88" s="130"/>
      <c r="F88" s="188"/>
      <c r="G88" s="130"/>
      <c r="H88" s="130"/>
      <c r="I88" s="130"/>
      <c r="J88" s="130"/>
      <c r="K88" s="130"/>
      <c r="L88" s="130"/>
      <c r="M88" s="130"/>
      <c r="N88" s="130"/>
      <c r="O88" s="130"/>
      <c r="P88" s="130"/>
      <c r="Q88" s="130"/>
      <c r="R88" s="130"/>
    </row>
    <row r="89">
      <c r="A89" s="130"/>
      <c r="B89" s="130"/>
      <c r="C89" s="130"/>
      <c r="D89" s="130"/>
      <c r="E89" s="130"/>
      <c r="F89" s="188"/>
      <c r="G89" s="130"/>
      <c r="H89" s="130"/>
      <c r="I89" s="130"/>
      <c r="J89" s="130"/>
      <c r="K89" s="130"/>
      <c r="L89" s="130"/>
      <c r="M89" s="130"/>
      <c r="N89" s="130"/>
      <c r="O89" s="130"/>
      <c r="P89" s="130"/>
      <c r="Q89" s="130"/>
      <c r="R89" s="130"/>
    </row>
    <row r="90">
      <c r="A90" s="130"/>
      <c r="B90" s="130"/>
      <c r="C90" s="130"/>
      <c r="D90" s="130"/>
      <c r="E90" s="130"/>
      <c r="F90" s="188"/>
      <c r="G90" s="130"/>
      <c r="H90" s="130"/>
      <c r="I90" s="130"/>
      <c r="J90" s="130"/>
      <c r="K90" s="130"/>
      <c r="L90" s="130"/>
      <c r="M90" s="130"/>
      <c r="N90" s="130"/>
      <c r="O90" s="130"/>
      <c r="P90" s="130"/>
      <c r="Q90" s="130"/>
      <c r="R90" s="130"/>
    </row>
    <row r="91">
      <c r="A91" s="130"/>
      <c r="B91" s="130"/>
      <c r="C91" s="130"/>
      <c r="D91" s="130"/>
      <c r="E91" s="130"/>
      <c r="F91" s="188"/>
      <c r="G91" s="130"/>
      <c r="H91" s="130"/>
      <c r="I91" s="130"/>
      <c r="J91" s="130"/>
      <c r="K91" s="130"/>
      <c r="L91" s="130"/>
      <c r="M91" s="130"/>
      <c r="N91" s="130"/>
      <c r="O91" s="130"/>
      <c r="P91" s="130"/>
      <c r="Q91" s="130"/>
      <c r="R91" s="130"/>
    </row>
    <row r="92">
      <c r="A92" s="130"/>
      <c r="B92" s="130"/>
      <c r="C92" s="130"/>
      <c r="D92" s="130"/>
      <c r="E92" s="130"/>
      <c r="F92" s="188"/>
      <c r="G92" s="130"/>
      <c r="H92" s="130"/>
      <c r="I92" s="130"/>
      <c r="J92" s="130"/>
      <c r="K92" s="130"/>
      <c r="L92" s="130"/>
      <c r="M92" s="130"/>
      <c r="N92" s="130"/>
      <c r="O92" s="130"/>
      <c r="P92" s="130"/>
      <c r="Q92" s="130"/>
      <c r="R92" s="130"/>
    </row>
    <row r="93">
      <c r="A93" s="130"/>
      <c r="B93" s="130"/>
      <c r="C93" s="130"/>
      <c r="D93" s="130"/>
      <c r="E93" s="130"/>
      <c r="F93" s="188"/>
      <c r="G93" s="130"/>
      <c r="H93" s="130"/>
      <c r="I93" s="130"/>
      <c r="J93" s="130"/>
      <c r="K93" s="130"/>
      <c r="L93" s="130"/>
      <c r="M93" s="130"/>
      <c r="N93" s="130"/>
      <c r="O93" s="130"/>
      <c r="P93" s="130"/>
      <c r="Q93" s="130"/>
      <c r="R93" s="130"/>
    </row>
    <row r="94">
      <c r="A94" s="130"/>
      <c r="B94" s="130"/>
      <c r="C94" s="130"/>
      <c r="D94" s="130"/>
      <c r="E94" s="130"/>
      <c r="F94" s="188"/>
      <c r="G94" s="130"/>
      <c r="H94" s="130"/>
      <c r="I94" s="130"/>
      <c r="J94" s="130"/>
      <c r="K94" s="130"/>
      <c r="L94" s="130"/>
      <c r="M94" s="130"/>
      <c r="N94" s="130"/>
      <c r="O94" s="130"/>
      <c r="P94" s="130"/>
      <c r="Q94" s="130"/>
      <c r="R94" s="130"/>
    </row>
    <row r="95">
      <c r="A95" s="130"/>
      <c r="B95" s="130"/>
      <c r="C95" s="130"/>
      <c r="D95" s="130"/>
      <c r="E95" s="130"/>
      <c r="F95" s="188"/>
      <c r="G95" s="130"/>
      <c r="H95" s="130"/>
      <c r="I95" s="130"/>
      <c r="J95" s="130"/>
      <c r="K95" s="130"/>
      <c r="L95" s="130"/>
      <c r="M95" s="130"/>
      <c r="N95" s="130"/>
      <c r="O95" s="130"/>
      <c r="P95" s="130"/>
      <c r="Q95" s="130"/>
      <c r="R95" s="130"/>
    </row>
    <row r="96">
      <c r="A96" s="130"/>
      <c r="B96" s="130"/>
      <c r="C96" s="130"/>
      <c r="D96" s="130"/>
      <c r="E96" s="130"/>
      <c r="F96" s="188"/>
      <c r="G96" s="130"/>
      <c r="H96" s="130"/>
      <c r="I96" s="130"/>
      <c r="J96" s="130"/>
      <c r="K96" s="130"/>
      <c r="L96" s="130"/>
      <c r="M96" s="130"/>
      <c r="N96" s="130"/>
      <c r="O96" s="130"/>
      <c r="P96" s="130"/>
      <c r="Q96" s="130"/>
      <c r="R96" s="130"/>
    </row>
    <row r="97">
      <c r="A97" s="130"/>
      <c r="B97" s="130"/>
      <c r="C97" s="130"/>
      <c r="D97" s="130"/>
      <c r="E97" s="130"/>
      <c r="F97" s="188"/>
      <c r="G97" s="130"/>
      <c r="H97" s="130"/>
      <c r="I97" s="130"/>
      <c r="J97" s="130"/>
      <c r="K97" s="130"/>
      <c r="L97" s="130"/>
      <c r="M97" s="130"/>
      <c r="N97" s="130"/>
      <c r="O97" s="130"/>
      <c r="P97" s="130"/>
      <c r="Q97" s="130"/>
      <c r="R97" s="130"/>
    </row>
    <row r="98">
      <c r="A98" s="130"/>
      <c r="B98" s="130"/>
      <c r="C98" s="130"/>
      <c r="D98" s="130"/>
      <c r="E98" s="130"/>
      <c r="F98" s="188"/>
      <c r="G98" s="130"/>
      <c r="H98" s="130"/>
      <c r="I98" s="130"/>
      <c r="J98" s="130"/>
      <c r="K98" s="130"/>
      <c r="L98" s="130"/>
      <c r="M98" s="130"/>
      <c r="N98" s="130"/>
      <c r="O98" s="130"/>
      <c r="P98" s="130"/>
      <c r="Q98" s="130"/>
      <c r="R98" s="130"/>
    </row>
    <row r="99">
      <c r="A99" s="130"/>
      <c r="B99" s="130"/>
      <c r="C99" s="130"/>
      <c r="D99" s="130"/>
      <c r="E99" s="130"/>
      <c r="F99" s="188"/>
      <c r="G99" s="130"/>
      <c r="H99" s="130"/>
      <c r="I99" s="130"/>
      <c r="J99" s="130"/>
      <c r="K99" s="130"/>
      <c r="L99" s="130"/>
      <c r="M99" s="130"/>
      <c r="N99" s="130"/>
      <c r="O99" s="130"/>
      <c r="P99" s="130"/>
      <c r="Q99" s="130"/>
      <c r="R99" s="130"/>
    </row>
    <row r="100">
      <c r="A100" s="130"/>
      <c r="B100" s="130"/>
      <c r="C100" s="130"/>
      <c r="D100" s="130"/>
      <c r="E100" s="130"/>
      <c r="F100" s="188"/>
      <c r="G100" s="130"/>
      <c r="H100" s="130"/>
      <c r="I100" s="130"/>
      <c r="J100" s="130"/>
      <c r="K100" s="130"/>
      <c r="L100" s="130"/>
      <c r="M100" s="130"/>
      <c r="N100" s="130"/>
      <c r="O100" s="130"/>
      <c r="P100" s="130"/>
      <c r="Q100" s="130"/>
      <c r="R100" s="130"/>
    </row>
    <row r="101">
      <c r="A101" s="130"/>
      <c r="B101" s="130"/>
      <c r="C101" s="130"/>
      <c r="D101" s="130"/>
      <c r="E101" s="130"/>
      <c r="F101" s="188"/>
      <c r="G101" s="130"/>
      <c r="H101" s="130"/>
      <c r="I101" s="130"/>
      <c r="J101" s="130"/>
      <c r="K101" s="130"/>
      <c r="L101" s="130"/>
      <c r="M101" s="130"/>
      <c r="N101" s="130"/>
      <c r="O101" s="130"/>
      <c r="P101" s="130"/>
      <c r="Q101" s="130"/>
      <c r="R101" s="130"/>
    </row>
    <row r="102">
      <c r="A102" s="130"/>
      <c r="B102" s="130"/>
      <c r="C102" s="130"/>
      <c r="D102" s="130"/>
      <c r="E102" s="130"/>
      <c r="F102" s="188"/>
      <c r="G102" s="130"/>
      <c r="H102" s="130"/>
      <c r="I102" s="130"/>
      <c r="J102" s="130"/>
      <c r="K102" s="130"/>
      <c r="L102" s="130"/>
      <c r="M102" s="130"/>
      <c r="N102" s="130"/>
      <c r="O102" s="130"/>
      <c r="P102" s="130"/>
      <c r="Q102" s="130"/>
      <c r="R102" s="130"/>
    </row>
    <row r="103">
      <c r="A103" s="130"/>
      <c r="B103" s="130"/>
      <c r="C103" s="130"/>
      <c r="D103" s="130"/>
      <c r="E103" s="130"/>
      <c r="F103" s="188"/>
      <c r="G103" s="130"/>
      <c r="H103" s="130"/>
      <c r="I103" s="130"/>
      <c r="J103" s="130"/>
      <c r="K103" s="130"/>
      <c r="L103" s="130"/>
      <c r="M103" s="130"/>
      <c r="N103" s="130"/>
      <c r="O103" s="130"/>
      <c r="P103" s="130"/>
      <c r="Q103" s="130"/>
      <c r="R103" s="130"/>
    </row>
    <row r="104">
      <c r="A104" s="130"/>
      <c r="B104" s="130"/>
      <c r="C104" s="130"/>
      <c r="D104" s="130"/>
      <c r="E104" s="130"/>
      <c r="F104" s="188"/>
      <c r="G104" s="130"/>
      <c r="H104" s="130"/>
      <c r="I104" s="130"/>
      <c r="J104" s="130"/>
      <c r="K104" s="130"/>
      <c r="L104" s="130"/>
      <c r="M104" s="130"/>
      <c r="N104" s="130"/>
      <c r="O104" s="130"/>
      <c r="P104" s="130"/>
      <c r="Q104" s="130"/>
      <c r="R104" s="130"/>
    </row>
    <row r="105">
      <c r="A105" s="130"/>
      <c r="B105" s="130"/>
      <c r="C105" s="130"/>
      <c r="D105" s="130"/>
      <c r="E105" s="130"/>
      <c r="F105" s="188"/>
      <c r="G105" s="130"/>
      <c r="H105" s="130"/>
      <c r="I105" s="130"/>
      <c r="J105" s="130"/>
      <c r="K105" s="130"/>
      <c r="L105" s="130"/>
      <c r="M105" s="130"/>
      <c r="N105" s="130"/>
      <c r="O105" s="130"/>
      <c r="P105" s="130"/>
      <c r="Q105" s="130"/>
      <c r="R105" s="130"/>
    </row>
    <row r="106">
      <c r="A106" s="130"/>
      <c r="B106" s="130"/>
      <c r="C106" s="130"/>
      <c r="D106" s="130"/>
      <c r="E106" s="130"/>
      <c r="F106" s="188"/>
      <c r="G106" s="130"/>
      <c r="H106" s="130"/>
      <c r="I106" s="130"/>
      <c r="J106" s="130"/>
      <c r="K106" s="130"/>
      <c r="L106" s="130"/>
      <c r="M106" s="130"/>
      <c r="N106" s="130"/>
      <c r="O106" s="130"/>
      <c r="P106" s="130"/>
      <c r="Q106" s="130"/>
      <c r="R106" s="130"/>
    </row>
    <row r="107">
      <c r="A107" s="130"/>
      <c r="B107" s="130"/>
      <c r="C107" s="130"/>
      <c r="D107" s="130"/>
      <c r="E107" s="130"/>
      <c r="F107" s="188"/>
      <c r="G107" s="130"/>
      <c r="H107" s="130"/>
      <c r="I107" s="130"/>
      <c r="J107" s="130"/>
      <c r="K107" s="130"/>
      <c r="L107" s="130"/>
      <c r="M107" s="130"/>
      <c r="N107" s="130"/>
      <c r="O107" s="130"/>
      <c r="P107" s="130"/>
      <c r="Q107" s="130"/>
      <c r="R107" s="130"/>
    </row>
    <row r="108">
      <c r="A108" s="130"/>
      <c r="B108" s="130"/>
      <c r="C108" s="130"/>
      <c r="D108" s="130"/>
      <c r="E108" s="130"/>
      <c r="F108" s="188"/>
      <c r="G108" s="130"/>
      <c r="H108" s="130"/>
      <c r="I108" s="130"/>
      <c r="J108" s="130"/>
      <c r="K108" s="130"/>
      <c r="L108" s="130"/>
      <c r="M108" s="130"/>
      <c r="N108" s="130"/>
      <c r="O108" s="130"/>
      <c r="P108" s="130"/>
      <c r="Q108" s="130"/>
      <c r="R108" s="130"/>
    </row>
    <row r="109">
      <c r="A109" s="130"/>
      <c r="B109" s="130"/>
      <c r="C109" s="130"/>
      <c r="D109" s="130"/>
      <c r="E109" s="130"/>
      <c r="F109" s="188"/>
      <c r="G109" s="130"/>
      <c r="H109" s="130"/>
      <c r="I109" s="130"/>
      <c r="J109" s="130"/>
      <c r="K109" s="130"/>
      <c r="L109" s="130"/>
      <c r="M109" s="130"/>
      <c r="N109" s="130"/>
      <c r="O109" s="130"/>
      <c r="P109" s="130"/>
      <c r="Q109" s="130"/>
      <c r="R109" s="130"/>
    </row>
    <row r="110">
      <c r="A110" s="130"/>
      <c r="B110" s="130"/>
      <c r="C110" s="130"/>
      <c r="D110" s="130"/>
      <c r="E110" s="130"/>
      <c r="F110" s="188"/>
      <c r="G110" s="130"/>
      <c r="H110" s="130"/>
      <c r="I110" s="130"/>
      <c r="J110" s="130"/>
      <c r="K110" s="130"/>
      <c r="L110" s="130"/>
      <c r="M110" s="130"/>
      <c r="N110" s="130"/>
      <c r="O110" s="130"/>
      <c r="P110" s="130"/>
      <c r="Q110" s="130"/>
      <c r="R110" s="130"/>
    </row>
    <row r="111">
      <c r="A111" s="130"/>
      <c r="B111" s="130"/>
      <c r="C111" s="130"/>
      <c r="D111" s="130"/>
      <c r="E111" s="130"/>
      <c r="F111" s="188"/>
      <c r="G111" s="130"/>
      <c r="H111" s="130"/>
      <c r="I111" s="130"/>
      <c r="J111" s="130"/>
      <c r="K111" s="130"/>
      <c r="L111" s="130"/>
      <c r="M111" s="130"/>
      <c r="N111" s="130"/>
      <c r="O111" s="130"/>
      <c r="P111" s="130"/>
      <c r="Q111" s="130"/>
      <c r="R111" s="130"/>
    </row>
    <row r="112">
      <c r="A112" s="130"/>
      <c r="B112" s="130"/>
      <c r="C112" s="130"/>
      <c r="D112" s="130"/>
      <c r="E112" s="130"/>
      <c r="F112" s="188"/>
      <c r="G112" s="130"/>
      <c r="H112" s="130"/>
      <c r="I112" s="130"/>
      <c r="J112" s="130"/>
      <c r="K112" s="130"/>
      <c r="L112" s="130"/>
      <c r="M112" s="130"/>
      <c r="N112" s="130"/>
      <c r="O112" s="130"/>
      <c r="P112" s="130"/>
      <c r="Q112" s="130"/>
      <c r="R112" s="130"/>
    </row>
    <row r="113">
      <c r="A113" s="130"/>
      <c r="B113" s="130"/>
      <c r="C113" s="130"/>
      <c r="D113" s="130"/>
      <c r="E113" s="130"/>
      <c r="F113" s="188"/>
      <c r="G113" s="130"/>
      <c r="H113" s="130"/>
      <c r="I113" s="130"/>
      <c r="J113" s="130"/>
      <c r="K113" s="130"/>
      <c r="L113" s="130"/>
      <c r="M113" s="130"/>
      <c r="N113" s="130"/>
      <c r="O113" s="130"/>
      <c r="P113" s="130"/>
      <c r="Q113" s="130"/>
      <c r="R113" s="130"/>
    </row>
    <row r="114">
      <c r="A114" s="130"/>
      <c r="B114" s="130"/>
      <c r="C114" s="130"/>
      <c r="D114" s="130"/>
      <c r="E114" s="130"/>
      <c r="F114" s="188"/>
      <c r="G114" s="130"/>
      <c r="H114" s="130"/>
      <c r="I114" s="130"/>
      <c r="J114" s="130"/>
      <c r="K114" s="130"/>
      <c r="L114" s="130"/>
      <c r="M114" s="130"/>
      <c r="N114" s="130"/>
      <c r="O114" s="130"/>
      <c r="P114" s="130"/>
      <c r="Q114" s="130"/>
      <c r="R114" s="130"/>
    </row>
    <row r="115">
      <c r="A115" s="130"/>
      <c r="B115" s="130"/>
      <c r="C115" s="130"/>
      <c r="D115" s="130"/>
      <c r="E115" s="130"/>
      <c r="F115" s="188"/>
      <c r="G115" s="130"/>
      <c r="H115" s="130"/>
      <c r="I115" s="130"/>
      <c r="J115" s="130"/>
      <c r="K115" s="130"/>
      <c r="L115" s="130"/>
      <c r="M115" s="130"/>
      <c r="N115" s="130"/>
      <c r="O115" s="130"/>
      <c r="P115" s="130"/>
      <c r="Q115" s="130"/>
      <c r="R115" s="130"/>
    </row>
    <row r="116">
      <c r="A116" s="130"/>
      <c r="B116" s="130"/>
      <c r="C116" s="130"/>
      <c r="D116" s="130"/>
      <c r="E116" s="130"/>
      <c r="F116" s="188"/>
      <c r="G116" s="130"/>
      <c r="H116" s="130"/>
      <c r="I116" s="130"/>
      <c r="J116" s="130"/>
      <c r="K116" s="130"/>
      <c r="L116" s="130"/>
      <c r="M116" s="130"/>
      <c r="N116" s="130"/>
      <c r="O116" s="130"/>
      <c r="P116" s="130"/>
      <c r="Q116" s="130"/>
      <c r="R116" s="130"/>
    </row>
    <row r="117">
      <c r="A117" s="130"/>
      <c r="B117" s="130"/>
      <c r="C117" s="130"/>
      <c r="D117" s="130"/>
      <c r="E117" s="130"/>
      <c r="F117" s="188"/>
      <c r="G117" s="130"/>
      <c r="H117" s="130"/>
      <c r="I117" s="130"/>
      <c r="J117" s="130"/>
      <c r="K117" s="130"/>
      <c r="L117" s="130"/>
      <c r="M117" s="130"/>
      <c r="N117" s="130"/>
      <c r="O117" s="130"/>
      <c r="P117" s="130"/>
      <c r="Q117" s="130"/>
      <c r="R117" s="130"/>
    </row>
    <row r="118">
      <c r="A118" s="130"/>
      <c r="B118" s="130"/>
      <c r="C118" s="130"/>
      <c r="D118" s="130"/>
      <c r="E118" s="130"/>
      <c r="F118" s="188"/>
      <c r="G118" s="130"/>
      <c r="H118" s="130"/>
      <c r="I118" s="130"/>
      <c r="J118" s="130"/>
      <c r="K118" s="130"/>
      <c r="L118" s="130"/>
      <c r="M118" s="130"/>
      <c r="N118" s="130"/>
      <c r="O118" s="130"/>
      <c r="P118" s="130"/>
      <c r="Q118" s="130"/>
      <c r="R118" s="130"/>
    </row>
    <row r="119">
      <c r="A119" s="130"/>
      <c r="B119" s="130"/>
      <c r="C119" s="130"/>
      <c r="D119" s="130"/>
      <c r="E119" s="130"/>
      <c r="F119" s="188"/>
      <c r="G119" s="130"/>
      <c r="H119" s="130"/>
      <c r="I119" s="130"/>
      <c r="J119" s="130"/>
      <c r="K119" s="130"/>
      <c r="L119" s="130"/>
      <c r="M119" s="130"/>
      <c r="N119" s="130"/>
      <c r="O119" s="130"/>
      <c r="P119" s="130"/>
      <c r="Q119" s="130"/>
      <c r="R119" s="130"/>
    </row>
    <row r="120">
      <c r="A120" s="130"/>
      <c r="B120" s="130"/>
      <c r="C120" s="130"/>
      <c r="D120" s="130"/>
      <c r="E120" s="130"/>
      <c r="F120" s="188"/>
      <c r="G120" s="130"/>
      <c r="H120" s="130"/>
      <c r="I120" s="130"/>
      <c r="J120" s="130"/>
      <c r="K120" s="130"/>
      <c r="L120" s="130"/>
      <c r="M120" s="130"/>
      <c r="N120" s="130"/>
      <c r="O120" s="130"/>
      <c r="P120" s="130"/>
      <c r="Q120" s="130"/>
      <c r="R120" s="130"/>
    </row>
    <row r="121">
      <c r="A121" s="130"/>
      <c r="B121" s="130"/>
      <c r="C121" s="130"/>
      <c r="D121" s="130"/>
      <c r="E121" s="130"/>
      <c r="F121" s="188"/>
      <c r="G121" s="130"/>
      <c r="H121" s="130"/>
      <c r="I121" s="130"/>
      <c r="J121" s="130"/>
      <c r="K121" s="130"/>
      <c r="L121" s="130"/>
      <c r="M121" s="130"/>
      <c r="N121" s="130"/>
      <c r="O121" s="130"/>
      <c r="P121" s="130"/>
      <c r="Q121" s="130"/>
      <c r="R121" s="130"/>
    </row>
    <row r="122">
      <c r="A122" s="130"/>
      <c r="B122" s="130"/>
      <c r="C122" s="130"/>
      <c r="D122" s="130"/>
      <c r="E122" s="130"/>
      <c r="F122" s="188"/>
      <c r="G122" s="130"/>
      <c r="H122" s="130"/>
      <c r="I122" s="130"/>
      <c r="J122" s="130"/>
      <c r="K122" s="130"/>
      <c r="L122" s="130"/>
      <c r="M122" s="130"/>
      <c r="N122" s="130"/>
      <c r="O122" s="130"/>
      <c r="P122" s="130"/>
      <c r="Q122" s="130"/>
      <c r="R122" s="130"/>
    </row>
    <row r="123">
      <c r="A123" s="130"/>
      <c r="B123" s="130"/>
      <c r="C123" s="130"/>
      <c r="D123" s="130"/>
      <c r="E123" s="130"/>
      <c r="F123" s="188"/>
      <c r="G123" s="130"/>
      <c r="H123" s="130"/>
      <c r="I123" s="130"/>
      <c r="J123" s="130"/>
      <c r="K123" s="130"/>
      <c r="L123" s="130"/>
      <c r="M123" s="130"/>
      <c r="N123" s="130"/>
      <c r="O123" s="130"/>
      <c r="P123" s="130"/>
      <c r="Q123" s="130"/>
      <c r="R123" s="130"/>
    </row>
    <row r="124">
      <c r="A124" s="130"/>
      <c r="B124" s="130"/>
      <c r="C124" s="130"/>
      <c r="D124" s="130"/>
      <c r="E124" s="130"/>
      <c r="F124" s="188"/>
      <c r="G124" s="130"/>
      <c r="H124" s="130"/>
      <c r="I124" s="130"/>
      <c r="J124" s="130"/>
      <c r="K124" s="130"/>
      <c r="L124" s="130"/>
      <c r="M124" s="130"/>
      <c r="N124" s="130"/>
      <c r="O124" s="130"/>
      <c r="P124" s="130"/>
      <c r="Q124" s="130"/>
      <c r="R124" s="130"/>
    </row>
    <row r="125">
      <c r="A125" s="130"/>
      <c r="B125" s="130"/>
      <c r="C125" s="130"/>
      <c r="D125" s="130"/>
      <c r="E125" s="130"/>
      <c r="F125" s="188"/>
      <c r="G125" s="130"/>
      <c r="H125" s="130"/>
      <c r="I125" s="130"/>
      <c r="J125" s="130"/>
      <c r="K125" s="130"/>
      <c r="L125" s="130"/>
      <c r="M125" s="130"/>
      <c r="N125" s="130"/>
      <c r="O125" s="130"/>
      <c r="P125" s="130"/>
      <c r="Q125" s="130"/>
      <c r="R125" s="130"/>
    </row>
    <row r="126">
      <c r="A126" s="130"/>
      <c r="B126" s="130"/>
      <c r="C126" s="130"/>
      <c r="D126" s="130"/>
      <c r="E126" s="130"/>
      <c r="F126" s="188"/>
      <c r="G126" s="130"/>
      <c r="H126" s="130"/>
      <c r="I126" s="130"/>
      <c r="J126" s="130"/>
      <c r="K126" s="130"/>
      <c r="L126" s="130"/>
      <c r="M126" s="130"/>
      <c r="N126" s="130"/>
      <c r="O126" s="130"/>
      <c r="P126" s="130"/>
      <c r="Q126" s="130"/>
      <c r="R126" s="130"/>
    </row>
    <row r="127">
      <c r="A127" s="130"/>
      <c r="B127" s="130"/>
      <c r="C127" s="130"/>
      <c r="D127" s="130"/>
      <c r="E127" s="130"/>
      <c r="F127" s="188"/>
      <c r="G127" s="130"/>
      <c r="H127" s="130"/>
      <c r="I127" s="130"/>
      <c r="J127" s="130"/>
      <c r="K127" s="130"/>
      <c r="L127" s="130"/>
      <c r="M127" s="130"/>
      <c r="N127" s="130"/>
      <c r="O127" s="130"/>
      <c r="P127" s="130"/>
      <c r="Q127" s="130"/>
      <c r="R127" s="130"/>
    </row>
    <row r="128">
      <c r="A128" s="130"/>
      <c r="B128" s="130"/>
      <c r="C128" s="130"/>
      <c r="D128" s="130"/>
      <c r="E128" s="130"/>
      <c r="F128" s="188"/>
      <c r="G128" s="130"/>
      <c r="H128" s="130"/>
      <c r="I128" s="130"/>
      <c r="J128" s="130"/>
      <c r="K128" s="130"/>
      <c r="L128" s="130"/>
      <c r="M128" s="130"/>
      <c r="N128" s="130"/>
      <c r="O128" s="130"/>
      <c r="P128" s="130"/>
      <c r="Q128" s="130"/>
      <c r="R128" s="130"/>
    </row>
    <row r="129">
      <c r="A129" s="130"/>
      <c r="B129" s="130"/>
      <c r="C129" s="130"/>
      <c r="D129" s="130"/>
      <c r="E129" s="130"/>
      <c r="F129" s="188"/>
      <c r="G129" s="130"/>
      <c r="H129" s="130"/>
      <c r="I129" s="130"/>
      <c r="J129" s="130"/>
      <c r="K129" s="130"/>
      <c r="L129" s="130"/>
      <c r="M129" s="130"/>
      <c r="N129" s="130"/>
      <c r="O129" s="130"/>
      <c r="P129" s="130"/>
      <c r="Q129" s="130"/>
      <c r="R129" s="130"/>
    </row>
    <row r="130">
      <c r="A130" s="130"/>
      <c r="B130" s="130"/>
      <c r="C130" s="130"/>
      <c r="D130" s="130"/>
      <c r="E130" s="130"/>
      <c r="F130" s="188"/>
      <c r="G130" s="130"/>
      <c r="H130" s="130"/>
      <c r="I130" s="130"/>
      <c r="J130" s="130"/>
      <c r="K130" s="130"/>
      <c r="L130" s="130"/>
      <c r="M130" s="130"/>
      <c r="N130" s="130"/>
      <c r="O130" s="130"/>
      <c r="P130" s="130"/>
      <c r="Q130" s="130"/>
      <c r="R130" s="130"/>
    </row>
    <row r="131">
      <c r="A131" s="130"/>
      <c r="B131" s="130"/>
      <c r="C131" s="130"/>
      <c r="D131" s="130"/>
      <c r="E131" s="130"/>
      <c r="F131" s="188"/>
      <c r="G131" s="130"/>
      <c r="H131" s="130"/>
      <c r="I131" s="130"/>
      <c r="J131" s="130"/>
      <c r="K131" s="130"/>
      <c r="L131" s="130"/>
      <c r="M131" s="130"/>
      <c r="N131" s="130"/>
      <c r="O131" s="130"/>
      <c r="P131" s="130"/>
      <c r="Q131" s="130"/>
      <c r="R131" s="130"/>
    </row>
    <row r="132">
      <c r="A132" s="130"/>
      <c r="B132" s="130"/>
      <c r="C132" s="130"/>
      <c r="D132" s="130"/>
      <c r="E132" s="130"/>
      <c r="F132" s="188"/>
      <c r="G132" s="130"/>
      <c r="H132" s="130"/>
      <c r="I132" s="130"/>
      <c r="J132" s="130"/>
      <c r="K132" s="130"/>
      <c r="L132" s="130"/>
      <c r="M132" s="130"/>
      <c r="N132" s="130"/>
      <c r="O132" s="130"/>
      <c r="P132" s="130"/>
      <c r="Q132" s="130"/>
      <c r="R132" s="130"/>
    </row>
    <row r="133">
      <c r="A133" s="130"/>
      <c r="B133" s="130"/>
      <c r="C133" s="130"/>
      <c r="D133" s="130"/>
      <c r="E133" s="130"/>
      <c r="F133" s="188"/>
      <c r="G133" s="130"/>
      <c r="H133" s="130"/>
      <c r="I133" s="130"/>
      <c r="J133" s="130"/>
      <c r="K133" s="130"/>
      <c r="L133" s="130"/>
      <c r="M133" s="130"/>
      <c r="N133" s="130"/>
      <c r="O133" s="130"/>
      <c r="P133" s="130"/>
      <c r="Q133" s="130"/>
      <c r="R133" s="130"/>
    </row>
    <row r="134">
      <c r="A134" s="130"/>
      <c r="B134" s="130"/>
      <c r="C134" s="130"/>
      <c r="D134" s="130"/>
      <c r="E134" s="130"/>
      <c r="F134" s="188"/>
      <c r="G134" s="130"/>
      <c r="H134" s="130"/>
      <c r="I134" s="130"/>
      <c r="J134" s="130"/>
      <c r="K134" s="130"/>
      <c r="L134" s="130"/>
      <c r="M134" s="130"/>
      <c r="N134" s="130"/>
      <c r="O134" s="130"/>
      <c r="P134" s="130"/>
      <c r="Q134" s="130"/>
      <c r="R134" s="130"/>
    </row>
    <row r="135">
      <c r="A135" s="130"/>
      <c r="B135" s="130"/>
      <c r="C135" s="130"/>
      <c r="D135" s="130"/>
      <c r="E135" s="130"/>
      <c r="F135" s="188"/>
      <c r="G135" s="130"/>
      <c r="H135" s="130"/>
      <c r="I135" s="130"/>
      <c r="J135" s="130"/>
      <c r="K135" s="130"/>
      <c r="L135" s="130"/>
      <c r="M135" s="130"/>
      <c r="N135" s="130"/>
      <c r="O135" s="130"/>
      <c r="P135" s="130"/>
      <c r="Q135" s="130"/>
      <c r="R135" s="130"/>
    </row>
    <row r="136">
      <c r="A136" s="130"/>
      <c r="B136" s="130"/>
      <c r="C136" s="130"/>
      <c r="D136" s="130"/>
      <c r="E136" s="130"/>
      <c r="F136" s="188"/>
      <c r="G136" s="130"/>
      <c r="H136" s="130"/>
      <c r="I136" s="130"/>
      <c r="J136" s="130"/>
      <c r="K136" s="130"/>
      <c r="L136" s="130"/>
      <c r="M136" s="130"/>
      <c r="N136" s="130"/>
      <c r="O136" s="130"/>
      <c r="P136" s="130"/>
      <c r="Q136" s="130"/>
      <c r="R136" s="130"/>
    </row>
    <row r="137">
      <c r="A137" s="130"/>
      <c r="B137" s="130"/>
      <c r="C137" s="130"/>
      <c r="D137" s="130"/>
      <c r="E137" s="130"/>
      <c r="F137" s="188"/>
      <c r="G137" s="130"/>
      <c r="H137" s="130"/>
      <c r="I137" s="130"/>
      <c r="J137" s="130"/>
      <c r="K137" s="130"/>
      <c r="L137" s="130"/>
      <c r="M137" s="130"/>
      <c r="N137" s="130"/>
      <c r="O137" s="130"/>
      <c r="P137" s="130"/>
      <c r="Q137" s="130"/>
      <c r="R137" s="130"/>
    </row>
    <row r="138">
      <c r="A138" s="130"/>
      <c r="B138" s="130"/>
      <c r="C138" s="130"/>
      <c r="D138" s="130"/>
      <c r="E138" s="130"/>
      <c r="F138" s="188"/>
      <c r="G138" s="130"/>
      <c r="H138" s="130"/>
      <c r="I138" s="130"/>
      <c r="J138" s="130"/>
      <c r="K138" s="130"/>
      <c r="L138" s="130"/>
      <c r="M138" s="130"/>
      <c r="N138" s="130"/>
      <c r="O138" s="130"/>
      <c r="P138" s="130"/>
      <c r="Q138" s="130"/>
      <c r="R138" s="130"/>
    </row>
    <row r="139">
      <c r="A139" s="130"/>
      <c r="B139" s="130"/>
      <c r="C139" s="130"/>
      <c r="D139" s="130"/>
      <c r="E139" s="130"/>
      <c r="F139" s="188"/>
      <c r="G139" s="130"/>
      <c r="H139" s="130"/>
      <c r="I139" s="130"/>
      <c r="J139" s="130"/>
      <c r="K139" s="130"/>
      <c r="L139" s="130"/>
      <c r="M139" s="130"/>
      <c r="N139" s="130"/>
      <c r="O139" s="130"/>
      <c r="P139" s="130"/>
      <c r="Q139" s="130"/>
      <c r="R139" s="130"/>
    </row>
    <row r="140">
      <c r="A140" s="130"/>
      <c r="B140" s="130"/>
      <c r="C140" s="130"/>
      <c r="D140" s="130"/>
      <c r="E140" s="130"/>
      <c r="F140" s="188"/>
      <c r="G140" s="130"/>
      <c r="H140" s="130"/>
      <c r="I140" s="130"/>
      <c r="J140" s="130"/>
      <c r="K140" s="130"/>
      <c r="L140" s="130"/>
      <c r="M140" s="130"/>
      <c r="N140" s="130"/>
      <c r="O140" s="130"/>
      <c r="P140" s="130"/>
      <c r="Q140" s="130"/>
      <c r="R140" s="130"/>
    </row>
    <row r="141">
      <c r="A141" s="130"/>
      <c r="B141" s="130"/>
      <c r="C141" s="130"/>
      <c r="D141" s="130"/>
      <c r="E141" s="130"/>
      <c r="F141" s="188"/>
      <c r="G141" s="130"/>
      <c r="H141" s="130"/>
      <c r="I141" s="130"/>
      <c r="J141" s="130"/>
      <c r="K141" s="130"/>
      <c r="L141" s="130"/>
      <c r="M141" s="130"/>
      <c r="N141" s="130"/>
      <c r="O141" s="130"/>
      <c r="P141" s="130"/>
      <c r="Q141" s="130"/>
      <c r="R141" s="130"/>
    </row>
    <row r="142">
      <c r="A142" s="130"/>
      <c r="B142" s="130"/>
      <c r="C142" s="130"/>
      <c r="D142" s="130"/>
      <c r="E142" s="130"/>
      <c r="F142" s="188"/>
      <c r="G142" s="130"/>
      <c r="H142" s="130"/>
      <c r="I142" s="130"/>
      <c r="J142" s="130"/>
      <c r="K142" s="130"/>
      <c r="L142" s="130"/>
      <c r="M142" s="130"/>
      <c r="N142" s="130"/>
      <c r="O142" s="130"/>
      <c r="P142" s="130"/>
      <c r="Q142" s="130"/>
      <c r="R142" s="130"/>
    </row>
    <row r="143">
      <c r="A143" s="130"/>
      <c r="B143" s="130"/>
      <c r="C143" s="130"/>
      <c r="D143" s="130"/>
      <c r="E143" s="130"/>
      <c r="F143" s="188"/>
      <c r="G143" s="130"/>
      <c r="H143" s="130"/>
      <c r="I143" s="130"/>
      <c r="J143" s="130"/>
      <c r="K143" s="130"/>
      <c r="L143" s="130"/>
      <c r="M143" s="130"/>
      <c r="N143" s="130"/>
      <c r="O143" s="130"/>
      <c r="P143" s="130"/>
      <c r="Q143" s="130"/>
      <c r="R143" s="130"/>
    </row>
    <row r="144">
      <c r="A144" s="130"/>
      <c r="B144" s="130"/>
      <c r="C144" s="130"/>
      <c r="D144" s="130"/>
      <c r="E144" s="130"/>
      <c r="F144" s="188"/>
      <c r="G144" s="130"/>
      <c r="H144" s="130"/>
      <c r="I144" s="130"/>
      <c r="J144" s="130"/>
      <c r="K144" s="130"/>
      <c r="L144" s="130"/>
      <c r="M144" s="130"/>
      <c r="N144" s="130"/>
      <c r="O144" s="130"/>
      <c r="P144" s="130"/>
      <c r="Q144" s="130"/>
      <c r="R144" s="130"/>
    </row>
    <row r="145">
      <c r="A145" s="130"/>
      <c r="B145" s="130"/>
      <c r="C145" s="130"/>
      <c r="D145" s="130"/>
      <c r="E145" s="130"/>
      <c r="F145" s="188"/>
      <c r="G145" s="130"/>
      <c r="H145" s="130"/>
      <c r="I145" s="130"/>
      <c r="J145" s="130"/>
      <c r="K145" s="130"/>
      <c r="L145" s="130"/>
      <c r="M145" s="130"/>
      <c r="N145" s="130"/>
      <c r="O145" s="130"/>
      <c r="P145" s="130"/>
      <c r="Q145" s="130"/>
      <c r="R145" s="130"/>
    </row>
    <row r="146">
      <c r="A146" s="130"/>
      <c r="B146" s="130"/>
      <c r="C146" s="130"/>
      <c r="D146" s="130"/>
      <c r="E146" s="130"/>
      <c r="F146" s="188"/>
      <c r="G146" s="130"/>
      <c r="H146" s="130"/>
      <c r="I146" s="130"/>
      <c r="J146" s="130"/>
      <c r="K146" s="130"/>
      <c r="L146" s="130"/>
      <c r="M146" s="130"/>
      <c r="N146" s="130"/>
      <c r="O146" s="130"/>
      <c r="P146" s="130"/>
      <c r="Q146" s="130"/>
      <c r="R146" s="130"/>
    </row>
    <row r="147">
      <c r="A147" s="130"/>
      <c r="B147" s="130"/>
      <c r="C147" s="130"/>
      <c r="D147" s="130"/>
      <c r="E147" s="130"/>
      <c r="F147" s="188"/>
      <c r="G147" s="130"/>
      <c r="H147" s="130"/>
      <c r="I147" s="130"/>
      <c r="J147" s="130"/>
      <c r="K147" s="130"/>
      <c r="L147" s="130"/>
      <c r="M147" s="130"/>
      <c r="N147" s="130"/>
      <c r="O147" s="130"/>
      <c r="P147" s="130"/>
      <c r="Q147" s="130"/>
      <c r="R147" s="130"/>
    </row>
    <row r="148">
      <c r="A148" s="130"/>
      <c r="B148" s="130"/>
      <c r="C148" s="130"/>
      <c r="D148" s="130"/>
      <c r="E148" s="130"/>
      <c r="F148" s="188"/>
      <c r="G148" s="130"/>
      <c r="H148" s="130"/>
      <c r="I148" s="130"/>
      <c r="J148" s="130"/>
      <c r="K148" s="130"/>
      <c r="L148" s="130"/>
      <c r="M148" s="130"/>
      <c r="N148" s="130"/>
      <c r="O148" s="130"/>
      <c r="P148" s="130"/>
      <c r="Q148" s="130"/>
      <c r="R148" s="130"/>
    </row>
    <row r="149">
      <c r="A149" s="130"/>
      <c r="B149" s="130"/>
      <c r="C149" s="130"/>
      <c r="D149" s="130"/>
      <c r="E149" s="130"/>
      <c r="F149" s="188"/>
      <c r="G149" s="130"/>
      <c r="H149" s="130"/>
      <c r="I149" s="130"/>
      <c r="J149" s="130"/>
      <c r="K149" s="130"/>
      <c r="L149" s="130"/>
      <c r="M149" s="130"/>
      <c r="N149" s="130"/>
      <c r="O149" s="130"/>
      <c r="P149" s="130"/>
      <c r="Q149" s="130"/>
      <c r="R149" s="130"/>
    </row>
    <row r="150">
      <c r="A150" s="130"/>
      <c r="B150" s="130"/>
      <c r="C150" s="130"/>
      <c r="D150" s="130"/>
      <c r="E150" s="130"/>
      <c r="F150" s="188"/>
      <c r="G150" s="130"/>
      <c r="H150" s="130"/>
      <c r="I150" s="130"/>
      <c r="J150" s="130"/>
      <c r="K150" s="130"/>
      <c r="L150" s="130"/>
      <c r="M150" s="130"/>
      <c r="N150" s="130"/>
      <c r="O150" s="130"/>
      <c r="P150" s="130"/>
      <c r="Q150" s="130"/>
      <c r="R150" s="130"/>
    </row>
    <row r="151">
      <c r="A151" s="130"/>
      <c r="B151" s="130"/>
      <c r="C151" s="130"/>
      <c r="D151" s="130"/>
      <c r="E151" s="130"/>
      <c r="F151" s="188"/>
      <c r="G151" s="130"/>
      <c r="H151" s="130"/>
      <c r="I151" s="130"/>
      <c r="J151" s="130"/>
      <c r="K151" s="130"/>
      <c r="L151" s="130"/>
      <c r="M151" s="130"/>
      <c r="N151" s="130"/>
      <c r="O151" s="130"/>
      <c r="P151" s="130"/>
      <c r="Q151" s="130"/>
      <c r="R151" s="130"/>
    </row>
    <row r="152">
      <c r="A152" s="130"/>
      <c r="B152" s="130"/>
      <c r="C152" s="130"/>
      <c r="D152" s="130"/>
      <c r="E152" s="130"/>
      <c r="F152" s="188"/>
      <c r="G152" s="130"/>
      <c r="H152" s="130"/>
      <c r="I152" s="130"/>
      <c r="J152" s="130"/>
      <c r="K152" s="130"/>
      <c r="L152" s="130"/>
      <c r="M152" s="130"/>
      <c r="N152" s="130"/>
      <c r="O152" s="130"/>
      <c r="P152" s="130"/>
      <c r="Q152" s="130"/>
      <c r="R152" s="130"/>
    </row>
    <row r="153">
      <c r="A153" s="130"/>
      <c r="B153" s="130"/>
      <c r="C153" s="130"/>
      <c r="D153" s="130"/>
      <c r="E153" s="130"/>
      <c r="F153" s="188"/>
      <c r="G153" s="130"/>
      <c r="H153" s="130"/>
      <c r="I153" s="130"/>
      <c r="J153" s="130"/>
      <c r="K153" s="130"/>
      <c r="L153" s="130"/>
      <c r="M153" s="130"/>
      <c r="N153" s="130"/>
      <c r="O153" s="130"/>
      <c r="P153" s="130"/>
      <c r="Q153" s="130"/>
      <c r="R153" s="130"/>
    </row>
    <row r="154">
      <c r="A154" s="130"/>
      <c r="B154" s="130"/>
      <c r="C154" s="130"/>
      <c r="D154" s="130"/>
      <c r="E154" s="130"/>
      <c r="F154" s="188"/>
      <c r="G154" s="130"/>
      <c r="H154" s="130"/>
      <c r="I154" s="130"/>
      <c r="J154" s="130"/>
      <c r="K154" s="130"/>
      <c r="L154" s="130"/>
      <c r="M154" s="130"/>
      <c r="N154" s="130"/>
      <c r="O154" s="130"/>
      <c r="P154" s="130"/>
      <c r="Q154" s="130"/>
      <c r="R154" s="130"/>
    </row>
    <row r="155">
      <c r="A155" s="130"/>
      <c r="B155" s="130"/>
      <c r="C155" s="130"/>
      <c r="D155" s="130"/>
      <c r="E155" s="130"/>
      <c r="F155" s="188"/>
      <c r="G155" s="130"/>
      <c r="H155" s="130"/>
      <c r="I155" s="130"/>
      <c r="J155" s="130"/>
      <c r="K155" s="130"/>
      <c r="L155" s="130"/>
      <c r="M155" s="130"/>
      <c r="N155" s="130"/>
      <c r="O155" s="130"/>
      <c r="P155" s="130"/>
      <c r="Q155" s="130"/>
      <c r="R155" s="130"/>
    </row>
    <row r="156">
      <c r="A156" s="130"/>
      <c r="B156" s="130"/>
      <c r="C156" s="130"/>
      <c r="D156" s="130"/>
      <c r="E156" s="130"/>
      <c r="F156" s="188"/>
      <c r="G156" s="130"/>
      <c r="H156" s="130"/>
      <c r="I156" s="130"/>
      <c r="J156" s="130"/>
      <c r="K156" s="130"/>
      <c r="L156" s="130"/>
      <c r="M156" s="130"/>
      <c r="N156" s="130"/>
      <c r="O156" s="130"/>
      <c r="P156" s="130"/>
      <c r="Q156" s="130"/>
      <c r="R156" s="130"/>
    </row>
    <row r="157">
      <c r="A157" s="130"/>
      <c r="B157" s="130"/>
      <c r="C157" s="130"/>
      <c r="D157" s="130"/>
      <c r="E157" s="130"/>
      <c r="F157" s="188"/>
      <c r="G157" s="130"/>
      <c r="H157" s="130"/>
      <c r="I157" s="130"/>
      <c r="J157" s="130"/>
      <c r="K157" s="130"/>
      <c r="L157" s="130"/>
      <c r="M157" s="130"/>
      <c r="N157" s="130"/>
      <c r="O157" s="130"/>
      <c r="P157" s="130"/>
      <c r="Q157" s="130"/>
      <c r="R157" s="130"/>
    </row>
    <row r="158">
      <c r="A158" s="130"/>
      <c r="B158" s="130"/>
      <c r="C158" s="130"/>
      <c r="D158" s="130"/>
      <c r="E158" s="130"/>
      <c r="F158" s="188"/>
      <c r="G158" s="130"/>
      <c r="H158" s="130"/>
      <c r="I158" s="130"/>
      <c r="J158" s="130"/>
      <c r="K158" s="130"/>
      <c r="L158" s="130"/>
      <c r="M158" s="130"/>
      <c r="N158" s="130"/>
      <c r="O158" s="130"/>
      <c r="P158" s="130"/>
      <c r="Q158" s="130"/>
      <c r="R158" s="130"/>
    </row>
    <row r="159">
      <c r="A159" s="130"/>
      <c r="B159" s="130"/>
      <c r="C159" s="130"/>
      <c r="D159" s="130"/>
      <c r="E159" s="130"/>
      <c r="F159" s="188"/>
      <c r="G159" s="130"/>
      <c r="H159" s="130"/>
      <c r="I159" s="130"/>
      <c r="J159" s="130"/>
      <c r="K159" s="130"/>
      <c r="L159" s="130"/>
      <c r="M159" s="130"/>
      <c r="N159" s="130"/>
      <c r="O159" s="130"/>
      <c r="P159" s="130"/>
      <c r="Q159" s="130"/>
      <c r="R159" s="130"/>
    </row>
    <row r="160">
      <c r="A160" s="130"/>
      <c r="B160" s="130"/>
      <c r="C160" s="130"/>
      <c r="D160" s="130"/>
      <c r="E160" s="130"/>
      <c r="F160" s="188"/>
      <c r="G160" s="130"/>
      <c r="H160" s="130"/>
      <c r="I160" s="130"/>
      <c r="J160" s="130"/>
      <c r="K160" s="130"/>
      <c r="L160" s="130"/>
      <c r="M160" s="130"/>
      <c r="N160" s="130"/>
      <c r="O160" s="130"/>
      <c r="P160" s="130"/>
      <c r="Q160" s="130"/>
      <c r="R160" s="130"/>
    </row>
    <row r="161">
      <c r="A161" s="130"/>
      <c r="B161" s="130"/>
      <c r="C161" s="130"/>
      <c r="D161" s="130"/>
      <c r="E161" s="130"/>
      <c r="F161" s="188"/>
      <c r="G161" s="130"/>
      <c r="H161" s="130"/>
      <c r="I161" s="130"/>
      <c r="J161" s="130"/>
      <c r="K161" s="130"/>
      <c r="L161" s="130"/>
      <c r="M161" s="130"/>
      <c r="N161" s="130"/>
      <c r="O161" s="130"/>
      <c r="P161" s="130"/>
      <c r="Q161" s="130"/>
      <c r="R161" s="130"/>
    </row>
    <row r="162">
      <c r="A162" s="130"/>
      <c r="B162" s="130"/>
      <c r="C162" s="130"/>
      <c r="D162" s="130"/>
      <c r="E162" s="130"/>
      <c r="F162" s="188"/>
      <c r="G162" s="130"/>
      <c r="H162" s="130"/>
      <c r="I162" s="130"/>
      <c r="J162" s="130"/>
      <c r="K162" s="130"/>
      <c r="L162" s="130"/>
      <c r="M162" s="130"/>
      <c r="N162" s="130"/>
      <c r="O162" s="130"/>
      <c r="P162" s="130"/>
      <c r="Q162" s="130"/>
      <c r="R162" s="130"/>
    </row>
    <row r="163">
      <c r="A163" s="130"/>
      <c r="B163" s="130"/>
      <c r="C163" s="130"/>
      <c r="D163" s="130"/>
      <c r="E163" s="130"/>
      <c r="F163" s="188"/>
      <c r="G163" s="130"/>
      <c r="H163" s="130"/>
      <c r="I163" s="130"/>
      <c r="J163" s="130"/>
      <c r="K163" s="130"/>
      <c r="L163" s="130"/>
      <c r="M163" s="130"/>
      <c r="N163" s="130"/>
      <c r="O163" s="130"/>
      <c r="P163" s="130"/>
      <c r="Q163" s="130"/>
      <c r="R163" s="130"/>
    </row>
    <row r="164">
      <c r="A164" s="130"/>
      <c r="B164" s="130"/>
      <c r="C164" s="130"/>
      <c r="D164" s="130"/>
      <c r="E164" s="130"/>
      <c r="F164" s="188"/>
      <c r="G164" s="130"/>
      <c r="H164" s="130"/>
      <c r="I164" s="130"/>
      <c r="J164" s="130"/>
      <c r="K164" s="130"/>
      <c r="L164" s="130"/>
      <c r="M164" s="130"/>
      <c r="N164" s="130"/>
      <c r="O164" s="130"/>
      <c r="P164" s="130"/>
      <c r="Q164" s="130"/>
      <c r="R164" s="130"/>
    </row>
    <row r="165">
      <c r="A165" s="130"/>
      <c r="B165" s="130"/>
      <c r="C165" s="130"/>
      <c r="D165" s="130"/>
      <c r="E165" s="130"/>
      <c r="F165" s="188"/>
      <c r="G165" s="130"/>
      <c r="H165" s="130"/>
      <c r="I165" s="130"/>
      <c r="J165" s="130"/>
      <c r="K165" s="130"/>
      <c r="L165" s="130"/>
      <c r="M165" s="130"/>
      <c r="N165" s="130"/>
      <c r="O165" s="130"/>
      <c r="P165" s="130"/>
      <c r="Q165" s="130"/>
      <c r="R165" s="130"/>
    </row>
    <row r="166">
      <c r="A166" s="130"/>
      <c r="B166" s="130"/>
      <c r="C166" s="130"/>
      <c r="D166" s="130"/>
      <c r="E166" s="130"/>
      <c r="F166" s="188"/>
      <c r="G166" s="130"/>
      <c r="H166" s="130"/>
      <c r="I166" s="130"/>
      <c r="J166" s="130"/>
      <c r="K166" s="130"/>
      <c r="L166" s="130"/>
      <c r="M166" s="130"/>
      <c r="N166" s="130"/>
      <c r="O166" s="130"/>
      <c r="P166" s="130"/>
      <c r="Q166" s="130"/>
      <c r="R166" s="130"/>
    </row>
    <row r="167">
      <c r="A167" s="130"/>
      <c r="B167" s="130"/>
      <c r="C167" s="130"/>
      <c r="D167" s="130"/>
      <c r="E167" s="130"/>
      <c r="F167" s="188"/>
      <c r="G167" s="130"/>
      <c r="H167" s="130"/>
      <c r="I167" s="130"/>
      <c r="J167" s="130"/>
      <c r="K167" s="130"/>
      <c r="L167" s="130"/>
      <c r="M167" s="130"/>
      <c r="N167" s="130"/>
      <c r="O167" s="130"/>
      <c r="P167" s="130"/>
      <c r="Q167" s="130"/>
      <c r="R167" s="130"/>
    </row>
    <row r="168">
      <c r="A168" s="130"/>
      <c r="B168" s="130"/>
      <c r="C168" s="130"/>
      <c r="D168" s="130"/>
      <c r="E168" s="130"/>
      <c r="F168" s="188"/>
      <c r="G168" s="130"/>
      <c r="H168" s="130"/>
      <c r="I168" s="130"/>
      <c r="J168" s="130"/>
      <c r="K168" s="130"/>
      <c r="L168" s="130"/>
      <c r="M168" s="130"/>
      <c r="N168" s="130"/>
      <c r="O168" s="130"/>
      <c r="P168" s="130"/>
      <c r="Q168" s="130"/>
      <c r="R168" s="130"/>
    </row>
    <row r="169">
      <c r="A169" s="130"/>
      <c r="B169" s="130"/>
      <c r="C169" s="130"/>
      <c r="D169" s="130"/>
      <c r="E169" s="130"/>
      <c r="F169" s="188"/>
      <c r="G169" s="130"/>
      <c r="H169" s="130"/>
      <c r="I169" s="130"/>
      <c r="J169" s="130"/>
      <c r="K169" s="130"/>
      <c r="L169" s="130"/>
      <c r="M169" s="130"/>
      <c r="N169" s="130"/>
      <c r="O169" s="130"/>
      <c r="P169" s="130"/>
      <c r="Q169" s="130"/>
      <c r="R169" s="130"/>
    </row>
    <row r="170">
      <c r="A170" s="130"/>
      <c r="B170" s="130"/>
      <c r="C170" s="130"/>
      <c r="D170" s="130"/>
      <c r="E170" s="130"/>
      <c r="F170" s="188"/>
      <c r="G170" s="130"/>
      <c r="H170" s="130"/>
      <c r="I170" s="130"/>
      <c r="J170" s="130"/>
      <c r="K170" s="130"/>
      <c r="L170" s="130"/>
      <c r="M170" s="130"/>
      <c r="N170" s="130"/>
      <c r="O170" s="130"/>
      <c r="P170" s="130"/>
      <c r="Q170" s="130"/>
      <c r="R170" s="130"/>
    </row>
    <row r="171">
      <c r="A171" s="130"/>
      <c r="B171" s="130"/>
      <c r="C171" s="130"/>
      <c r="D171" s="130"/>
      <c r="E171" s="130"/>
      <c r="F171" s="188"/>
      <c r="G171" s="130"/>
      <c r="H171" s="130"/>
      <c r="I171" s="130"/>
      <c r="J171" s="130"/>
      <c r="K171" s="130"/>
      <c r="L171" s="130"/>
      <c r="M171" s="130"/>
      <c r="N171" s="130"/>
      <c r="O171" s="130"/>
      <c r="P171" s="130"/>
      <c r="Q171" s="130"/>
      <c r="R171" s="130"/>
    </row>
    <row r="172">
      <c r="A172" s="130"/>
      <c r="B172" s="130"/>
      <c r="C172" s="130"/>
      <c r="D172" s="130"/>
      <c r="E172" s="130"/>
      <c r="F172" s="188"/>
      <c r="G172" s="130"/>
      <c r="H172" s="130"/>
      <c r="I172" s="130"/>
      <c r="J172" s="130"/>
      <c r="K172" s="130"/>
      <c r="L172" s="130"/>
      <c r="M172" s="130"/>
      <c r="N172" s="130"/>
      <c r="O172" s="130"/>
      <c r="P172" s="130"/>
      <c r="Q172" s="130"/>
      <c r="R172" s="130"/>
    </row>
    <row r="173">
      <c r="A173" s="130"/>
      <c r="B173" s="130"/>
      <c r="C173" s="130"/>
      <c r="D173" s="130"/>
      <c r="E173" s="130"/>
      <c r="F173" s="188"/>
      <c r="G173" s="130"/>
      <c r="H173" s="130"/>
      <c r="I173" s="130"/>
      <c r="J173" s="130"/>
      <c r="K173" s="130"/>
      <c r="L173" s="130"/>
      <c r="M173" s="130"/>
      <c r="N173" s="130"/>
      <c r="O173" s="130"/>
      <c r="P173" s="130"/>
      <c r="Q173" s="130"/>
      <c r="R173" s="130"/>
    </row>
    <row r="174">
      <c r="A174" s="130"/>
      <c r="B174" s="130"/>
      <c r="C174" s="130"/>
      <c r="D174" s="130"/>
      <c r="E174" s="130"/>
      <c r="F174" s="188"/>
      <c r="G174" s="130"/>
      <c r="H174" s="130"/>
      <c r="I174" s="130"/>
      <c r="J174" s="130"/>
      <c r="K174" s="130"/>
      <c r="L174" s="130"/>
      <c r="M174" s="130"/>
      <c r="N174" s="130"/>
      <c r="O174" s="130"/>
      <c r="P174" s="130"/>
      <c r="Q174" s="130"/>
      <c r="R174" s="130"/>
    </row>
    <row r="175">
      <c r="A175" s="130"/>
      <c r="B175" s="130"/>
      <c r="C175" s="130"/>
      <c r="D175" s="130"/>
      <c r="E175" s="130"/>
      <c r="F175" s="188"/>
      <c r="G175" s="130"/>
      <c r="H175" s="130"/>
      <c r="I175" s="130"/>
      <c r="J175" s="130"/>
      <c r="K175" s="130"/>
      <c r="L175" s="130"/>
      <c r="M175" s="130"/>
      <c r="N175" s="130"/>
      <c r="O175" s="130"/>
      <c r="P175" s="130"/>
      <c r="Q175" s="130"/>
      <c r="R175" s="130"/>
    </row>
    <row r="176">
      <c r="A176" s="130"/>
      <c r="B176" s="130"/>
      <c r="C176" s="130"/>
      <c r="D176" s="130"/>
      <c r="E176" s="130"/>
      <c r="F176" s="188"/>
      <c r="G176" s="130"/>
      <c r="H176" s="130"/>
      <c r="I176" s="130"/>
      <c r="J176" s="130"/>
      <c r="K176" s="130"/>
      <c r="L176" s="130"/>
      <c r="M176" s="130"/>
      <c r="N176" s="130"/>
      <c r="O176" s="130"/>
      <c r="P176" s="130"/>
      <c r="Q176" s="130"/>
      <c r="R176" s="130"/>
    </row>
    <row r="177">
      <c r="A177" s="130"/>
      <c r="B177" s="130"/>
      <c r="C177" s="130"/>
      <c r="D177" s="130"/>
      <c r="E177" s="130"/>
      <c r="F177" s="188"/>
      <c r="G177" s="130"/>
      <c r="H177" s="130"/>
      <c r="I177" s="130"/>
      <c r="J177" s="130"/>
      <c r="K177" s="130"/>
      <c r="L177" s="130"/>
      <c r="M177" s="130"/>
      <c r="N177" s="130"/>
      <c r="O177" s="130"/>
      <c r="P177" s="130"/>
      <c r="Q177" s="130"/>
      <c r="R177" s="130"/>
    </row>
    <row r="178">
      <c r="A178" s="130"/>
      <c r="B178" s="130"/>
      <c r="C178" s="130"/>
      <c r="D178" s="130"/>
      <c r="E178" s="130"/>
      <c r="F178" s="188"/>
      <c r="G178" s="130"/>
      <c r="H178" s="130"/>
      <c r="I178" s="130"/>
      <c r="J178" s="130"/>
      <c r="K178" s="130"/>
      <c r="L178" s="130"/>
      <c r="M178" s="130"/>
      <c r="N178" s="130"/>
      <c r="O178" s="130"/>
      <c r="P178" s="130"/>
      <c r="Q178" s="130"/>
      <c r="R178" s="130"/>
    </row>
    <row r="179">
      <c r="A179" s="130"/>
      <c r="B179" s="130"/>
      <c r="C179" s="130"/>
      <c r="D179" s="130"/>
      <c r="E179" s="130"/>
      <c r="F179" s="188"/>
      <c r="G179" s="130"/>
      <c r="H179" s="130"/>
      <c r="I179" s="130"/>
      <c r="J179" s="130"/>
      <c r="K179" s="130"/>
      <c r="L179" s="130"/>
      <c r="M179" s="130"/>
      <c r="N179" s="130"/>
      <c r="O179" s="130"/>
      <c r="P179" s="130"/>
      <c r="Q179" s="130"/>
      <c r="R179" s="130"/>
    </row>
    <row r="180">
      <c r="A180" s="130"/>
      <c r="B180" s="130"/>
      <c r="C180" s="130"/>
      <c r="D180" s="130"/>
      <c r="E180" s="130"/>
      <c r="F180" s="188"/>
      <c r="G180" s="130"/>
      <c r="H180" s="130"/>
      <c r="I180" s="130"/>
      <c r="J180" s="130"/>
      <c r="K180" s="130"/>
      <c r="L180" s="130"/>
      <c r="M180" s="130"/>
      <c r="N180" s="130"/>
      <c r="O180" s="130"/>
      <c r="P180" s="130"/>
      <c r="Q180" s="130"/>
      <c r="R180" s="130"/>
    </row>
    <row r="181">
      <c r="A181" s="130"/>
      <c r="B181" s="130"/>
      <c r="C181" s="130"/>
      <c r="D181" s="130"/>
      <c r="E181" s="130"/>
      <c r="F181" s="188"/>
      <c r="G181" s="130"/>
      <c r="H181" s="130"/>
      <c r="I181" s="130"/>
      <c r="J181" s="130"/>
      <c r="K181" s="130"/>
      <c r="L181" s="130"/>
      <c r="M181" s="130"/>
      <c r="N181" s="130"/>
      <c r="O181" s="130"/>
      <c r="P181" s="130"/>
      <c r="Q181" s="130"/>
      <c r="R181" s="130"/>
    </row>
    <row r="182">
      <c r="A182" s="130"/>
      <c r="B182" s="130"/>
      <c r="C182" s="130"/>
      <c r="D182" s="130"/>
      <c r="E182" s="130"/>
      <c r="F182" s="188"/>
      <c r="G182" s="130"/>
      <c r="H182" s="130"/>
      <c r="I182" s="130"/>
      <c r="J182" s="130"/>
      <c r="K182" s="130"/>
      <c r="L182" s="130"/>
      <c r="M182" s="130"/>
      <c r="N182" s="130"/>
      <c r="O182" s="130"/>
      <c r="P182" s="130"/>
      <c r="Q182" s="130"/>
      <c r="R182" s="130"/>
    </row>
    <row r="183">
      <c r="A183" s="130"/>
      <c r="B183" s="130"/>
      <c r="C183" s="130"/>
      <c r="D183" s="130"/>
      <c r="E183" s="130"/>
      <c r="F183" s="188"/>
      <c r="G183" s="130"/>
      <c r="H183" s="130"/>
      <c r="I183" s="130"/>
      <c r="J183" s="130"/>
      <c r="K183" s="130"/>
      <c r="L183" s="130"/>
      <c r="M183" s="130"/>
      <c r="N183" s="130"/>
      <c r="O183" s="130"/>
      <c r="P183" s="130"/>
      <c r="Q183" s="130"/>
      <c r="R183" s="130"/>
    </row>
    <row r="184">
      <c r="A184" s="130"/>
      <c r="B184" s="130"/>
      <c r="C184" s="130"/>
      <c r="D184" s="130"/>
      <c r="E184" s="130"/>
      <c r="F184" s="188"/>
      <c r="G184" s="130"/>
      <c r="H184" s="130"/>
      <c r="I184" s="130"/>
      <c r="J184" s="130"/>
      <c r="K184" s="130"/>
      <c r="L184" s="130"/>
      <c r="M184" s="130"/>
      <c r="N184" s="130"/>
      <c r="O184" s="130"/>
      <c r="P184" s="130"/>
      <c r="Q184" s="130"/>
      <c r="R184" s="130"/>
    </row>
    <row r="185">
      <c r="A185" s="130"/>
      <c r="B185" s="130"/>
      <c r="C185" s="130"/>
      <c r="D185" s="130"/>
      <c r="E185" s="130"/>
      <c r="F185" s="188"/>
      <c r="G185" s="130"/>
      <c r="H185" s="130"/>
      <c r="I185" s="130"/>
      <c r="J185" s="130"/>
      <c r="K185" s="130"/>
      <c r="L185" s="130"/>
      <c r="M185" s="130"/>
      <c r="N185" s="130"/>
      <c r="O185" s="130"/>
      <c r="P185" s="130"/>
      <c r="Q185" s="130"/>
      <c r="R185" s="130"/>
    </row>
    <row r="186">
      <c r="A186" s="130"/>
      <c r="B186" s="130"/>
      <c r="C186" s="130"/>
      <c r="D186" s="130"/>
      <c r="E186" s="130"/>
      <c r="F186" s="188"/>
      <c r="G186" s="130"/>
      <c r="H186" s="130"/>
      <c r="I186" s="130"/>
      <c r="J186" s="130"/>
      <c r="K186" s="130"/>
      <c r="L186" s="130"/>
      <c r="M186" s="130"/>
      <c r="N186" s="130"/>
      <c r="O186" s="130"/>
      <c r="P186" s="130"/>
      <c r="Q186" s="130"/>
      <c r="R186" s="130"/>
    </row>
    <row r="187">
      <c r="A187" s="130"/>
      <c r="B187" s="130"/>
      <c r="C187" s="130"/>
      <c r="D187" s="130"/>
      <c r="E187" s="130"/>
      <c r="F187" s="188"/>
      <c r="G187" s="130"/>
      <c r="H187" s="130"/>
      <c r="I187" s="130"/>
      <c r="J187" s="130"/>
      <c r="K187" s="130"/>
      <c r="L187" s="130"/>
      <c r="M187" s="130"/>
      <c r="N187" s="130"/>
      <c r="O187" s="130"/>
      <c r="P187" s="130"/>
      <c r="Q187" s="130"/>
      <c r="R187" s="130"/>
    </row>
    <row r="188">
      <c r="A188" s="130"/>
      <c r="B188" s="130"/>
      <c r="C188" s="130"/>
      <c r="D188" s="130"/>
      <c r="E188" s="130"/>
      <c r="F188" s="188"/>
      <c r="G188" s="130"/>
      <c r="H188" s="130"/>
      <c r="I188" s="130"/>
      <c r="J188" s="130"/>
      <c r="K188" s="130"/>
      <c r="L188" s="130"/>
      <c r="M188" s="130"/>
      <c r="N188" s="130"/>
      <c r="O188" s="130"/>
      <c r="P188" s="130"/>
      <c r="Q188" s="130"/>
      <c r="R188" s="130"/>
    </row>
    <row r="189">
      <c r="A189" s="130"/>
      <c r="B189" s="130"/>
      <c r="C189" s="130"/>
      <c r="D189" s="130"/>
      <c r="E189" s="130"/>
      <c r="F189" s="188"/>
      <c r="G189" s="130"/>
      <c r="H189" s="130"/>
      <c r="I189" s="130"/>
      <c r="J189" s="130"/>
      <c r="K189" s="130"/>
      <c r="L189" s="130"/>
      <c r="M189" s="130"/>
      <c r="N189" s="130"/>
      <c r="O189" s="130"/>
      <c r="P189" s="130"/>
      <c r="Q189" s="130"/>
      <c r="R189" s="130"/>
    </row>
    <row r="190">
      <c r="A190" s="130"/>
      <c r="B190" s="130"/>
      <c r="C190" s="130"/>
      <c r="D190" s="130"/>
      <c r="E190" s="130"/>
      <c r="F190" s="188"/>
      <c r="G190" s="130"/>
      <c r="H190" s="130"/>
      <c r="I190" s="130"/>
      <c r="J190" s="130"/>
      <c r="K190" s="130"/>
      <c r="L190" s="130"/>
      <c r="M190" s="130"/>
      <c r="N190" s="130"/>
      <c r="O190" s="130"/>
      <c r="P190" s="130"/>
      <c r="Q190" s="130"/>
      <c r="R190" s="130"/>
    </row>
    <row r="191">
      <c r="A191" s="130"/>
      <c r="B191" s="130"/>
      <c r="C191" s="130"/>
      <c r="D191" s="130"/>
      <c r="E191" s="130"/>
      <c r="F191" s="188"/>
      <c r="G191" s="130"/>
      <c r="H191" s="130"/>
      <c r="I191" s="130"/>
      <c r="J191" s="130"/>
      <c r="K191" s="130"/>
      <c r="L191" s="130"/>
      <c r="M191" s="130"/>
      <c r="N191" s="130"/>
      <c r="O191" s="130"/>
      <c r="P191" s="130"/>
      <c r="Q191" s="130"/>
      <c r="R191" s="130"/>
    </row>
    <row r="192">
      <c r="A192" s="130"/>
      <c r="B192" s="130"/>
      <c r="C192" s="130"/>
      <c r="D192" s="130"/>
      <c r="E192" s="130"/>
      <c r="F192" s="188"/>
      <c r="G192" s="130"/>
      <c r="H192" s="130"/>
      <c r="I192" s="130"/>
      <c r="J192" s="130"/>
      <c r="K192" s="130"/>
      <c r="L192" s="130"/>
      <c r="M192" s="130"/>
      <c r="N192" s="130"/>
      <c r="O192" s="130"/>
      <c r="P192" s="130"/>
      <c r="Q192" s="130"/>
      <c r="R192" s="130"/>
    </row>
    <row r="193">
      <c r="A193" s="130"/>
      <c r="B193" s="130"/>
      <c r="C193" s="130"/>
      <c r="D193" s="130"/>
      <c r="E193" s="130"/>
      <c r="F193" s="188"/>
      <c r="G193" s="130"/>
      <c r="H193" s="130"/>
      <c r="I193" s="130"/>
      <c r="J193" s="130"/>
      <c r="K193" s="130"/>
      <c r="L193" s="130"/>
      <c r="M193" s="130"/>
      <c r="N193" s="130"/>
      <c r="O193" s="130"/>
      <c r="P193" s="130"/>
      <c r="Q193" s="130"/>
      <c r="R193" s="130"/>
    </row>
    <row r="194">
      <c r="A194" s="130"/>
      <c r="B194" s="130"/>
      <c r="C194" s="130"/>
      <c r="D194" s="130"/>
      <c r="E194" s="130"/>
      <c r="F194" s="188"/>
      <c r="G194" s="130"/>
      <c r="H194" s="130"/>
      <c r="I194" s="130"/>
      <c r="J194" s="130"/>
      <c r="K194" s="130"/>
      <c r="L194" s="130"/>
      <c r="M194" s="130"/>
      <c r="N194" s="130"/>
      <c r="O194" s="130"/>
      <c r="P194" s="130"/>
      <c r="Q194" s="130"/>
      <c r="R194" s="130"/>
    </row>
    <row r="195">
      <c r="A195" s="130"/>
      <c r="B195" s="130"/>
      <c r="C195" s="130"/>
      <c r="D195" s="130"/>
      <c r="E195" s="130"/>
      <c r="F195" s="188"/>
      <c r="G195" s="130"/>
      <c r="H195" s="130"/>
      <c r="I195" s="130"/>
      <c r="J195" s="130"/>
      <c r="K195" s="130"/>
      <c r="L195" s="130"/>
      <c r="M195" s="130"/>
      <c r="N195" s="130"/>
      <c r="O195" s="130"/>
      <c r="P195" s="130"/>
      <c r="Q195" s="130"/>
      <c r="R195" s="130"/>
    </row>
    <row r="196">
      <c r="A196" s="130"/>
      <c r="B196" s="130"/>
      <c r="C196" s="130"/>
      <c r="D196" s="130"/>
      <c r="E196" s="130"/>
      <c r="F196" s="188"/>
      <c r="G196" s="130"/>
      <c r="H196" s="130"/>
      <c r="I196" s="130"/>
      <c r="J196" s="130"/>
      <c r="K196" s="130"/>
      <c r="L196" s="130"/>
      <c r="M196" s="130"/>
      <c r="N196" s="130"/>
      <c r="O196" s="130"/>
      <c r="P196" s="130"/>
      <c r="Q196" s="130"/>
      <c r="R196" s="130"/>
    </row>
    <row r="197">
      <c r="A197" s="130"/>
      <c r="B197" s="130"/>
      <c r="C197" s="130"/>
      <c r="D197" s="130"/>
      <c r="E197" s="130"/>
      <c r="F197" s="188"/>
      <c r="G197" s="130"/>
      <c r="H197" s="130"/>
      <c r="I197" s="130"/>
      <c r="J197" s="130"/>
      <c r="K197" s="130"/>
      <c r="L197" s="130"/>
      <c r="M197" s="130"/>
      <c r="N197" s="130"/>
      <c r="O197" s="130"/>
      <c r="P197" s="130"/>
      <c r="Q197" s="130"/>
      <c r="R197" s="130"/>
    </row>
    <row r="198">
      <c r="A198" s="130"/>
      <c r="B198" s="130"/>
      <c r="C198" s="130"/>
      <c r="D198" s="130"/>
      <c r="E198" s="130"/>
      <c r="F198" s="188"/>
      <c r="G198" s="130"/>
      <c r="H198" s="130"/>
      <c r="I198" s="130"/>
      <c r="J198" s="130"/>
      <c r="K198" s="130"/>
      <c r="L198" s="130"/>
      <c r="M198" s="130"/>
      <c r="N198" s="130"/>
      <c r="O198" s="130"/>
      <c r="P198" s="130"/>
      <c r="Q198" s="130"/>
      <c r="R198" s="130"/>
    </row>
    <row r="199">
      <c r="A199" s="130"/>
      <c r="B199" s="130"/>
      <c r="C199" s="130"/>
      <c r="D199" s="130"/>
      <c r="E199" s="130"/>
      <c r="F199" s="188"/>
      <c r="G199" s="130"/>
      <c r="H199" s="130"/>
      <c r="I199" s="130"/>
      <c r="J199" s="130"/>
      <c r="K199" s="130"/>
      <c r="L199" s="130"/>
      <c r="M199" s="130"/>
      <c r="N199" s="130"/>
      <c r="O199" s="130"/>
      <c r="P199" s="130"/>
      <c r="Q199" s="130"/>
      <c r="R199" s="130"/>
    </row>
    <row r="200">
      <c r="A200" s="130"/>
      <c r="B200" s="130"/>
      <c r="C200" s="130"/>
      <c r="D200" s="130"/>
      <c r="E200" s="130"/>
      <c r="F200" s="188"/>
      <c r="G200" s="130"/>
      <c r="H200" s="130"/>
      <c r="I200" s="130"/>
      <c r="J200" s="130"/>
      <c r="K200" s="130"/>
      <c r="L200" s="130"/>
      <c r="M200" s="130"/>
      <c r="N200" s="130"/>
      <c r="O200" s="130"/>
      <c r="P200" s="130"/>
      <c r="Q200" s="130"/>
      <c r="R200" s="130"/>
    </row>
    <row r="201">
      <c r="A201" s="130"/>
      <c r="B201" s="130"/>
      <c r="C201" s="130"/>
      <c r="D201" s="130"/>
      <c r="E201" s="130"/>
      <c r="F201" s="188"/>
      <c r="G201" s="130"/>
      <c r="H201" s="130"/>
      <c r="I201" s="130"/>
      <c r="J201" s="130"/>
      <c r="K201" s="130"/>
      <c r="L201" s="130"/>
      <c r="M201" s="130"/>
      <c r="N201" s="130"/>
      <c r="O201" s="130"/>
      <c r="P201" s="130"/>
      <c r="Q201" s="130"/>
      <c r="R201" s="130"/>
    </row>
    <row r="202">
      <c r="A202" s="130"/>
      <c r="B202" s="130"/>
      <c r="C202" s="130"/>
      <c r="D202" s="130"/>
      <c r="E202" s="130"/>
      <c r="F202" s="188"/>
      <c r="G202" s="130"/>
      <c r="H202" s="130"/>
      <c r="I202" s="130"/>
      <c r="J202" s="130"/>
      <c r="K202" s="130"/>
      <c r="L202" s="130"/>
      <c r="M202" s="130"/>
      <c r="N202" s="130"/>
      <c r="O202" s="130"/>
      <c r="P202" s="130"/>
      <c r="Q202" s="130"/>
      <c r="R202" s="130"/>
    </row>
    <row r="203">
      <c r="A203" s="130"/>
      <c r="B203" s="130"/>
      <c r="C203" s="130"/>
      <c r="D203" s="130"/>
      <c r="E203" s="130"/>
      <c r="F203" s="188"/>
      <c r="G203" s="130"/>
      <c r="H203" s="130"/>
      <c r="I203" s="130"/>
      <c r="J203" s="130"/>
      <c r="K203" s="130"/>
      <c r="L203" s="130"/>
      <c r="M203" s="130"/>
      <c r="N203" s="130"/>
      <c r="O203" s="130"/>
      <c r="P203" s="130"/>
      <c r="Q203" s="130"/>
      <c r="R203" s="130"/>
    </row>
    <row r="204">
      <c r="A204" s="130"/>
      <c r="B204" s="130"/>
      <c r="C204" s="130"/>
      <c r="D204" s="130"/>
      <c r="E204" s="130"/>
      <c r="F204" s="188"/>
      <c r="G204" s="130"/>
      <c r="H204" s="130"/>
      <c r="I204" s="130"/>
      <c r="J204" s="130"/>
      <c r="K204" s="130"/>
      <c r="L204" s="130"/>
      <c r="M204" s="130"/>
      <c r="N204" s="130"/>
      <c r="O204" s="130"/>
      <c r="P204" s="130"/>
      <c r="Q204" s="130"/>
      <c r="R204" s="130"/>
    </row>
    <row r="205">
      <c r="A205" s="130"/>
      <c r="B205" s="130"/>
      <c r="C205" s="130"/>
      <c r="D205" s="130"/>
      <c r="E205" s="130"/>
      <c r="F205" s="188"/>
      <c r="G205" s="130"/>
      <c r="H205" s="130"/>
      <c r="I205" s="130"/>
      <c r="J205" s="130"/>
      <c r="K205" s="130"/>
      <c r="L205" s="130"/>
      <c r="M205" s="130"/>
      <c r="N205" s="130"/>
      <c r="O205" s="130"/>
      <c r="P205" s="130"/>
      <c r="Q205" s="130"/>
      <c r="R205" s="130"/>
    </row>
    <row r="206">
      <c r="A206" s="130"/>
      <c r="B206" s="130"/>
      <c r="C206" s="130"/>
      <c r="D206" s="130"/>
      <c r="E206" s="130"/>
      <c r="F206" s="188"/>
      <c r="G206" s="130"/>
      <c r="H206" s="130"/>
      <c r="I206" s="130"/>
      <c r="J206" s="130"/>
      <c r="K206" s="130"/>
      <c r="L206" s="130"/>
      <c r="M206" s="130"/>
      <c r="N206" s="130"/>
      <c r="O206" s="130"/>
      <c r="P206" s="130"/>
      <c r="Q206" s="130"/>
      <c r="R206" s="130"/>
    </row>
    <row r="207">
      <c r="A207" s="130"/>
      <c r="B207" s="130"/>
      <c r="C207" s="130"/>
      <c r="D207" s="130"/>
      <c r="E207" s="130"/>
      <c r="F207" s="188"/>
      <c r="G207" s="130"/>
      <c r="H207" s="130"/>
      <c r="I207" s="130"/>
      <c r="J207" s="130"/>
      <c r="K207" s="130"/>
      <c r="L207" s="130"/>
      <c r="M207" s="130"/>
      <c r="N207" s="130"/>
      <c r="O207" s="130"/>
      <c r="P207" s="130"/>
      <c r="Q207" s="130"/>
      <c r="R207" s="130"/>
    </row>
    <row r="208">
      <c r="A208" s="130"/>
      <c r="B208" s="130"/>
      <c r="C208" s="130"/>
      <c r="D208" s="130"/>
      <c r="E208" s="130"/>
      <c r="F208" s="188"/>
      <c r="G208" s="130"/>
      <c r="H208" s="130"/>
      <c r="I208" s="130"/>
      <c r="J208" s="130"/>
      <c r="K208" s="130"/>
      <c r="L208" s="130"/>
      <c r="M208" s="130"/>
      <c r="N208" s="130"/>
      <c r="O208" s="130"/>
      <c r="P208" s="130"/>
      <c r="Q208" s="130"/>
      <c r="R208" s="130"/>
    </row>
    <row r="209">
      <c r="A209" s="130"/>
      <c r="B209" s="130"/>
      <c r="C209" s="130"/>
      <c r="D209" s="130"/>
      <c r="E209" s="130"/>
      <c r="F209" s="188"/>
      <c r="G209" s="130"/>
      <c r="H209" s="130"/>
      <c r="I209" s="130"/>
      <c r="J209" s="130"/>
      <c r="K209" s="130"/>
      <c r="L209" s="130"/>
      <c r="M209" s="130"/>
      <c r="N209" s="130"/>
      <c r="O209" s="130"/>
      <c r="P209" s="130"/>
      <c r="Q209" s="130"/>
      <c r="R209" s="130"/>
    </row>
    <row r="210">
      <c r="A210" s="130"/>
      <c r="B210" s="130"/>
      <c r="C210" s="130"/>
      <c r="D210" s="130"/>
      <c r="E210" s="130"/>
      <c r="F210" s="188"/>
      <c r="G210" s="130"/>
      <c r="H210" s="130"/>
      <c r="I210" s="130"/>
      <c r="J210" s="130"/>
      <c r="K210" s="130"/>
      <c r="L210" s="130"/>
      <c r="M210" s="130"/>
      <c r="N210" s="130"/>
      <c r="O210" s="130"/>
      <c r="P210" s="130"/>
      <c r="Q210" s="130"/>
      <c r="R210" s="130"/>
    </row>
    <row r="211">
      <c r="A211" s="130"/>
      <c r="B211" s="130"/>
      <c r="C211" s="130"/>
      <c r="D211" s="130"/>
      <c r="E211" s="130"/>
      <c r="F211" s="188"/>
      <c r="G211" s="130"/>
      <c r="H211" s="130"/>
      <c r="I211" s="130"/>
      <c r="J211" s="130"/>
      <c r="K211" s="130"/>
      <c r="L211" s="130"/>
      <c r="M211" s="130"/>
      <c r="N211" s="130"/>
      <c r="O211" s="130"/>
      <c r="P211" s="130"/>
      <c r="Q211" s="130"/>
      <c r="R211" s="130"/>
    </row>
    <row r="212">
      <c r="A212" s="130"/>
      <c r="B212" s="130"/>
      <c r="C212" s="130"/>
      <c r="D212" s="130"/>
      <c r="E212" s="130"/>
      <c r="F212" s="188"/>
      <c r="G212" s="130"/>
      <c r="H212" s="130"/>
      <c r="I212" s="130"/>
      <c r="J212" s="130"/>
      <c r="K212" s="130"/>
      <c r="L212" s="130"/>
      <c r="M212" s="130"/>
      <c r="N212" s="130"/>
      <c r="O212" s="130"/>
      <c r="P212" s="130"/>
      <c r="Q212" s="130"/>
      <c r="R212" s="130"/>
    </row>
    <row r="213">
      <c r="A213" s="130"/>
      <c r="B213" s="130"/>
      <c r="C213" s="130"/>
      <c r="D213" s="130"/>
      <c r="E213" s="130"/>
      <c r="F213" s="188"/>
      <c r="G213" s="130"/>
      <c r="H213" s="130"/>
      <c r="I213" s="130"/>
      <c r="J213" s="130"/>
      <c r="K213" s="130"/>
      <c r="L213" s="130"/>
      <c r="M213" s="130"/>
      <c r="N213" s="130"/>
      <c r="O213" s="130"/>
      <c r="P213" s="130"/>
      <c r="Q213" s="130"/>
      <c r="R213" s="130"/>
    </row>
    <row r="214">
      <c r="A214" s="130"/>
      <c r="B214" s="130"/>
      <c r="C214" s="130"/>
      <c r="D214" s="130"/>
      <c r="E214" s="130"/>
      <c r="F214" s="188"/>
      <c r="G214" s="130"/>
      <c r="H214" s="130"/>
      <c r="I214" s="130"/>
      <c r="J214" s="130"/>
      <c r="K214" s="130"/>
      <c r="L214" s="130"/>
      <c r="M214" s="130"/>
      <c r="N214" s="130"/>
      <c r="O214" s="130"/>
      <c r="P214" s="130"/>
      <c r="Q214" s="130"/>
      <c r="R214" s="130"/>
    </row>
    <row r="215">
      <c r="A215" s="130"/>
      <c r="B215" s="130"/>
      <c r="C215" s="130"/>
      <c r="D215" s="130"/>
      <c r="E215" s="130"/>
      <c r="F215" s="188"/>
      <c r="G215" s="130"/>
      <c r="H215" s="130"/>
      <c r="I215" s="130"/>
      <c r="J215" s="130"/>
      <c r="K215" s="130"/>
      <c r="L215" s="130"/>
      <c r="M215" s="130"/>
      <c r="N215" s="130"/>
      <c r="O215" s="130"/>
      <c r="P215" s="130"/>
      <c r="Q215" s="130"/>
      <c r="R215" s="130"/>
    </row>
    <row r="216">
      <c r="A216" s="130"/>
      <c r="B216" s="130"/>
      <c r="C216" s="130"/>
      <c r="D216" s="130"/>
      <c r="E216" s="130"/>
      <c r="F216" s="188"/>
      <c r="G216" s="130"/>
      <c r="H216" s="130"/>
      <c r="I216" s="130"/>
      <c r="J216" s="130"/>
      <c r="K216" s="130"/>
      <c r="L216" s="130"/>
      <c r="M216" s="130"/>
      <c r="N216" s="130"/>
      <c r="O216" s="130"/>
      <c r="P216" s="130"/>
      <c r="Q216" s="130"/>
      <c r="R216" s="130"/>
    </row>
    <row r="217">
      <c r="A217" s="130"/>
      <c r="B217" s="130"/>
      <c r="C217" s="130"/>
      <c r="D217" s="130"/>
      <c r="E217" s="130"/>
      <c r="F217" s="188"/>
      <c r="G217" s="130"/>
      <c r="H217" s="130"/>
      <c r="I217" s="130"/>
      <c r="J217" s="130"/>
      <c r="K217" s="130"/>
      <c r="L217" s="130"/>
      <c r="M217" s="130"/>
      <c r="N217" s="130"/>
      <c r="O217" s="130"/>
      <c r="P217" s="130"/>
      <c r="Q217" s="130"/>
      <c r="R217" s="130"/>
    </row>
    <row r="218">
      <c r="A218" s="130"/>
      <c r="B218" s="130"/>
      <c r="C218" s="130"/>
      <c r="D218" s="130"/>
      <c r="E218" s="130"/>
      <c r="F218" s="188"/>
      <c r="G218" s="130"/>
      <c r="H218" s="130"/>
      <c r="I218" s="130"/>
      <c r="J218" s="130"/>
      <c r="K218" s="130"/>
      <c r="L218" s="130"/>
      <c r="M218" s="130"/>
      <c r="N218" s="130"/>
      <c r="O218" s="130"/>
      <c r="P218" s="130"/>
      <c r="Q218" s="130"/>
      <c r="R218" s="130"/>
    </row>
    <row r="219">
      <c r="A219" s="130"/>
      <c r="B219" s="130"/>
      <c r="C219" s="130"/>
      <c r="D219" s="130"/>
      <c r="E219" s="130"/>
      <c r="F219" s="188"/>
      <c r="G219" s="130"/>
      <c r="H219" s="130"/>
      <c r="I219" s="130"/>
      <c r="J219" s="130"/>
      <c r="K219" s="130"/>
      <c r="L219" s="130"/>
      <c r="M219" s="130"/>
      <c r="N219" s="130"/>
      <c r="O219" s="130"/>
      <c r="P219" s="130"/>
      <c r="Q219" s="130"/>
      <c r="R219" s="130"/>
    </row>
    <row r="220">
      <c r="A220" s="130"/>
      <c r="B220" s="130"/>
      <c r="C220" s="130"/>
      <c r="D220" s="130"/>
      <c r="E220" s="130"/>
      <c r="F220" s="188"/>
      <c r="G220" s="130"/>
      <c r="H220" s="130"/>
      <c r="I220" s="130"/>
      <c r="J220" s="130"/>
      <c r="K220" s="130"/>
      <c r="L220" s="130"/>
      <c r="M220" s="130"/>
      <c r="N220" s="130"/>
      <c r="O220" s="130"/>
      <c r="P220" s="130"/>
      <c r="Q220" s="130"/>
      <c r="R220" s="130"/>
    </row>
    <row r="221">
      <c r="A221" s="130"/>
      <c r="B221" s="130"/>
      <c r="C221" s="130"/>
      <c r="D221" s="130"/>
      <c r="E221" s="130"/>
      <c r="F221" s="188"/>
      <c r="G221" s="130"/>
      <c r="H221" s="130"/>
      <c r="I221" s="130"/>
      <c r="J221" s="130"/>
      <c r="K221" s="130"/>
      <c r="L221" s="130"/>
      <c r="M221" s="130"/>
      <c r="N221" s="130"/>
      <c r="O221" s="130"/>
      <c r="P221" s="130"/>
      <c r="Q221" s="130"/>
      <c r="R221" s="130"/>
    </row>
    <row r="222">
      <c r="A222" s="130"/>
      <c r="B222" s="130"/>
      <c r="C222" s="130"/>
      <c r="D222" s="130"/>
      <c r="E222" s="130"/>
      <c r="F222" s="188"/>
      <c r="G222" s="130"/>
      <c r="H222" s="130"/>
      <c r="I222" s="130"/>
      <c r="J222" s="130"/>
      <c r="K222" s="130"/>
      <c r="L222" s="130"/>
      <c r="M222" s="130"/>
      <c r="N222" s="130"/>
      <c r="O222" s="130"/>
      <c r="P222" s="130"/>
      <c r="Q222" s="130"/>
      <c r="R222" s="130"/>
    </row>
    <row r="223">
      <c r="A223" s="130"/>
      <c r="B223" s="130"/>
      <c r="C223" s="130"/>
      <c r="D223" s="130"/>
      <c r="E223" s="130"/>
      <c r="F223" s="188"/>
      <c r="G223" s="130"/>
      <c r="H223" s="130"/>
      <c r="I223" s="130"/>
      <c r="J223" s="130"/>
      <c r="K223" s="130"/>
      <c r="L223" s="130"/>
      <c r="M223" s="130"/>
      <c r="N223" s="130"/>
      <c r="O223" s="130"/>
      <c r="P223" s="130"/>
      <c r="Q223" s="130"/>
      <c r="R223" s="130"/>
    </row>
    <row r="224">
      <c r="A224" s="130"/>
      <c r="B224" s="130"/>
      <c r="C224" s="130"/>
      <c r="D224" s="130"/>
      <c r="E224" s="130"/>
      <c r="F224" s="188"/>
      <c r="G224" s="130"/>
      <c r="H224" s="130"/>
      <c r="I224" s="130"/>
      <c r="J224" s="130"/>
      <c r="K224" s="130"/>
      <c r="L224" s="130"/>
      <c r="M224" s="130"/>
      <c r="N224" s="130"/>
      <c r="O224" s="130"/>
      <c r="P224" s="130"/>
      <c r="Q224" s="130"/>
      <c r="R224" s="130"/>
    </row>
    <row r="225">
      <c r="A225" s="130"/>
      <c r="B225" s="130"/>
      <c r="C225" s="130"/>
      <c r="D225" s="130"/>
      <c r="E225" s="130"/>
      <c r="F225" s="188"/>
      <c r="G225" s="130"/>
      <c r="H225" s="130"/>
      <c r="I225" s="130"/>
      <c r="J225" s="130"/>
      <c r="K225" s="130"/>
      <c r="L225" s="130"/>
      <c r="M225" s="130"/>
      <c r="N225" s="130"/>
      <c r="O225" s="130"/>
      <c r="P225" s="130"/>
      <c r="Q225" s="130"/>
      <c r="R225" s="130"/>
    </row>
    <row r="226">
      <c r="A226" s="130"/>
      <c r="B226" s="130"/>
      <c r="C226" s="130"/>
      <c r="D226" s="130"/>
      <c r="E226" s="130"/>
      <c r="F226" s="188"/>
      <c r="G226" s="130"/>
      <c r="H226" s="130"/>
      <c r="I226" s="130"/>
      <c r="J226" s="130"/>
      <c r="K226" s="130"/>
      <c r="L226" s="130"/>
      <c r="M226" s="130"/>
      <c r="N226" s="130"/>
      <c r="O226" s="130"/>
      <c r="P226" s="130"/>
      <c r="Q226" s="130"/>
      <c r="R226" s="130"/>
    </row>
    <row r="227">
      <c r="A227" s="130"/>
      <c r="B227" s="130"/>
      <c r="C227" s="130"/>
      <c r="D227" s="130"/>
      <c r="E227" s="130"/>
      <c r="F227" s="188"/>
      <c r="G227" s="130"/>
      <c r="H227" s="130"/>
      <c r="I227" s="130"/>
      <c r="J227" s="130"/>
      <c r="K227" s="130"/>
      <c r="L227" s="130"/>
      <c r="M227" s="130"/>
      <c r="N227" s="130"/>
      <c r="O227" s="130"/>
      <c r="P227" s="130"/>
      <c r="Q227" s="130"/>
      <c r="R227" s="130"/>
    </row>
    <row r="228">
      <c r="A228" s="130"/>
      <c r="B228" s="130"/>
      <c r="C228" s="130"/>
      <c r="D228" s="130"/>
      <c r="E228" s="130"/>
      <c r="F228" s="188"/>
      <c r="G228" s="130"/>
      <c r="H228" s="130"/>
      <c r="I228" s="130"/>
      <c r="J228" s="130"/>
      <c r="K228" s="130"/>
      <c r="L228" s="130"/>
      <c r="M228" s="130"/>
      <c r="N228" s="130"/>
      <c r="O228" s="130"/>
      <c r="P228" s="130"/>
      <c r="Q228" s="130"/>
      <c r="R228" s="130"/>
    </row>
    <row r="229">
      <c r="A229" s="130"/>
      <c r="B229" s="130"/>
      <c r="C229" s="130"/>
      <c r="D229" s="130"/>
      <c r="E229" s="130"/>
      <c r="F229" s="188"/>
      <c r="G229" s="130"/>
      <c r="H229" s="130"/>
      <c r="I229" s="130"/>
      <c r="J229" s="130"/>
      <c r="K229" s="130"/>
      <c r="L229" s="130"/>
      <c r="M229" s="130"/>
      <c r="N229" s="130"/>
      <c r="O229" s="130"/>
      <c r="P229" s="130"/>
      <c r="Q229" s="130"/>
      <c r="R229" s="130"/>
    </row>
    <row r="230">
      <c r="A230" s="130"/>
      <c r="B230" s="130"/>
      <c r="C230" s="130"/>
      <c r="D230" s="130"/>
      <c r="E230" s="130"/>
      <c r="F230" s="188"/>
      <c r="G230" s="130"/>
      <c r="H230" s="130"/>
      <c r="I230" s="130"/>
      <c r="J230" s="130"/>
      <c r="K230" s="130"/>
      <c r="L230" s="130"/>
      <c r="M230" s="130"/>
      <c r="N230" s="130"/>
      <c r="O230" s="130"/>
      <c r="P230" s="130"/>
      <c r="Q230" s="130"/>
      <c r="R230" s="130"/>
    </row>
    <row r="231">
      <c r="A231" s="130"/>
      <c r="B231" s="130"/>
      <c r="C231" s="130"/>
      <c r="D231" s="130"/>
      <c r="E231" s="130"/>
      <c r="F231" s="188"/>
      <c r="G231" s="130"/>
      <c r="H231" s="130"/>
      <c r="I231" s="130"/>
      <c r="J231" s="130"/>
      <c r="K231" s="130"/>
      <c r="L231" s="130"/>
      <c r="M231" s="130"/>
      <c r="N231" s="130"/>
      <c r="O231" s="130"/>
      <c r="P231" s="130"/>
      <c r="Q231" s="130"/>
      <c r="R231" s="130"/>
    </row>
    <row r="232">
      <c r="A232" s="130"/>
      <c r="B232" s="130"/>
      <c r="C232" s="130"/>
      <c r="D232" s="130"/>
      <c r="E232" s="130"/>
      <c r="F232" s="188"/>
      <c r="G232" s="130"/>
      <c r="H232" s="130"/>
      <c r="I232" s="130"/>
      <c r="J232" s="130"/>
      <c r="K232" s="130"/>
      <c r="L232" s="130"/>
      <c r="M232" s="130"/>
      <c r="N232" s="130"/>
      <c r="O232" s="130"/>
      <c r="P232" s="130"/>
      <c r="Q232" s="130"/>
      <c r="R232" s="130"/>
    </row>
    <row r="233">
      <c r="A233" s="130"/>
      <c r="B233" s="130"/>
      <c r="C233" s="130"/>
      <c r="D233" s="130"/>
      <c r="E233" s="130"/>
      <c r="F233" s="188"/>
      <c r="G233" s="130"/>
      <c r="H233" s="130"/>
      <c r="I233" s="130"/>
      <c r="J233" s="130"/>
      <c r="K233" s="130"/>
      <c r="L233" s="130"/>
      <c r="M233" s="130"/>
      <c r="N233" s="130"/>
      <c r="O233" s="130"/>
      <c r="P233" s="130"/>
      <c r="Q233" s="130"/>
      <c r="R233" s="130"/>
    </row>
    <row r="234">
      <c r="A234" s="130"/>
      <c r="B234" s="130"/>
      <c r="C234" s="130"/>
      <c r="D234" s="130"/>
      <c r="E234" s="130"/>
      <c r="F234" s="188"/>
      <c r="G234" s="130"/>
      <c r="H234" s="130"/>
      <c r="I234" s="130"/>
      <c r="J234" s="130"/>
      <c r="K234" s="130"/>
      <c r="L234" s="130"/>
      <c r="M234" s="130"/>
      <c r="N234" s="130"/>
      <c r="O234" s="130"/>
      <c r="P234" s="130"/>
      <c r="Q234" s="130"/>
      <c r="R234" s="130"/>
    </row>
    <row r="235">
      <c r="A235" s="130"/>
      <c r="B235" s="130"/>
      <c r="C235" s="130"/>
      <c r="D235" s="130"/>
      <c r="E235" s="130"/>
      <c r="F235" s="188"/>
      <c r="G235" s="130"/>
      <c r="H235" s="130"/>
      <c r="I235" s="130"/>
      <c r="J235" s="130"/>
      <c r="K235" s="130"/>
      <c r="L235" s="130"/>
      <c r="M235" s="130"/>
      <c r="N235" s="130"/>
      <c r="O235" s="130"/>
      <c r="P235" s="130"/>
      <c r="Q235" s="130"/>
      <c r="R235" s="130"/>
    </row>
    <row r="236">
      <c r="A236" s="130"/>
      <c r="B236" s="130"/>
      <c r="C236" s="130"/>
      <c r="D236" s="130"/>
      <c r="E236" s="130"/>
      <c r="F236" s="188"/>
      <c r="G236" s="130"/>
      <c r="H236" s="130"/>
      <c r="I236" s="130"/>
      <c r="J236" s="130"/>
      <c r="K236" s="130"/>
      <c r="L236" s="130"/>
      <c r="M236" s="130"/>
      <c r="N236" s="130"/>
      <c r="O236" s="130"/>
      <c r="P236" s="130"/>
      <c r="Q236" s="130"/>
      <c r="R236" s="130"/>
    </row>
    <row r="237">
      <c r="A237" s="130"/>
      <c r="B237" s="130"/>
      <c r="C237" s="130"/>
      <c r="D237" s="130"/>
      <c r="E237" s="130"/>
      <c r="F237" s="188"/>
      <c r="G237" s="130"/>
      <c r="H237" s="130"/>
      <c r="I237" s="130"/>
      <c r="J237" s="130"/>
      <c r="K237" s="130"/>
      <c r="L237" s="130"/>
      <c r="M237" s="130"/>
      <c r="N237" s="130"/>
      <c r="O237" s="130"/>
      <c r="P237" s="130"/>
      <c r="Q237" s="130"/>
      <c r="R237" s="130"/>
    </row>
    <row r="238">
      <c r="A238" s="130"/>
      <c r="B238" s="130"/>
      <c r="C238" s="130"/>
      <c r="D238" s="130"/>
      <c r="E238" s="130"/>
      <c r="F238" s="188"/>
      <c r="G238" s="130"/>
      <c r="H238" s="130"/>
      <c r="I238" s="130"/>
      <c r="J238" s="130"/>
      <c r="K238" s="130"/>
      <c r="L238" s="130"/>
      <c r="M238" s="130"/>
      <c r="N238" s="130"/>
      <c r="O238" s="130"/>
      <c r="P238" s="130"/>
      <c r="Q238" s="130"/>
      <c r="R238" s="130"/>
    </row>
    <row r="239">
      <c r="A239" s="130"/>
      <c r="B239" s="130"/>
      <c r="C239" s="130"/>
      <c r="D239" s="130"/>
      <c r="E239" s="130"/>
      <c r="F239" s="188"/>
      <c r="G239" s="130"/>
      <c r="H239" s="130"/>
      <c r="I239" s="130"/>
      <c r="J239" s="130"/>
      <c r="K239" s="130"/>
      <c r="L239" s="130"/>
      <c r="M239" s="130"/>
      <c r="N239" s="130"/>
      <c r="O239" s="130"/>
      <c r="P239" s="130"/>
      <c r="Q239" s="130"/>
      <c r="R239" s="130"/>
    </row>
    <row r="240">
      <c r="A240" s="130"/>
      <c r="B240" s="130"/>
      <c r="C240" s="130"/>
      <c r="D240" s="130"/>
      <c r="E240" s="130"/>
      <c r="F240" s="188"/>
      <c r="G240" s="130"/>
      <c r="H240" s="130"/>
      <c r="I240" s="130"/>
      <c r="J240" s="130"/>
      <c r="K240" s="130"/>
      <c r="L240" s="130"/>
      <c r="M240" s="130"/>
      <c r="N240" s="130"/>
      <c r="O240" s="130"/>
      <c r="P240" s="130"/>
      <c r="Q240" s="130"/>
      <c r="R240" s="130"/>
    </row>
    <row r="241">
      <c r="A241" s="130"/>
      <c r="B241" s="130"/>
      <c r="C241" s="130"/>
      <c r="D241" s="130"/>
      <c r="E241" s="130"/>
      <c r="F241" s="188"/>
      <c r="G241" s="130"/>
      <c r="H241" s="130"/>
      <c r="I241" s="130"/>
      <c r="J241" s="130"/>
      <c r="K241" s="130"/>
      <c r="L241" s="130"/>
      <c r="M241" s="130"/>
      <c r="N241" s="130"/>
      <c r="O241" s="130"/>
      <c r="P241" s="130"/>
      <c r="Q241" s="130"/>
      <c r="R241" s="130"/>
    </row>
    <row r="242">
      <c r="A242" s="130"/>
      <c r="B242" s="130"/>
      <c r="C242" s="130"/>
      <c r="D242" s="130"/>
      <c r="E242" s="130"/>
      <c r="F242" s="188"/>
      <c r="G242" s="130"/>
      <c r="H242" s="130"/>
      <c r="I242" s="130"/>
      <c r="J242" s="130"/>
      <c r="K242" s="130"/>
      <c r="L242" s="130"/>
      <c r="M242" s="130"/>
      <c r="N242" s="130"/>
      <c r="O242" s="130"/>
      <c r="P242" s="130"/>
      <c r="Q242" s="130"/>
      <c r="R242" s="130"/>
    </row>
    <row r="243">
      <c r="A243" s="130"/>
      <c r="B243" s="130"/>
      <c r="C243" s="130"/>
      <c r="D243" s="130"/>
      <c r="E243" s="130"/>
      <c r="F243" s="188"/>
      <c r="G243" s="130"/>
      <c r="H243" s="130"/>
      <c r="I243" s="130"/>
      <c r="J243" s="130"/>
      <c r="K243" s="130"/>
      <c r="L243" s="130"/>
      <c r="M243" s="130"/>
      <c r="N243" s="130"/>
      <c r="O243" s="130"/>
      <c r="P243" s="130"/>
      <c r="Q243" s="130"/>
      <c r="R243" s="130"/>
    </row>
    <row r="244">
      <c r="A244" s="130"/>
      <c r="B244" s="130"/>
      <c r="C244" s="130"/>
      <c r="D244" s="130"/>
      <c r="E244" s="130"/>
      <c r="F244" s="188"/>
      <c r="G244" s="130"/>
      <c r="H244" s="130"/>
      <c r="I244" s="130"/>
      <c r="J244" s="130"/>
      <c r="K244" s="130"/>
      <c r="L244" s="130"/>
      <c r="M244" s="130"/>
      <c r="N244" s="130"/>
      <c r="O244" s="130"/>
      <c r="P244" s="130"/>
      <c r="Q244" s="130"/>
      <c r="R244" s="130"/>
    </row>
    <row r="245">
      <c r="A245" s="130"/>
      <c r="B245" s="130"/>
      <c r="C245" s="130"/>
      <c r="D245" s="130"/>
      <c r="E245" s="130"/>
      <c r="F245" s="188"/>
      <c r="G245" s="130"/>
      <c r="H245" s="130"/>
      <c r="I245" s="130"/>
      <c r="J245" s="130"/>
      <c r="K245" s="130"/>
      <c r="L245" s="130"/>
      <c r="M245" s="130"/>
      <c r="N245" s="130"/>
      <c r="O245" s="130"/>
      <c r="P245" s="130"/>
      <c r="Q245" s="130"/>
      <c r="R245" s="130"/>
    </row>
    <row r="246">
      <c r="A246" s="130"/>
      <c r="B246" s="130"/>
      <c r="C246" s="130"/>
      <c r="D246" s="130"/>
      <c r="E246" s="130"/>
      <c r="F246" s="188"/>
      <c r="G246" s="130"/>
      <c r="H246" s="130"/>
      <c r="I246" s="130"/>
      <c r="J246" s="130"/>
      <c r="K246" s="130"/>
      <c r="L246" s="130"/>
      <c r="M246" s="130"/>
      <c r="N246" s="130"/>
      <c r="O246" s="130"/>
      <c r="P246" s="130"/>
      <c r="Q246" s="130"/>
      <c r="R246" s="130"/>
    </row>
    <row r="247">
      <c r="A247" s="130"/>
      <c r="B247" s="130"/>
      <c r="C247" s="130"/>
      <c r="D247" s="130"/>
      <c r="E247" s="130"/>
      <c r="F247" s="188"/>
      <c r="G247" s="130"/>
      <c r="H247" s="130"/>
      <c r="I247" s="130"/>
      <c r="J247" s="130"/>
      <c r="K247" s="130"/>
      <c r="L247" s="130"/>
      <c r="M247" s="130"/>
      <c r="N247" s="130"/>
      <c r="O247" s="130"/>
      <c r="P247" s="130"/>
      <c r="Q247" s="130"/>
      <c r="R247" s="130"/>
    </row>
    <row r="248">
      <c r="A248" s="130"/>
      <c r="B248" s="130"/>
      <c r="C248" s="130"/>
      <c r="D248" s="130"/>
      <c r="E248" s="130"/>
      <c r="F248" s="188"/>
      <c r="G248" s="130"/>
      <c r="H248" s="130"/>
      <c r="I248" s="130"/>
      <c r="J248" s="130"/>
      <c r="K248" s="130"/>
      <c r="L248" s="130"/>
      <c r="M248" s="130"/>
      <c r="N248" s="130"/>
      <c r="O248" s="130"/>
      <c r="P248" s="130"/>
      <c r="Q248" s="130"/>
      <c r="R248" s="130"/>
    </row>
    <row r="249">
      <c r="A249" s="130"/>
      <c r="B249" s="130"/>
      <c r="C249" s="130"/>
      <c r="D249" s="130"/>
      <c r="E249" s="130"/>
      <c r="F249" s="188"/>
      <c r="G249" s="130"/>
      <c r="H249" s="130"/>
      <c r="I249" s="130"/>
      <c r="J249" s="130"/>
      <c r="K249" s="130"/>
      <c r="L249" s="130"/>
      <c r="M249" s="130"/>
      <c r="N249" s="130"/>
      <c r="O249" s="130"/>
      <c r="P249" s="130"/>
      <c r="Q249" s="130"/>
      <c r="R249" s="130"/>
    </row>
    <row r="250">
      <c r="A250" s="130"/>
      <c r="B250" s="130"/>
      <c r="C250" s="130"/>
      <c r="D250" s="130"/>
      <c r="E250" s="130"/>
      <c r="F250" s="188"/>
      <c r="G250" s="130"/>
      <c r="H250" s="130"/>
      <c r="I250" s="130"/>
      <c r="J250" s="130"/>
      <c r="K250" s="130"/>
      <c r="L250" s="130"/>
      <c r="M250" s="130"/>
      <c r="N250" s="130"/>
      <c r="O250" s="130"/>
      <c r="P250" s="130"/>
      <c r="Q250" s="130"/>
      <c r="R250" s="130"/>
    </row>
    <row r="251">
      <c r="A251" s="130"/>
      <c r="B251" s="130"/>
      <c r="C251" s="130"/>
      <c r="D251" s="130"/>
      <c r="E251" s="130"/>
      <c r="F251" s="188"/>
      <c r="G251" s="130"/>
      <c r="H251" s="130"/>
      <c r="I251" s="130"/>
      <c r="J251" s="130"/>
      <c r="K251" s="130"/>
      <c r="L251" s="130"/>
      <c r="M251" s="130"/>
      <c r="N251" s="130"/>
      <c r="O251" s="130"/>
      <c r="P251" s="130"/>
      <c r="Q251" s="130"/>
      <c r="R251" s="130"/>
    </row>
    <row r="252">
      <c r="A252" s="130"/>
      <c r="B252" s="130"/>
      <c r="C252" s="130"/>
      <c r="D252" s="130"/>
      <c r="E252" s="130"/>
      <c r="F252" s="188"/>
      <c r="G252" s="130"/>
      <c r="H252" s="130"/>
      <c r="I252" s="130"/>
      <c r="J252" s="130"/>
      <c r="K252" s="130"/>
      <c r="L252" s="130"/>
      <c r="M252" s="130"/>
      <c r="N252" s="130"/>
      <c r="O252" s="130"/>
      <c r="P252" s="130"/>
      <c r="Q252" s="130"/>
      <c r="R252" s="130"/>
    </row>
    <row r="253">
      <c r="A253" s="130"/>
      <c r="B253" s="130"/>
      <c r="C253" s="130"/>
      <c r="D253" s="130"/>
      <c r="E253" s="130"/>
      <c r="F253" s="188"/>
      <c r="G253" s="130"/>
      <c r="H253" s="130"/>
      <c r="I253" s="130"/>
      <c r="J253" s="130"/>
      <c r="K253" s="130"/>
      <c r="L253" s="130"/>
      <c r="M253" s="130"/>
      <c r="N253" s="130"/>
      <c r="O253" s="130"/>
      <c r="P253" s="130"/>
      <c r="Q253" s="130"/>
      <c r="R253" s="130"/>
    </row>
    <row r="254">
      <c r="A254" s="130"/>
      <c r="B254" s="130"/>
      <c r="C254" s="130"/>
      <c r="D254" s="130"/>
      <c r="E254" s="130"/>
      <c r="F254" s="188"/>
      <c r="G254" s="130"/>
      <c r="H254" s="130"/>
      <c r="I254" s="130"/>
      <c r="J254" s="130"/>
      <c r="K254" s="130"/>
      <c r="L254" s="130"/>
      <c r="M254" s="130"/>
      <c r="N254" s="130"/>
      <c r="O254" s="130"/>
      <c r="P254" s="130"/>
      <c r="Q254" s="130"/>
      <c r="R254" s="130"/>
    </row>
    <row r="255">
      <c r="A255" s="130"/>
      <c r="B255" s="130"/>
      <c r="C255" s="130"/>
      <c r="D255" s="130"/>
      <c r="E255" s="130"/>
      <c r="F255" s="188"/>
      <c r="G255" s="130"/>
      <c r="H255" s="130"/>
      <c r="I255" s="130"/>
      <c r="J255" s="130"/>
      <c r="K255" s="130"/>
      <c r="L255" s="130"/>
      <c r="M255" s="130"/>
      <c r="N255" s="130"/>
      <c r="O255" s="130"/>
      <c r="P255" s="130"/>
      <c r="Q255" s="130"/>
      <c r="R255" s="130"/>
    </row>
    <row r="256">
      <c r="A256" s="130"/>
      <c r="B256" s="130"/>
      <c r="C256" s="130"/>
      <c r="D256" s="130"/>
      <c r="E256" s="130"/>
      <c r="F256" s="188"/>
      <c r="G256" s="130"/>
      <c r="H256" s="130"/>
      <c r="I256" s="130"/>
      <c r="J256" s="130"/>
      <c r="K256" s="130"/>
      <c r="L256" s="130"/>
      <c r="M256" s="130"/>
      <c r="N256" s="130"/>
      <c r="O256" s="130"/>
      <c r="P256" s="130"/>
      <c r="Q256" s="130"/>
      <c r="R256" s="130"/>
    </row>
    <row r="257">
      <c r="A257" s="130"/>
      <c r="B257" s="130"/>
      <c r="C257" s="130"/>
      <c r="D257" s="130"/>
      <c r="E257" s="130"/>
      <c r="F257" s="188"/>
      <c r="G257" s="130"/>
      <c r="H257" s="130"/>
      <c r="I257" s="130"/>
      <c r="J257" s="130"/>
      <c r="K257" s="130"/>
      <c r="L257" s="130"/>
      <c r="M257" s="130"/>
      <c r="N257" s="130"/>
      <c r="O257" s="130"/>
      <c r="P257" s="130"/>
      <c r="Q257" s="130"/>
      <c r="R257" s="130"/>
    </row>
    <row r="258">
      <c r="A258" s="130"/>
      <c r="B258" s="130"/>
      <c r="C258" s="130"/>
      <c r="D258" s="130"/>
      <c r="E258" s="130"/>
      <c r="F258" s="188"/>
      <c r="G258" s="130"/>
      <c r="H258" s="130"/>
      <c r="I258" s="130"/>
      <c r="J258" s="130"/>
      <c r="K258" s="130"/>
      <c r="L258" s="130"/>
      <c r="M258" s="130"/>
      <c r="N258" s="130"/>
      <c r="O258" s="130"/>
      <c r="P258" s="130"/>
      <c r="Q258" s="130"/>
      <c r="R258" s="130"/>
    </row>
    <row r="259">
      <c r="A259" s="130"/>
      <c r="B259" s="130"/>
      <c r="C259" s="130"/>
      <c r="D259" s="130"/>
      <c r="E259" s="130"/>
      <c r="F259" s="188"/>
      <c r="G259" s="130"/>
      <c r="H259" s="130"/>
      <c r="I259" s="130"/>
      <c r="J259" s="130"/>
      <c r="K259" s="130"/>
      <c r="L259" s="130"/>
      <c r="M259" s="130"/>
      <c r="N259" s="130"/>
      <c r="O259" s="130"/>
      <c r="P259" s="130"/>
      <c r="Q259" s="130"/>
      <c r="R259" s="130"/>
    </row>
    <row r="260">
      <c r="A260" s="130"/>
      <c r="B260" s="130"/>
      <c r="C260" s="130"/>
      <c r="D260" s="130"/>
      <c r="E260" s="130"/>
      <c r="F260" s="188"/>
      <c r="G260" s="130"/>
      <c r="H260" s="130"/>
      <c r="I260" s="130"/>
      <c r="J260" s="130"/>
      <c r="K260" s="130"/>
      <c r="L260" s="130"/>
      <c r="M260" s="130"/>
      <c r="N260" s="130"/>
      <c r="O260" s="130"/>
      <c r="P260" s="130"/>
      <c r="Q260" s="130"/>
      <c r="R260" s="130"/>
    </row>
    <row r="261">
      <c r="A261" s="130"/>
      <c r="B261" s="130"/>
      <c r="C261" s="130"/>
      <c r="D261" s="130"/>
      <c r="E261" s="130"/>
      <c r="F261" s="188"/>
      <c r="G261" s="130"/>
      <c r="H261" s="130"/>
      <c r="I261" s="130"/>
      <c r="J261" s="130"/>
      <c r="K261" s="130"/>
      <c r="L261" s="130"/>
      <c r="M261" s="130"/>
      <c r="N261" s="130"/>
      <c r="O261" s="130"/>
      <c r="P261" s="130"/>
      <c r="Q261" s="130"/>
      <c r="R261" s="130"/>
    </row>
    <row r="262">
      <c r="A262" s="130"/>
      <c r="B262" s="130"/>
      <c r="C262" s="130"/>
      <c r="D262" s="130"/>
      <c r="E262" s="130"/>
      <c r="F262" s="188"/>
      <c r="G262" s="130"/>
      <c r="H262" s="130"/>
      <c r="I262" s="130"/>
      <c r="J262" s="130"/>
      <c r="K262" s="130"/>
      <c r="L262" s="130"/>
      <c r="M262" s="130"/>
      <c r="N262" s="130"/>
      <c r="O262" s="130"/>
      <c r="P262" s="130"/>
      <c r="Q262" s="130"/>
      <c r="R262" s="130"/>
    </row>
    <row r="263">
      <c r="A263" s="130"/>
      <c r="B263" s="130"/>
      <c r="C263" s="130"/>
      <c r="D263" s="130"/>
      <c r="E263" s="130"/>
      <c r="F263" s="188"/>
      <c r="G263" s="130"/>
      <c r="H263" s="130"/>
      <c r="I263" s="130"/>
      <c r="J263" s="130"/>
      <c r="K263" s="130"/>
      <c r="L263" s="130"/>
      <c r="M263" s="130"/>
      <c r="N263" s="130"/>
      <c r="O263" s="130"/>
      <c r="P263" s="130"/>
      <c r="Q263" s="130"/>
      <c r="R263" s="130"/>
    </row>
    <row r="264">
      <c r="A264" s="130"/>
      <c r="B264" s="130"/>
      <c r="C264" s="130"/>
      <c r="D264" s="130"/>
      <c r="E264" s="130"/>
      <c r="F264" s="188"/>
      <c r="G264" s="130"/>
      <c r="H264" s="130"/>
      <c r="I264" s="130"/>
      <c r="J264" s="130"/>
      <c r="K264" s="130"/>
      <c r="L264" s="130"/>
      <c r="M264" s="130"/>
      <c r="N264" s="130"/>
      <c r="O264" s="130"/>
      <c r="P264" s="130"/>
      <c r="Q264" s="130"/>
      <c r="R264" s="130"/>
    </row>
    <row r="265">
      <c r="A265" s="130"/>
      <c r="B265" s="130"/>
      <c r="C265" s="130"/>
      <c r="D265" s="130"/>
      <c r="E265" s="130"/>
      <c r="F265" s="188"/>
      <c r="G265" s="130"/>
      <c r="H265" s="130"/>
      <c r="I265" s="130"/>
      <c r="J265" s="130"/>
      <c r="K265" s="130"/>
      <c r="L265" s="130"/>
      <c r="M265" s="130"/>
      <c r="N265" s="130"/>
      <c r="O265" s="130"/>
      <c r="P265" s="130"/>
      <c r="Q265" s="130"/>
      <c r="R265" s="130"/>
    </row>
    <row r="266">
      <c r="A266" s="130"/>
      <c r="B266" s="130"/>
      <c r="C266" s="130"/>
      <c r="D266" s="130"/>
      <c r="E266" s="130"/>
      <c r="F266" s="188"/>
      <c r="G266" s="130"/>
      <c r="H266" s="130"/>
      <c r="I266" s="130"/>
      <c r="J266" s="130"/>
      <c r="K266" s="130"/>
      <c r="L266" s="130"/>
      <c r="M266" s="130"/>
      <c r="N266" s="130"/>
      <c r="O266" s="130"/>
      <c r="P266" s="130"/>
      <c r="Q266" s="130"/>
      <c r="R266" s="130"/>
    </row>
    <row r="267">
      <c r="A267" s="130"/>
      <c r="B267" s="130"/>
      <c r="C267" s="130"/>
      <c r="D267" s="130"/>
      <c r="E267" s="130"/>
      <c r="F267" s="188"/>
      <c r="G267" s="130"/>
      <c r="H267" s="130"/>
      <c r="I267" s="130"/>
      <c r="J267" s="130"/>
      <c r="K267" s="130"/>
      <c r="L267" s="130"/>
      <c r="M267" s="130"/>
      <c r="N267" s="130"/>
      <c r="O267" s="130"/>
      <c r="P267" s="130"/>
      <c r="Q267" s="130"/>
      <c r="R267" s="130"/>
    </row>
    <row r="268">
      <c r="A268" s="130"/>
      <c r="B268" s="130"/>
      <c r="C268" s="130"/>
      <c r="D268" s="130"/>
      <c r="E268" s="130"/>
      <c r="F268" s="188"/>
      <c r="G268" s="130"/>
      <c r="H268" s="130"/>
      <c r="I268" s="130"/>
      <c r="J268" s="130"/>
      <c r="K268" s="130"/>
      <c r="L268" s="130"/>
      <c r="M268" s="130"/>
      <c r="N268" s="130"/>
      <c r="O268" s="130"/>
      <c r="P268" s="130"/>
      <c r="Q268" s="130"/>
      <c r="R268" s="130"/>
    </row>
    <row r="269">
      <c r="A269" s="130"/>
      <c r="B269" s="130"/>
      <c r="C269" s="130"/>
      <c r="D269" s="130"/>
      <c r="E269" s="130"/>
      <c r="F269" s="188"/>
      <c r="G269" s="130"/>
      <c r="H269" s="130"/>
      <c r="I269" s="130"/>
      <c r="J269" s="130"/>
      <c r="K269" s="130"/>
      <c r="L269" s="130"/>
      <c r="M269" s="130"/>
      <c r="N269" s="130"/>
      <c r="O269" s="130"/>
      <c r="P269" s="130"/>
      <c r="Q269" s="130"/>
      <c r="R269" s="130"/>
    </row>
    <row r="270">
      <c r="A270" s="130"/>
      <c r="B270" s="130"/>
      <c r="C270" s="130"/>
      <c r="D270" s="130"/>
      <c r="E270" s="130"/>
      <c r="F270" s="188"/>
      <c r="G270" s="130"/>
      <c r="H270" s="130"/>
      <c r="I270" s="130"/>
      <c r="J270" s="130"/>
      <c r="K270" s="130"/>
      <c r="L270" s="130"/>
      <c r="M270" s="130"/>
      <c r="N270" s="130"/>
      <c r="O270" s="130"/>
      <c r="P270" s="130"/>
      <c r="Q270" s="130"/>
      <c r="R270" s="130"/>
    </row>
    <row r="271">
      <c r="A271" s="130"/>
      <c r="B271" s="130"/>
      <c r="C271" s="130"/>
      <c r="D271" s="130"/>
      <c r="E271" s="130"/>
      <c r="F271" s="188"/>
      <c r="G271" s="130"/>
      <c r="H271" s="130"/>
      <c r="I271" s="130"/>
      <c r="J271" s="130"/>
      <c r="K271" s="130"/>
      <c r="L271" s="130"/>
      <c r="M271" s="130"/>
      <c r="N271" s="130"/>
      <c r="O271" s="130"/>
      <c r="P271" s="130"/>
      <c r="Q271" s="130"/>
      <c r="R271" s="130"/>
    </row>
    <row r="272">
      <c r="A272" s="130"/>
      <c r="B272" s="130"/>
      <c r="C272" s="130"/>
      <c r="D272" s="130"/>
      <c r="E272" s="130"/>
      <c r="F272" s="188"/>
      <c r="G272" s="130"/>
      <c r="H272" s="130"/>
      <c r="I272" s="130"/>
      <c r="J272" s="130"/>
      <c r="K272" s="130"/>
      <c r="L272" s="130"/>
      <c r="M272" s="130"/>
      <c r="N272" s="130"/>
      <c r="O272" s="130"/>
      <c r="P272" s="130"/>
      <c r="Q272" s="130"/>
      <c r="R272" s="130"/>
    </row>
    <row r="273">
      <c r="A273" s="130"/>
      <c r="B273" s="130"/>
      <c r="C273" s="130"/>
      <c r="D273" s="130"/>
      <c r="E273" s="130"/>
      <c r="F273" s="188"/>
      <c r="G273" s="130"/>
      <c r="H273" s="130"/>
      <c r="I273" s="130"/>
      <c r="J273" s="130"/>
      <c r="K273" s="130"/>
      <c r="L273" s="130"/>
      <c r="M273" s="130"/>
      <c r="N273" s="130"/>
      <c r="O273" s="130"/>
      <c r="P273" s="130"/>
      <c r="Q273" s="130"/>
      <c r="R273" s="130"/>
    </row>
    <row r="274">
      <c r="A274" s="130"/>
      <c r="B274" s="130"/>
      <c r="C274" s="130"/>
      <c r="D274" s="130"/>
      <c r="E274" s="130"/>
      <c r="F274" s="188"/>
      <c r="G274" s="130"/>
      <c r="H274" s="130"/>
      <c r="I274" s="130"/>
      <c r="J274" s="130"/>
      <c r="K274" s="130"/>
      <c r="L274" s="130"/>
      <c r="M274" s="130"/>
      <c r="N274" s="130"/>
      <c r="O274" s="130"/>
      <c r="P274" s="130"/>
      <c r="Q274" s="130"/>
      <c r="R274" s="130"/>
    </row>
    <row r="275">
      <c r="A275" s="130"/>
      <c r="B275" s="130"/>
      <c r="C275" s="130"/>
      <c r="D275" s="130"/>
      <c r="E275" s="130"/>
      <c r="F275" s="188"/>
      <c r="G275" s="130"/>
      <c r="H275" s="130"/>
      <c r="I275" s="130"/>
      <c r="J275" s="130"/>
      <c r="K275" s="130"/>
      <c r="L275" s="130"/>
      <c r="M275" s="130"/>
      <c r="N275" s="130"/>
      <c r="O275" s="130"/>
      <c r="P275" s="130"/>
      <c r="Q275" s="130"/>
      <c r="R275" s="130"/>
    </row>
    <row r="276">
      <c r="A276" s="130"/>
      <c r="B276" s="130"/>
      <c r="C276" s="130"/>
      <c r="D276" s="130"/>
      <c r="E276" s="130"/>
      <c r="F276" s="188"/>
      <c r="G276" s="130"/>
      <c r="H276" s="130"/>
      <c r="I276" s="130"/>
      <c r="J276" s="130"/>
      <c r="K276" s="130"/>
      <c r="L276" s="130"/>
      <c r="M276" s="130"/>
      <c r="N276" s="130"/>
      <c r="O276" s="130"/>
      <c r="P276" s="130"/>
      <c r="Q276" s="130"/>
      <c r="R276" s="130"/>
    </row>
    <row r="277">
      <c r="A277" s="130"/>
      <c r="B277" s="130"/>
      <c r="C277" s="130"/>
      <c r="D277" s="130"/>
      <c r="E277" s="130"/>
      <c r="F277" s="188"/>
      <c r="G277" s="130"/>
      <c r="H277" s="130"/>
      <c r="I277" s="130"/>
      <c r="J277" s="130"/>
      <c r="K277" s="130"/>
      <c r="L277" s="130"/>
      <c r="M277" s="130"/>
      <c r="N277" s="130"/>
      <c r="O277" s="130"/>
      <c r="P277" s="130"/>
      <c r="Q277" s="130"/>
      <c r="R277" s="130"/>
    </row>
    <row r="278">
      <c r="A278" s="130"/>
      <c r="B278" s="130"/>
      <c r="C278" s="130"/>
      <c r="D278" s="130"/>
      <c r="E278" s="130"/>
      <c r="F278" s="188"/>
      <c r="G278" s="130"/>
      <c r="H278" s="130"/>
      <c r="I278" s="130"/>
      <c r="J278" s="130"/>
      <c r="K278" s="130"/>
      <c r="L278" s="130"/>
      <c r="M278" s="130"/>
      <c r="N278" s="130"/>
      <c r="O278" s="130"/>
      <c r="P278" s="130"/>
      <c r="Q278" s="130"/>
      <c r="R278" s="130"/>
    </row>
    <row r="279">
      <c r="A279" s="130"/>
      <c r="B279" s="130"/>
      <c r="C279" s="130"/>
      <c r="D279" s="130"/>
      <c r="E279" s="130"/>
      <c r="F279" s="188"/>
      <c r="G279" s="130"/>
      <c r="H279" s="130"/>
      <c r="I279" s="130"/>
      <c r="J279" s="130"/>
      <c r="K279" s="130"/>
      <c r="L279" s="130"/>
      <c r="M279" s="130"/>
      <c r="N279" s="130"/>
      <c r="O279" s="130"/>
      <c r="P279" s="130"/>
      <c r="Q279" s="130"/>
      <c r="R279" s="130"/>
    </row>
    <row r="280">
      <c r="A280" s="130"/>
      <c r="B280" s="130"/>
      <c r="C280" s="130"/>
      <c r="D280" s="130"/>
      <c r="E280" s="130"/>
      <c r="F280" s="188"/>
      <c r="G280" s="130"/>
      <c r="H280" s="130"/>
      <c r="I280" s="130"/>
      <c r="J280" s="130"/>
      <c r="K280" s="130"/>
      <c r="L280" s="130"/>
      <c r="M280" s="130"/>
      <c r="N280" s="130"/>
      <c r="O280" s="130"/>
      <c r="P280" s="130"/>
      <c r="Q280" s="130"/>
      <c r="R280" s="130"/>
    </row>
    <row r="281">
      <c r="A281" s="130"/>
      <c r="B281" s="130"/>
      <c r="C281" s="130"/>
      <c r="D281" s="130"/>
      <c r="E281" s="130"/>
      <c r="F281" s="188"/>
      <c r="G281" s="130"/>
      <c r="H281" s="130"/>
      <c r="I281" s="130"/>
      <c r="J281" s="130"/>
      <c r="K281" s="130"/>
      <c r="L281" s="130"/>
      <c r="M281" s="130"/>
      <c r="N281" s="130"/>
      <c r="O281" s="130"/>
      <c r="P281" s="130"/>
      <c r="Q281" s="130"/>
      <c r="R281" s="130"/>
    </row>
    <row r="282">
      <c r="A282" s="130"/>
      <c r="B282" s="130"/>
      <c r="C282" s="130"/>
      <c r="D282" s="130"/>
      <c r="E282" s="130"/>
      <c r="F282" s="188"/>
      <c r="G282" s="130"/>
      <c r="H282" s="130"/>
      <c r="I282" s="130"/>
      <c r="J282" s="130"/>
      <c r="K282" s="130"/>
      <c r="L282" s="130"/>
      <c r="M282" s="130"/>
      <c r="N282" s="130"/>
      <c r="O282" s="130"/>
      <c r="P282" s="130"/>
      <c r="Q282" s="130"/>
      <c r="R282" s="130"/>
    </row>
    <row r="283">
      <c r="A283" s="130"/>
      <c r="B283" s="130"/>
      <c r="C283" s="130"/>
      <c r="D283" s="130"/>
      <c r="E283" s="130"/>
      <c r="F283" s="188"/>
      <c r="G283" s="130"/>
      <c r="H283" s="130"/>
      <c r="I283" s="130"/>
      <c r="J283" s="130"/>
      <c r="K283" s="130"/>
      <c r="L283" s="130"/>
      <c r="M283" s="130"/>
      <c r="N283" s="130"/>
      <c r="O283" s="130"/>
      <c r="P283" s="130"/>
      <c r="Q283" s="130"/>
      <c r="R283" s="130"/>
    </row>
    <row r="284">
      <c r="A284" s="130"/>
      <c r="B284" s="130"/>
      <c r="C284" s="130"/>
      <c r="D284" s="130"/>
      <c r="E284" s="130"/>
      <c r="F284" s="188"/>
      <c r="G284" s="130"/>
      <c r="H284" s="130"/>
      <c r="I284" s="130"/>
      <c r="J284" s="130"/>
      <c r="K284" s="130"/>
      <c r="L284" s="130"/>
      <c r="M284" s="130"/>
      <c r="N284" s="130"/>
      <c r="O284" s="130"/>
      <c r="P284" s="130"/>
      <c r="Q284" s="130"/>
      <c r="R284" s="130"/>
    </row>
    <row r="285">
      <c r="A285" s="130"/>
      <c r="B285" s="130"/>
      <c r="C285" s="130"/>
      <c r="D285" s="130"/>
      <c r="E285" s="130"/>
      <c r="F285" s="188"/>
      <c r="G285" s="130"/>
      <c r="H285" s="130"/>
      <c r="I285" s="130"/>
      <c r="J285" s="130"/>
      <c r="K285" s="130"/>
      <c r="L285" s="130"/>
      <c r="M285" s="130"/>
      <c r="N285" s="130"/>
      <c r="O285" s="130"/>
      <c r="P285" s="130"/>
      <c r="Q285" s="130"/>
      <c r="R285" s="130"/>
    </row>
    <row r="286">
      <c r="A286" s="130"/>
      <c r="B286" s="130"/>
      <c r="C286" s="130"/>
      <c r="D286" s="130"/>
      <c r="E286" s="130"/>
      <c r="F286" s="188"/>
      <c r="G286" s="130"/>
      <c r="H286" s="130"/>
      <c r="I286" s="130"/>
      <c r="J286" s="130"/>
      <c r="K286" s="130"/>
      <c r="L286" s="130"/>
      <c r="M286" s="130"/>
      <c r="N286" s="130"/>
      <c r="O286" s="130"/>
      <c r="P286" s="130"/>
      <c r="Q286" s="130"/>
      <c r="R286" s="130"/>
    </row>
    <row r="287">
      <c r="A287" s="130"/>
      <c r="B287" s="130"/>
      <c r="C287" s="130"/>
      <c r="D287" s="130"/>
      <c r="E287" s="130"/>
      <c r="F287" s="188"/>
      <c r="G287" s="130"/>
      <c r="H287" s="130"/>
      <c r="I287" s="130"/>
      <c r="J287" s="130"/>
      <c r="K287" s="130"/>
      <c r="L287" s="130"/>
      <c r="M287" s="130"/>
      <c r="N287" s="130"/>
      <c r="O287" s="130"/>
      <c r="P287" s="130"/>
      <c r="Q287" s="130"/>
      <c r="R287" s="130"/>
    </row>
    <row r="288">
      <c r="A288" s="130"/>
      <c r="B288" s="130"/>
      <c r="C288" s="130"/>
      <c r="D288" s="130"/>
      <c r="E288" s="130"/>
      <c r="F288" s="188"/>
      <c r="G288" s="130"/>
      <c r="H288" s="130"/>
      <c r="I288" s="130"/>
      <c r="J288" s="130"/>
      <c r="K288" s="130"/>
      <c r="L288" s="130"/>
      <c r="M288" s="130"/>
      <c r="N288" s="130"/>
      <c r="O288" s="130"/>
      <c r="P288" s="130"/>
      <c r="Q288" s="130"/>
      <c r="R288" s="130"/>
    </row>
    <row r="289">
      <c r="A289" s="130"/>
      <c r="B289" s="130"/>
      <c r="C289" s="130"/>
      <c r="D289" s="130"/>
      <c r="E289" s="130"/>
      <c r="F289" s="188"/>
      <c r="G289" s="130"/>
      <c r="H289" s="130"/>
      <c r="I289" s="130"/>
      <c r="J289" s="130"/>
      <c r="K289" s="130"/>
      <c r="L289" s="130"/>
      <c r="M289" s="130"/>
      <c r="N289" s="130"/>
      <c r="O289" s="130"/>
      <c r="P289" s="130"/>
      <c r="Q289" s="130"/>
      <c r="R289" s="130"/>
    </row>
    <row r="290">
      <c r="A290" s="130"/>
      <c r="B290" s="130"/>
      <c r="C290" s="130"/>
      <c r="D290" s="130"/>
      <c r="E290" s="130"/>
      <c r="F290" s="188"/>
      <c r="G290" s="130"/>
      <c r="H290" s="130"/>
      <c r="I290" s="130"/>
      <c r="J290" s="130"/>
      <c r="K290" s="130"/>
      <c r="L290" s="130"/>
      <c r="M290" s="130"/>
      <c r="N290" s="130"/>
      <c r="O290" s="130"/>
      <c r="P290" s="130"/>
      <c r="Q290" s="130"/>
      <c r="R290" s="130"/>
    </row>
    <row r="291">
      <c r="A291" s="130"/>
      <c r="B291" s="130"/>
      <c r="C291" s="130"/>
      <c r="D291" s="130"/>
      <c r="E291" s="130"/>
      <c r="F291" s="188"/>
      <c r="G291" s="130"/>
      <c r="H291" s="130"/>
      <c r="I291" s="130"/>
      <c r="J291" s="130"/>
      <c r="K291" s="130"/>
      <c r="L291" s="130"/>
      <c r="M291" s="130"/>
      <c r="N291" s="130"/>
      <c r="O291" s="130"/>
      <c r="P291" s="130"/>
      <c r="Q291" s="130"/>
      <c r="R291" s="130"/>
    </row>
    <row r="292">
      <c r="A292" s="130"/>
      <c r="B292" s="130"/>
      <c r="C292" s="130"/>
      <c r="D292" s="130"/>
      <c r="E292" s="130"/>
      <c r="F292" s="188"/>
      <c r="G292" s="130"/>
      <c r="H292" s="130"/>
      <c r="I292" s="130"/>
      <c r="J292" s="130"/>
      <c r="K292" s="130"/>
      <c r="L292" s="130"/>
      <c r="M292" s="130"/>
      <c r="N292" s="130"/>
      <c r="O292" s="130"/>
      <c r="P292" s="130"/>
      <c r="Q292" s="130"/>
      <c r="R292" s="130"/>
    </row>
    <row r="293">
      <c r="A293" s="130"/>
      <c r="B293" s="130"/>
      <c r="C293" s="130"/>
      <c r="D293" s="130"/>
      <c r="E293" s="130"/>
      <c r="F293" s="188"/>
      <c r="G293" s="130"/>
      <c r="H293" s="130"/>
      <c r="I293" s="130"/>
      <c r="J293" s="130"/>
      <c r="K293" s="130"/>
      <c r="L293" s="130"/>
      <c r="M293" s="130"/>
      <c r="N293" s="130"/>
      <c r="O293" s="130"/>
      <c r="P293" s="130"/>
      <c r="Q293" s="130"/>
      <c r="R293" s="130"/>
    </row>
    <row r="294">
      <c r="A294" s="130"/>
      <c r="B294" s="130"/>
      <c r="C294" s="130"/>
      <c r="D294" s="130"/>
      <c r="E294" s="130"/>
      <c r="F294" s="188"/>
      <c r="G294" s="130"/>
      <c r="H294" s="130"/>
      <c r="I294" s="130"/>
      <c r="J294" s="130"/>
      <c r="K294" s="130"/>
      <c r="L294" s="130"/>
      <c r="M294" s="130"/>
      <c r="N294" s="130"/>
      <c r="O294" s="130"/>
      <c r="P294" s="130"/>
      <c r="Q294" s="130"/>
      <c r="R294" s="130"/>
    </row>
    <row r="295">
      <c r="A295" s="130"/>
      <c r="B295" s="130"/>
      <c r="C295" s="130"/>
      <c r="D295" s="130"/>
      <c r="E295" s="130"/>
      <c r="F295" s="188"/>
      <c r="G295" s="130"/>
      <c r="H295" s="130"/>
      <c r="I295" s="130"/>
      <c r="J295" s="130"/>
      <c r="K295" s="130"/>
      <c r="L295" s="130"/>
      <c r="M295" s="130"/>
      <c r="N295" s="130"/>
      <c r="O295" s="130"/>
      <c r="P295" s="130"/>
      <c r="Q295" s="130"/>
      <c r="R295" s="130"/>
    </row>
    <row r="296">
      <c r="A296" s="130"/>
      <c r="B296" s="130"/>
      <c r="C296" s="130"/>
      <c r="D296" s="130"/>
      <c r="E296" s="130"/>
      <c r="F296" s="188"/>
      <c r="G296" s="130"/>
      <c r="H296" s="130"/>
      <c r="I296" s="130"/>
      <c r="J296" s="130"/>
      <c r="K296" s="130"/>
      <c r="L296" s="130"/>
      <c r="M296" s="130"/>
      <c r="N296" s="130"/>
      <c r="O296" s="130"/>
      <c r="P296" s="130"/>
      <c r="Q296" s="130"/>
      <c r="R296" s="130"/>
    </row>
    <row r="297">
      <c r="A297" s="130"/>
      <c r="B297" s="130"/>
      <c r="C297" s="130"/>
      <c r="D297" s="130"/>
      <c r="E297" s="130"/>
      <c r="F297" s="188"/>
      <c r="G297" s="130"/>
      <c r="H297" s="130"/>
      <c r="I297" s="130"/>
      <c r="J297" s="130"/>
      <c r="K297" s="130"/>
      <c r="L297" s="130"/>
      <c r="M297" s="130"/>
      <c r="N297" s="130"/>
      <c r="O297" s="130"/>
      <c r="P297" s="130"/>
      <c r="Q297" s="130"/>
      <c r="R297" s="130"/>
    </row>
    <row r="298">
      <c r="A298" s="130"/>
      <c r="B298" s="130"/>
      <c r="C298" s="130"/>
      <c r="D298" s="130"/>
      <c r="E298" s="130"/>
      <c r="F298" s="188"/>
      <c r="G298" s="130"/>
      <c r="H298" s="130"/>
      <c r="I298" s="130"/>
      <c r="J298" s="130"/>
      <c r="K298" s="130"/>
      <c r="L298" s="130"/>
      <c r="M298" s="130"/>
      <c r="N298" s="130"/>
      <c r="O298" s="130"/>
      <c r="P298" s="130"/>
      <c r="Q298" s="130"/>
      <c r="R298" s="130"/>
    </row>
    <row r="299">
      <c r="A299" s="130"/>
      <c r="B299" s="130"/>
      <c r="C299" s="130"/>
      <c r="D299" s="130"/>
      <c r="E299" s="130"/>
      <c r="F299" s="188"/>
      <c r="G299" s="130"/>
      <c r="H299" s="130"/>
      <c r="I299" s="130"/>
      <c r="J299" s="130"/>
      <c r="K299" s="130"/>
      <c r="L299" s="130"/>
      <c r="M299" s="130"/>
      <c r="N299" s="130"/>
      <c r="O299" s="130"/>
      <c r="P299" s="130"/>
      <c r="Q299" s="130"/>
      <c r="R299" s="130"/>
    </row>
    <row r="300">
      <c r="A300" s="130"/>
      <c r="B300" s="130"/>
      <c r="C300" s="130"/>
      <c r="D300" s="130"/>
      <c r="E300" s="130"/>
      <c r="F300" s="188"/>
      <c r="G300" s="130"/>
      <c r="H300" s="130"/>
      <c r="I300" s="130"/>
      <c r="J300" s="130"/>
      <c r="K300" s="130"/>
      <c r="L300" s="130"/>
      <c r="M300" s="130"/>
      <c r="N300" s="130"/>
      <c r="O300" s="130"/>
      <c r="P300" s="130"/>
      <c r="Q300" s="130"/>
      <c r="R300" s="130"/>
    </row>
    <row r="301">
      <c r="A301" s="130"/>
      <c r="B301" s="130"/>
      <c r="C301" s="130"/>
      <c r="D301" s="130"/>
      <c r="E301" s="130"/>
      <c r="F301" s="188"/>
      <c r="G301" s="130"/>
      <c r="H301" s="130"/>
      <c r="I301" s="130"/>
      <c r="J301" s="130"/>
      <c r="K301" s="130"/>
      <c r="L301" s="130"/>
      <c r="M301" s="130"/>
      <c r="N301" s="130"/>
      <c r="O301" s="130"/>
      <c r="P301" s="130"/>
      <c r="Q301" s="130"/>
      <c r="R301" s="130"/>
    </row>
    <row r="302">
      <c r="A302" s="130"/>
      <c r="B302" s="130"/>
      <c r="C302" s="130"/>
      <c r="D302" s="130"/>
      <c r="E302" s="130"/>
      <c r="F302" s="188"/>
      <c r="G302" s="130"/>
      <c r="H302" s="130"/>
      <c r="I302" s="130"/>
      <c r="J302" s="130"/>
      <c r="K302" s="130"/>
      <c r="L302" s="130"/>
      <c r="M302" s="130"/>
      <c r="N302" s="130"/>
      <c r="O302" s="130"/>
      <c r="P302" s="130"/>
      <c r="Q302" s="130"/>
      <c r="R302" s="130"/>
    </row>
    <row r="303">
      <c r="A303" s="130"/>
      <c r="B303" s="130"/>
      <c r="C303" s="130"/>
      <c r="D303" s="130"/>
      <c r="E303" s="130"/>
      <c r="F303" s="188"/>
      <c r="G303" s="130"/>
      <c r="H303" s="130"/>
      <c r="I303" s="130"/>
      <c r="J303" s="130"/>
      <c r="K303" s="130"/>
      <c r="L303" s="130"/>
      <c r="M303" s="130"/>
      <c r="N303" s="130"/>
      <c r="O303" s="130"/>
      <c r="P303" s="130"/>
      <c r="Q303" s="130"/>
      <c r="R303" s="130"/>
    </row>
    <row r="304">
      <c r="A304" s="130"/>
      <c r="B304" s="130"/>
      <c r="C304" s="130"/>
      <c r="D304" s="130"/>
      <c r="E304" s="130"/>
      <c r="F304" s="188"/>
      <c r="G304" s="130"/>
      <c r="H304" s="130"/>
      <c r="I304" s="130"/>
      <c r="J304" s="130"/>
      <c r="K304" s="130"/>
      <c r="L304" s="130"/>
      <c r="M304" s="130"/>
      <c r="N304" s="130"/>
      <c r="O304" s="130"/>
      <c r="P304" s="130"/>
      <c r="Q304" s="130"/>
      <c r="R304" s="130"/>
    </row>
    <row r="305">
      <c r="A305" s="130"/>
      <c r="B305" s="130"/>
      <c r="C305" s="130"/>
      <c r="D305" s="130"/>
      <c r="E305" s="130"/>
      <c r="F305" s="188"/>
      <c r="G305" s="130"/>
      <c r="H305" s="130"/>
      <c r="I305" s="130"/>
      <c r="J305" s="130"/>
      <c r="K305" s="130"/>
      <c r="L305" s="130"/>
      <c r="M305" s="130"/>
      <c r="N305" s="130"/>
      <c r="O305" s="130"/>
      <c r="P305" s="130"/>
      <c r="Q305" s="130"/>
      <c r="R305" s="130"/>
    </row>
    <row r="306">
      <c r="A306" s="130"/>
      <c r="B306" s="130"/>
      <c r="C306" s="130"/>
      <c r="D306" s="130"/>
      <c r="E306" s="130"/>
      <c r="F306" s="188"/>
      <c r="G306" s="130"/>
      <c r="H306" s="130"/>
      <c r="I306" s="130"/>
      <c r="J306" s="130"/>
      <c r="K306" s="130"/>
      <c r="L306" s="130"/>
      <c r="M306" s="130"/>
      <c r="N306" s="130"/>
      <c r="O306" s="130"/>
      <c r="P306" s="130"/>
      <c r="Q306" s="130"/>
      <c r="R306" s="130"/>
    </row>
    <row r="307">
      <c r="A307" s="130"/>
      <c r="B307" s="130"/>
      <c r="C307" s="130"/>
      <c r="D307" s="130"/>
      <c r="E307" s="130"/>
      <c r="F307" s="188"/>
      <c r="G307" s="130"/>
      <c r="H307" s="130"/>
      <c r="I307" s="130"/>
      <c r="J307" s="130"/>
      <c r="K307" s="130"/>
      <c r="L307" s="130"/>
      <c r="M307" s="130"/>
      <c r="N307" s="130"/>
      <c r="O307" s="130"/>
      <c r="P307" s="130"/>
      <c r="Q307" s="130"/>
      <c r="R307" s="130"/>
    </row>
    <row r="308">
      <c r="A308" s="130"/>
      <c r="B308" s="130"/>
      <c r="C308" s="130"/>
      <c r="D308" s="130"/>
      <c r="E308" s="130"/>
      <c r="F308" s="188"/>
      <c r="G308" s="130"/>
      <c r="H308" s="130"/>
      <c r="I308" s="130"/>
      <c r="J308" s="130"/>
      <c r="K308" s="130"/>
      <c r="L308" s="130"/>
      <c r="M308" s="130"/>
      <c r="N308" s="130"/>
      <c r="O308" s="130"/>
      <c r="P308" s="130"/>
      <c r="Q308" s="130"/>
      <c r="R308" s="130"/>
    </row>
    <row r="309">
      <c r="A309" s="130"/>
      <c r="B309" s="130"/>
      <c r="C309" s="130"/>
      <c r="D309" s="130"/>
      <c r="E309" s="130"/>
      <c r="F309" s="188"/>
      <c r="G309" s="130"/>
      <c r="H309" s="130"/>
      <c r="I309" s="130"/>
      <c r="J309" s="130"/>
      <c r="K309" s="130"/>
      <c r="L309" s="130"/>
      <c r="M309" s="130"/>
      <c r="N309" s="130"/>
      <c r="O309" s="130"/>
      <c r="P309" s="130"/>
      <c r="Q309" s="130"/>
      <c r="R309" s="130"/>
    </row>
    <row r="310">
      <c r="A310" s="130"/>
      <c r="B310" s="130"/>
      <c r="C310" s="130"/>
      <c r="D310" s="130"/>
      <c r="E310" s="130"/>
      <c r="F310" s="188"/>
      <c r="G310" s="130"/>
      <c r="H310" s="130"/>
      <c r="I310" s="130"/>
      <c r="J310" s="130"/>
      <c r="K310" s="130"/>
      <c r="L310" s="130"/>
      <c r="M310" s="130"/>
      <c r="N310" s="130"/>
      <c r="O310" s="130"/>
      <c r="P310" s="130"/>
      <c r="Q310" s="130"/>
      <c r="R310" s="130"/>
    </row>
    <row r="311">
      <c r="A311" s="130"/>
      <c r="B311" s="130"/>
      <c r="C311" s="130"/>
      <c r="D311" s="130"/>
      <c r="E311" s="130"/>
      <c r="F311" s="188"/>
      <c r="G311" s="130"/>
      <c r="H311" s="130"/>
      <c r="I311" s="130"/>
      <c r="J311" s="130"/>
      <c r="K311" s="130"/>
      <c r="L311" s="130"/>
      <c r="M311" s="130"/>
      <c r="N311" s="130"/>
      <c r="O311" s="130"/>
      <c r="P311" s="130"/>
      <c r="Q311" s="130"/>
      <c r="R311" s="130"/>
    </row>
    <row r="312">
      <c r="A312" s="130"/>
      <c r="B312" s="130"/>
      <c r="C312" s="130"/>
      <c r="D312" s="130"/>
      <c r="E312" s="130"/>
      <c r="F312" s="188"/>
      <c r="G312" s="130"/>
      <c r="H312" s="130"/>
      <c r="I312" s="130"/>
      <c r="J312" s="130"/>
      <c r="K312" s="130"/>
      <c r="L312" s="130"/>
      <c r="M312" s="130"/>
      <c r="N312" s="130"/>
      <c r="O312" s="130"/>
      <c r="P312" s="130"/>
      <c r="Q312" s="130"/>
      <c r="R312" s="130"/>
    </row>
    <row r="313">
      <c r="A313" s="130"/>
      <c r="B313" s="130"/>
      <c r="C313" s="130"/>
      <c r="D313" s="130"/>
      <c r="E313" s="130"/>
      <c r="F313" s="188"/>
      <c r="G313" s="130"/>
      <c r="H313" s="130"/>
      <c r="I313" s="130"/>
      <c r="J313" s="130"/>
      <c r="K313" s="130"/>
      <c r="L313" s="130"/>
      <c r="M313" s="130"/>
      <c r="N313" s="130"/>
      <c r="O313" s="130"/>
      <c r="P313" s="130"/>
      <c r="Q313" s="130"/>
      <c r="R313" s="130"/>
    </row>
    <row r="314">
      <c r="A314" s="130"/>
      <c r="B314" s="130"/>
      <c r="C314" s="130"/>
      <c r="D314" s="130"/>
      <c r="E314" s="130"/>
      <c r="F314" s="188"/>
      <c r="G314" s="130"/>
      <c r="H314" s="130"/>
      <c r="I314" s="130"/>
      <c r="J314" s="130"/>
      <c r="K314" s="130"/>
      <c r="L314" s="130"/>
      <c r="M314" s="130"/>
      <c r="N314" s="130"/>
      <c r="O314" s="130"/>
      <c r="P314" s="130"/>
      <c r="Q314" s="130"/>
      <c r="R314" s="130"/>
    </row>
    <row r="315">
      <c r="A315" s="130"/>
      <c r="B315" s="130"/>
      <c r="C315" s="130"/>
      <c r="D315" s="130"/>
      <c r="E315" s="130"/>
      <c r="F315" s="188"/>
      <c r="G315" s="130"/>
      <c r="H315" s="130"/>
      <c r="I315" s="130"/>
      <c r="J315" s="130"/>
      <c r="K315" s="130"/>
      <c r="L315" s="130"/>
      <c r="M315" s="130"/>
      <c r="N315" s="130"/>
      <c r="O315" s="130"/>
      <c r="P315" s="130"/>
      <c r="Q315" s="130"/>
      <c r="R315" s="130"/>
    </row>
    <row r="316">
      <c r="A316" s="130"/>
      <c r="B316" s="130"/>
      <c r="C316" s="130"/>
      <c r="D316" s="130"/>
      <c r="E316" s="130"/>
      <c r="F316" s="188"/>
      <c r="G316" s="130"/>
      <c r="H316" s="130"/>
      <c r="I316" s="130"/>
      <c r="J316" s="130"/>
      <c r="K316" s="130"/>
      <c r="L316" s="130"/>
      <c r="M316" s="130"/>
      <c r="N316" s="130"/>
      <c r="O316" s="130"/>
      <c r="P316" s="130"/>
      <c r="Q316" s="130"/>
      <c r="R316" s="130"/>
    </row>
    <row r="317">
      <c r="A317" s="130"/>
      <c r="B317" s="130"/>
      <c r="C317" s="130"/>
      <c r="D317" s="130"/>
      <c r="E317" s="130"/>
      <c r="F317" s="188"/>
      <c r="G317" s="130"/>
      <c r="H317" s="130"/>
      <c r="I317" s="130"/>
      <c r="J317" s="130"/>
      <c r="K317" s="130"/>
      <c r="L317" s="130"/>
      <c r="M317" s="130"/>
      <c r="N317" s="130"/>
      <c r="O317" s="130"/>
      <c r="P317" s="130"/>
      <c r="Q317" s="130"/>
      <c r="R317" s="130"/>
    </row>
    <row r="318">
      <c r="A318" s="130"/>
      <c r="B318" s="130"/>
      <c r="C318" s="130"/>
      <c r="D318" s="130"/>
      <c r="E318" s="130"/>
      <c r="F318" s="188"/>
      <c r="G318" s="130"/>
      <c r="H318" s="130"/>
      <c r="I318" s="130"/>
      <c r="J318" s="130"/>
      <c r="K318" s="130"/>
      <c r="L318" s="130"/>
      <c r="M318" s="130"/>
      <c r="N318" s="130"/>
      <c r="O318" s="130"/>
      <c r="P318" s="130"/>
      <c r="Q318" s="130"/>
      <c r="R318" s="130"/>
    </row>
    <row r="319">
      <c r="A319" s="130"/>
      <c r="B319" s="130"/>
      <c r="C319" s="130"/>
      <c r="D319" s="130"/>
      <c r="E319" s="130"/>
      <c r="F319" s="188"/>
      <c r="G319" s="130"/>
      <c r="H319" s="130"/>
      <c r="I319" s="130"/>
      <c r="J319" s="130"/>
      <c r="K319" s="130"/>
      <c r="L319" s="130"/>
      <c r="M319" s="130"/>
      <c r="N319" s="130"/>
      <c r="O319" s="130"/>
      <c r="P319" s="130"/>
      <c r="Q319" s="130"/>
      <c r="R319" s="130"/>
    </row>
    <row r="320">
      <c r="A320" s="130"/>
      <c r="B320" s="130"/>
      <c r="C320" s="130"/>
      <c r="D320" s="130"/>
      <c r="E320" s="130"/>
      <c r="F320" s="188"/>
      <c r="G320" s="130"/>
      <c r="H320" s="130"/>
      <c r="I320" s="130"/>
      <c r="J320" s="130"/>
      <c r="K320" s="130"/>
      <c r="L320" s="130"/>
      <c r="M320" s="130"/>
      <c r="N320" s="130"/>
      <c r="O320" s="130"/>
      <c r="P320" s="130"/>
      <c r="Q320" s="130"/>
      <c r="R320" s="130"/>
    </row>
    <row r="321">
      <c r="A321" s="130"/>
      <c r="B321" s="130"/>
      <c r="C321" s="130"/>
      <c r="D321" s="130"/>
      <c r="E321" s="130"/>
      <c r="F321" s="188"/>
      <c r="G321" s="130"/>
      <c r="H321" s="130"/>
      <c r="I321" s="130"/>
      <c r="J321" s="130"/>
      <c r="K321" s="130"/>
      <c r="L321" s="130"/>
      <c r="M321" s="130"/>
      <c r="N321" s="130"/>
      <c r="O321" s="130"/>
      <c r="P321" s="130"/>
      <c r="Q321" s="130"/>
      <c r="R321" s="130"/>
    </row>
    <row r="322">
      <c r="A322" s="130"/>
      <c r="B322" s="130"/>
      <c r="C322" s="130"/>
      <c r="D322" s="130"/>
      <c r="E322" s="130"/>
      <c r="F322" s="188"/>
      <c r="G322" s="130"/>
      <c r="H322" s="130"/>
      <c r="I322" s="130"/>
      <c r="J322" s="130"/>
      <c r="K322" s="130"/>
      <c r="L322" s="130"/>
      <c r="M322" s="130"/>
      <c r="N322" s="130"/>
      <c r="O322" s="130"/>
      <c r="P322" s="130"/>
      <c r="Q322" s="130"/>
      <c r="R322" s="130"/>
    </row>
    <row r="323">
      <c r="A323" s="130"/>
      <c r="B323" s="130"/>
      <c r="C323" s="130"/>
      <c r="D323" s="130"/>
      <c r="E323" s="130"/>
      <c r="F323" s="188"/>
      <c r="G323" s="130"/>
      <c r="H323" s="130"/>
      <c r="I323" s="130"/>
      <c r="J323" s="130"/>
      <c r="K323" s="130"/>
      <c r="L323" s="130"/>
      <c r="M323" s="130"/>
      <c r="N323" s="130"/>
      <c r="O323" s="130"/>
      <c r="P323" s="130"/>
      <c r="Q323" s="130"/>
      <c r="R323" s="130"/>
    </row>
    <row r="324">
      <c r="A324" s="130"/>
      <c r="B324" s="130"/>
      <c r="C324" s="130"/>
      <c r="D324" s="130"/>
      <c r="E324" s="130"/>
      <c r="F324" s="188"/>
      <c r="G324" s="130"/>
      <c r="H324" s="130"/>
      <c r="I324" s="130"/>
      <c r="J324" s="130"/>
      <c r="K324" s="130"/>
      <c r="L324" s="130"/>
      <c r="M324" s="130"/>
      <c r="N324" s="130"/>
      <c r="O324" s="130"/>
      <c r="P324" s="130"/>
      <c r="Q324" s="130"/>
      <c r="R324" s="130"/>
    </row>
    <row r="325">
      <c r="A325" s="130"/>
      <c r="B325" s="130"/>
      <c r="C325" s="130"/>
      <c r="D325" s="130"/>
      <c r="E325" s="130"/>
      <c r="F325" s="188"/>
      <c r="G325" s="130"/>
      <c r="H325" s="130"/>
      <c r="I325" s="130"/>
      <c r="J325" s="130"/>
      <c r="K325" s="130"/>
      <c r="L325" s="130"/>
      <c r="M325" s="130"/>
      <c r="N325" s="130"/>
      <c r="O325" s="130"/>
      <c r="P325" s="130"/>
      <c r="Q325" s="130"/>
      <c r="R325" s="130"/>
    </row>
    <row r="326">
      <c r="A326" s="130"/>
      <c r="B326" s="130"/>
      <c r="C326" s="130"/>
      <c r="D326" s="130"/>
      <c r="E326" s="130"/>
      <c r="F326" s="188"/>
      <c r="G326" s="130"/>
      <c r="H326" s="130"/>
      <c r="I326" s="130"/>
      <c r="J326" s="130"/>
      <c r="K326" s="130"/>
      <c r="L326" s="130"/>
      <c r="M326" s="130"/>
      <c r="N326" s="130"/>
      <c r="O326" s="130"/>
      <c r="P326" s="130"/>
      <c r="Q326" s="130"/>
      <c r="R326" s="130"/>
    </row>
    <row r="327">
      <c r="A327" s="130"/>
      <c r="B327" s="130"/>
      <c r="C327" s="130"/>
      <c r="D327" s="130"/>
      <c r="E327" s="130"/>
      <c r="F327" s="188"/>
      <c r="G327" s="130"/>
      <c r="H327" s="130"/>
      <c r="I327" s="130"/>
      <c r="J327" s="130"/>
      <c r="K327" s="130"/>
      <c r="L327" s="130"/>
      <c r="M327" s="130"/>
      <c r="N327" s="130"/>
      <c r="O327" s="130"/>
      <c r="P327" s="130"/>
      <c r="Q327" s="130"/>
      <c r="R327" s="130"/>
    </row>
    <row r="328">
      <c r="A328" s="130"/>
      <c r="B328" s="130"/>
      <c r="C328" s="130"/>
      <c r="D328" s="130"/>
      <c r="E328" s="130"/>
      <c r="F328" s="188"/>
      <c r="G328" s="130"/>
      <c r="H328" s="130"/>
      <c r="I328" s="130"/>
      <c r="J328" s="130"/>
      <c r="K328" s="130"/>
      <c r="L328" s="130"/>
      <c r="M328" s="130"/>
      <c r="N328" s="130"/>
      <c r="O328" s="130"/>
      <c r="P328" s="130"/>
      <c r="Q328" s="130"/>
      <c r="R328" s="130"/>
    </row>
    <row r="329">
      <c r="A329" s="130"/>
      <c r="B329" s="130"/>
      <c r="C329" s="130"/>
      <c r="D329" s="130"/>
      <c r="E329" s="130"/>
      <c r="F329" s="188"/>
      <c r="G329" s="130"/>
      <c r="H329" s="130"/>
      <c r="I329" s="130"/>
      <c r="J329" s="130"/>
      <c r="K329" s="130"/>
      <c r="L329" s="130"/>
      <c r="M329" s="130"/>
      <c r="N329" s="130"/>
      <c r="O329" s="130"/>
      <c r="P329" s="130"/>
      <c r="Q329" s="130"/>
      <c r="R329" s="130"/>
    </row>
    <row r="330">
      <c r="A330" s="130"/>
      <c r="B330" s="130"/>
      <c r="C330" s="130"/>
      <c r="D330" s="130"/>
      <c r="E330" s="130"/>
      <c r="F330" s="188"/>
      <c r="G330" s="130"/>
      <c r="H330" s="130"/>
      <c r="I330" s="130"/>
      <c r="J330" s="130"/>
      <c r="K330" s="130"/>
      <c r="L330" s="130"/>
      <c r="M330" s="130"/>
      <c r="N330" s="130"/>
      <c r="O330" s="130"/>
      <c r="P330" s="130"/>
      <c r="Q330" s="130"/>
      <c r="R330" s="130"/>
    </row>
    <row r="331">
      <c r="A331" s="130"/>
      <c r="B331" s="130"/>
      <c r="C331" s="130"/>
      <c r="D331" s="130"/>
      <c r="E331" s="130"/>
      <c r="F331" s="188"/>
      <c r="G331" s="130"/>
      <c r="H331" s="130"/>
      <c r="I331" s="130"/>
      <c r="J331" s="130"/>
      <c r="K331" s="130"/>
      <c r="L331" s="130"/>
      <c r="M331" s="130"/>
      <c r="N331" s="130"/>
      <c r="O331" s="130"/>
      <c r="P331" s="130"/>
      <c r="Q331" s="130"/>
      <c r="R331" s="130"/>
    </row>
    <row r="332">
      <c r="A332" s="130"/>
      <c r="B332" s="130"/>
      <c r="C332" s="130"/>
      <c r="D332" s="130"/>
      <c r="E332" s="130"/>
      <c r="F332" s="188"/>
      <c r="G332" s="130"/>
      <c r="H332" s="130"/>
      <c r="I332" s="130"/>
      <c r="J332" s="130"/>
      <c r="K332" s="130"/>
      <c r="L332" s="130"/>
      <c r="M332" s="130"/>
      <c r="N332" s="130"/>
      <c r="O332" s="130"/>
      <c r="P332" s="130"/>
      <c r="Q332" s="130"/>
      <c r="R332" s="130"/>
    </row>
    <row r="333">
      <c r="A333" s="130"/>
      <c r="B333" s="130"/>
      <c r="C333" s="130"/>
      <c r="D333" s="130"/>
      <c r="E333" s="130"/>
      <c r="F333" s="188"/>
      <c r="G333" s="130"/>
      <c r="H333" s="130"/>
      <c r="I333" s="130"/>
      <c r="J333" s="130"/>
      <c r="K333" s="130"/>
      <c r="L333" s="130"/>
      <c r="M333" s="130"/>
      <c r="N333" s="130"/>
      <c r="O333" s="130"/>
      <c r="P333" s="130"/>
      <c r="Q333" s="130"/>
      <c r="R333" s="130"/>
    </row>
    <row r="334">
      <c r="A334" s="130"/>
      <c r="B334" s="130"/>
      <c r="C334" s="130"/>
      <c r="D334" s="130"/>
      <c r="E334" s="130"/>
      <c r="F334" s="188"/>
      <c r="G334" s="130"/>
      <c r="H334" s="130"/>
      <c r="I334" s="130"/>
      <c r="J334" s="130"/>
      <c r="K334" s="130"/>
      <c r="L334" s="130"/>
      <c r="M334" s="130"/>
      <c r="N334" s="130"/>
      <c r="O334" s="130"/>
      <c r="P334" s="130"/>
      <c r="Q334" s="130"/>
      <c r="R334" s="130"/>
    </row>
    <row r="335">
      <c r="A335" s="130"/>
      <c r="B335" s="130"/>
      <c r="C335" s="130"/>
      <c r="D335" s="130"/>
      <c r="E335" s="130"/>
      <c r="F335" s="188"/>
      <c r="G335" s="130"/>
      <c r="H335" s="130"/>
      <c r="I335" s="130"/>
      <c r="J335" s="130"/>
      <c r="K335" s="130"/>
      <c r="L335" s="130"/>
      <c r="M335" s="130"/>
      <c r="N335" s="130"/>
      <c r="O335" s="130"/>
      <c r="P335" s="130"/>
      <c r="Q335" s="130"/>
      <c r="R335" s="130"/>
    </row>
    <row r="336">
      <c r="A336" s="130"/>
      <c r="B336" s="130"/>
      <c r="C336" s="130"/>
      <c r="D336" s="130"/>
      <c r="E336" s="130"/>
      <c r="F336" s="188"/>
      <c r="G336" s="130"/>
      <c r="H336" s="130"/>
      <c r="I336" s="130"/>
      <c r="J336" s="130"/>
      <c r="K336" s="130"/>
      <c r="L336" s="130"/>
      <c r="M336" s="130"/>
      <c r="N336" s="130"/>
      <c r="O336" s="130"/>
      <c r="P336" s="130"/>
      <c r="Q336" s="130"/>
      <c r="R336" s="130"/>
    </row>
    <row r="337">
      <c r="A337" s="130"/>
      <c r="B337" s="130"/>
      <c r="C337" s="130"/>
      <c r="D337" s="130"/>
      <c r="E337" s="130"/>
      <c r="F337" s="188"/>
      <c r="G337" s="130"/>
      <c r="H337" s="130"/>
      <c r="I337" s="130"/>
      <c r="J337" s="130"/>
      <c r="K337" s="130"/>
      <c r="L337" s="130"/>
      <c r="M337" s="130"/>
      <c r="N337" s="130"/>
      <c r="O337" s="130"/>
      <c r="P337" s="130"/>
      <c r="Q337" s="130"/>
      <c r="R337" s="130"/>
    </row>
    <row r="338">
      <c r="A338" s="130"/>
      <c r="B338" s="130"/>
      <c r="C338" s="130"/>
      <c r="D338" s="130"/>
      <c r="E338" s="130"/>
      <c r="F338" s="188"/>
      <c r="G338" s="130"/>
      <c r="H338" s="130"/>
      <c r="I338" s="130"/>
      <c r="J338" s="130"/>
      <c r="K338" s="130"/>
      <c r="L338" s="130"/>
      <c r="M338" s="130"/>
      <c r="N338" s="130"/>
      <c r="O338" s="130"/>
      <c r="P338" s="130"/>
      <c r="Q338" s="130"/>
      <c r="R338" s="130"/>
    </row>
    <row r="339">
      <c r="A339" s="130"/>
      <c r="B339" s="130"/>
      <c r="C339" s="130"/>
      <c r="D339" s="130"/>
      <c r="E339" s="130"/>
      <c r="F339" s="188"/>
      <c r="G339" s="130"/>
      <c r="H339" s="130"/>
      <c r="I339" s="130"/>
      <c r="J339" s="130"/>
      <c r="K339" s="130"/>
      <c r="L339" s="130"/>
      <c r="M339" s="130"/>
      <c r="N339" s="130"/>
      <c r="O339" s="130"/>
      <c r="P339" s="130"/>
      <c r="Q339" s="130"/>
      <c r="R339" s="130"/>
    </row>
    <row r="340">
      <c r="A340" s="130"/>
      <c r="B340" s="130"/>
      <c r="C340" s="130"/>
      <c r="D340" s="130"/>
      <c r="E340" s="130"/>
      <c r="F340" s="188"/>
      <c r="G340" s="130"/>
      <c r="H340" s="130"/>
      <c r="I340" s="130"/>
      <c r="J340" s="130"/>
      <c r="K340" s="130"/>
      <c r="L340" s="130"/>
      <c r="M340" s="130"/>
      <c r="N340" s="130"/>
      <c r="O340" s="130"/>
      <c r="P340" s="130"/>
      <c r="Q340" s="130"/>
      <c r="R340" s="130"/>
    </row>
    <row r="341">
      <c r="A341" s="130"/>
      <c r="B341" s="130"/>
      <c r="C341" s="130"/>
      <c r="D341" s="130"/>
      <c r="E341" s="130"/>
      <c r="F341" s="188"/>
      <c r="G341" s="130"/>
      <c r="H341" s="130"/>
      <c r="I341" s="130"/>
      <c r="J341" s="130"/>
      <c r="K341" s="130"/>
      <c r="L341" s="130"/>
      <c r="M341" s="130"/>
      <c r="N341" s="130"/>
      <c r="O341" s="130"/>
      <c r="P341" s="130"/>
      <c r="Q341" s="130"/>
      <c r="R341" s="130"/>
    </row>
    <row r="342">
      <c r="A342" s="130"/>
      <c r="B342" s="130"/>
      <c r="C342" s="130"/>
      <c r="D342" s="130"/>
      <c r="E342" s="130"/>
      <c r="F342" s="188"/>
      <c r="G342" s="130"/>
      <c r="H342" s="130"/>
      <c r="I342" s="130"/>
      <c r="J342" s="130"/>
      <c r="K342" s="130"/>
      <c r="L342" s="130"/>
      <c r="M342" s="130"/>
      <c r="N342" s="130"/>
      <c r="O342" s="130"/>
      <c r="P342" s="130"/>
      <c r="Q342" s="130"/>
      <c r="R342" s="130"/>
    </row>
    <row r="343">
      <c r="A343" s="130"/>
      <c r="B343" s="130"/>
      <c r="C343" s="130"/>
      <c r="D343" s="130"/>
      <c r="E343" s="130"/>
      <c r="F343" s="188"/>
      <c r="G343" s="130"/>
      <c r="H343" s="130"/>
      <c r="I343" s="130"/>
      <c r="J343" s="130"/>
      <c r="K343" s="130"/>
      <c r="L343" s="130"/>
      <c r="M343" s="130"/>
      <c r="N343" s="130"/>
      <c r="O343" s="130"/>
      <c r="P343" s="130"/>
      <c r="Q343" s="130"/>
      <c r="R343" s="130"/>
    </row>
    <row r="344">
      <c r="A344" s="130"/>
      <c r="B344" s="130"/>
      <c r="C344" s="130"/>
      <c r="D344" s="130"/>
      <c r="E344" s="130"/>
      <c r="F344" s="188"/>
      <c r="G344" s="130"/>
      <c r="H344" s="130"/>
      <c r="I344" s="130"/>
      <c r="J344" s="130"/>
      <c r="K344" s="130"/>
      <c r="L344" s="130"/>
      <c r="M344" s="130"/>
      <c r="N344" s="130"/>
      <c r="O344" s="130"/>
      <c r="P344" s="130"/>
      <c r="Q344" s="130"/>
      <c r="R344" s="130"/>
    </row>
    <row r="345">
      <c r="A345" s="130"/>
      <c r="B345" s="130"/>
      <c r="C345" s="130"/>
      <c r="D345" s="130"/>
      <c r="E345" s="130"/>
      <c r="F345" s="188"/>
      <c r="G345" s="130"/>
      <c r="H345" s="130"/>
      <c r="I345" s="130"/>
      <c r="J345" s="130"/>
      <c r="K345" s="130"/>
      <c r="L345" s="130"/>
      <c r="M345" s="130"/>
      <c r="N345" s="130"/>
      <c r="O345" s="130"/>
      <c r="P345" s="130"/>
      <c r="Q345" s="130"/>
      <c r="R345" s="130"/>
    </row>
    <row r="346">
      <c r="A346" s="130"/>
      <c r="B346" s="130"/>
      <c r="C346" s="130"/>
      <c r="D346" s="130"/>
      <c r="E346" s="130"/>
      <c r="F346" s="188"/>
      <c r="G346" s="130"/>
      <c r="H346" s="130"/>
      <c r="I346" s="130"/>
      <c r="J346" s="130"/>
      <c r="K346" s="130"/>
      <c r="L346" s="130"/>
      <c r="M346" s="130"/>
      <c r="N346" s="130"/>
      <c r="O346" s="130"/>
      <c r="P346" s="130"/>
      <c r="Q346" s="130"/>
      <c r="R346" s="130"/>
    </row>
    <row r="347">
      <c r="A347" s="130"/>
      <c r="B347" s="130"/>
      <c r="C347" s="130"/>
      <c r="D347" s="130"/>
      <c r="E347" s="130"/>
      <c r="F347" s="188"/>
      <c r="G347" s="130"/>
      <c r="H347" s="130"/>
      <c r="I347" s="130"/>
      <c r="J347" s="130"/>
      <c r="K347" s="130"/>
      <c r="L347" s="130"/>
      <c r="M347" s="130"/>
      <c r="N347" s="130"/>
      <c r="O347" s="130"/>
      <c r="P347" s="130"/>
      <c r="Q347" s="130"/>
      <c r="R347" s="130"/>
    </row>
    <row r="348">
      <c r="A348" s="130"/>
      <c r="B348" s="130"/>
      <c r="C348" s="130"/>
      <c r="D348" s="130"/>
      <c r="E348" s="130"/>
      <c r="F348" s="188"/>
      <c r="G348" s="130"/>
      <c r="H348" s="130"/>
      <c r="I348" s="130"/>
      <c r="J348" s="130"/>
      <c r="K348" s="130"/>
      <c r="L348" s="130"/>
      <c r="M348" s="130"/>
      <c r="N348" s="130"/>
      <c r="O348" s="130"/>
      <c r="P348" s="130"/>
      <c r="Q348" s="130"/>
      <c r="R348" s="130"/>
    </row>
    <row r="349">
      <c r="A349" s="130"/>
      <c r="B349" s="130"/>
      <c r="C349" s="130"/>
      <c r="D349" s="130"/>
      <c r="E349" s="130"/>
      <c r="F349" s="188"/>
      <c r="G349" s="130"/>
      <c r="H349" s="130"/>
      <c r="I349" s="130"/>
      <c r="J349" s="130"/>
      <c r="K349" s="130"/>
      <c r="L349" s="130"/>
      <c r="M349" s="130"/>
      <c r="N349" s="130"/>
      <c r="O349" s="130"/>
      <c r="P349" s="130"/>
      <c r="Q349" s="130"/>
      <c r="R349" s="130"/>
    </row>
    <row r="350">
      <c r="A350" s="130"/>
      <c r="B350" s="130"/>
      <c r="C350" s="130"/>
      <c r="D350" s="130"/>
      <c r="E350" s="130"/>
      <c r="F350" s="188"/>
      <c r="G350" s="130"/>
      <c r="H350" s="130"/>
      <c r="I350" s="130"/>
      <c r="J350" s="130"/>
      <c r="K350" s="130"/>
      <c r="L350" s="130"/>
      <c r="M350" s="130"/>
      <c r="N350" s="130"/>
      <c r="O350" s="130"/>
      <c r="P350" s="130"/>
      <c r="Q350" s="130"/>
      <c r="R350" s="130"/>
    </row>
    <row r="351">
      <c r="A351" s="130"/>
      <c r="B351" s="130"/>
      <c r="C351" s="130"/>
      <c r="D351" s="130"/>
      <c r="E351" s="130"/>
      <c r="F351" s="188"/>
      <c r="G351" s="130"/>
      <c r="H351" s="130"/>
      <c r="I351" s="130"/>
      <c r="J351" s="130"/>
      <c r="K351" s="130"/>
      <c r="L351" s="130"/>
      <c r="M351" s="130"/>
      <c r="N351" s="130"/>
      <c r="O351" s="130"/>
      <c r="P351" s="130"/>
      <c r="Q351" s="130"/>
      <c r="R351" s="130"/>
    </row>
    <row r="352">
      <c r="A352" s="130"/>
      <c r="B352" s="130"/>
      <c r="C352" s="130"/>
      <c r="D352" s="130"/>
      <c r="E352" s="130"/>
      <c r="F352" s="188"/>
      <c r="G352" s="130"/>
      <c r="H352" s="130"/>
      <c r="I352" s="130"/>
      <c r="J352" s="130"/>
      <c r="K352" s="130"/>
      <c r="L352" s="130"/>
      <c r="M352" s="130"/>
      <c r="N352" s="130"/>
      <c r="O352" s="130"/>
      <c r="P352" s="130"/>
      <c r="Q352" s="130"/>
      <c r="R352" s="130"/>
    </row>
    <row r="353">
      <c r="A353" s="130"/>
      <c r="B353" s="130"/>
      <c r="C353" s="130"/>
      <c r="D353" s="130"/>
      <c r="E353" s="130"/>
      <c r="F353" s="188"/>
      <c r="G353" s="130"/>
      <c r="H353" s="130"/>
      <c r="I353" s="130"/>
      <c r="J353" s="130"/>
      <c r="K353" s="130"/>
      <c r="L353" s="130"/>
      <c r="M353" s="130"/>
      <c r="N353" s="130"/>
      <c r="O353" s="130"/>
      <c r="P353" s="130"/>
      <c r="Q353" s="130"/>
      <c r="R353" s="130"/>
    </row>
    <row r="354">
      <c r="A354" s="130"/>
      <c r="B354" s="130"/>
      <c r="C354" s="130"/>
      <c r="D354" s="130"/>
      <c r="E354" s="130"/>
      <c r="F354" s="188"/>
      <c r="G354" s="130"/>
      <c r="H354" s="130"/>
      <c r="I354" s="130"/>
      <c r="J354" s="130"/>
      <c r="K354" s="130"/>
      <c r="L354" s="130"/>
      <c r="M354" s="130"/>
      <c r="N354" s="130"/>
      <c r="O354" s="130"/>
      <c r="P354" s="130"/>
      <c r="Q354" s="130"/>
      <c r="R354" s="130"/>
    </row>
    <row r="355">
      <c r="A355" s="130"/>
      <c r="B355" s="130"/>
      <c r="C355" s="130"/>
      <c r="D355" s="130"/>
      <c r="E355" s="130"/>
      <c r="F355" s="188"/>
      <c r="G355" s="130"/>
      <c r="H355" s="130"/>
      <c r="I355" s="130"/>
      <c r="J355" s="130"/>
      <c r="K355" s="130"/>
      <c r="L355" s="130"/>
      <c r="M355" s="130"/>
      <c r="N355" s="130"/>
      <c r="O355" s="130"/>
      <c r="P355" s="130"/>
      <c r="Q355" s="130"/>
      <c r="R355" s="130"/>
    </row>
    <row r="356">
      <c r="A356" s="130"/>
      <c r="B356" s="130"/>
      <c r="C356" s="130"/>
      <c r="D356" s="130"/>
      <c r="E356" s="130"/>
      <c r="F356" s="188"/>
      <c r="G356" s="130"/>
      <c r="H356" s="130"/>
      <c r="I356" s="130"/>
      <c r="J356" s="130"/>
      <c r="K356" s="130"/>
      <c r="L356" s="130"/>
      <c r="M356" s="130"/>
      <c r="N356" s="130"/>
      <c r="O356" s="130"/>
      <c r="P356" s="130"/>
      <c r="Q356" s="130"/>
      <c r="R356" s="130"/>
    </row>
    <row r="357">
      <c r="A357" s="130"/>
      <c r="B357" s="130"/>
      <c r="C357" s="130"/>
      <c r="D357" s="130"/>
      <c r="E357" s="130"/>
      <c r="F357" s="188"/>
      <c r="G357" s="130"/>
      <c r="H357" s="130"/>
      <c r="I357" s="130"/>
      <c r="J357" s="130"/>
      <c r="K357" s="130"/>
      <c r="L357" s="130"/>
      <c r="M357" s="130"/>
      <c r="N357" s="130"/>
      <c r="O357" s="130"/>
      <c r="P357" s="130"/>
      <c r="Q357" s="130"/>
      <c r="R357" s="130"/>
    </row>
    <row r="358">
      <c r="A358" s="130"/>
      <c r="B358" s="130"/>
      <c r="C358" s="130"/>
      <c r="D358" s="130"/>
      <c r="E358" s="130"/>
      <c r="F358" s="188"/>
      <c r="G358" s="130"/>
      <c r="H358" s="130"/>
      <c r="I358" s="130"/>
      <c r="J358" s="130"/>
      <c r="K358" s="130"/>
      <c r="L358" s="130"/>
      <c r="M358" s="130"/>
      <c r="N358" s="130"/>
      <c r="O358" s="130"/>
      <c r="P358" s="130"/>
      <c r="Q358" s="130"/>
      <c r="R358" s="130"/>
    </row>
    <row r="359">
      <c r="A359" s="130"/>
      <c r="B359" s="130"/>
      <c r="C359" s="130"/>
      <c r="D359" s="130"/>
      <c r="E359" s="130"/>
      <c r="F359" s="188"/>
      <c r="G359" s="130"/>
      <c r="H359" s="130"/>
      <c r="I359" s="130"/>
      <c r="J359" s="130"/>
      <c r="K359" s="130"/>
      <c r="L359" s="130"/>
      <c r="M359" s="130"/>
      <c r="N359" s="130"/>
      <c r="O359" s="130"/>
      <c r="P359" s="130"/>
      <c r="Q359" s="130"/>
      <c r="R359" s="130"/>
    </row>
    <row r="360">
      <c r="A360" s="130"/>
      <c r="B360" s="130"/>
      <c r="C360" s="130"/>
      <c r="D360" s="130"/>
      <c r="E360" s="130"/>
      <c r="F360" s="188"/>
      <c r="G360" s="130"/>
      <c r="H360" s="130"/>
      <c r="I360" s="130"/>
      <c r="J360" s="130"/>
      <c r="K360" s="130"/>
      <c r="L360" s="130"/>
      <c r="M360" s="130"/>
      <c r="N360" s="130"/>
      <c r="O360" s="130"/>
      <c r="P360" s="130"/>
      <c r="Q360" s="130"/>
      <c r="R360" s="130"/>
    </row>
    <row r="361">
      <c r="A361" s="130"/>
      <c r="B361" s="130"/>
      <c r="C361" s="130"/>
      <c r="D361" s="130"/>
      <c r="E361" s="130"/>
      <c r="F361" s="188"/>
      <c r="G361" s="130"/>
      <c r="H361" s="130"/>
      <c r="I361" s="130"/>
      <c r="J361" s="130"/>
      <c r="K361" s="130"/>
      <c r="L361" s="130"/>
      <c r="M361" s="130"/>
      <c r="N361" s="130"/>
      <c r="O361" s="130"/>
      <c r="P361" s="130"/>
      <c r="Q361" s="130"/>
      <c r="R361" s="130"/>
    </row>
    <row r="362">
      <c r="A362" s="130"/>
      <c r="B362" s="130"/>
      <c r="C362" s="130"/>
      <c r="D362" s="130"/>
      <c r="E362" s="130"/>
      <c r="F362" s="188"/>
      <c r="G362" s="130"/>
      <c r="H362" s="130"/>
      <c r="I362" s="130"/>
      <c r="J362" s="130"/>
      <c r="K362" s="130"/>
      <c r="L362" s="130"/>
      <c r="M362" s="130"/>
      <c r="N362" s="130"/>
      <c r="O362" s="130"/>
      <c r="P362" s="130"/>
      <c r="Q362" s="130"/>
      <c r="R362" s="130"/>
    </row>
    <row r="363">
      <c r="A363" s="130"/>
      <c r="B363" s="130"/>
      <c r="C363" s="130"/>
      <c r="D363" s="130"/>
      <c r="E363" s="130"/>
      <c r="F363" s="188"/>
      <c r="G363" s="130"/>
      <c r="H363" s="130"/>
      <c r="I363" s="130"/>
      <c r="J363" s="130"/>
      <c r="K363" s="130"/>
      <c r="L363" s="130"/>
      <c r="M363" s="130"/>
      <c r="N363" s="130"/>
      <c r="O363" s="130"/>
      <c r="P363" s="130"/>
      <c r="Q363" s="130"/>
      <c r="R363" s="130"/>
    </row>
    <row r="364">
      <c r="A364" s="130"/>
      <c r="B364" s="130"/>
      <c r="C364" s="130"/>
      <c r="D364" s="130"/>
      <c r="E364" s="130"/>
      <c r="F364" s="188"/>
      <c r="G364" s="130"/>
      <c r="H364" s="130"/>
      <c r="I364" s="130"/>
      <c r="J364" s="130"/>
      <c r="K364" s="130"/>
      <c r="L364" s="130"/>
      <c r="M364" s="130"/>
      <c r="N364" s="130"/>
      <c r="O364" s="130"/>
      <c r="P364" s="130"/>
      <c r="Q364" s="130"/>
      <c r="R364" s="130"/>
    </row>
    <row r="365">
      <c r="A365" s="130"/>
      <c r="B365" s="130"/>
      <c r="C365" s="130"/>
      <c r="D365" s="130"/>
      <c r="E365" s="130"/>
      <c r="F365" s="188"/>
      <c r="G365" s="130"/>
      <c r="H365" s="130"/>
      <c r="I365" s="130"/>
      <c r="J365" s="130"/>
      <c r="K365" s="130"/>
      <c r="L365" s="130"/>
      <c r="M365" s="130"/>
      <c r="N365" s="130"/>
      <c r="O365" s="130"/>
      <c r="P365" s="130"/>
      <c r="Q365" s="130"/>
      <c r="R365" s="130"/>
    </row>
    <row r="366">
      <c r="A366" s="130"/>
      <c r="B366" s="130"/>
      <c r="C366" s="130"/>
      <c r="D366" s="130"/>
      <c r="E366" s="130"/>
      <c r="F366" s="188"/>
      <c r="G366" s="130"/>
      <c r="H366" s="130"/>
      <c r="I366" s="130"/>
      <c r="J366" s="130"/>
      <c r="K366" s="130"/>
      <c r="L366" s="130"/>
      <c r="M366" s="130"/>
      <c r="N366" s="130"/>
      <c r="O366" s="130"/>
      <c r="P366" s="130"/>
      <c r="Q366" s="130"/>
      <c r="R366" s="130"/>
    </row>
    <row r="367">
      <c r="A367" s="130"/>
      <c r="B367" s="130"/>
      <c r="C367" s="130"/>
      <c r="D367" s="130"/>
      <c r="E367" s="130"/>
      <c r="F367" s="188"/>
      <c r="G367" s="130"/>
      <c r="H367" s="130"/>
      <c r="I367" s="130"/>
      <c r="J367" s="130"/>
      <c r="K367" s="130"/>
      <c r="L367" s="130"/>
      <c r="M367" s="130"/>
      <c r="N367" s="130"/>
      <c r="O367" s="130"/>
      <c r="P367" s="130"/>
      <c r="Q367" s="130"/>
      <c r="R367" s="130"/>
    </row>
    <row r="368">
      <c r="A368" s="130"/>
      <c r="B368" s="130"/>
      <c r="C368" s="130"/>
      <c r="D368" s="130"/>
      <c r="E368" s="130"/>
      <c r="F368" s="188"/>
      <c r="G368" s="130"/>
      <c r="H368" s="130"/>
      <c r="I368" s="130"/>
      <c r="J368" s="130"/>
      <c r="K368" s="130"/>
      <c r="L368" s="130"/>
      <c r="M368" s="130"/>
      <c r="N368" s="130"/>
      <c r="O368" s="130"/>
      <c r="P368" s="130"/>
      <c r="Q368" s="130"/>
      <c r="R368" s="130"/>
    </row>
    <row r="369">
      <c r="A369" s="130"/>
      <c r="B369" s="130"/>
      <c r="C369" s="130"/>
      <c r="D369" s="130"/>
      <c r="E369" s="130"/>
      <c r="F369" s="188"/>
      <c r="G369" s="130"/>
      <c r="H369" s="130"/>
      <c r="I369" s="130"/>
      <c r="J369" s="130"/>
      <c r="K369" s="130"/>
      <c r="L369" s="130"/>
      <c r="M369" s="130"/>
      <c r="N369" s="130"/>
      <c r="O369" s="130"/>
      <c r="P369" s="130"/>
      <c r="Q369" s="130"/>
      <c r="R369" s="130"/>
    </row>
    <row r="370">
      <c r="A370" s="130"/>
      <c r="B370" s="130"/>
      <c r="C370" s="130"/>
      <c r="D370" s="130"/>
      <c r="E370" s="130"/>
      <c r="F370" s="188"/>
      <c r="G370" s="130"/>
      <c r="H370" s="130"/>
      <c r="I370" s="130"/>
      <c r="J370" s="130"/>
      <c r="K370" s="130"/>
      <c r="L370" s="130"/>
      <c r="M370" s="130"/>
      <c r="N370" s="130"/>
      <c r="O370" s="130"/>
      <c r="P370" s="130"/>
      <c r="Q370" s="130"/>
      <c r="R370" s="130"/>
    </row>
    <row r="371">
      <c r="A371" s="130"/>
      <c r="B371" s="130"/>
      <c r="C371" s="130"/>
      <c r="D371" s="130"/>
      <c r="E371" s="130"/>
      <c r="F371" s="188"/>
      <c r="G371" s="130"/>
      <c r="H371" s="130"/>
      <c r="I371" s="130"/>
      <c r="J371" s="130"/>
      <c r="K371" s="130"/>
      <c r="L371" s="130"/>
      <c r="M371" s="130"/>
      <c r="N371" s="130"/>
      <c r="O371" s="130"/>
      <c r="P371" s="130"/>
      <c r="Q371" s="130"/>
      <c r="R371" s="130"/>
    </row>
    <row r="372">
      <c r="A372" s="130"/>
      <c r="B372" s="130"/>
      <c r="C372" s="130"/>
      <c r="D372" s="130"/>
      <c r="E372" s="130"/>
      <c r="F372" s="188"/>
      <c r="G372" s="130"/>
      <c r="H372" s="130"/>
      <c r="I372" s="130"/>
      <c r="J372" s="130"/>
      <c r="K372" s="130"/>
      <c r="L372" s="130"/>
      <c r="M372" s="130"/>
      <c r="N372" s="130"/>
      <c r="O372" s="130"/>
      <c r="P372" s="130"/>
      <c r="Q372" s="130"/>
      <c r="R372" s="130"/>
    </row>
    <row r="373">
      <c r="A373" s="130"/>
      <c r="B373" s="130"/>
      <c r="C373" s="130"/>
      <c r="D373" s="130"/>
      <c r="E373" s="130"/>
      <c r="F373" s="188"/>
      <c r="G373" s="130"/>
      <c r="H373" s="130"/>
      <c r="I373" s="130"/>
      <c r="J373" s="130"/>
      <c r="K373" s="130"/>
      <c r="L373" s="130"/>
      <c r="M373" s="130"/>
      <c r="N373" s="130"/>
      <c r="O373" s="130"/>
      <c r="P373" s="130"/>
      <c r="Q373" s="130"/>
      <c r="R373" s="130"/>
    </row>
    <row r="374">
      <c r="A374" s="130"/>
      <c r="B374" s="130"/>
      <c r="C374" s="130"/>
      <c r="D374" s="130"/>
      <c r="E374" s="130"/>
      <c r="F374" s="188"/>
      <c r="G374" s="130"/>
      <c r="H374" s="130"/>
      <c r="I374" s="130"/>
      <c r="J374" s="130"/>
      <c r="K374" s="130"/>
      <c r="L374" s="130"/>
      <c r="M374" s="130"/>
      <c r="N374" s="130"/>
      <c r="O374" s="130"/>
      <c r="P374" s="130"/>
      <c r="Q374" s="130"/>
      <c r="R374" s="130"/>
    </row>
    <row r="375">
      <c r="A375" s="130"/>
      <c r="B375" s="130"/>
      <c r="C375" s="130"/>
      <c r="D375" s="130"/>
      <c r="E375" s="130"/>
      <c r="F375" s="188"/>
      <c r="G375" s="130"/>
      <c r="H375" s="130"/>
      <c r="I375" s="130"/>
      <c r="J375" s="130"/>
      <c r="K375" s="130"/>
      <c r="L375" s="130"/>
      <c r="M375" s="130"/>
      <c r="N375" s="130"/>
      <c r="O375" s="130"/>
      <c r="P375" s="130"/>
      <c r="Q375" s="130"/>
      <c r="R375" s="130"/>
    </row>
    <row r="376">
      <c r="A376" s="130"/>
      <c r="B376" s="130"/>
      <c r="C376" s="130"/>
      <c r="D376" s="130"/>
      <c r="E376" s="130"/>
      <c r="F376" s="188"/>
      <c r="G376" s="130"/>
      <c r="H376" s="130"/>
      <c r="I376" s="130"/>
      <c r="J376" s="130"/>
      <c r="K376" s="130"/>
      <c r="L376" s="130"/>
      <c r="M376" s="130"/>
      <c r="N376" s="130"/>
      <c r="O376" s="130"/>
      <c r="P376" s="130"/>
      <c r="Q376" s="130"/>
      <c r="R376" s="130"/>
    </row>
    <row r="377">
      <c r="A377" s="130"/>
      <c r="B377" s="130"/>
      <c r="C377" s="130"/>
      <c r="D377" s="130"/>
      <c r="E377" s="130"/>
      <c r="F377" s="188"/>
      <c r="G377" s="130"/>
      <c r="H377" s="130"/>
      <c r="I377" s="130"/>
      <c r="J377" s="130"/>
      <c r="K377" s="130"/>
      <c r="L377" s="130"/>
      <c r="M377" s="130"/>
      <c r="N377" s="130"/>
      <c r="O377" s="130"/>
      <c r="P377" s="130"/>
      <c r="Q377" s="130"/>
      <c r="R377" s="130"/>
    </row>
    <row r="378">
      <c r="A378" s="130"/>
      <c r="B378" s="130"/>
      <c r="C378" s="130"/>
      <c r="D378" s="130"/>
      <c r="E378" s="130"/>
      <c r="F378" s="188"/>
      <c r="G378" s="130"/>
      <c r="H378" s="130"/>
      <c r="I378" s="130"/>
      <c r="J378" s="130"/>
      <c r="K378" s="130"/>
      <c r="L378" s="130"/>
      <c r="M378" s="130"/>
      <c r="N378" s="130"/>
      <c r="O378" s="130"/>
      <c r="P378" s="130"/>
      <c r="Q378" s="130"/>
      <c r="R378" s="130"/>
    </row>
    <row r="379">
      <c r="A379" s="130"/>
      <c r="B379" s="130"/>
      <c r="C379" s="130"/>
      <c r="D379" s="130"/>
      <c r="E379" s="130"/>
      <c r="F379" s="188"/>
      <c r="G379" s="130"/>
      <c r="H379" s="130"/>
      <c r="I379" s="130"/>
      <c r="J379" s="130"/>
      <c r="K379" s="130"/>
      <c r="L379" s="130"/>
      <c r="M379" s="130"/>
      <c r="N379" s="130"/>
      <c r="O379" s="130"/>
      <c r="P379" s="130"/>
      <c r="Q379" s="130"/>
      <c r="R379" s="130"/>
    </row>
    <row r="380">
      <c r="A380" s="130"/>
      <c r="B380" s="130"/>
      <c r="C380" s="130"/>
      <c r="D380" s="130"/>
      <c r="E380" s="130"/>
      <c r="F380" s="188"/>
      <c r="G380" s="130"/>
      <c r="H380" s="130"/>
      <c r="I380" s="130"/>
      <c r="J380" s="130"/>
      <c r="K380" s="130"/>
      <c r="L380" s="130"/>
      <c r="M380" s="130"/>
      <c r="N380" s="130"/>
      <c r="O380" s="130"/>
      <c r="P380" s="130"/>
      <c r="Q380" s="130"/>
      <c r="R380" s="130"/>
    </row>
    <row r="381">
      <c r="A381" s="130"/>
      <c r="B381" s="130"/>
      <c r="C381" s="130"/>
      <c r="D381" s="130"/>
      <c r="E381" s="130"/>
      <c r="F381" s="188"/>
      <c r="G381" s="130"/>
      <c r="H381" s="130"/>
      <c r="I381" s="130"/>
      <c r="J381" s="130"/>
      <c r="K381" s="130"/>
      <c r="L381" s="130"/>
      <c r="M381" s="130"/>
      <c r="N381" s="130"/>
      <c r="O381" s="130"/>
      <c r="P381" s="130"/>
      <c r="Q381" s="130"/>
      <c r="R381" s="130"/>
    </row>
    <row r="382">
      <c r="A382" s="130"/>
      <c r="B382" s="130"/>
      <c r="C382" s="130"/>
      <c r="D382" s="130"/>
      <c r="E382" s="130"/>
      <c r="F382" s="188"/>
      <c r="G382" s="130"/>
      <c r="H382" s="130"/>
      <c r="I382" s="130"/>
      <c r="J382" s="130"/>
      <c r="K382" s="130"/>
      <c r="L382" s="130"/>
      <c r="M382" s="130"/>
      <c r="N382" s="130"/>
      <c r="O382" s="130"/>
      <c r="P382" s="130"/>
      <c r="Q382" s="130"/>
      <c r="R382" s="130"/>
    </row>
    <row r="383">
      <c r="A383" s="130"/>
      <c r="B383" s="130"/>
      <c r="C383" s="130"/>
      <c r="D383" s="130"/>
      <c r="E383" s="130"/>
      <c r="F383" s="188"/>
      <c r="G383" s="130"/>
      <c r="H383" s="130"/>
      <c r="I383" s="130"/>
      <c r="J383" s="130"/>
      <c r="K383" s="130"/>
      <c r="L383" s="130"/>
      <c r="M383" s="130"/>
      <c r="N383" s="130"/>
      <c r="O383" s="130"/>
      <c r="P383" s="130"/>
      <c r="Q383" s="130"/>
      <c r="R383" s="130"/>
    </row>
    <row r="384">
      <c r="A384" s="130"/>
      <c r="B384" s="130"/>
      <c r="C384" s="130"/>
      <c r="D384" s="130"/>
      <c r="E384" s="130"/>
      <c r="F384" s="188"/>
      <c r="G384" s="130"/>
      <c r="H384" s="130"/>
      <c r="I384" s="130"/>
      <c r="J384" s="130"/>
      <c r="K384" s="130"/>
      <c r="L384" s="130"/>
      <c r="M384" s="130"/>
      <c r="N384" s="130"/>
      <c r="O384" s="130"/>
      <c r="P384" s="130"/>
      <c r="Q384" s="130"/>
      <c r="R384" s="130"/>
    </row>
    <row r="385">
      <c r="A385" s="130"/>
      <c r="B385" s="130"/>
      <c r="C385" s="130"/>
      <c r="D385" s="130"/>
      <c r="E385" s="130"/>
      <c r="F385" s="188"/>
      <c r="G385" s="130"/>
      <c r="H385" s="130"/>
      <c r="I385" s="130"/>
      <c r="J385" s="130"/>
      <c r="K385" s="130"/>
      <c r="L385" s="130"/>
      <c r="M385" s="130"/>
      <c r="N385" s="130"/>
      <c r="O385" s="130"/>
      <c r="P385" s="130"/>
      <c r="Q385" s="130"/>
      <c r="R385" s="130"/>
    </row>
    <row r="386">
      <c r="A386" s="130"/>
      <c r="B386" s="130"/>
      <c r="C386" s="130"/>
      <c r="D386" s="130"/>
      <c r="E386" s="130"/>
      <c r="F386" s="188"/>
      <c r="G386" s="130"/>
      <c r="H386" s="130"/>
      <c r="I386" s="130"/>
      <c r="J386" s="130"/>
      <c r="K386" s="130"/>
      <c r="L386" s="130"/>
      <c r="M386" s="130"/>
      <c r="N386" s="130"/>
      <c r="O386" s="130"/>
      <c r="P386" s="130"/>
      <c r="Q386" s="130"/>
      <c r="R386" s="130"/>
    </row>
    <row r="387">
      <c r="A387" s="130"/>
      <c r="B387" s="130"/>
      <c r="C387" s="130"/>
      <c r="D387" s="130"/>
      <c r="E387" s="130"/>
      <c r="F387" s="188"/>
      <c r="G387" s="130"/>
      <c r="H387" s="130"/>
      <c r="I387" s="130"/>
      <c r="J387" s="130"/>
      <c r="K387" s="130"/>
      <c r="L387" s="130"/>
      <c r="M387" s="130"/>
      <c r="N387" s="130"/>
      <c r="O387" s="130"/>
      <c r="P387" s="130"/>
      <c r="Q387" s="130"/>
      <c r="R387" s="130"/>
    </row>
    <row r="388">
      <c r="A388" s="130"/>
      <c r="B388" s="130"/>
      <c r="C388" s="130"/>
      <c r="D388" s="130"/>
      <c r="E388" s="130"/>
      <c r="F388" s="188"/>
      <c r="G388" s="130"/>
      <c r="H388" s="130"/>
      <c r="I388" s="130"/>
      <c r="J388" s="130"/>
      <c r="K388" s="130"/>
      <c r="L388" s="130"/>
      <c r="M388" s="130"/>
      <c r="N388" s="130"/>
      <c r="O388" s="130"/>
      <c r="P388" s="130"/>
      <c r="Q388" s="130"/>
      <c r="R388" s="130"/>
    </row>
    <row r="389">
      <c r="A389" s="130"/>
      <c r="B389" s="130"/>
      <c r="C389" s="130"/>
      <c r="D389" s="130"/>
      <c r="E389" s="130"/>
      <c r="F389" s="188"/>
      <c r="G389" s="130"/>
      <c r="H389" s="130"/>
      <c r="I389" s="130"/>
      <c r="J389" s="130"/>
      <c r="K389" s="130"/>
      <c r="L389" s="130"/>
      <c r="M389" s="130"/>
      <c r="N389" s="130"/>
      <c r="O389" s="130"/>
      <c r="P389" s="130"/>
      <c r="Q389" s="130"/>
      <c r="R389" s="130"/>
    </row>
    <row r="390">
      <c r="A390" s="130"/>
      <c r="B390" s="130"/>
      <c r="C390" s="130"/>
      <c r="D390" s="130"/>
      <c r="E390" s="130"/>
      <c r="F390" s="188"/>
      <c r="G390" s="130"/>
      <c r="H390" s="130"/>
      <c r="I390" s="130"/>
      <c r="J390" s="130"/>
      <c r="K390" s="130"/>
      <c r="L390" s="130"/>
      <c r="M390" s="130"/>
      <c r="N390" s="130"/>
      <c r="O390" s="130"/>
      <c r="P390" s="130"/>
      <c r="Q390" s="130"/>
      <c r="R390" s="130"/>
    </row>
    <row r="391">
      <c r="A391" s="130"/>
      <c r="B391" s="130"/>
      <c r="C391" s="130"/>
      <c r="D391" s="130"/>
      <c r="E391" s="130"/>
      <c r="F391" s="188"/>
      <c r="G391" s="130"/>
      <c r="H391" s="130"/>
      <c r="I391" s="130"/>
      <c r="J391" s="130"/>
      <c r="K391" s="130"/>
      <c r="L391" s="130"/>
      <c r="M391" s="130"/>
      <c r="N391" s="130"/>
      <c r="O391" s="130"/>
      <c r="P391" s="130"/>
      <c r="Q391" s="130"/>
      <c r="R391" s="130"/>
    </row>
    <row r="392">
      <c r="A392" s="130"/>
      <c r="B392" s="130"/>
      <c r="C392" s="130"/>
      <c r="D392" s="130"/>
      <c r="E392" s="130"/>
      <c r="F392" s="188"/>
      <c r="G392" s="130"/>
      <c r="H392" s="130"/>
      <c r="I392" s="130"/>
      <c r="J392" s="130"/>
      <c r="K392" s="130"/>
      <c r="L392" s="130"/>
      <c r="M392" s="130"/>
      <c r="N392" s="130"/>
      <c r="O392" s="130"/>
      <c r="P392" s="130"/>
      <c r="Q392" s="130"/>
      <c r="R392" s="130"/>
    </row>
    <row r="393">
      <c r="A393" s="130"/>
      <c r="B393" s="130"/>
      <c r="C393" s="130"/>
      <c r="D393" s="130"/>
      <c r="E393" s="130"/>
      <c r="F393" s="188"/>
      <c r="G393" s="130"/>
      <c r="H393" s="130"/>
      <c r="I393" s="130"/>
      <c r="J393" s="130"/>
      <c r="K393" s="130"/>
      <c r="L393" s="130"/>
      <c r="M393" s="130"/>
      <c r="N393" s="130"/>
      <c r="O393" s="130"/>
      <c r="P393" s="130"/>
      <c r="Q393" s="130"/>
      <c r="R393" s="130"/>
    </row>
    <row r="394">
      <c r="A394" s="130"/>
      <c r="B394" s="130"/>
      <c r="C394" s="130"/>
      <c r="D394" s="130"/>
      <c r="E394" s="130"/>
      <c r="F394" s="188"/>
      <c r="G394" s="130"/>
      <c r="H394" s="130"/>
      <c r="I394" s="130"/>
      <c r="J394" s="130"/>
      <c r="K394" s="130"/>
      <c r="L394" s="130"/>
      <c r="M394" s="130"/>
      <c r="N394" s="130"/>
      <c r="O394" s="130"/>
      <c r="P394" s="130"/>
      <c r="Q394" s="130"/>
      <c r="R394" s="130"/>
    </row>
    <row r="395">
      <c r="A395" s="130"/>
      <c r="B395" s="130"/>
      <c r="C395" s="130"/>
      <c r="D395" s="130"/>
      <c r="E395" s="130"/>
      <c r="F395" s="188"/>
      <c r="G395" s="130"/>
      <c r="H395" s="130"/>
      <c r="I395" s="130"/>
      <c r="J395" s="130"/>
      <c r="K395" s="130"/>
      <c r="L395" s="130"/>
      <c r="M395" s="130"/>
      <c r="N395" s="130"/>
      <c r="O395" s="130"/>
      <c r="P395" s="130"/>
      <c r="Q395" s="130"/>
      <c r="R395" s="130"/>
    </row>
    <row r="396">
      <c r="A396" s="130"/>
      <c r="B396" s="130"/>
      <c r="C396" s="130"/>
      <c r="D396" s="130"/>
      <c r="E396" s="130"/>
      <c r="F396" s="188"/>
      <c r="G396" s="130"/>
      <c r="H396" s="130"/>
      <c r="I396" s="130"/>
      <c r="J396" s="130"/>
      <c r="K396" s="130"/>
      <c r="L396" s="130"/>
      <c r="M396" s="130"/>
      <c r="N396" s="130"/>
      <c r="O396" s="130"/>
      <c r="P396" s="130"/>
      <c r="Q396" s="130"/>
      <c r="R396" s="130"/>
    </row>
    <row r="397">
      <c r="A397" s="130"/>
      <c r="B397" s="130"/>
      <c r="C397" s="130"/>
      <c r="D397" s="130"/>
      <c r="E397" s="130"/>
      <c r="F397" s="188"/>
      <c r="G397" s="130"/>
      <c r="H397" s="130"/>
      <c r="I397" s="130"/>
      <c r="J397" s="130"/>
      <c r="K397" s="130"/>
      <c r="L397" s="130"/>
      <c r="M397" s="130"/>
      <c r="N397" s="130"/>
      <c r="O397" s="130"/>
      <c r="P397" s="130"/>
      <c r="Q397" s="130"/>
      <c r="R397" s="130"/>
    </row>
    <row r="398">
      <c r="A398" s="130"/>
      <c r="B398" s="130"/>
      <c r="C398" s="130"/>
      <c r="D398" s="130"/>
      <c r="E398" s="130"/>
      <c r="F398" s="188"/>
      <c r="G398" s="130"/>
      <c r="H398" s="130"/>
      <c r="I398" s="130"/>
      <c r="J398" s="130"/>
      <c r="K398" s="130"/>
      <c r="L398" s="130"/>
      <c r="M398" s="130"/>
      <c r="N398" s="130"/>
      <c r="O398" s="130"/>
      <c r="P398" s="130"/>
      <c r="Q398" s="130"/>
      <c r="R398" s="130"/>
    </row>
    <row r="399">
      <c r="A399" s="130"/>
      <c r="B399" s="130"/>
      <c r="C399" s="130"/>
      <c r="D399" s="130"/>
      <c r="E399" s="130"/>
      <c r="F399" s="188"/>
      <c r="G399" s="130"/>
      <c r="H399" s="130"/>
      <c r="I399" s="130"/>
      <c r="J399" s="130"/>
      <c r="K399" s="130"/>
      <c r="L399" s="130"/>
      <c r="M399" s="130"/>
      <c r="N399" s="130"/>
      <c r="O399" s="130"/>
      <c r="P399" s="130"/>
      <c r="Q399" s="130"/>
      <c r="R399" s="130"/>
    </row>
    <row r="400">
      <c r="A400" s="130"/>
      <c r="B400" s="130"/>
      <c r="C400" s="130"/>
      <c r="D400" s="130"/>
      <c r="E400" s="130"/>
      <c r="F400" s="188"/>
      <c r="G400" s="130"/>
      <c r="H400" s="130"/>
      <c r="I400" s="130"/>
      <c r="J400" s="130"/>
      <c r="K400" s="130"/>
      <c r="L400" s="130"/>
      <c r="M400" s="130"/>
      <c r="N400" s="130"/>
      <c r="O400" s="130"/>
      <c r="P400" s="130"/>
      <c r="Q400" s="130"/>
      <c r="R400" s="130"/>
    </row>
    <row r="401">
      <c r="A401" s="130"/>
      <c r="B401" s="130"/>
      <c r="C401" s="130"/>
      <c r="D401" s="130"/>
      <c r="E401" s="130"/>
      <c r="F401" s="188"/>
      <c r="G401" s="130"/>
      <c r="H401" s="130"/>
      <c r="I401" s="130"/>
      <c r="J401" s="130"/>
      <c r="K401" s="130"/>
      <c r="L401" s="130"/>
      <c r="M401" s="130"/>
      <c r="N401" s="130"/>
      <c r="O401" s="130"/>
      <c r="P401" s="130"/>
      <c r="Q401" s="130"/>
      <c r="R401" s="130"/>
    </row>
    <row r="402">
      <c r="A402" s="130"/>
      <c r="B402" s="130"/>
      <c r="C402" s="130"/>
      <c r="D402" s="130"/>
      <c r="E402" s="130"/>
      <c r="F402" s="188"/>
      <c r="G402" s="130"/>
      <c r="H402" s="130"/>
      <c r="I402" s="130"/>
      <c r="J402" s="130"/>
      <c r="K402" s="130"/>
      <c r="L402" s="130"/>
      <c r="M402" s="130"/>
      <c r="N402" s="130"/>
      <c r="O402" s="130"/>
      <c r="P402" s="130"/>
      <c r="Q402" s="130"/>
      <c r="R402" s="130"/>
    </row>
    <row r="403">
      <c r="A403" s="130"/>
      <c r="B403" s="130"/>
      <c r="C403" s="130"/>
      <c r="D403" s="130"/>
      <c r="E403" s="130"/>
      <c r="F403" s="188"/>
      <c r="G403" s="130"/>
      <c r="H403" s="130"/>
      <c r="I403" s="130"/>
      <c r="J403" s="130"/>
      <c r="K403" s="130"/>
      <c r="L403" s="130"/>
      <c r="M403" s="130"/>
      <c r="N403" s="130"/>
      <c r="O403" s="130"/>
      <c r="P403" s="130"/>
      <c r="Q403" s="130"/>
      <c r="R403" s="130"/>
    </row>
    <row r="404">
      <c r="A404" s="130"/>
      <c r="B404" s="130"/>
      <c r="C404" s="130"/>
      <c r="D404" s="130"/>
      <c r="E404" s="130"/>
      <c r="F404" s="188"/>
      <c r="G404" s="130"/>
      <c r="H404" s="130"/>
      <c r="I404" s="130"/>
      <c r="J404" s="130"/>
      <c r="K404" s="130"/>
      <c r="L404" s="130"/>
      <c r="M404" s="130"/>
      <c r="N404" s="130"/>
      <c r="O404" s="130"/>
      <c r="P404" s="130"/>
      <c r="Q404" s="130"/>
      <c r="R404" s="130"/>
    </row>
    <row r="405">
      <c r="A405" s="130"/>
      <c r="B405" s="130"/>
      <c r="C405" s="130"/>
      <c r="D405" s="130"/>
      <c r="E405" s="130"/>
      <c r="F405" s="188"/>
      <c r="G405" s="130"/>
      <c r="H405" s="130"/>
      <c r="I405" s="130"/>
      <c r="J405" s="130"/>
      <c r="K405" s="130"/>
      <c r="L405" s="130"/>
      <c r="M405" s="130"/>
      <c r="N405" s="130"/>
      <c r="O405" s="130"/>
      <c r="P405" s="130"/>
      <c r="Q405" s="130"/>
      <c r="R405" s="130"/>
    </row>
    <row r="406">
      <c r="A406" s="130"/>
      <c r="B406" s="130"/>
      <c r="C406" s="130"/>
      <c r="D406" s="130"/>
      <c r="E406" s="130"/>
      <c r="F406" s="188"/>
      <c r="G406" s="130"/>
      <c r="H406" s="130"/>
      <c r="I406" s="130"/>
      <c r="J406" s="130"/>
      <c r="K406" s="130"/>
      <c r="L406" s="130"/>
      <c r="M406" s="130"/>
      <c r="N406" s="130"/>
      <c r="O406" s="130"/>
      <c r="P406" s="130"/>
      <c r="Q406" s="130"/>
      <c r="R406" s="130"/>
    </row>
    <row r="407">
      <c r="A407" s="130"/>
      <c r="B407" s="130"/>
      <c r="C407" s="130"/>
      <c r="D407" s="130"/>
      <c r="E407" s="130"/>
      <c r="F407" s="188"/>
      <c r="G407" s="130"/>
      <c r="H407" s="130"/>
      <c r="I407" s="130"/>
      <c r="J407" s="130"/>
      <c r="K407" s="130"/>
      <c r="L407" s="130"/>
      <c r="M407" s="130"/>
      <c r="N407" s="130"/>
      <c r="O407" s="130"/>
      <c r="P407" s="130"/>
      <c r="Q407" s="130"/>
      <c r="R407" s="130"/>
    </row>
    <row r="408">
      <c r="A408" s="130"/>
      <c r="B408" s="130"/>
      <c r="C408" s="130"/>
      <c r="D408" s="130"/>
      <c r="E408" s="130"/>
      <c r="F408" s="188"/>
      <c r="G408" s="130"/>
      <c r="H408" s="130"/>
      <c r="I408" s="130"/>
      <c r="J408" s="130"/>
      <c r="K408" s="130"/>
      <c r="L408" s="130"/>
      <c r="M408" s="130"/>
      <c r="N408" s="130"/>
      <c r="O408" s="130"/>
      <c r="P408" s="130"/>
      <c r="Q408" s="130"/>
      <c r="R408" s="130"/>
    </row>
    <row r="409">
      <c r="A409" s="130"/>
      <c r="B409" s="130"/>
      <c r="C409" s="130"/>
      <c r="D409" s="130"/>
      <c r="E409" s="130"/>
      <c r="F409" s="188"/>
      <c r="G409" s="130"/>
      <c r="H409" s="130"/>
      <c r="I409" s="130"/>
      <c r="J409" s="130"/>
      <c r="K409" s="130"/>
      <c r="L409" s="130"/>
      <c r="M409" s="130"/>
      <c r="N409" s="130"/>
      <c r="O409" s="130"/>
      <c r="P409" s="130"/>
      <c r="Q409" s="130"/>
      <c r="R409" s="130"/>
    </row>
    <row r="410">
      <c r="A410" s="130"/>
      <c r="B410" s="130"/>
      <c r="C410" s="130"/>
      <c r="D410" s="130"/>
      <c r="E410" s="130"/>
      <c r="F410" s="188"/>
      <c r="G410" s="130"/>
      <c r="H410" s="130"/>
      <c r="I410" s="130"/>
      <c r="J410" s="130"/>
      <c r="K410" s="130"/>
      <c r="L410" s="130"/>
      <c r="M410" s="130"/>
      <c r="N410" s="130"/>
      <c r="O410" s="130"/>
      <c r="P410" s="130"/>
      <c r="Q410" s="130"/>
      <c r="R410" s="130"/>
    </row>
    <row r="411">
      <c r="A411" s="130"/>
      <c r="B411" s="130"/>
      <c r="C411" s="130"/>
      <c r="D411" s="130"/>
      <c r="E411" s="130"/>
      <c r="F411" s="188"/>
      <c r="G411" s="130"/>
      <c r="H411" s="130"/>
      <c r="I411" s="130"/>
      <c r="J411" s="130"/>
      <c r="K411" s="130"/>
      <c r="L411" s="130"/>
      <c r="M411" s="130"/>
      <c r="N411" s="130"/>
      <c r="O411" s="130"/>
      <c r="P411" s="130"/>
      <c r="Q411" s="130"/>
      <c r="R411" s="130"/>
    </row>
    <row r="412">
      <c r="A412" s="130"/>
      <c r="B412" s="130"/>
      <c r="C412" s="130"/>
      <c r="D412" s="130"/>
      <c r="E412" s="130"/>
      <c r="F412" s="188"/>
      <c r="G412" s="130"/>
      <c r="H412" s="130"/>
      <c r="I412" s="130"/>
      <c r="J412" s="130"/>
      <c r="K412" s="130"/>
      <c r="L412" s="130"/>
      <c r="M412" s="130"/>
      <c r="N412" s="130"/>
      <c r="O412" s="130"/>
      <c r="P412" s="130"/>
      <c r="Q412" s="130"/>
      <c r="R412" s="130"/>
    </row>
    <row r="413">
      <c r="A413" s="130"/>
      <c r="B413" s="130"/>
      <c r="C413" s="130"/>
      <c r="D413" s="130"/>
      <c r="E413" s="130"/>
      <c r="F413" s="188"/>
      <c r="G413" s="130"/>
      <c r="H413" s="130"/>
      <c r="I413" s="130"/>
      <c r="J413" s="130"/>
      <c r="K413" s="130"/>
      <c r="L413" s="130"/>
      <c r="M413" s="130"/>
      <c r="N413" s="130"/>
      <c r="O413" s="130"/>
      <c r="P413" s="130"/>
      <c r="Q413" s="130"/>
      <c r="R413" s="130"/>
    </row>
    <row r="414">
      <c r="A414" s="130"/>
      <c r="B414" s="130"/>
      <c r="C414" s="130"/>
      <c r="D414" s="130"/>
      <c r="E414" s="130"/>
      <c r="F414" s="188"/>
      <c r="G414" s="130"/>
      <c r="H414" s="130"/>
      <c r="I414" s="130"/>
      <c r="J414" s="130"/>
      <c r="K414" s="130"/>
      <c r="L414" s="130"/>
      <c r="M414" s="130"/>
      <c r="N414" s="130"/>
      <c r="O414" s="130"/>
      <c r="P414" s="130"/>
      <c r="Q414" s="130"/>
      <c r="R414" s="130"/>
    </row>
    <row r="415">
      <c r="A415" s="130"/>
      <c r="B415" s="130"/>
      <c r="C415" s="130"/>
      <c r="D415" s="130"/>
      <c r="E415" s="130"/>
      <c r="F415" s="188"/>
      <c r="G415" s="130"/>
      <c r="H415" s="130"/>
      <c r="I415" s="130"/>
      <c r="J415" s="130"/>
      <c r="K415" s="130"/>
      <c r="L415" s="130"/>
      <c r="M415" s="130"/>
      <c r="N415" s="130"/>
      <c r="O415" s="130"/>
      <c r="P415" s="130"/>
      <c r="Q415" s="130"/>
      <c r="R415" s="130"/>
    </row>
    <row r="416">
      <c r="A416" s="130"/>
      <c r="B416" s="130"/>
      <c r="C416" s="130"/>
      <c r="D416" s="130"/>
      <c r="E416" s="130"/>
      <c r="F416" s="188"/>
      <c r="G416" s="130"/>
      <c r="H416" s="130"/>
      <c r="I416" s="130"/>
      <c r="J416" s="130"/>
      <c r="K416" s="130"/>
      <c r="L416" s="130"/>
      <c r="M416" s="130"/>
      <c r="N416" s="130"/>
      <c r="O416" s="130"/>
      <c r="P416" s="130"/>
      <c r="Q416" s="130"/>
      <c r="R416" s="130"/>
    </row>
    <row r="417">
      <c r="A417" s="130"/>
      <c r="B417" s="130"/>
      <c r="C417" s="130"/>
      <c r="D417" s="130"/>
      <c r="E417" s="130"/>
      <c r="F417" s="188"/>
      <c r="G417" s="130"/>
      <c r="H417" s="130"/>
      <c r="I417" s="130"/>
      <c r="J417" s="130"/>
      <c r="K417" s="130"/>
      <c r="L417" s="130"/>
      <c r="M417" s="130"/>
      <c r="N417" s="130"/>
      <c r="O417" s="130"/>
      <c r="P417" s="130"/>
      <c r="Q417" s="130"/>
      <c r="R417" s="130"/>
    </row>
    <row r="418">
      <c r="A418" s="130"/>
      <c r="B418" s="130"/>
      <c r="C418" s="130"/>
      <c r="D418" s="130"/>
      <c r="E418" s="130"/>
      <c r="F418" s="188"/>
      <c r="G418" s="130"/>
      <c r="H418" s="130"/>
      <c r="I418" s="130"/>
      <c r="J418" s="130"/>
      <c r="K418" s="130"/>
      <c r="L418" s="130"/>
      <c r="M418" s="130"/>
      <c r="N418" s="130"/>
      <c r="O418" s="130"/>
      <c r="P418" s="130"/>
      <c r="Q418" s="130"/>
      <c r="R418" s="130"/>
    </row>
    <row r="419">
      <c r="A419" s="130"/>
      <c r="B419" s="130"/>
      <c r="C419" s="130"/>
      <c r="D419" s="130"/>
      <c r="E419" s="130"/>
      <c r="F419" s="188"/>
      <c r="G419" s="130"/>
      <c r="H419" s="130"/>
      <c r="I419" s="130"/>
      <c r="J419" s="130"/>
      <c r="K419" s="130"/>
      <c r="L419" s="130"/>
      <c r="M419" s="130"/>
      <c r="N419" s="130"/>
      <c r="O419" s="130"/>
      <c r="P419" s="130"/>
      <c r="Q419" s="130"/>
      <c r="R419" s="130"/>
    </row>
    <row r="420">
      <c r="A420" s="130"/>
      <c r="B420" s="130"/>
      <c r="C420" s="130"/>
      <c r="D420" s="130"/>
      <c r="E420" s="130"/>
      <c r="F420" s="188"/>
      <c r="G420" s="130"/>
      <c r="H420" s="130"/>
      <c r="I420" s="130"/>
      <c r="J420" s="130"/>
      <c r="K420" s="130"/>
      <c r="L420" s="130"/>
      <c r="M420" s="130"/>
      <c r="N420" s="130"/>
      <c r="O420" s="130"/>
      <c r="P420" s="130"/>
      <c r="Q420" s="130"/>
      <c r="R420" s="130"/>
    </row>
    <row r="421">
      <c r="A421" s="130"/>
      <c r="B421" s="130"/>
      <c r="C421" s="130"/>
      <c r="D421" s="130"/>
      <c r="E421" s="130"/>
      <c r="F421" s="188"/>
      <c r="G421" s="130"/>
      <c r="H421" s="130"/>
      <c r="I421" s="130"/>
      <c r="J421" s="130"/>
      <c r="K421" s="130"/>
      <c r="L421" s="130"/>
      <c r="M421" s="130"/>
      <c r="N421" s="130"/>
      <c r="O421" s="130"/>
      <c r="P421" s="130"/>
      <c r="Q421" s="130"/>
      <c r="R421" s="130"/>
    </row>
    <row r="422">
      <c r="A422" s="130"/>
      <c r="B422" s="130"/>
      <c r="C422" s="130"/>
      <c r="D422" s="130"/>
      <c r="E422" s="130"/>
      <c r="F422" s="188"/>
      <c r="G422" s="130"/>
      <c r="H422" s="130"/>
      <c r="I422" s="130"/>
      <c r="J422" s="130"/>
      <c r="K422" s="130"/>
      <c r="L422" s="130"/>
      <c r="M422" s="130"/>
      <c r="N422" s="130"/>
      <c r="O422" s="130"/>
      <c r="P422" s="130"/>
      <c r="Q422" s="130"/>
      <c r="R422" s="130"/>
    </row>
    <row r="423">
      <c r="A423" s="130"/>
      <c r="B423" s="130"/>
      <c r="C423" s="130"/>
      <c r="D423" s="130"/>
      <c r="E423" s="130"/>
      <c r="F423" s="188"/>
      <c r="G423" s="130"/>
      <c r="H423" s="130"/>
      <c r="I423" s="130"/>
      <c r="J423" s="130"/>
      <c r="K423" s="130"/>
      <c r="L423" s="130"/>
      <c r="M423" s="130"/>
      <c r="N423" s="130"/>
      <c r="O423" s="130"/>
      <c r="P423" s="130"/>
      <c r="Q423" s="130"/>
      <c r="R423" s="130"/>
    </row>
    <row r="424">
      <c r="A424" s="130"/>
      <c r="B424" s="130"/>
      <c r="C424" s="130"/>
      <c r="D424" s="130"/>
      <c r="E424" s="130"/>
      <c r="F424" s="188"/>
      <c r="G424" s="130"/>
      <c r="H424" s="130"/>
      <c r="I424" s="130"/>
      <c r="J424" s="130"/>
      <c r="K424" s="130"/>
      <c r="L424" s="130"/>
      <c r="M424" s="130"/>
      <c r="N424" s="130"/>
      <c r="O424" s="130"/>
      <c r="P424" s="130"/>
      <c r="Q424" s="130"/>
      <c r="R424" s="130"/>
    </row>
    <row r="425">
      <c r="A425" s="130"/>
      <c r="B425" s="130"/>
      <c r="C425" s="130"/>
      <c r="D425" s="130"/>
      <c r="E425" s="130"/>
      <c r="F425" s="188"/>
      <c r="G425" s="130"/>
      <c r="H425" s="130"/>
      <c r="I425" s="130"/>
      <c r="J425" s="130"/>
      <c r="K425" s="130"/>
      <c r="L425" s="130"/>
      <c r="M425" s="130"/>
      <c r="N425" s="130"/>
      <c r="O425" s="130"/>
      <c r="P425" s="130"/>
      <c r="Q425" s="130"/>
      <c r="R425" s="130"/>
    </row>
    <row r="426">
      <c r="A426" s="130"/>
      <c r="B426" s="130"/>
      <c r="C426" s="130"/>
      <c r="D426" s="130"/>
      <c r="E426" s="130"/>
      <c r="F426" s="188"/>
      <c r="G426" s="130"/>
      <c r="H426" s="130"/>
      <c r="I426" s="130"/>
      <c r="J426" s="130"/>
      <c r="K426" s="130"/>
      <c r="L426" s="130"/>
      <c r="M426" s="130"/>
      <c r="N426" s="130"/>
      <c r="O426" s="130"/>
      <c r="P426" s="130"/>
      <c r="Q426" s="130"/>
      <c r="R426" s="130"/>
    </row>
    <row r="427">
      <c r="A427" s="130"/>
      <c r="B427" s="130"/>
      <c r="C427" s="130"/>
      <c r="D427" s="130"/>
      <c r="E427" s="130"/>
      <c r="F427" s="188"/>
      <c r="G427" s="130"/>
      <c r="H427" s="130"/>
      <c r="I427" s="130"/>
      <c r="J427" s="130"/>
      <c r="K427" s="130"/>
      <c r="L427" s="130"/>
      <c r="M427" s="130"/>
      <c r="N427" s="130"/>
      <c r="O427" s="130"/>
      <c r="P427" s="130"/>
      <c r="Q427" s="130"/>
      <c r="R427" s="130"/>
    </row>
    <row r="428">
      <c r="A428" s="130"/>
      <c r="B428" s="130"/>
      <c r="C428" s="130"/>
      <c r="D428" s="130"/>
      <c r="E428" s="130"/>
      <c r="F428" s="188"/>
      <c r="G428" s="130"/>
      <c r="H428" s="130"/>
      <c r="I428" s="130"/>
      <c r="J428" s="130"/>
      <c r="K428" s="130"/>
      <c r="L428" s="130"/>
      <c r="M428" s="130"/>
      <c r="N428" s="130"/>
      <c r="O428" s="130"/>
      <c r="P428" s="130"/>
      <c r="Q428" s="130"/>
      <c r="R428" s="130"/>
    </row>
    <row r="429">
      <c r="A429" s="130"/>
      <c r="B429" s="130"/>
      <c r="C429" s="130"/>
      <c r="D429" s="130"/>
      <c r="E429" s="130"/>
      <c r="F429" s="188"/>
      <c r="G429" s="130"/>
      <c r="H429" s="130"/>
      <c r="I429" s="130"/>
      <c r="J429" s="130"/>
      <c r="K429" s="130"/>
      <c r="L429" s="130"/>
      <c r="M429" s="130"/>
      <c r="N429" s="130"/>
      <c r="O429" s="130"/>
      <c r="P429" s="130"/>
      <c r="Q429" s="130"/>
      <c r="R429" s="130"/>
    </row>
    <row r="430">
      <c r="A430" s="130"/>
      <c r="B430" s="130"/>
      <c r="C430" s="130"/>
      <c r="D430" s="130"/>
      <c r="E430" s="130"/>
      <c r="F430" s="188"/>
      <c r="G430" s="130"/>
      <c r="H430" s="130"/>
      <c r="I430" s="130"/>
      <c r="J430" s="130"/>
      <c r="K430" s="130"/>
      <c r="L430" s="130"/>
      <c r="M430" s="130"/>
      <c r="N430" s="130"/>
      <c r="O430" s="130"/>
      <c r="P430" s="130"/>
      <c r="Q430" s="130"/>
      <c r="R430" s="130"/>
    </row>
    <row r="431">
      <c r="A431" s="130"/>
      <c r="B431" s="130"/>
      <c r="C431" s="130"/>
      <c r="D431" s="130"/>
      <c r="E431" s="130"/>
      <c r="F431" s="188"/>
      <c r="G431" s="130"/>
      <c r="H431" s="130"/>
      <c r="I431" s="130"/>
      <c r="J431" s="130"/>
      <c r="K431" s="130"/>
      <c r="L431" s="130"/>
      <c r="M431" s="130"/>
      <c r="N431" s="130"/>
      <c r="O431" s="130"/>
      <c r="P431" s="130"/>
      <c r="Q431" s="130"/>
      <c r="R431" s="130"/>
    </row>
    <row r="432">
      <c r="A432" s="130"/>
      <c r="B432" s="130"/>
      <c r="C432" s="130"/>
      <c r="D432" s="130"/>
      <c r="E432" s="130"/>
      <c r="F432" s="188"/>
      <c r="G432" s="130"/>
      <c r="H432" s="130"/>
      <c r="I432" s="130"/>
      <c r="J432" s="130"/>
      <c r="K432" s="130"/>
      <c r="L432" s="130"/>
      <c r="M432" s="130"/>
      <c r="N432" s="130"/>
      <c r="O432" s="130"/>
      <c r="P432" s="130"/>
      <c r="Q432" s="130"/>
      <c r="R432" s="130"/>
    </row>
    <row r="433">
      <c r="A433" s="130"/>
      <c r="B433" s="130"/>
      <c r="C433" s="130"/>
      <c r="D433" s="130"/>
      <c r="E433" s="130"/>
      <c r="F433" s="188"/>
      <c r="G433" s="130"/>
      <c r="H433" s="130"/>
      <c r="I433" s="130"/>
      <c r="J433" s="130"/>
      <c r="K433" s="130"/>
      <c r="L433" s="130"/>
      <c r="M433" s="130"/>
      <c r="N433" s="130"/>
      <c r="O433" s="130"/>
      <c r="P433" s="130"/>
      <c r="Q433" s="130"/>
      <c r="R433" s="130"/>
    </row>
    <row r="434">
      <c r="A434" s="130"/>
      <c r="B434" s="130"/>
      <c r="C434" s="130"/>
      <c r="D434" s="130"/>
      <c r="E434" s="130"/>
      <c r="F434" s="188"/>
      <c r="G434" s="130"/>
      <c r="H434" s="130"/>
      <c r="I434" s="130"/>
      <c r="J434" s="130"/>
      <c r="K434" s="130"/>
      <c r="L434" s="130"/>
      <c r="M434" s="130"/>
      <c r="N434" s="130"/>
      <c r="O434" s="130"/>
      <c r="P434" s="130"/>
      <c r="Q434" s="130"/>
      <c r="R434" s="130"/>
    </row>
    <row r="435">
      <c r="A435" s="130"/>
      <c r="B435" s="130"/>
      <c r="C435" s="130"/>
      <c r="D435" s="130"/>
      <c r="E435" s="130"/>
      <c r="F435" s="188"/>
      <c r="G435" s="130"/>
      <c r="H435" s="130"/>
      <c r="I435" s="130"/>
      <c r="J435" s="130"/>
      <c r="K435" s="130"/>
      <c r="L435" s="130"/>
      <c r="M435" s="130"/>
      <c r="N435" s="130"/>
      <c r="O435" s="130"/>
      <c r="P435" s="130"/>
      <c r="Q435" s="130"/>
      <c r="R435" s="130"/>
    </row>
    <row r="436">
      <c r="A436" s="130"/>
      <c r="B436" s="130"/>
      <c r="C436" s="130"/>
      <c r="D436" s="130"/>
      <c r="E436" s="130"/>
      <c r="F436" s="188"/>
      <c r="G436" s="130"/>
      <c r="H436" s="130"/>
      <c r="I436" s="130"/>
      <c r="J436" s="130"/>
      <c r="K436" s="130"/>
      <c r="L436" s="130"/>
      <c r="M436" s="130"/>
      <c r="N436" s="130"/>
      <c r="O436" s="130"/>
      <c r="P436" s="130"/>
      <c r="Q436" s="130"/>
      <c r="R436" s="130"/>
    </row>
    <row r="437">
      <c r="A437" s="130"/>
      <c r="B437" s="130"/>
      <c r="C437" s="130"/>
      <c r="D437" s="130"/>
      <c r="E437" s="130"/>
      <c r="F437" s="188"/>
      <c r="G437" s="130"/>
      <c r="H437" s="130"/>
      <c r="I437" s="130"/>
      <c r="J437" s="130"/>
      <c r="K437" s="130"/>
      <c r="L437" s="130"/>
      <c r="M437" s="130"/>
      <c r="N437" s="130"/>
      <c r="O437" s="130"/>
      <c r="P437" s="130"/>
      <c r="Q437" s="130"/>
      <c r="R437" s="130"/>
    </row>
    <row r="438">
      <c r="A438" s="130"/>
      <c r="B438" s="130"/>
      <c r="C438" s="130"/>
      <c r="D438" s="130"/>
      <c r="E438" s="130"/>
      <c r="F438" s="188"/>
      <c r="G438" s="130"/>
      <c r="H438" s="130"/>
      <c r="I438" s="130"/>
      <c r="J438" s="130"/>
      <c r="K438" s="130"/>
      <c r="L438" s="130"/>
      <c r="M438" s="130"/>
      <c r="N438" s="130"/>
      <c r="O438" s="130"/>
      <c r="P438" s="130"/>
      <c r="Q438" s="130"/>
      <c r="R438" s="130"/>
    </row>
    <row r="439">
      <c r="A439" s="130"/>
      <c r="B439" s="130"/>
      <c r="C439" s="130"/>
      <c r="D439" s="130"/>
      <c r="E439" s="130"/>
      <c r="F439" s="188"/>
      <c r="G439" s="130"/>
      <c r="H439" s="130"/>
      <c r="I439" s="130"/>
      <c r="J439" s="130"/>
      <c r="K439" s="130"/>
      <c r="L439" s="130"/>
      <c r="M439" s="130"/>
      <c r="N439" s="130"/>
      <c r="O439" s="130"/>
      <c r="P439" s="130"/>
      <c r="Q439" s="130"/>
      <c r="R439" s="130"/>
    </row>
    <row r="440">
      <c r="A440" s="130"/>
      <c r="B440" s="130"/>
      <c r="C440" s="130"/>
      <c r="D440" s="130"/>
      <c r="E440" s="130"/>
      <c r="F440" s="188"/>
      <c r="G440" s="130"/>
      <c r="H440" s="130"/>
      <c r="I440" s="130"/>
      <c r="J440" s="130"/>
      <c r="K440" s="130"/>
      <c r="L440" s="130"/>
      <c r="M440" s="130"/>
      <c r="N440" s="130"/>
      <c r="O440" s="130"/>
      <c r="P440" s="130"/>
      <c r="Q440" s="130"/>
      <c r="R440" s="130"/>
    </row>
    <row r="441">
      <c r="A441" s="130"/>
      <c r="B441" s="130"/>
      <c r="C441" s="130"/>
      <c r="D441" s="130"/>
      <c r="E441" s="130"/>
      <c r="F441" s="188"/>
      <c r="G441" s="130"/>
      <c r="H441" s="130"/>
      <c r="I441" s="130"/>
      <c r="J441" s="130"/>
      <c r="K441" s="130"/>
      <c r="L441" s="130"/>
      <c r="M441" s="130"/>
      <c r="N441" s="130"/>
      <c r="O441" s="130"/>
      <c r="P441" s="130"/>
      <c r="Q441" s="130"/>
      <c r="R441" s="130"/>
    </row>
    <row r="442">
      <c r="A442" s="130"/>
      <c r="B442" s="130"/>
      <c r="C442" s="130"/>
      <c r="D442" s="130"/>
      <c r="E442" s="130"/>
      <c r="F442" s="188"/>
      <c r="G442" s="130"/>
      <c r="H442" s="130"/>
      <c r="I442" s="130"/>
      <c r="J442" s="130"/>
      <c r="K442" s="130"/>
      <c r="L442" s="130"/>
      <c r="M442" s="130"/>
      <c r="N442" s="130"/>
      <c r="O442" s="130"/>
      <c r="P442" s="130"/>
      <c r="Q442" s="130"/>
      <c r="R442" s="130"/>
    </row>
    <row r="443">
      <c r="A443" s="130"/>
      <c r="B443" s="130"/>
      <c r="C443" s="130"/>
      <c r="D443" s="130"/>
      <c r="E443" s="130"/>
      <c r="F443" s="188"/>
      <c r="G443" s="130"/>
      <c r="H443" s="130"/>
      <c r="I443" s="130"/>
      <c r="J443" s="130"/>
      <c r="K443" s="130"/>
      <c r="L443" s="130"/>
      <c r="M443" s="130"/>
      <c r="N443" s="130"/>
      <c r="O443" s="130"/>
      <c r="P443" s="130"/>
      <c r="Q443" s="130"/>
      <c r="R443" s="130"/>
    </row>
    <row r="444">
      <c r="A444" s="130"/>
      <c r="B444" s="130"/>
      <c r="C444" s="130"/>
      <c r="D444" s="130"/>
      <c r="E444" s="130"/>
      <c r="F444" s="188"/>
      <c r="G444" s="130"/>
      <c r="H444" s="130"/>
      <c r="I444" s="130"/>
      <c r="J444" s="130"/>
      <c r="K444" s="130"/>
      <c r="L444" s="130"/>
      <c r="M444" s="130"/>
      <c r="N444" s="130"/>
      <c r="O444" s="130"/>
      <c r="P444" s="130"/>
      <c r="Q444" s="130"/>
      <c r="R444" s="130"/>
    </row>
    <row r="445">
      <c r="A445" s="130"/>
      <c r="B445" s="130"/>
      <c r="C445" s="130"/>
      <c r="D445" s="130"/>
      <c r="E445" s="130"/>
      <c r="F445" s="188"/>
      <c r="G445" s="130"/>
      <c r="H445" s="130"/>
      <c r="I445" s="130"/>
      <c r="J445" s="130"/>
      <c r="K445" s="130"/>
      <c r="L445" s="130"/>
      <c r="M445" s="130"/>
      <c r="N445" s="130"/>
      <c r="O445" s="130"/>
      <c r="P445" s="130"/>
      <c r="Q445" s="130"/>
      <c r="R445" s="130"/>
    </row>
    <row r="446">
      <c r="A446" s="130"/>
      <c r="B446" s="130"/>
      <c r="C446" s="130"/>
      <c r="D446" s="130"/>
      <c r="E446" s="130"/>
      <c r="F446" s="188"/>
      <c r="G446" s="130"/>
      <c r="H446" s="130"/>
      <c r="I446" s="130"/>
      <c r="J446" s="130"/>
      <c r="K446" s="130"/>
      <c r="L446" s="130"/>
      <c r="M446" s="130"/>
      <c r="N446" s="130"/>
      <c r="O446" s="130"/>
      <c r="P446" s="130"/>
      <c r="Q446" s="130"/>
      <c r="R446" s="130"/>
    </row>
    <row r="447">
      <c r="A447" s="130"/>
      <c r="B447" s="130"/>
      <c r="C447" s="130"/>
      <c r="D447" s="130"/>
      <c r="E447" s="130"/>
      <c r="F447" s="188"/>
      <c r="G447" s="130"/>
      <c r="H447" s="130"/>
      <c r="I447" s="130"/>
      <c r="J447" s="130"/>
      <c r="K447" s="130"/>
      <c r="L447" s="130"/>
      <c r="M447" s="130"/>
      <c r="N447" s="130"/>
      <c r="O447" s="130"/>
      <c r="P447" s="130"/>
      <c r="Q447" s="130"/>
      <c r="R447" s="130"/>
    </row>
    <row r="448">
      <c r="A448" s="130"/>
      <c r="B448" s="130"/>
      <c r="C448" s="130"/>
      <c r="D448" s="130"/>
      <c r="E448" s="130"/>
      <c r="F448" s="188"/>
      <c r="G448" s="130"/>
      <c r="H448" s="130"/>
      <c r="I448" s="130"/>
      <c r="J448" s="130"/>
      <c r="K448" s="130"/>
      <c r="L448" s="130"/>
      <c r="M448" s="130"/>
      <c r="N448" s="130"/>
      <c r="O448" s="130"/>
      <c r="P448" s="130"/>
      <c r="Q448" s="130"/>
      <c r="R448" s="130"/>
    </row>
    <row r="449">
      <c r="A449" s="130"/>
      <c r="B449" s="130"/>
      <c r="C449" s="130"/>
      <c r="D449" s="130"/>
      <c r="E449" s="130"/>
      <c r="F449" s="188"/>
      <c r="G449" s="130"/>
      <c r="H449" s="130"/>
      <c r="I449" s="130"/>
      <c r="J449" s="130"/>
      <c r="K449" s="130"/>
      <c r="L449" s="130"/>
      <c r="M449" s="130"/>
      <c r="N449" s="130"/>
      <c r="O449" s="130"/>
      <c r="P449" s="130"/>
      <c r="Q449" s="130"/>
      <c r="R449" s="130"/>
    </row>
    <row r="450">
      <c r="A450" s="130"/>
      <c r="B450" s="130"/>
      <c r="C450" s="130"/>
      <c r="D450" s="130"/>
      <c r="E450" s="130"/>
      <c r="F450" s="188"/>
      <c r="G450" s="130"/>
      <c r="H450" s="130"/>
      <c r="I450" s="130"/>
      <c r="J450" s="130"/>
      <c r="K450" s="130"/>
      <c r="L450" s="130"/>
      <c r="M450" s="130"/>
      <c r="N450" s="130"/>
      <c r="O450" s="130"/>
      <c r="P450" s="130"/>
      <c r="Q450" s="130"/>
      <c r="R450" s="130"/>
    </row>
    <row r="451">
      <c r="A451" s="130"/>
      <c r="B451" s="130"/>
      <c r="C451" s="130"/>
      <c r="D451" s="130"/>
      <c r="E451" s="130"/>
      <c r="F451" s="188"/>
      <c r="G451" s="130"/>
      <c r="H451" s="130"/>
      <c r="I451" s="130"/>
      <c r="J451" s="130"/>
      <c r="K451" s="130"/>
      <c r="L451" s="130"/>
      <c r="M451" s="130"/>
      <c r="N451" s="130"/>
      <c r="O451" s="130"/>
      <c r="P451" s="130"/>
      <c r="Q451" s="130"/>
      <c r="R451" s="130"/>
    </row>
    <row r="452">
      <c r="A452" s="130"/>
      <c r="B452" s="130"/>
      <c r="C452" s="130"/>
      <c r="D452" s="130"/>
      <c r="E452" s="130"/>
      <c r="F452" s="188"/>
      <c r="G452" s="130"/>
      <c r="H452" s="130"/>
      <c r="I452" s="130"/>
      <c r="J452" s="130"/>
      <c r="K452" s="130"/>
      <c r="L452" s="130"/>
      <c r="M452" s="130"/>
      <c r="N452" s="130"/>
      <c r="O452" s="130"/>
      <c r="P452" s="130"/>
      <c r="Q452" s="130"/>
      <c r="R452" s="130"/>
    </row>
    <row r="453">
      <c r="A453" s="130"/>
      <c r="B453" s="130"/>
      <c r="C453" s="130"/>
      <c r="D453" s="130"/>
      <c r="E453" s="130"/>
      <c r="F453" s="188"/>
      <c r="G453" s="130"/>
      <c r="H453" s="130"/>
      <c r="I453" s="130"/>
      <c r="J453" s="130"/>
      <c r="K453" s="130"/>
      <c r="L453" s="130"/>
      <c r="M453" s="130"/>
      <c r="N453" s="130"/>
      <c r="O453" s="130"/>
      <c r="P453" s="130"/>
      <c r="Q453" s="130"/>
      <c r="R453" s="130"/>
    </row>
    <row r="454">
      <c r="A454" s="130"/>
      <c r="B454" s="130"/>
      <c r="C454" s="130"/>
      <c r="D454" s="130"/>
      <c r="E454" s="130"/>
      <c r="F454" s="188"/>
      <c r="G454" s="130"/>
      <c r="H454" s="130"/>
      <c r="I454" s="130"/>
      <c r="J454" s="130"/>
      <c r="K454" s="130"/>
      <c r="L454" s="130"/>
      <c r="M454" s="130"/>
      <c r="N454" s="130"/>
      <c r="O454" s="130"/>
      <c r="P454" s="130"/>
      <c r="Q454" s="130"/>
      <c r="R454" s="130"/>
    </row>
    <row r="455">
      <c r="A455" s="130"/>
      <c r="B455" s="130"/>
      <c r="C455" s="130"/>
      <c r="D455" s="130"/>
      <c r="E455" s="130"/>
      <c r="F455" s="188"/>
      <c r="G455" s="130"/>
      <c r="H455" s="130"/>
      <c r="I455" s="130"/>
      <c r="J455" s="130"/>
      <c r="K455" s="130"/>
      <c r="L455" s="130"/>
      <c r="M455" s="130"/>
      <c r="N455" s="130"/>
      <c r="O455" s="130"/>
      <c r="P455" s="130"/>
      <c r="Q455" s="130"/>
      <c r="R455" s="130"/>
    </row>
    <row r="456">
      <c r="A456" s="130"/>
      <c r="B456" s="130"/>
      <c r="C456" s="130"/>
      <c r="D456" s="130"/>
      <c r="E456" s="130"/>
      <c r="F456" s="188"/>
      <c r="G456" s="130"/>
      <c r="H456" s="130"/>
      <c r="I456" s="130"/>
      <c r="J456" s="130"/>
      <c r="K456" s="130"/>
      <c r="L456" s="130"/>
      <c r="M456" s="130"/>
      <c r="N456" s="130"/>
      <c r="O456" s="130"/>
      <c r="P456" s="130"/>
      <c r="Q456" s="130"/>
      <c r="R456" s="130"/>
    </row>
    <row r="457">
      <c r="A457" s="130"/>
      <c r="B457" s="130"/>
      <c r="C457" s="130"/>
      <c r="D457" s="130"/>
      <c r="E457" s="130"/>
      <c r="F457" s="188"/>
      <c r="G457" s="130"/>
      <c r="H457" s="130"/>
      <c r="I457" s="130"/>
      <c r="J457" s="130"/>
      <c r="K457" s="130"/>
      <c r="L457" s="130"/>
      <c r="M457" s="130"/>
      <c r="N457" s="130"/>
      <c r="O457" s="130"/>
      <c r="P457" s="130"/>
      <c r="Q457" s="130"/>
      <c r="R457" s="130"/>
    </row>
    <row r="458">
      <c r="A458" s="130"/>
      <c r="B458" s="130"/>
      <c r="C458" s="130"/>
      <c r="D458" s="130"/>
      <c r="E458" s="130"/>
      <c r="F458" s="188"/>
      <c r="G458" s="130"/>
      <c r="H458" s="130"/>
      <c r="I458" s="130"/>
      <c r="J458" s="130"/>
      <c r="K458" s="130"/>
      <c r="L458" s="130"/>
      <c r="M458" s="130"/>
      <c r="N458" s="130"/>
      <c r="O458" s="130"/>
      <c r="P458" s="130"/>
      <c r="Q458" s="130"/>
      <c r="R458" s="130"/>
    </row>
    <row r="459">
      <c r="A459" s="130"/>
      <c r="B459" s="130"/>
      <c r="C459" s="130"/>
      <c r="D459" s="130"/>
      <c r="E459" s="130"/>
      <c r="F459" s="188"/>
      <c r="G459" s="130"/>
      <c r="H459" s="130"/>
      <c r="I459" s="130"/>
      <c r="J459" s="130"/>
      <c r="K459" s="130"/>
      <c r="L459" s="130"/>
      <c r="M459" s="130"/>
      <c r="N459" s="130"/>
      <c r="O459" s="130"/>
      <c r="P459" s="130"/>
      <c r="Q459" s="130"/>
      <c r="R459" s="130"/>
    </row>
    <row r="460">
      <c r="A460" s="130"/>
      <c r="B460" s="130"/>
      <c r="C460" s="130"/>
      <c r="D460" s="130"/>
      <c r="E460" s="130"/>
      <c r="F460" s="188"/>
      <c r="G460" s="130"/>
      <c r="H460" s="130"/>
      <c r="I460" s="130"/>
      <c r="J460" s="130"/>
      <c r="K460" s="130"/>
      <c r="L460" s="130"/>
      <c r="M460" s="130"/>
      <c r="N460" s="130"/>
      <c r="O460" s="130"/>
      <c r="P460" s="130"/>
      <c r="Q460" s="130"/>
      <c r="R460" s="130"/>
    </row>
    <row r="461">
      <c r="A461" s="130"/>
      <c r="B461" s="130"/>
      <c r="C461" s="130"/>
      <c r="D461" s="130"/>
      <c r="E461" s="130"/>
      <c r="F461" s="188"/>
      <c r="G461" s="130"/>
      <c r="H461" s="130"/>
      <c r="I461" s="130"/>
      <c r="J461" s="130"/>
      <c r="K461" s="130"/>
      <c r="L461" s="130"/>
      <c r="M461" s="130"/>
      <c r="N461" s="130"/>
      <c r="O461" s="130"/>
      <c r="P461" s="130"/>
      <c r="Q461" s="130"/>
      <c r="R461" s="130"/>
    </row>
    <row r="462">
      <c r="A462" s="130"/>
      <c r="B462" s="130"/>
      <c r="C462" s="130"/>
      <c r="D462" s="130"/>
      <c r="E462" s="130"/>
      <c r="F462" s="188"/>
      <c r="G462" s="130"/>
      <c r="H462" s="130"/>
      <c r="I462" s="130"/>
      <c r="J462" s="130"/>
      <c r="K462" s="130"/>
      <c r="L462" s="130"/>
      <c r="M462" s="130"/>
      <c r="N462" s="130"/>
      <c r="O462" s="130"/>
      <c r="P462" s="130"/>
      <c r="Q462" s="130"/>
      <c r="R462" s="130"/>
    </row>
    <row r="463">
      <c r="A463" s="130"/>
      <c r="B463" s="130"/>
      <c r="C463" s="130"/>
      <c r="D463" s="130"/>
      <c r="E463" s="130"/>
      <c r="F463" s="188"/>
      <c r="G463" s="130"/>
      <c r="H463" s="130"/>
      <c r="I463" s="130"/>
      <c r="J463" s="130"/>
      <c r="K463" s="130"/>
      <c r="L463" s="130"/>
      <c r="M463" s="130"/>
      <c r="N463" s="130"/>
      <c r="O463" s="130"/>
      <c r="P463" s="130"/>
      <c r="Q463" s="130"/>
      <c r="R463" s="130"/>
    </row>
    <row r="464">
      <c r="A464" s="130"/>
      <c r="B464" s="130"/>
      <c r="C464" s="130"/>
      <c r="D464" s="130"/>
      <c r="E464" s="130"/>
      <c r="F464" s="188"/>
      <c r="G464" s="130"/>
      <c r="H464" s="130"/>
      <c r="I464" s="130"/>
      <c r="J464" s="130"/>
      <c r="K464" s="130"/>
      <c r="L464" s="130"/>
      <c r="M464" s="130"/>
      <c r="N464" s="130"/>
      <c r="O464" s="130"/>
      <c r="P464" s="130"/>
      <c r="Q464" s="130"/>
      <c r="R464" s="130"/>
    </row>
    <row r="465">
      <c r="A465" s="130"/>
      <c r="B465" s="130"/>
      <c r="C465" s="130"/>
      <c r="D465" s="130"/>
      <c r="E465" s="130"/>
      <c r="F465" s="188"/>
      <c r="G465" s="130"/>
      <c r="H465" s="130"/>
      <c r="I465" s="130"/>
      <c r="J465" s="130"/>
      <c r="K465" s="130"/>
      <c r="L465" s="130"/>
      <c r="M465" s="130"/>
      <c r="N465" s="130"/>
      <c r="O465" s="130"/>
      <c r="P465" s="130"/>
      <c r="Q465" s="130"/>
      <c r="R465" s="130"/>
    </row>
    <row r="466">
      <c r="A466" s="130"/>
      <c r="B466" s="130"/>
      <c r="C466" s="130"/>
      <c r="D466" s="130"/>
      <c r="E466" s="130"/>
      <c r="F466" s="188"/>
      <c r="G466" s="130"/>
      <c r="H466" s="130"/>
      <c r="I466" s="130"/>
      <c r="J466" s="130"/>
      <c r="K466" s="130"/>
      <c r="L466" s="130"/>
      <c r="M466" s="130"/>
      <c r="N466" s="130"/>
      <c r="O466" s="130"/>
      <c r="P466" s="130"/>
      <c r="Q466" s="130"/>
      <c r="R466" s="130"/>
    </row>
    <row r="467">
      <c r="A467" s="130"/>
      <c r="B467" s="130"/>
      <c r="C467" s="130"/>
      <c r="D467" s="130"/>
      <c r="E467" s="130"/>
      <c r="F467" s="188"/>
      <c r="G467" s="130"/>
      <c r="H467" s="130"/>
      <c r="I467" s="130"/>
      <c r="J467" s="130"/>
      <c r="K467" s="130"/>
      <c r="L467" s="130"/>
      <c r="M467" s="130"/>
      <c r="N467" s="130"/>
      <c r="O467" s="130"/>
      <c r="P467" s="130"/>
      <c r="Q467" s="130"/>
      <c r="R467" s="130"/>
    </row>
    <row r="468">
      <c r="A468" s="130"/>
      <c r="B468" s="130"/>
      <c r="C468" s="130"/>
      <c r="D468" s="130"/>
      <c r="E468" s="130"/>
      <c r="F468" s="188"/>
      <c r="G468" s="130"/>
      <c r="H468" s="130"/>
      <c r="I468" s="130"/>
      <c r="J468" s="130"/>
      <c r="K468" s="130"/>
      <c r="L468" s="130"/>
      <c r="M468" s="130"/>
      <c r="N468" s="130"/>
      <c r="O468" s="130"/>
      <c r="P468" s="130"/>
      <c r="Q468" s="130"/>
      <c r="R468" s="130"/>
    </row>
    <row r="469">
      <c r="A469" s="130"/>
      <c r="B469" s="130"/>
      <c r="C469" s="130"/>
      <c r="D469" s="130"/>
      <c r="E469" s="130"/>
      <c r="F469" s="188"/>
      <c r="G469" s="130"/>
      <c r="H469" s="130"/>
      <c r="I469" s="130"/>
      <c r="J469" s="130"/>
      <c r="K469" s="130"/>
      <c r="L469" s="130"/>
      <c r="M469" s="130"/>
      <c r="N469" s="130"/>
      <c r="O469" s="130"/>
      <c r="P469" s="130"/>
      <c r="Q469" s="130"/>
      <c r="R469" s="130"/>
    </row>
    <row r="470">
      <c r="A470" s="130"/>
      <c r="B470" s="130"/>
      <c r="C470" s="130"/>
      <c r="D470" s="130"/>
      <c r="E470" s="130"/>
      <c r="F470" s="188"/>
      <c r="G470" s="130"/>
      <c r="H470" s="130"/>
      <c r="I470" s="130"/>
      <c r="J470" s="130"/>
      <c r="K470" s="130"/>
      <c r="L470" s="130"/>
      <c r="M470" s="130"/>
      <c r="N470" s="130"/>
      <c r="O470" s="130"/>
      <c r="P470" s="130"/>
      <c r="Q470" s="130"/>
      <c r="R470" s="130"/>
    </row>
    <row r="471">
      <c r="A471" s="130"/>
      <c r="B471" s="130"/>
      <c r="C471" s="130"/>
      <c r="D471" s="130"/>
      <c r="E471" s="130"/>
      <c r="F471" s="188"/>
      <c r="G471" s="130"/>
      <c r="H471" s="130"/>
      <c r="I471" s="130"/>
      <c r="J471" s="130"/>
      <c r="K471" s="130"/>
      <c r="L471" s="130"/>
      <c r="M471" s="130"/>
      <c r="N471" s="130"/>
      <c r="O471" s="130"/>
      <c r="P471" s="130"/>
      <c r="Q471" s="130"/>
      <c r="R471" s="130"/>
    </row>
    <row r="472">
      <c r="A472" s="130"/>
      <c r="B472" s="130"/>
      <c r="C472" s="130"/>
      <c r="D472" s="130"/>
      <c r="E472" s="130"/>
      <c r="F472" s="188"/>
      <c r="G472" s="130"/>
      <c r="H472" s="130"/>
      <c r="I472" s="130"/>
      <c r="J472" s="130"/>
      <c r="K472" s="130"/>
      <c r="L472" s="130"/>
      <c r="M472" s="130"/>
      <c r="N472" s="130"/>
      <c r="O472" s="130"/>
      <c r="P472" s="130"/>
      <c r="Q472" s="130"/>
      <c r="R472" s="130"/>
    </row>
    <row r="473">
      <c r="A473" s="130"/>
      <c r="B473" s="130"/>
      <c r="C473" s="130"/>
      <c r="D473" s="130"/>
      <c r="E473" s="130"/>
      <c r="F473" s="188"/>
      <c r="G473" s="130"/>
      <c r="H473" s="130"/>
      <c r="I473" s="130"/>
      <c r="J473" s="130"/>
      <c r="K473" s="130"/>
      <c r="L473" s="130"/>
      <c r="M473" s="130"/>
      <c r="N473" s="130"/>
      <c r="O473" s="130"/>
      <c r="P473" s="130"/>
      <c r="Q473" s="130"/>
      <c r="R473" s="130"/>
    </row>
    <row r="474">
      <c r="A474" s="130"/>
      <c r="B474" s="130"/>
      <c r="C474" s="130"/>
      <c r="D474" s="130"/>
      <c r="E474" s="130"/>
      <c r="F474" s="188"/>
      <c r="G474" s="130"/>
      <c r="H474" s="130"/>
      <c r="I474" s="130"/>
      <c r="J474" s="130"/>
      <c r="K474" s="130"/>
      <c r="L474" s="130"/>
      <c r="M474" s="130"/>
      <c r="N474" s="130"/>
      <c r="O474" s="130"/>
      <c r="P474" s="130"/>
      <c r="Q474" s="130"/>
      <c r="R474" s="130"/>
    </row>
    <row r="475">
      <c r="A475" s="130"/>
      <c r="B475" s="130"/>
      <c r="C475" s="130"/>
      <c r="D475" s="130"/>
      <c r="E475" s="130"/>
      <c r="F475" s="188"/>
      <c r="G475" s="130"/>
      <c r="H475" s="130"/>
      <c r="I475" s="130"/>
      <c r="J475" s="130"/>
      <c r="K475" s="130"/>
      <c r="L475" s="130"/>
      <c r="M475" s="130"/>
      <c r="N475" s="130"/>
      <c r="O475" s="130"/>
      <c r="P475" s="130"/>
      <c r="Q475" s="130"/>
      <c r="R475" s="130"/>
    </row>
    <row r="476">
      <c r="A476" s="130"/>
      <c r="B476" s="130"/>
      <c r="C476" s="130"/>
      <c r="D476" s="130"/>
      <c r="E476" s="130"/>
      <c r="F476" s="188"/>
      <c r="G476" s="130"/>
      <c r="H476" s="130"/>
      <c r="I476" s="130"/>
      <c r="J476" s="130"/>
      <c r="K476" s="130"/>
      <c r="L476" s="130"/>
      <c r="M476" s="130"/>
      <c r="N476" s="130"/>
      <c r="O476" s="130"/>
      <c r="P476" s="130"/>
      <c r="Q476" s="130"/>
      <c r="R476" s="130"/>
    </row>
    <row r="477">
      <c r="A477" s="130"/>
      <c r="B477" s="130"/>
      <c r="C477" s="130"/>
      <c r="D477" s="130"/>
      <c r="E477" s="130"/>
      <c r="F477" s="188"/>
      <c r="G477" s="130"/>
      <c r="H477" s="130"/>
      <c r="I477" s="130"/>
      <c r="J477" s="130"/>
      <c r="K477" s="130"/>
      <c r="L477" s="130"/>
      <c r="M477" s="130"/>
      <c r="N477" s="130"/>
      <c r="O477" s="130"/>
      <c r="P477" s="130"/>
      <c r="Q477" s="130"/>
      <c r="R477" s="130"/>
    </row>
    <row r="478">
      <c r="A478" s="130"/>
      <c r="B478" s="130"/>
      <c r="C478" s="130"/>
      <c r="D478" s="130"/>
      <c r="E478" s="130"/>
      <c r="F478" s="188"/>
      <c r="G478" s="130"/>
      <c r="H478" s="130"/>
      <c r="I478" s="130"/>
      <c r="J478" s="130"/>
      <c r="K478" s="130"/>
      <c r="L478" s="130"/>
      <c r="M478" s="130"/>
      <c r="N478" s="130"/>
      <c r="O478" s="130"/>
      <c r="P478" s="130"/>
      <c r="Q478" s="130"/>
      <c r="R478" s="130"/>
    </row>
    <row r="479">
      <c r="A479" s="130"/>
      <c r="B479" s="130"/>
      <c r="C479" s="130"/>
      <c r="D479" s="130"/>
      <c r="E479" s="130"/>
      <c r="F479" s="188"/>
      <c r="G479" s="130"/>
      <c r="H479" s="130"/>
      <c r="I479" s="130"/>
      <c r="J479" s="130"/>
      <c r="K479" s="130"/>
      <c r="L479" s="130"/>
      <c r="M479" s="130"/>
      <c r="N479" s="130"/>
      <c r="O479" s="130"/>
      <c r="P479" s="130"/>
      <c r="Q479" s="130"/>
      <c r="R479" s="130"/>
    </row>
    <row r="480">
      <c r="A480" s="130"/>
      <c r="B480" s="130"/>
      <c r="C480" s="130"/>
      <c r="D480" s="130"/>
      <c r="E480" s="130"/>
      <c r="F480" s="188"/>
      <c r="G480" s="130"/>
      <c r="H480" s="130"/>
      <c r="I480" s="130"/>
      <c r="J480" s="130"/>
      <c r="K480" s="130"/>
      <c r="L480" s="130"/>
      <c r="M480" s="130"/>
      <c r="N480" s="130"/>
      <c r="O480" s="130"/>
      <c r="P480" s="130"/>
      <c r="Q480" s="130"/>
      <c r="R480" s="130"/>
    </row>
    <row r="481">
      <c r="A481" s="130"/>
      <c r="B481" s="130"/>
      <c r="C481" s="130"/>
      <c r="D481" s="130"/>
      <c r="E481" s="130"/>
      <c r="F481" s="188"/>
      <c r="G481" s="130"/>
      <c r="H481" s="130"/>
      <c r="I481" s="130"/>
      <c r="J481" s="130"/>
      <c r="K481" s="130"/>
      <c r="L481" s="130"/>
      <c r="M481" s="130"/>
      <c r="N481" s="130"/>
      <c r="O481" s="130"/>
      <c r="P481" s="130"/>
      <c r="Q481" s="130"/>
      <c r="R481" s="130"/>
    </row>
    <row r="482">
      <c r="A482" s="130"/>
      <c r="B482" s="130"/>
      <c r="C482" s="130"/>
      <c r="D482" s="130"/>
      <c r="E482" s="130"/>
      <c r="F482" s="188"/>
      <c r="G482" s="130"/>
      <c r="H482" s="130"/>
      <c r="I482" s="130"/>
      <c r="J482" s="130"/>
      <c r="K482" s="130"/>
      <c r="L482" s="130"/>
      <c r="M482" s="130"/>
      <c r="N482" s="130"/>
      <c r="O482" s="130"/>
      <c r="P482" s="130"/>
      <c r="Q482" s="130"/>
      <c r="R482" s="130"/>
    </row>
    <row r="483">
      <c r="A483" s="130"/>
      <c r="B483" s="130"/>
      <c r="C483" s="130"/>
      <c r="D483" s="130"/>
      <c r="E483" s="130"/>
      <c r="F483" s="188"/>
      <c r="G483" s="130"/>
      <c r="H483" s="130"/>
      <c r="I483" s="130"/>
      <c r="J483" s="130"/>
      <c r="K483" s="130"/>
      <c r="L483" s="130"/>
      <c r="M483" s="130"/>
      <c r="N483" s="130"/>
      <c r="O483" s="130"/>
      <c r="P483" s="130"/>
      <c r="Q483" s="130"/>
      <c r="R483" s="130"/>
    </row>
    <row r="484">
      <c r="A484" s="130"/>
      <c r="B484" s="130"/>
      <c r="C484" s="130"/>
      <c r="D484" s="130"/>
      <c r="E484" s="130"/>
      <c r="F484" s="188"/>
      <c r="G484" s="130"/>
      <c r="H484" s="130"/>
      <c r="I484" s="130"/>
      <c r="J484" s="130"/>
      <c r="K484" s="130"/>
      <c r="L484" s="130"/>
      <c r="M484" s="130"/>
      <c r="N484" s="130"/>
      <c r="O484" s="130"/>
      <c r="P484" s="130"/>
      <c r="Q484" s="130"/>
      <c r="R484" s="130"/>
    </row>
    <row r="485">
      <c r="A485" s="130"/>
      <c r="B485" s="130"/>
      <c r="C485" s="130"/>
      <c r="D485" s="130"/>
      <c r="E485" s="130"/>
      <c r="F485" s="188"/>
      <c r="G485" s="130"/>
      <c r="H485" s="130"/>
      <c r="I485" s="130"/>
      <c r="J485" s="130"/>
      <c r="K485" s="130"/>
      <c r="L485" s="130"/>
      <c r="M485" s="130"/>
      <c r="N485" s="130"/>
      <c r="O485" s="130"/>
      <c r="P485" s="130"/>
      <c r="Q485" s="130"/>
      <c r="R485" s="130"/>
    </row>
    <row r="486">
      <c r="A486" s="130"/>
      <c r="B486" s="130"/>
      <c r="C486" s="130"/>
      <c r="D486" s="130"/>
      <c r="E486" s="130"/>
      <c r="F486" s="188"/>
      <c r="G486" s="130"/>
      <c r="H486" s="130"/>
      <c r="I486" s="130"/>
      <c r="J486" s="130"/>
      <c r="K486" s="130"/>
      <c r="L486" s="130"/>
      <c r="M486" s="130"/>
      <c r="N486" s="130"/>
      <c r="O486" s="130"/>
      <c r="P486" s="130"/>
      <c r="Q486" s="130"/>
      <c r="R486" s="130"/>
    </row>
    <row r="487">
      <c r="A487" s="130"/>
      <c r="B487" s="130"/>
      <c r="C487" s="130"/>
      <c r="D487" s="130"/>
      <c r="E487" s="130"/>
      <c r="F487" s="188"/>
      <c r="G487" s="130"/>
      <c r="H487" s="130"/>
      <c r="I487" s="130"/>
      <c r="J487" s="130"/>
      <c r="K487" s="130"/>
      <c r="L487" s="130"/>
      <c r="M487" s="130"/>
      <c r="N487" s="130"/>
      <c r="O487" s="130"/>
      <c r="P487" s="130"/>
      <c r="Q487" s="130"/>
      <c r="R487" s="130"/>
    </row>
    <row r="488">
      <c r="A488" s="130"/>
      <c r="B488" s="130"/>
      <c r="C488" s="130"/>
      <c r="D488" s="130"/>
      <c r="E488" s="130"/>
      <c r="F488" s="188"/>
      <c r="G488" s="130"/>
      <c r="H488" s="130"/>
      <c r="I488" s="130"/>
      <c r="J488" s="130"/>
      <c r="K488" s="130"/>
      <c r="L488" s="130"/>
      <c r="M488" s="130"/>
      <c r="N488" s="130"/>
      <c r="O488" s="130"/>
      <c r="P488" s="130"/>
      <c r="Q488" s="130"/>
      <c r="R488" s="130"/>
    </row>
    <row r="489">
      <c r="A489" s="130"/>
      <c r="B489" s="130"/>
      <c r="C489" s="130"/>
      <c r="D489" s="130"/>
      <c r="E489" s="130"/>
      <c r="F489" s="188"/>
      <c r="G489" s="130"/>
      <c r="H489" s="130"/>
      <c r="I489" s="130"/>
      <c r="J489" s="130"/>
      <c r="K489" s="130"/>
      <c r="L489" s="130"/>
      <c r="M489" s="130"/>
      <c r="N489" s="130"/>
      <c r="O489" s="130"/>
      <c r="P489" s="130"/>
      <c r="Q489" s="130"/>
      <c r="R489" s="130"/>
    </row>
    <row r="490">
      <c r="A490" s="130"/>
      <c r="B490" s="130"/>
      <c r="C490" s="130"/>
      <c r="D490" s="130"/>
      <c r="E490" s="130"/>
      <c r="F490" s="188"/>
      <c r="G490" s="130"/>
      <c r="H490" s="130"/>
      <c r="I490" s="130"/>
      <c r="J490" s="130"/>
      <c r="K490" s="130"/>
      <c r="L490" s="130"/>
      <c r="M490" s="130"/>
      <c r="N490" s="130"/>
      <c r="O490" s="130"/>
      <c r="P490" s="130"/>
      <c r="Q490" s="130"/>
      <c r="R490" s="130"/>
    </row>
    <row r="491">
      <c r="A491" s="130"/>
      <c r="B491" s="130"/>
      <c r="C491" s="130"/>
      <c r="D491" s="130"/>
      <c r="E491" s="130"/>
      <c r="F491" s="188"/>
      <c r="G491" s="130"/>
      <c r="H491" s="130"/>
      <c r="I491" s="130"/>
      <c r="J491" s="130"/>
      <c r="K491" s="130"/>
      <c r="L491" s="130"/>
      <c r="M491" s="130"/>
      <c r="N491" s="130"/>
      <c r="O491" s="130"/>
      <c r="P491" s="130"/>
      <c r="Q491" s="130"/>
      <c r="R491" s="130"/>
    </row>
    <row r="492">
      <c r="A492" s="130"/>
      <c r="B492" s="130"/>
      <c r="C492" s="130"/>
      <c r="D492" s="130"/>
      <c r="E492" s="130"/>
      <c r="F492" s="188"/>
      <c r="G492" s="130"/>
      <c r="H492" s="130"/>
      <c r="I492" s="130"/>
      <c r="J492" s="130"/>
      <c r="K492" s="130"/>
      <c r="L492" s="130"/>
      <c r="M492" s="130"/>
      <c r="N492" s="130"/>
      <c r="O492" s="130"/>
      <c r="P492" s="130"/>
      <c r="Q492" s="130"/>
      <c r="R492" s="130"/>
    </row>
    <row r="493">
      <c r="A493" s="130"/>
      <c r="B493" s="130"/>
      <c r="C493" s="130"/>
      <c r="D493" s="130"/>
      <c r="E493" s="130"/>
      <c r="F493" s="188"/>
      <c r="G493" s="130"/>
      <c r="H493" s="130"/>
      <c r="I493" s="130"/>
      <c r="J493" s="130"/>
      <c r="K493" s="130"/>
      <c r="L493" s="130"/>
      <c r="M493" s="130"/>
      <c r="N493" s="130"/>
      <c r="O493" s="130"/>
      <c r="P493" s="130"/>
      <c r="Q493" s="130"/>
      <c r="R493" s="130"/>
    </row>
    <row r="494">
      <c r="A494" s="130"/>
      <c r="B494" s="130"/>
      <c r="C494" s="130"/>
      <c r="D494" s="130"/>
      <c r="E494" s="130"/>
      <c r="F494" s="188"/>
      <c r="G494" s="130"/>
      <c r="H494" s="130"/>
      <c r="I494" s="130"/>
      <c r="J494" s="130"/>
      <c r="K494" s="130"/>
      <c r="L494" s="130"/>
      <c r="M494" s="130"/>
      <c r="N494" s="130"/>
      <c r="O494" s="130"/>
      <c r="P494" s="130"/>
      <c r="Q494" s="130"/>
      <c r="R494" s="130"/>
    </row>
    <row r="495">
      <c r="A495" s="130"/>
      <c r="B495" s="130"/>
      <c r="C495" s="130"/>
      <c r="D495" s="130"/>
      <c r="E495" s="130"/>
      <c r="F495" s="188"/>
      <c r="G495" s="130"/>
      <c r="H495" s="130"/>
      <c r="I495" s="130"/>
      <c r="J495" s="130"/>
      <c r="K495" s="130"/>
      <c r="L495" s="130"/>
      <c r="M495" s="130"/>
      <c r="N495" s="130"/>
      <c r="O495" s="130"/>
      <c r="P495" s="130"/>
      <c r="Q495" s="130"/>
      <c r="R495" s="130"/>
    </row>
    <row r="496">
      <c r="A496" s="130"/>
      <c r="B496" s="130"/>
      <c r="C496" s="130"/>
      <c r="D496" s="130"/>
      <c r="E496" s="130"/>
      <c r="F496" s="188"/>
      <c r="G496" s="130"/>
      <c r="H496" s="130"/>
      <c r="I496" s="130"/>
      <c r="J496" s="130"/>
      <c r="K496" s="130"/>
      <c r="L496" s="130"/>
      <c r="M496" s="130"/>
      <c r="N496" s="130"/>
      <c r="O496" s="130"/>
      <c r="P496" s="130"/>
      <c r="Q496" s="130"/>
      <c r="R496" s="130"/>
    </row>
    <row r="497">
      <c r="A497" s="130"/>
      <c r="B497" s="130"/>
      <c r="C497" s="130"/>
      <c r="D497" s="130"/>
      <c r="E497" s="130"/>
      <c r="F497" s="188"/>
      <c r="G497" s="130"/>
      <c r="H497" s="130"/>
      <c r="I497" s="130"/>
      <c r="J497" s="130"/>
      <c r="K497" s="130"/>
      <c r="L497" s="130"/>
      <c r="M497" s="130"/>
      <c r="N497" s="130"/>
      <c r="O497" s="130"/>
      <c r="P497" s="130"/>
      <c r="Q497" s="130"/>
      <c r="R497" s="130"/>
    </row>
    <row r="498">
      <c r="A498" s="130"/>
      <c r="B498" s="130"/>
      <c r="C498" s="130"/>
      <c r="D498" s="130"/>
      <c r="E498" s="130"/>
      <c r="F498" s="188"/>
      <c r="G498" s="130"/>
      <c r="H498" s="130"/>
      <c r="I498" s="130"/>
      <c r="J498" s="130"/>
      <c r="K498" s="130"/>
      <c r="L498" s="130"/>
      <c r="M498" s="130"/>
      <c r="N498" s="130"/>
      <c r="O498" s="130"/>
      <c r="P498" s="130"/>
      <c r="Q498" s="130"/>
      <c r="R498" s="130"/>
    </row>
    <row r="499">
      <c r="A499" s="130"/>
      <c r="B499" s="130"/>
      <c r="C499" s="130"/>
      <c r="D499" s="130"/>
      <c r="E499" s="130"/>
      <c r="F499" s="188"/>
      <c r="G499" s="130"/>
      <c r="H499" s="130"/>
      <c r="I499" s="130"/>
      <c r="J499" s="130"/>
      <c r="K499" s="130"/>
      <c r="L499" s="130"/>
      <c r="M499" s="130"/>
      <c r="N499" s="130"/>
      <c r="O499" s="130"/>
      <c r="P499" s="130"/>
      <c r="Q499" s="130"/>
      <c r="R499" s="130"/>
    </row>
    <row r="500">
      <c r="A500" s="130"/>
      <c r="B500" s="130"/>
      <c r="C500" s="130"/>
      <c r="D500" s="130"/>
      <c r="E500" s="130"/>
      <c r="F500" s="188"/>
      <c r="G500" s="130"/>
      <c r="H500" s="130"/>
      <c r="I500" s="130"/>
      <c r="J500" s="130"/>
      <c r="K500" s="130"/>
      <c r="L500" s="130"/>
      <c r="M500" s="130"/>
      <c r="N500" s="130"/>
      <c r="O500" s="130"/>
      <c r="P500" s="130"/>
      <c r="Q500" s="130"/>
      <c r="R500" s="130"/>
    </row>
    <row r="501">
      <c r="A501" s="130"/>
      <c r="B501" s="130"/>
      <c r="C501" s="130"/>
      <c r="D501" s="130"/>
      <c r="E501" s="130"/>
      <c r="F501" s="188"/>
      <c r="G501" s="130"/>
      <c r="H501" s="130"/>
      <c r="I501" s="130"/>
      <c r="J501" s="130"/>
      <c r="K501" s="130"/>
      <c r="L501" s="130"/>
      <c r="M501" s="130"/>
      <c r="N501" s="130"/>
      <c r="O501" s="130"/>
      <c r="P501" s="130"/>
      <c r="Q501" s="130"/>
      <c r="R501" s="130"/>
    </row>
    <row r="502">
      <c r="A502" s="130"/>
      <c r="B502" s="130"/>
      <c r="C502" s="130"/>
      <c r="D502" s="130"/>
      <c r="E502" s="130"/>
      <c r="F502" s="188"/>
      <c r="G502" s="130"/>
      <c r="H502" s="130"/>
      <c r="I502" s="130"/>
      <c r="J502" s="130"/>
      <c r="K502" s="130"/>
      <c r="L502" s="130"/>
      <c r="M502" s="130"/>
      <c r="N502" s="130"/>
      <c r="O502" s="130"/>
      <c r="P502" s="130"/>
      <c r="Q502" s="130"/>
      <c r="R502" s="130"/>
    </row>
    <row r="503">
      <c r="A503" s="130"/>
      <c r="B503" s="130"/>
      <c r="C503" s="130"/>
      <c r="D503" s="130"/>
      <c r="E503" s="130"/>
      <c r="F503" s="188"/>
      <c r="G503" s="130"/>
      <c r="H503" s="130"/>
      <c r="I503" s="130"/>
      <c r="J503" s="130"/>
      <c r="K503" s="130"/>
      <c r="L503" s="130"/>
      <c r="M503" s="130"/>
      <c r="N503" s="130"/>
      <c r="O503" s="130"/>
      <c r="P503" s="130"/>
      <c r="Q503" s="130"/>
      <c r="R503" s="130"/>
    </row>
    <row r="504">
      <c r="A504" s="130"/>
      <c r="B504" s="130"/>
      <c r="C504" s="130"/>
      <c r="D504" s="130"/>
      <c r="E504" s="130"/>
      <c r="F504" s="188"/>
      <c r="G504" s="130"/>
      <c r="H504" s="130"/>
      <c r="I504" s="130"/>
      <c r="J504" s="130"/>
      <c r="K504" s="130"/>
      <c r="L504" s="130"/>
      <c r="M504" s="130"/>
      <c r="N504" s="130"/>
      <c r="O504" s="130"/>
      <c r="P504" s="130"/>
      <c r="Q504" s="130"/>
      <c r="R504" s="130"/>
    </row>
    <row r="505">
      <c r="A505" s="130"/>
      <c r="B505" s="130"/>
      <c r="C505" s="130"/>
      <c r="D505" s="130"/>
      <c r="E505" s="130"/>
      <c r="F505" s="188"/>
      <c r="G505" s="130"/>
      <c r="H505" s="130"/>
      <c r="I505" s="130"/>
      <c r="J505" s="130"/>
      <c r="K505" s="130"/>
      <c r="L505" s="130"/>
      <c r="M505" s="130"/>
      <c r="N505" s="130"/>
      <c r="O505" s="130"/>
      <c r="P505" s="130"/>
      <c r="Q505" s="130"/>
      <c r="R505" s="130"/>
    </row>
    <row r="506">
      <c r="A506" s="130"/>
      <c r="B506" s="130"/>
      <c r="C506" s="130"/>
      <c r="D506" s="130"/>
      <c r="E506" s="130"/>
      <c r="F506" s="188"/>
      <c r="G506" s="130"/>
      <c r="H506" s="130"/>
      <c r="I506" s="130"/>
      <c r="J506" s="130"/>
      <c r="K506" s="130"/>
      <c r="L506" s="130"/>
      <c r="M506" s="130"/>
      <c r="N506" s="130"/>
      <c r="O506" s="130"/>
      <c r="P506" s="130"/>
      <c r="Q506" s="130"/>
      <c r="R506" s="130"/>
    </row>
    <row r="507">
      <c r="A507" s="130"/>
      <c r="B507" s="130"/>
      <c r="C507" s="130"/>
      <c r="D507" s="130"/>
      <c r="E507" s="130"/>
      <c r="F507" s="188"/>
      <c r="G507" s="130"/>
      <c r="H507" s="130"/>
      <c r="I507" s="130"/>
      <c r="J507" s="130"/>
      <c r="K507" s="130"/>
      <c r="L507" s="130"/>
      <c r="M507" s="130"/>
      <c r="N507" s="130"/>
      <c r="O507" s="130"/>
      <c r="P507" s="130"/>
      <c r="Q507" s="130"/>
      <c r="R507" s="130"/>
    </row>
    <row r="508">
      <c r="A508" s="130"/>
      <c r="B508" s="130"/>
      <c r="C508" s="130"/>
      <c r="D508" s="130"/>
      <c r="E508" s="130"/>
      <c r="F508" s="188"/>
      <c r="G508" s="130"/>
      <c r="H508" s="130"/>
      <c r="I508" s="130"/>
      <c r="J508" s="130"/>
      <c r="K508" s="130"/>
      <c r="L508" s="130"/>
      <c r="M508" s="130"/>
      <c r="N508" s="130"/>
      <c r="O508" s="130"/>
      <c r="P508" s="130"/>
      <c r="Q508" s="130"/>
      <c r="R508" s="130"/>
    </row>
    <row r="509">
      <c r="A509" s="130"/>
      <c r="B509" s="130"/>
      <c r="C509" s="130"/>
      <c r="D509" s="130"/>
      <c r="E509" s="130"/>
      <c r="F509" s="188"/>
      <c r="G509" s="130"/>
      <c r="H509" s="130"/>
      <c r="I509" s="130"/>
      <c r="J509" s="130"/>
      <c r="K509" s="130"/>
      <c r="L509" s="130"/>
      <c r="M509" s="130"/>
      <c r="N509" s="130"/>
      <c r="O509" s="130"/>
      <c r="P509" s="130"/>
      <c r="Q509" s="130"/>
      <c r="R509" s="130"/>
    </row>
    <row r="510">
      <c r="A510" s="130"/>
      <c r="B510" s="130"/>
      <c r="C510" s="130"/>
      <c r="D510" s="130"/>
      <c r="E510" s="130"/>
      <c r="F510" s="188"/>
      <c r="G510" s="130"/>
      <c r="H510" s="130"/>
      <c r="I510" s="130"/>
      <c r="J510" s="130"/>
      <c r="K510" s="130"/>
      <c r="L510" s="130"/>
      <c r="M510" s="130"/>
      <c r="N510" s="130"/>
      <c r="O510" s="130"/>
      <c r="P510" s="130"/>
      <c r="Q510" s="130"/>
      <c r="R510" s="130"/>
    </row>
    <row r="511">
      <c r="A511" s="130"/>
      <c r="B511" s="130"/>
      <c r="C511" s="130"/>
      <c r="D511" s="130"/>
      <c r="E511" s="130"/>
      <c r="F511" s="188"/>
      <c r="G511" s="130"/>
      <c r="H511" s="130"/>
      <c r="I511" s="130"/>
      <c r="J511" s="130"/>
      <c r="K511" s="130"/>
      <c r="L511" s="130"/>
      <c r="M511" s="130"/>
      <c r="N511" s="130"/>
      <c r="O511" s="130"/>
      <c r="P511" s="130"/>
      <c r="Q511" s="130"/>
      <c r="R511" s="130"/>
    </row>
    <row r="512">
      <c r="A512" s="130"/>
      <c r="B512" s="130"/>
      <c r="C512" s="130"/>
      <c r="D512" s="130"/>
      <c r="E512" s="130"/>
      <c r="F512" s="188"/>
      <c r="G512" s="130"/>
      <c r="H512" s="130"/>
      <c r="I512" s="130"/>
      <c r="J512" s="130"/>
      <c r="K512" s="130"/>
      <c r="L512" s="130"/>
      <c r="M512" s="130"/>
      <c r="N512" s="130"/>
      <c r="O512" s="130"/>
      <c r="P512" s="130"/>
      <c r="Q512" s="130"/>
      <c r="R512" s="130"/>
    </row>
    <row r="513">
      <c r="A513" s="130"/>
      <c r="B513" s="130"/>
      <c r="C513" s="130"/>
      <c r="D513" s="130"/>
      <c r="E513" s="130"/>
      <c r="F513" s="188"/>
      <c r="G513" s="130"/>
      <c r="H513" s="130"/>
      <c r="I513" s="130"/>
      <c r="J513" s="130"/>
      <c r="K513" s="130"/>
      <c r="L513" s="130"/>
      <c r="M513" s="130"/>
      <c r="N513" s="130"/>
      <c r="O513" s="130"/>
      <c r="P513" s="130"/>
      <c r="Q513" s="130"/>
      <c r="R513" s="130"/>
    </row>
    <row r="514">
      <c r="A514" s="130"/>
      <c r="B514" s="130"/>
      <c r="C514" s="130"/>
      <c r="D514" s="130"/>
      <c r="E514" s="130"/>
      <c r="F514" s="188"/>
      <c r="G514" s="130"/>
      <c r="H514" s="130"/>
      <c r="I514" s="130"/>
      <c r="J514" s="130"/>
      <c r="K514" s="130"/>
      <c r="L514" s="130"/>
      <c r="M514" s="130"/>
      <c r="N514" s="130"/>
      <c r="O514" s="130"/>
      <c r="P514" s="130"/>
      <c r="Q514" s="130"/>
      <c r="R514" s="130"/>
    </row>
    <row r="515">
      <c r="A515" s="130"/>
      <c r="B515" s="130"/>
      <c r="C515" s="130"/>
      <c r="D515" s="130"/>
      <c r="E515" s="130"/>
      <c r="F515" s="188"/>
      <c r="G515" s="130"/>
      <c r="H515" s="130"/>
      <c r="I515" s="130"/>
      <c r="J515" s="130"/>
      <c r="K515" s="130"/>
      <c r="L515" s="130"/>
      <c r="M515" s="130"/>
      <c r="N515" s="130"/>
      <c r="O515" s="130"/>
      <c r="P515" s="130"/>
      <c r="Q515" s="130"/>
      <c r="R515" s="130"/>
    </row>
    <row r="516">
      <c r="A516" s="130"/>
      <c r="B516" s="130"/>
      <c r="C516" s="130"/>
      <c r="D516" s="130"/>
      <c r="E516" s="130"/>
      <c r="F516" s="188"/>
      <c r="G516" s="130"/>
      <c r="H516" s="130"/>
      <c r="I516" s="130"/>
      <c r="J516" s="130"/>
      <c r="K516" s="130"/>
      <c r="L516" s="130"/>
      <c r="M516" s="130"/>
      <c r="N516" s="130"/>
      <c r="O516" s="130"/>
      <c r="P516" s="130"/>
      <c r="Q516" s="130"/>
      <c r="R516" s="130"/>
    </row>
    <row r="517">
      <c r="A517" s="130"/>
      <c r="B517" s="130"/>
      <c r="C517" s="130"/>
      <c r="D517" s="130"/>
      <c r="E517" s="130"/>
      <c r="F517" s="188"/>
      <c r="G517" s="130"/>
      <c r="H517" s="130"/>
      <c r="I517" s="130"/>
      <c r="J517" s="130"/>
      <c r="K517" s="130"/>
      <c r="L517" s="130"/>
      <c r="M517" s="130"/>
      <c r="N517" s="130"/>
      <c r="O517" s="130"/>
      <c r="P517" s="130"/>
      <c r="Q517" s="130"/>
      <c r="R517" s="130"/>
    </row>
    <row r="518">
      <c r="A518" s="130"/>
      <c r="B518" s="130"/>
      <c r="C518" s="130"/>
      <c r="D518" s="130"/>
      <c r="E518" s="130"/>
      <c r="F518" s="188"/>
      <c r="G518" s="130"/>
      <c r="H518" s="130"/>
      <c r="I518" s="130"/>
      <c r="J518" s="130"/>
      <c r="K518" s="130"/>
      <c r="L518" s="130"/>
      <c r="M518" s="130"/>
      <c r="N518" s="130"/>
      <c r="O518" s="130"/>
      <c r="P518" s="130"/>
      <c r="Q518" s="130"/>
      <c r="R518" s="130"/>
    </row>
    <row r="519">
      <c r="A519" s="130"/>
      <c r="B519" s="130"/>
      <c r="C519" s="130"/>
      <c r="D519" s="130"/>
      <c r="E519" s="130"/>
      <c r="F519" s="188"/>
      <c r="G519" s="130"/>
      <c r="H519" s="130"/>
      <c r="I519" s="130"/>
      <c r="J519" s="130"/>
      <c r="K519" s="130"/>
      <c r="L519" s="130"/>
      <c r="M519" s="130"/>
      <c r="N519" s="130"/>
      <c r="O519" s="130"/>
      <c r="P519" s="130"/>
      <c r="Q519" s="130"/>
      <c r="R519" s="130"/>
    </row>
    <row r="520">
      <c r="A520" s="130"/>
      <c r="B520" s="130"/>
      <c r="C520" s="130"/>
      <c r="D520" s="130"/>
      <c r="E520" s="130"/>
      <c r="F520" s="188"/>
      <c r="G520" s="130"/>
      <c r="H520" s="130"/>
      <c r="I520" s="130"/>
      <c r="J520" s="130"/>
      <c r="K520" s="130"/>
      <c r="L520" s="130"/>
      <c r="M520" s="130"/>
      <c r="N520" s="130"/>
      <c r="O520" s="130"/>
      <c r="P520" s="130"/>
      <c r="Q520" s="130"/>
      <c r="R520" s="130"/>
    </row>
    <row r="521">
      <c r="A521" s="130"/>
      <c r="B521" s="130"/>
      <c r="C521" s="130"/>
      <c r="D521" s="130"/>
      <c r="E521" s="130"/>
      <c r="F521" s="188"/>
      <c r="G521" s="130"/>
      <c r="H521" s="130"/>
      <c r="I521" s="130"/>
      <c r="J521" s="130"/>
      <c r="K521" s="130"/>
      <c r="L521" s="130"/>
      <c r="M521" s="130"/>
      <c r="N521" s="130"/>
      <c r="O521" s="130"/>
      <c r="P521" s="130"/>
      <c r="Q521" s="130"/>
      <c r="R521" s="130"/>
    </row>
    <row r="522">
      <c r="A522" s="130"/>
      <c r="B522" s="130"/>
      <c r="C522" s="130"/>
      <c r="D522" s="130"/>
      <c r="E522" s="130"/>
      <c r="F522" s="188"/>
      <c r="G522" s="130"/>
      <c r="H522" s="130"/>
      <c r="I522" s="130"/>
      <c r="J522" s="130"/>
      <c r="K522" s="130"/>
      <c r="L522" s="130"/>
      <c r="M522" s="130"/>
      <c r="N522" s="130"/>
      <c r="O522" s="130"/>
      <c r="P522" s="130"/>
      <c r="Q522" s="130"/>
      <c r="R522" s="130"/>
    </row>
    <row r="523">
      <c r="A523" s="130"/>
      <c r="B523" s="130"/>
      <c r="C523" s="130"/>
      <c r="D523" s="130"/>
      <c r="E523" s="130"/>
      <c r="F523" s="188"/>
      <c r="G523" s="130"/>
      <c r="H523" s="130"/>
      <c r="I523" s="130"/>
      <c r="J523" s="130"/>
      <c r="K523" s="130"/>
      <c r="L523" s="130"/>
      <c r="M523" s="130"/>
      <c r="N523" s="130"/>
      <c r="O523" s="130"/>
      <c r="P523" s="130"/>
      <c r="Q523" s="130"/>
      <c r="R523" s="130"/>
    </row>
    <row r="524">
      <c r="A524" s="130"/>
      <c r="B524" s="130"/>
      <c r="C524" s="130"/>
      <c r="D524" s="130"/>
      <c r="E524" s="130"/>
      <c r="F524" s="188"/>
      <c r="G524" s="130"/>
      <c r="H524" s="130"/>
      <c r="I524" s="130"/>
      <c r="J524" s="130"/>
      <c r="K524" s="130"/>
      <c r="L524" s="130"/>
      <c r="M524" s="130"/>
      <c r="N524" s="130"/>
      <c r="O524" s="130"/>
      <c r="P524" s="130"/>
      <c r="Q524" s="130"/>
      <c r="R524" s="130"/>
    </row>
    <row r="525">
      <c r="A525" s="130"/>
      <c r="B525" s="130"/>
      <c r="C525" s="130"/>
      <c r="D525" s="130"/>
      <c r="E525" s="130"/>
      <c r="F525" s="188"/>
      <c r="G525" s="130"/>
      <c r="H525" s="130"/>
      <c r="I525" s="130"/>
      <c r="J525" s="130"/>
      <c r="K525" s="130"/>
      <c r="L525" s="130"/>
      <c r="M525" s="130"/>
      <c r="N525" s="130"/>
      <c r="O525" s="130"/>
      <c r="P525" s="130"/>
      <c r="Q525" s="130"/>
      <c r="R525" s="130"/>
    </row>
    <row r="526">
      <c r="A526" s="130"/>
      <c r="B526" s="130"/>
      <c r="C526" s="130"/>
      <c r="D526" s="130"/>
      <c r="E526" s="130"/>
      <c r="F526" s="188"/>
      <c r="G526" s="130"/>
      <c r="H526" s="130"/>
      <c r="I526" s="130"/>
      <c r="J526" s="130"/>
      <c r="K526" s="130"/>
      <c r="L526" s="130"/>
      <c r="M526" s="130"/>
      <c r="N526" s="130"/>
      <c r="O526" s="130"/>
      <c r="P526" s="130"/>
      <c r="Q526" s="130"/>
      <c r="R526" s="130"/>
    </row>
    <row r="527">
      <c r="A527" s="130"/>
      <c r="B527" s="130"/>
      <c r="C527" s="130"/>
      <c r="D527" s="130"/>
      <c r="E527" s="130"/>
      <c r="F527" s="188"/>
      <c r="G527" s="130"/>
      <c r="H527" s="130"/>
      <c r="I527" s="130"/>
      <c r="J527" s="130"/>
      <c r="K527" s="130"/>
      <c r="L527" s="130"/>
      <c r="M527" s="130"/>
      <c r="N527" s="130"/>
      <c r="O527" s="130"/>
      <c r="P527" s="130"/>
      <c r="Q527" s="130"/>
      <c r="R527" s="130"/>
    </row>
    <row r="528">
      <c r="A528" s="130"/>
      <c r="B528" s="130"/>
      <c r="C528" s="130"/>
      <c r="D528" s="130"/>
      <c r="E528" s="130"/>
      <c r="F528" s="188"/>
      <c r="G528" s="130"/>
      <c r="H528" s="130"/>
      <c r="I528" s="130"/>
      <c r="J528" s="130"/>
      <c r="K528" s="130"/>
      <c r="L528" s="130"/>
      <c r="M528" s="130"/>
      <c r="N528" s="130"/>
      <c r="O528" s="130"/>
      <c r="P528" s="130"/>
      <c r="Q528" s="130"/>
      <c r="R528" s="130"/>
    </row>
    <row r="529">
      <c r="A529" s="130"/>
      <c r="B529" s="130"/>
      <c r="C529" s="130"/>
      <c r="D529" s="130"/>
      <c r="E529" s="130"/>
      <c r="F529" s="188"/>
      <c r="G529" s="130"/>
      <c r="H529" s="130"/>
      <c r="I529" s="130"/>
      <c r="J529" s="130"/>
      <c r="K529" s="130"/>
      <c r="L529" s="130"/>
      <c r="M529" s="130"/>
      <c r="N529" s="130"/>
      <c r="O529" s="130"/>
      <c r="P529" s="130"/>
      <c r="Q529" s="130"/>
      <c r="R529" s="130"/>
    </row>
    <row r="530">
      <c r="A530" s="130"/>
      <c r="B530" s="130"/>
      <c r="C530" s="130"/>
      <c r="D530" s="130"/>
      <c r="E530" s="130"/>
      <c r="F530" s="188"/>
      <c r="G530" s="130"/>
      <c r="H530" s="130"/>
      <c r="I530" s="130"/>
      <c r="J530" s="130"/>
      <c r="K530" s="130"/>
      <c r="L530" s="130"/>
      <c r="M530" s="130"/>
      <c r="N530" s="130"/>
      <c r="O530" s="130"/>
      <c r="P530" s="130"/>
      <c r="Q530" s="130"/>
      <c r="R530" s="130"/>
    </row>
    <row r="531">
      <c r="A531" s="130"/>
      <c r="B531" s="130"/>
      <c r="C531" s="130"/>
      <c r="D531" s="130"/>
      <c r="E531" s="130"/>
      <c r="F531" s="188"/>
      <c r="G531" s="130"/>
      <c r="H531" s="130"/>
      <c r="I531" s="130"/>
      <c r="J531" s="130"/>
      <c r="K531" s="130"/>
      <c r="L531" s="130"/>
      <c r="M531" s="130"/>
      <c r="N531" s="130"/>
      <c r="O531" s="130"/>
      <c r="P531" s="130"/>
      <c r="Q531" s="130"/>
      <c r="R531" s="130"/>
    </row>
    <row r="532">
      <c r="A532" s="130"/>
      <c r="B532" s="130"/>
      <c r="C532" s="130"/>
      <c r="D532" s="130"/>
      <c r="E532" s="130"/>
      <c r="F532" s="188"/>
      <c r="G532" s="130"/>
      <c r="H532" s="130"/>
      <c r="I532" s="130"/>
      <c r="J532" s="130"/>
      <c r="K532" s="130"/>
      <c r="L532" s="130"/>
      <c r="M532" s="130"/>
      <c r="N532" s="130"/>
      <c r="O532" s="130"/>
      <c r="P532" s="130"/>
      <c r="Q532" s="130"/>
      <c r="R532" s="130"/>
    </row>
    <row r="533">
      <c r="A533" s="130"/>
      <c r="B533" s="130"/>
      <c r="C533" s="130"/>
      <c r="D533" s="130"/>
      <c r="E533" s="130"/>
      <c r="F533" s="188"/>
      <c r="G533" s="130"/>
      <c r="H533" s="130"/>
      <c r="I533" s="130"/>
      <c r="J533" s="130"/>
      <c r="K533" s="130"/>
      <c r="L533" s="130"/>
      <c r="M533" s="130"/>
      <c r="N533" s="130"/>
      <c r="O533" s="130"/>
      <c r="P533" s="130"/>
      <c r="Q533" s="130"/>
      <c r="R533" s="130"/>
    </row>
    <row r="534">
      <c r="A534" s="130"/>
      <c r="B534" s="130"/>
      <c r="C534" s="130"/>
      <c r="D534" s="130"/>
      <c r="E534" s="130"/>
      <c r="F534" s="188"/>
      <c r="G534" s="130"/>
      <c r="H534" s="130"/>
      <c r="I534" s="130"/>
      <c r="J534" s="130"/>
      <c r="K534" s="130"/>
      <c r="L534" s="130"/>
      <c r="M534" s="130"/>
      <c r="N534" s="130"/>
      <c r="O534" s="130"/>
      <c r="P534" s="130"/>
      <c r="Q534" s="130"/>
      <c r="R534" s="130"/>
    </row>
    <row r="535">
      <c r="A535" s="130"/>
      <c r="B535" s="130"/>
      <c r="C535" s="130"/>
      <c r="D535" s="130"/>
      <c r="E535" s="130"/>
      <c r="F535" s="188"/>
      <c r="G535" s="130"/>
      <c r="H535" s="130"/>
      <c r="I535" s="130"/>
      <c r="J535" s="130"/>
      <c r="K535" s="130"/>
      <c r="L535" s="130"/>
      <c r="M535" s="130"/>
      <c r="N535" s="130"/>
      <c r="O535" s="130"/>
      <c r="P535" s="130"/>
      <c r="Q535" s="130"/>
      <c r="R535" s="130"/>
    </row>
    <row r="536">
      <c r="A536" s="130"/>
      <c r="B536" s="130"/>
      <c r="C536" s="130"/>
      <c r="D536" s="130"/>
      <c r="E536" s="130"/>
      <c r="F536" s="188"/>
      <c r="G536" s="130"/>
      <c r="H536" s="130"/>
      <c r="I536" s="130"/>
      <c r="J536" s="130"/>
      <c r="K536" s="130"/>
      <c r="L536" s="130"/>
      <c r="M536" s="130"/>
      <c r="N536" s="130"/>
      <c r="O536" s="130"/>
      <c r="P536" s="130"/>
      <c r="Q536" s="130"/>
      <c r="R536" s="130"/>
    </row>
    <row r="537">
      <c r="A537" s="130"/>
      <c r="B537" s="130"/>
      <c r="C537" s="130"/>
      <c r="D537" s="130"/>
      <c r="E537" s="130"/>
      <c r="F537" s="188"/>
      <c r="G537" s="130"/>
      <c r="H537" s="130"/>
      <c r="I537" s="130"/>
      <c r="J537" s="130"/>
      <c r="K537" s="130"/>
      <c r="L537" s="130"/>
      <c r="M537" s="130"/>
      <c r="N537" s="130"/>
      <c r="O537" s="130"/>
      <c r="P537" s="130"/>
      <c r="Q537" s="130"/>
      <c r="R537" s="130"/>
    </row>
    <row r="538">
      <c r="A538" s="130"/>
      <c r="B538" s="130"/>
      <c r="C538" s="130"/>
      <c r="D538" s="130"/>
      <c r="E538" s="130"/>
      <c r="F538" s="188"/>
      <c r="G538" s="130"/>
      <c r="H538" s="130"/>
      <c r="I538" s="130"/>
      <c r="J538" s="130"/>
      <c r="K538" s="130"/>
      <c r="L538" s="130"/>
      <c r="M538" s="130"/>
      <c r="N538" s="130"/>
      <c r="O538" s="130"/>
      <c r="P538" s="130"/>
      <c r="Q538" s="130"/>
      <c r="R538" s="130"/>
    </row>
    <row r="539">
      <c r="A539" s="130"/>
      <c r="B539" s="130"/>
      <c r="C539" s="130"/>
      <c r="D539" s="130"/>
      <c r="E539" s="130"/>
      <c r="F539" s="188"/>
      <c r="G539" s="130"/>
      <c r="H539" s="130"/>
      <c r="I539" s="130"/>
      <c r="J539" s="130"/>
      <c r="K539" s="130"/>
      <c r="L539" s="130"/>
      <c r="M539" s="130"/>
      <c r="N539" s="130"/>
      <c r="O539" s="130"/>
      <c r="P539" s="130"/>
      <c r="Q539" s="130"/>
      <c r="R539" s="130"/>
    </row>
    <row r="540">
      <c r="A540" s="130"/>
      <c r="B540" s="130"/>
      <c r="C540" s="130"/>
      <c r="D540" s="130"/>
      <c r="E540" s="130"/>
      <c r="F540" s="188"/>
      <c r="G540" s="130"/>
      <c r="H540" s="130"/>
      <c r="I540" s="130"/>
      <c r="J540" s="130"/>
      <c r="K540" s="130"/>
      <c r="L540" s="130"/>
      <c r="M540" s="130"/>
      <c r="N540" s="130"/>
      <c r="O540" s="130"/>
      <c r="P540" s="130"/>
      <c r="Q540" s="130"/>
      <c r="R540" s="130"/>
    </row>
    <row r="541">
      <c r="A541" s="130"/>
      <c r="B541" s="130"/>
      <c r="C541" s="130"/>
      <c r="D541" s="130"/>
      <c r="E541" s="130"/>
      <c r="F541" s="188"/>
      <c r="G541" s="130"/>
      <c r="H541" s="130"/>
      <c r="I541" s="130"/>
      <c r="J541" s="130"/>
      <c r="K541" s="130"/>
      <c r="L541" s="130"/>
      <c r="M541" s="130"/>
      <c r="N541" s="130"/>
      <c r="O541" s="130"/>
      <c r="P541" s="130"/>
      <c r="Q541" s="130"/>
      <c r="R541" s="130"/>
    </row>
    <row r="542">
      <c r="A542" s="130"/>
      <c r="B542" s="130"/>
      <c r="C542" s="130"/>
      <c r="D542" s="130"/>
      <c r="E542" s="130"/>
      <c r="F542" s="188"/>
      <c r="G542" s="130"/>
      <c r="H542" s="130"/>
      <c r="I542" s="130"/>
      <c r="J542" s="130"/>
      <c r="K542" s="130"/>
      <c r="L542" s="130"/>
      <c r="M542" s="130"/>
      <c r="N542" s="130"/>
      <c r="O542" s="130"/>
      <c r="P542" s="130"/>
      <c r="Q542" s="130"/>
      <c r="R542" s="130"/>
    </row>
    <row r="543">
      <c r="A543" s="130"/>
      <c r="B543" s="130"/>
      <c r="C543" s="130"/>
      <c r="D543" s="130"/>
      <c r="E543" s="130"/>
      <c r="F543" s="188"/>
      <c r="G543" s="130"/>
      <c r="H543" s="130"/>
      <c r="I543" s="130"/>
      <c r="J543" s="130"/>
      <c r="K543" s="130"/>
      <c r="L543" s="130"/>
      <c r="M543" s="130"/>
      <c r="N543" s="130"/>
      <c r="O543" s="130"/>
      <c r="P543" s="130"/>
      <c r="Q543" s="130"/>
      <c r="R543" s="130"/>
    </row>
    <row r="544">
      <c r="A544" s="130"/>
      <c r="B544" s="130"/>
      <c r="C544" s="130"/>
      <c r="D544" s="130"/>
      <c r="E544" s="130"/>
      <c r="F544" s="188"/>
      <c r="G544" s="130"/>
      <c r="H544" s="130"/>
      <c r="I544" s="130"/>
      <c r="J544" s="130"/>
      <c r="K544" s="130"/>
      <c r="L544" s="130"/>
      <c r="M544" s="130"/>
      <c r="N544" s="130"/>
      <c r="O544" s="130"/>
      <c r="P544" s="130"/>
      <c r="Q544" s="130"/>
      <c r="R544" s="130"/>
    </row>
    <row r="545">
      <c r="A545" s="130"/>
      <c r="B545" s="130"/>
      <c r="C545" s="130"/>
      <c r="D545" s="130"/>
      <c r="E545" s="130"/>
      <c r="F545" s="188"/>
      <c r="G545" s="130"/>
      <c r="H545" s="130"/>
      <c r="I545" s="130"/>
      <c r="J545" s="130"/>
      <c r="K545" s="130"/>
      <c r="L545" s="130"/>
      <c r="M545" s="130"/>
      <c r="N545" s="130"/>
      <c r="O545" s="130"/>
      <c r="P545" s="130"/>
      <c r="Q545" s="130"/>
      <c r="R545" s="130"/>
    </row>
    <row r="546">
      <c r="A546" s="130"/>
      <c r="B546" s="130"/>
      <c r="C546" s="130"/>
      <c r="D546" s="130"/>
      <c r="E546" s="130"/>
      <c r="F546" s="188"/>
      <c r="G546" s="130"/>
      <c r="H546" s="130"/>
      <c r="I546" s="130"/>
      <c r="J546" s="130"/>
      <c r="K546" s="130"/>
      <c r="L546" s="130"/>
      <c r="M546" s="130"/>
      <c r="N546" s="130"/>
      <c r="O546" s="130"/>
      <c r="P546" s="130"/>
      <c r="Q546" s="130"/>
      <c r="R546" s="130"/>
    </row>
    <row r="547">
      <c r="A547" s="130"/>
      <c r="B547" s="130"/>
      <c r="C547" s="130"/>
      <c r="D547" s="130"/>
      <c r="E547" s="130"/>
      <c r="F547" s="188"/>
      <c r="G547" s="130"/>
      <c r="H547" s="130"/>
      <c r="I547" s="130"/>
      <c r="J547" s="130"/>
      <c r="K547" s="130"/>
      <c r="L547" s="130"/>
      <c r="M547" s="130"/>
      <c r="N547" s="130"/>
      <c r="O547" s="130"/>
      <c r="P547" s="130"/>
      <c r="Q547" s="130"/>
      <c r="R547" s="130"/>
    </row>
    <row r="548">
      <c r="A548" s="130"/>
      <c r="B548" s="130"/>
      <c r="C548" s="130"/>
      <c r="D548" s="130"/>
      <c r="E548" s="130"/>
      <c r="F548" s="188"/>
      <c r="G548" s="130"/>
      <c r="H548" s="130"/>
      <c r="I548" s="130"/>
      <c r="J548" s="130"/>
      <c r="K548" s="130"/>
      <c r="L548" s="130"/>
      <c r="M548" s="130"/>
      <c r="N548" s="130"/>
      <c r="O548" s="130"/>
      <c r="P548" s="130"/>
      <c r="Q548" s="130"/>
      <c r="R548" s="130"/>
    </row>
    <row r="549">
      <c r="A549" s="130"/>
      <c r="B549" s="130"/>
      <c r="C549" s="130"/>
      <c r="D549" s="130"/>
      <c r="E549" s="130"/>
      <c r="F549" s="188"/>
      <c r="G549" s="130"/>
      <c r="H549" s="130"/>
      <c r="I549" s="130"/>
      <c r="J549" s="130"/>
      <c r="K549" s="130"/>
      <c r="L549" s="130"/>
      <c r="M549" s="130"/>
      <c r="N549" s="130"/>
      <c r="O549" s="130"/>
      <c r="P549" s="130"/>
      <c r="Q549" s="130"/>
      <c r="R549" s="130"/>
    </row>
    <row r="550">
      <c r="A550" s="130"/>
      <c r="B550" s="130"/>
      <c r="C550" s="130"/>
      <c r="D550" s="130"/>
      <c r="E550" s="130"/>
      <c r="F550" s="188"/>
      <c r="G550" s="130"/>
      <c r="H550" s="130"/>
      <c r="I550" s="130"/>
      <c r="J550" s="130"/>
      <c r="K550" s="130"/>
      <c r="L550" s="130"/>
      <c r="M550" s="130"/>
      <c r="N550" s="130"/>
      <c r="O550" s="130"/>
      <c r="P550" s="130"/>
      <c r="Q550" s="130"/>
      <c r="R550" s="130"/>
    </row>
    <row r="551">
      <c r="A551" s="130"/>
      <c r="B551" s="130"/>
      <c r="C551" s="130"/>
      <c r="D551" s="130"/>
      <c r="E551" s="130"/>
      <c r="F551" s="188"/>
      <c r="G551" s="130"/>
      <c r="H551" s="130"/>
      <c r="I551" s="130"/>
      <c r="J551" s="130"/>
      <c r="K551" s="130"/>
      <c r="L551" s="130"/>
      <c r="M551" s="130"/>
      <c r="N551" s="130"/>
      <c r="O551" s="130"/>
      <c r="P551" s="130"/>
      <c r="Q551" s="130"/>
      <c r="R551" s="130"/>
    </row>
    <row r="552">
      <c r="A552" s="130"/>
      <c r="B552" s="130"/>
      <c r="C552" s="130"/>
      <c r="D552" s="130"/>
      <c r="E552" s="130"/>
      <c r="F552" s="188"/>
      <c r="G552" s="130"/>
      <c r="H552" s="130"/>
      <c r="I552" s="130"/>
      <c r="J552" s="130"/>
      <c r="K552" s="130"/>
      <c r="L552" s="130"/>
      <c r="M552" s="130"/>
      <c r="N552" s="130"/>
      <c r="O552" s="130"/>
      <c r="P552" s="130"/>
      <c r="Q552" s="130"/>
      <c r="R552" s="130"/>
    </row>
    <row r="553">
      <c r="A553" s="130"/>
      <c r="B553" s="130"/>
      <c r="C553" s="130"/>
      <c r="D553" s="130"/>
      <c r="E553" s="130"/>
      <c r="F553" s="188"/>
      <c r="G553" s="130"/>
      <c r="H553" s="130"/>
      <c r="I553" s="130"/>
      <c r="J553" s="130"/>
      <c r="K553" s="130"/>
      <c r="L553" s="130"/>
      <c r="M553" s="130"/>
      <c r="N553" s="130"/>
      <c r="O553" s="130"/>
      <c r="P553" s="130"/>
      <c r="Q553" s="130"/>
      <c r="R553" s="130"/>
    </row>
    <row r="554">
      <c r="A554" s="130"/>
      <c r="B554" s="130"/>
      <c r="C554" s="130"/>
      <c r="D554" s="130"/>
      <c r="E554" s="130"/>
      <c r="F554" s="188"/>
      <c r="G554" s="130"/>
      <c r="H554" s="130"/>
      <c r="I554" s="130"/>
      <c r="J554" s="130"/>
      <c r="K554" s="130"/>
      <c r="L554" s="130"/>
      <c r="M554" s="130"/>
      <c r="N554" s="130"/>
      <c r="O554" s="130"/>
      <c r="P554" s="130"/>
      <c r="Q554" s="130"/>
      <c r="R554" s="130"/>
    </row>
    <row r="555">
      <c r="A555" s="130"/>
      <c r="B555" s="130"/>
      <c r="C555" s="130"/>
      <c r="D555" s="130"/>
      <c r="E555" s="130"/>
      <c r="F555" s="188"/>
      <c r="G555" s="130"/>
      <c r="H555" s="130"/>
      <c r="I555" s="130"/>
      <c r="J555" s="130"/>
      <c r="K555" s="130"/>
      <c r="L555" s="130"/>
      <c r="M555" s="130"/>
      <c r="N555" s="130"/>
      <c r="O555" s="130"/>
      <c r="P555" s="130"/>
      <c r="Q555" s="130"/>
      <c r="R555" s="130"/>
    </row>
    <row r="556">
      <c r="A556" s="130"/>
      <c r="B556" s="130"/>
      <c r="C556" s="130"/>
      <c r="D556" s="130"/>
      <c r="E556" s="130"/>
      <c r="F556" s="188"/>
      <c r="G556" s="130"/>
      <c r="H556" s="130"/>
      <c r="I556" s="130"/>
      <c r="J556" s="130"/>
      <c r="K556" s="130"/>
      <c r="L556" s="130"/>
      <c r="M556" s="130"/>
      <c r="N556" s="130"/>
      <c r="O556" s="130"/>
      <c r="P556" s="130"/>
      <c r="Q556" s="130"/>
      <c r="R556" s="130"/>
    </row>
    <row r="557">
      <c r="A557" s="130"/>
      <c r="B557" s="130"/>
      <c r="C557" s="130"/>
      <c r="D557" s="130"/>
      <c r="E557" s="130"/>
      <c r="F557" s="188"/>
      <c r="G557" s="130"/>
      <c r="H557" s="130"/>
      <c r="I557" s="130"/>
      <c r="J557" s="130"/>
      <c r="K557" s="130"/>
      <c r="L557" s="130"/>
      <c r="M557" s="130"/>
      <c r="N557" s="130"/>
      <c r="O557" s="130"/>
      <c r="P557" s="130"/>
      <c r="Q557" s="130"/>
      <c r="R557" s="130"/>
    </row>
    <row r="558">
      <c r="A558" s="130"/>
      <c r="B558" s="130"/>
      <c r="C558" s="130"/>
      <c r="D558" s="130"/>
      <c r="E558" s="130"/>
      <c r="F558" s="188"/>
      <c r="G558" s="130"/>
      <c r="H558" s="130"/>
      <c r="I558" s="130"/>
      <c r="J558" s="130"/>
      <c r="K558" s="130"/>
      <c r="L558" s="130"/>
      <c r="M558" s="130"/>
      <c r="N558" s="130"/>
      <c r="O558" s="130"/>
      <c r="P558" s="130"/>
      <c r="Q558" s="130"/>
      <c r="R558" s="130"/>
    </row>
    <row r="559">
      <c r="A559" s="130"/>
      <c r="B559" s="130"/>
      <c r="C559" s="130"/>
      <c r="D559" s="130"/>
      <c r="E559" s="130"/>
      <c r="F559" s="188"/>
      <c r="G559" s="130"/>
      <c r="H559" s="130"/>
      <c r="I559" s="130"/>
      <c r="J559" s="130"/>
      <c r="K559" s="130"/>
      <c r="L559" s="130"/>
      <c r="M559" s="130"/>
      <c r="N559" s="130"/>
      <c r="O559" s="130"/>
      <c r="P559" s="130"/>
      <c r="Q559" s="130"/>
      <c r="R559" s="130"/>
    </row>
    <row r="560">
      <c r="A560" s="130"/>
      <c r="B560" s="130"/>
      <c r="C560" s="130"/>
      <c r="D560" s="130"/>
      <c r="E560" s="130"/>
      <c r="F560" s="188"/>
      <c r="G560" s="130"/>
      <c r="H560" s="130"/>
      <c r="I560" s="130"/>
      <c r="J560" s="130"/>
      <c r="K560" s="130"/>
      <c r="L560" s="130"/>
      <c r="M560" s="130"/>
      <c r="N560" s="130"/>
      <c r="O560" s="130"/>
      <c r="P560" s="130"/>
      <c r="Q560" s="130"/>
      <c r="R560" s="130"/>
    </row>
    <row r="561">
      <c r="A561" s="130"/>
      <c r="B561" s="130"/>
      <c r="C561" s="130"/>
      <c r="D561" s="130"/>
      <c r="E561" s="130"/>
      <c r="F561" s="188"/>
      <c r="G561" s="130"/>
      <c r="H561" s="130"/>
      <c r="I561" s="130"/>
      <c r="J561" s="130"/>
      <c r="K561" s="130"/>
      <c r="L561" s="130"/>
      <c r="M561" s="130"/>
      <c r="N561" s="130"/>
      <c r="O561" s="130"/>
      <c r="P561" s="130"/>
      <c r="Q561" s="130"/>
      <c r="R561" s="130"/>
    </row>
    <row r="562">
      <c r="A562" s="130"/>
      <c r="B562" s="130"/>
      <c r="C562" s="130"/>
      <c r="D562" s="130"/>
      <c r="E562" s="130"/>
      <c r="F562" s="188"/>
      <c r="G562" s="130"/>
      <c r="H562" s="130"/>
      <c r="I562" s="130"/>
      <c r="J562" s="130"/>
      <c r="K562" s="130"/>
      <c r="L562" s="130"/>
      <c r="M562" s="130"/>
      <c r="N562" s="130"/>
      <c r="O562" s="130"/>
      <c r="P562" s="130"/>
      <c r="Q562" s="130"/>
      <c r="R562" s="130"/>
    </row>
    <row r="563">
      <c r="A563" s="130"/>
      <c r="B563" s="130"/>
      <c r="C563" s="130"/>
      <c r="D563" s="130"/>
      <c r="E563" s="130"/>
      <c r="F563" s="188"/>
      <c r="G563" s="130"/>
      <c r="H563" s="130"/>
      <c r="I563" s="130"/>
      <c r="J563" s="130"/>
      <c r="K563" s="130"/>
      <c r="L563" s="130"/>
      <c r="M563" s="130"/>
      <c r="N563" s="130"/>
      <c r="O563" s="130"/>
      <c r="P563" s="130"/>
      <c r="Q563" s="130"/>
      <c r="R563" s="130"/>
    </row>
    <row r="564">
      <c r="A564" s="130"/>
      <c r="B564" s="130"/>
      <c r="C564" s="130"/>
      <c r="D564" s="130"/>
      <c r="E564" s="130"/>
      <c r="F564" s="188"/>
      <c r="G564" s="130"/>
      <c r="H564" s="130"/>
      <c r="I564" s="130"/>
      <c r="J564" s="130"/>
      <c r="K564" s="130"/>
      <c r="L564" s="130"/>
      <c r="M564" s="130"/>
      <c r="N564" s="130"/>
      <c r="O564" s="130"/>
      <c r="P564" s="130"/>
      <c r="Q564" s="130"/>
      <c r="R564" s="130"/>
    </row>
    <row r="565">
      <c r="A565" s="130"/>
      <c r="B565" s="130"/>
      <c r="C565" s="130"/>
      <c r="D565" s="130"/>
      <c r="E565" s="130"/>
      <c r="F565" s="188"/>
      <c r="G565" s="130"/>
      <c r="H565" s="130"/>
      <c r="I565" s="130"/>
      <c r="J565" s="130"/>
      <c r="K565" s="130"/>
      <c r="L565" s="130"/>
      <c r="M565" s="130"/>
      <c r="N565" s="130"/>
      <c r="O565" s="130"/>
      <c r="P565" s="130"/>
      <c r="Q565" s="130"/>
      <c r="R565" s="130"/>
    </row>
    <row r="566">
      <c r="A566" s="130"/>
      <c r="B566" s="130"/>
      <c r="C566" s="130"/>
      <c r="D566" s="130"/>
      <c r="E566" s="130"/>
      <c r="F566" s="188"/>
      <c r="G566" s="130"/>
      <c r="H566" s="130"/>
      <c r="I566" s="130"/>
      <c r="J566" s="130"/>
      <c r="K566" s="130"/>
      <c r="L566" s="130"/>
      <c r="M566" s="130"/>
      <c r="N566" s="130"/>
      <c r="O566" s="130"/>
      <c r="P566" s="130"/>
      <c r="Q566" s="130"/>
      <c r="R566" s="130"/>
    </row>
    <row r="567">
      <c r="A567" s="130"/>
      <c r="B567" s="130"/>
      <c r="C567" s="130"/>
      <c r="D567" s="130"/>
      <c r="E567" s="130"/>
      <c r="F567" s="188"/>
      <c r="G567" s="130"/>
      <c r="H567" s="130"/>
      <c r="I567" s="130"/>
      <c r="J567" s="130"/>
      <c r="K567" s="130"/>
      <c r="L567" s="130"/>
      <c r="M567" s="130"/>
      <c r="N567" s="130"/>
      <c r="O567" s="130"/>
      <c r="P567" s="130"/>
      <c r="Q567" s="130"/>
      <c r="R567" s="130"/>
    </row>
    <row r="568">
      <c r="A568" s="130"/>
      <c r="B568" s="130"/>
      <c r="C568" s="130"/>
      <c r="D568" s="130"/>
      <c r="E568" s="130"/>
      <c r="F568" s="188"/>
      <c r="G568" s="130"/>
      <c r="H568" s="130"/>
      <c r="I568" s="130"/>
      <c r="J568" s="130"/>
      <c r="K568" s="130"/>
      <c r="L568" s="130"/>
      <c r="M568" s="130"/>
      <c r="N568" s="130"/>
      <c r="O568" s="130"/>
      <c r="P568" s="130"/>
      <c r="Q568" s="130"/>
      <c r="R568" s="130"/>
    </row>
    <row r="569">
      <c r="A569" s="130"/>
      <c r="B569" s="130"/>
      <c r="C569" s="130"/>
      <c r="D569" s="130"/>
      <c r="E569" s="130"/>
      <c r="F569" s="188"/>
      <c r="G569" s="130"/>
      <c r="H569" s="130"/>
      <c r="I569" s="130"/>
      <c r="J569" s="130"/>
      <c r="K569" s="130"/>
      <c r="L569" s="130"/>
      <c r="M569" s="130"/>
      <c r="N569" s="130"/>
      <c r="O569" s="130"/>
      <c r="P569" s="130"/>
      <c r="Q569" s="130"/>
      <c r="R569" s="130"/>
    </row>
    <row r="570">
      <c r="A570" s="130"/>
      <c r="B570" s="130"/>
      <c r="C570" s="130"/>
      <c r="D570" s="130"/>
      <c r="E570" s="130"/>
      <c r="F570" s="188"/>
      <c r="G570" s="130"/>
      <c r="H570" s="130"/>
      <c r="I570" s="130"/>
      <c r="J570" s="130"/>
      <c r="K570" s="130"/>
      <c r="L570" s="130"/>
      <c r="M570" s="130"/>
      <c r="N570" s="130"/>
      <c r="O570" s="130"/>
      <c r="P570" s="130"/>
      <c r="Q570" s="130"/>
      <c r="R570" s="130"/>
    </row>
    <row r="571">
      <c r="A571" s="130"/>
      <c r="B571" s="130"/>
      <c r="C571" s="130"/>
      <c r="D571" s="130"/>
      <c r="E571" s="130"/>
      <c r="F571" s="188"/>
      <c r="G571" s="130"/>
      <c r="H571" s="130"/>
      <c r="I571" s="130"/>
      <c r="J571" s="130"/>
      <c r="K571" s="130"/>
      <c r="L571" s="130"/>
      <c r="M571" s="130"/>
      <c r="N571" s="130"/>
      <c r="O571" s="130"/>
      <c r="P571" s="130"/>
      <c r="Q571" s="130"/>
      <c r="R571" s="130"/>
    </row>
    <row r="572">
      <c r="A572" s="130"/>
      <c r="B572" s="130"/>
      <c r="C572" s="130"/>
      <c r="D572" s="130"/>
      <c r="E572" s="130"/>
      <c r="F572" s="188"/>
      <c r="G572" s="130"/>
      <c r="H572" s="130"/>
      <c r="I572" s="130"/>
      <c r="J572" s="130"/>
      <c r="K572" s="130"/>
      <c r="L572" s="130"/>
      <c r="M572" s="130"/>
      <c r="N572" s="130"/>
      <c r="O572" s="130"/>
      <c r="P572" s="130"/>
      <c r="Q572" s="130"/>
      <c r="R572" s="130"/>
    </row>
    <row r="573">
      <c r="A573" s="130"/>
      <c r="B573" s="130"/>
      <c r="C573" s="130"/>
      <c r="D573" s="130"/>
      <c r="E573" s="130"/>
      <c r="F573" s="188"/>
      <c r="G573" s="130"/>
      <c r="H573" s="130"/>
      <c r="I573" s="130"/>
      <c r="J573" s="130"/>
      <c r="K573" s="130"/>
      <c r="L573" s="130"/>
      <c r="M573" s="130"/>
      <c r="N573" s="130"/>
      <c r="O573" s="130"/>
      <c r="P573" s="130"/>
      <c r="Q573" s="130"/>
      <c r="R573" s="130"/>
    </row>
    <row r="574">
      <c r="A574" s="130"/>
      <c r="B574" s="130"/>
      <c r="C574" s="130"/>
      <c r="D574" s="130"/>
      <c r="E574" s="130"/>
      <c r="F574" s="188"/>
      <c r="G574" s="130"/>
      <c r="H574" s="130"/>
      <c r="I574" s="130"/>
      <c r="J574" s="130"/>
      <c r="K574" s="130"/>
      <c r="L574" s="130"/>
      <c r="M574" s="130"/>
      <c r="N574" s="130"/>
      <c r="O574" s="130"/>
      <c r="P574" s="130"/>
      <c r="Q574" s="130"/>
      <c r="R574" s="130"/>
    </row>
    <row r="575">
      <c r="A575" s="130"/>
      <c r="B575" s="130"/>
      <c r="C575" s="130"/>
      <c r="D575" s="130"/>
      <c r="E575" s="130"/>
      <c r="F575" s="188"/>
      <c r="G575" s="130"/>
      <c r="H575" s="130"/>
      <c r="I575" s="130"/>
      <c r="J575" s="130"/>
      <c r="K575" s="130"/>
      <c r="L575" s="130"/>
      <c r="M575" s="130"/>
      <c r="N575" s="130"/>
      <c r="O575" s="130"/>
      <c r="P575" s="130"/>
      <c r="Q575" s="130"/>
      <c r="R575" s="130"/>
    </row>
    <row r="576">
      <c r="A576" s="130"/>
      <c r="B576" s="130"/>
      <c r="C576" s="130"/>
      <c r="D576" s="130"/>
      <c r="E576" s="130"/>
      <c r="F576" s="188"/>
      <c r="G576" s="130"/>
      <c r="H576" s="130"/>
      <c r="I576" s="130"/>
      <c r="J576" s="130"/>
      <c r="K576" s="130"/>
      <c r="L576" s="130"/>
      <c r="M576" s="130"/>
      <c r="N576" s="130"/>
      <c r="O576" s="130"/>
      <c r="P576" s="130"/>
      <c r="Q576" s="130"/>
      <c r="R576" s="130"/>
    </row>
    <row r="577">
      <c r="A577" s="130"/>
      <c r="B577" s="130"/>
      <c r="C577" s="130"/>
      <c r="D577" s="130"/>
      <c r="E577" s="130"/>
      <c r="F577" s="188"/>
      <c r="G577" s="130"/>
      <c r="H577" s="130"/>
      <c r="I577" s="130"/>
      <c r="J577" s="130"/>
      <c r="K577" s="130"/>
      <c r="L577" s="130"/>
      <c r="M577" s="130"/>
      <c r="N577" s="130"/>
      <c r="O577" s="130"/>
      <c r="P577" s="130"/>
      <c r="Q577" s="130"/>
      <c r="R577" s="130"/>
    </row>
    <row r="578">
      <c r="A578" s="130"/>
      <c r="B578" s="130"/>
      <c r="C578" s="130"/>
      <c r="D578" s="130"/>
      <c r="E578" s="130"/>
      <c r="F578" s="188"/>
      <c r="G578" s="130"/>
      <c r="H578" s="130"/>
      <c r="I578" s="130"/>
      <c r="J578" s="130"/>
      <c r="K578" s="130"/>
      <c r="L578" s="130"/>
      <c r="M578" s="130"/>
      <c r="N578" s="130"/>
      <c r="O578" s="130"/>
      <c r="P578" s="130"/>
      <c r="Q578" s="130"/>
      <c r="R578" s="130"/>
    </row>
    <row r="579">
      <c r="A579" s="130"/>
      <c r="B579" s="130"/>
      <c r="C579" s="130"/>
      <c r="D579" s="130"/>
      <c r="E579" s="130"/>
      <c r="F579" s="188"/>
      <c r="G579" s="130"/>
      <c r="H579" s="130"/>
      <c r="I579" s="130"/>
      <c r="J579" s="130"/>
      <c r="K579" s="130"/>
      <c r="L579" s="130"/>
      <c r="M579" s="130"/>
      <c r="N579" s="130"/>
      <c r="O579" s="130"/>
      <c r="P579" s="130"/>
      <c r="Q579" s="130"/>
      <c r="R579" s="130"/>
    </row>
    <row r="580">
      <c r="A580" s="130"/>
      <c r="B580" s="130"/>
      <c r="C580" s="130"/>
      <c r="D580" s="130"/>
      <c r="E580" s="130"/>
      <c r="F580" s="188"/>
      <c r="G580" s="130"/>
      <c r="H580" s="130"/>
      <c r="I580" s="130"/>
      <c r="J580" s="130"/>
      <c r="K580" s="130"/>
      <c r="L580" s="130"/>
      <c r="M580" s="130"/>
      <c r="N580" s="130"/>
      <c r="O580" s="130"/>
      <c r="P580" s="130"/>
      <c r="Q580" s="130"/>
      <c r="R580" s="130"/>
    </row>
    <row r="581">
      <c r="A581" s="130"/>
      <c r="B581" s="130"/>
      <c r="C581" s="130"/>
      <c r="D581" s="130"/>
      <c r="E581" s="130"/>
      <c r="F581" s="188"/>
      <c r="G581" s="130"/>
      <c r="H581" s="130"/>
      <c r="I581" s="130"/>
      <c r="J581" s="130"/>
      <c r="K581" s="130"/>
      <c r="L581" s="130"/>
      <c r="M581" s="130"/>
      <c r="N581" s="130"/>
      <c r="O581" s="130"/>
      <c r="P581" s="130"/>
      <c r="Q581" s="130"/>
      <c r="R581" s="130"/>
    </row>
    <row r="582">
      <c r="A582" s="130"/>
      <c r="B582" s="130"/>
      <c r="C582" s="130"/>
      <c r="D582" s="130"/>
      <c r="E582" s="130"/>
      <c r="F582" s="188"/>
      <c r="G582" s="130"/>
      <c r="H582" s="130"/>
      <c r="I582" s="130"/>
      <c r="J582" s="130"/>
      <c r="K582" s="130"/>
      <c r="L582" s="130"/>
      <c r="M582" s="130"/>
      <c r="N582" s="130"/>
      <c r="O582" s="130"/>
      <c r="P582" s="130"/>
      <c r="Q582" s="130"/>
      <c r="R582" s="130"/>
    </row>
    <row r="583">
      <c r="A583" s="130"/>
      <c r="B583" s="130"/>
      <c r="C583" s="130"/>
      <c r="D583" s="130"/>
      <c r="E583" s="130"/>
      <c r="F583" s="188"/>
      <c r="G583" s="130"/>
      <c r="H583" s="130"/>
      <c r="I583" s="130"/>
      <c r="J583" s="130"/>
      <c r="K583" s="130"/>
      <c r="L583" s="130"/>
      <c r="M583" s="130"/>
      <c r="N583" s="130"/>
      <c r="O583" s="130"/>
      <c r="P583" s="130"/>
      <c r="Q583" s="130"/>
      <c r="R583" s="130"/>
    </row>
    <row r="584">
      <c r="A584" s="130"/>
      <c r="B584" s="130"/>
      <c r="C584" s="130"/>
      <c r="D584" s="130"/>
      <c r="E584" s="130"/>
      <c r="F584" s="188"/>
      <c r="G584" s="130"/>
      <c r="H584" s="130"/>
      <c r="I584" s="130"/>
      <c r="J584" s="130"/>
      <c r="K584" s="130"/>
      <c r="L584" s="130"/>
      <c r="M584" s="130"/>
      <c r="N584" s="130"/>
      <c r="O584" s="130"/>
      <c r="P584" s="130"/>
      <c r="Q584" s="130"/>
      <c r="R584" s="130"/>
    </row>
    <row r="585">
      <c r="A585" s="130"/>
      <c r="B585" s="130"/>
      <c r="C585" s="130"/>
      <c r="D585" s="130"/>
      <c r="E585" s="130"/>
      <c r="F585" s="188"/>
      <c r="G585" s="130"/>
      <c r="H585" s="130"/>
      <c r="I585" s="130"/>
      <c r="J585" s="130"/>
      <c r="K585" s="130"/>
      <c r="L585" s="130"/>
      <c r="M585" s="130"/>
      <c r="N585" s="130"/>
      <c r="O585" s="130"/>
      <c r="P585" s="130"/>
      <c r="Q585" s="130"/>
      <c r="R585" s="130"/>
    </row>
    <row r="586">
      <c r="A586" s="130"/>
      <c r="B586" s="130"/>
      <c r="C586" s="130"/>
      <c r="D586" s="130"/>
      <c r="E586" s="130"/>
      <c r="F586" s="188"/>
      <c r="G586" s="130"/>
      <c r="H586" s="130"/>
      <c r="I586" s="130"/>
      <c r="J586" s="130"/>
      <c r="K586" s="130"/>
      <c r="L586" s="130"/>
      <c r="M586" s="130"/>
      <c r="N586" s="130"/>
      <c r="O586" s="130"/>
      <c r="P586" s="130"/>
      <c r="Q586" s="130"/>
      <c r="R586" s="130"/>
    </row>
    <row r="587">
      <c r="A587" s="130"/>
      <c r="B587" s="130"/>
      <c r="C587" s="130"/>
      <c r="D587" s="130"/>
      <c r="E587" s="130"/>
      <c r="F587" s="188"/>
      <c r="G587" s="130"/>
      <c r="H587" s="130"/>
      <c r="I587" s="130"/>
      <c r="J587" s="130"/>
      <c r="K587" s="130"/>
      <c r="L587" s="130"/>
      <c r="M587" s="130"/>
      <c r="N587" s="130"/>
      <c r="O587" s="130"/>
      <c r="P587" s="130"/>
      <c r="Q587" s="130"/>
      <c r="R587" s="130"/>
    </row>
    <row r="588">
      <c r="A588" s="130"/>
      <c r="B588" s="130"/>
      <c r="C588" s="130"/>
      <c r="D588" s="130"/>
      <c r="E588" s="130"/>
      <c r="F588" s="188"/>
      <c r="G588" s="130"/>
      <c r="H588" s="130"/>
      <c r="I588" s="130"/>
      <c r="J588" s="130"/>
      <c r="K588" s="130"/>
      <c r="L588" s="130"/>
      <c r="M588" s="130"/>
      <c r="N588" s="130"/>
      <c r="O588" s="130"/>
      <c r="P588" s="130"/>
      <c r="Q588" s="130"/>
      <c r="R588" s="130"/>
    </row>
    <row r="589">
      <c r="A589" s="130"/>
      <c r="B589" s="130"/>
      <c r="C589" s="130"/>
      <c r="D589" s="130"/>
      <c r="E589" s="130"/>
      <c r="F589" s="188"/>
      <c r="G589" s="130"/>
      <c r="H589" s="130"/>
      <c r="I589" s="130"/>
      <c r="J589" s="130"/>
      <c r="K589" s="130"/>
      <c r="L589" s="130"/>
      <c r="M589" s="130"/>
      <c r="N589" s="130"/>
      <c r="O589" s="130"/>
      <c r="P589" s="130"/>
      <c r="Q589" s="130"/>
      <c r="R589" s="130"/>
    </row>
    <row r="590">
      <c r="A590" s="130"/>
      <c r="B590" s="130"/>
      <c r="C590" s="130"/>
      <c r="D590" s="130"/>
      <c r="E590" s="130"/>
      <c r="F590" s="188"/>
      <c r="G590" s="130"/>
      <c r="H590" s="130"/>
      <c r="I590" s="130"/>
      <c r="J590" s="130"/>
      <c r="K590" s="130"/>
      <c r="L590" s="130"/>
      <c r="M590" s="130"/>
      <c r="N590" s="130"/>
      <c r="O590" s="130"/>
      <c r="P590" s="130"/>
      <c r="Q590" s="130"/>
      <c r="R590" s="130"/>
    </row>
    <row r="591">
      <c r="A591" s="130"/>
      <c r="B591" s="130"/>
      <c r="C591" s="130"/>
      <c r="D591" s="130"/>
      <c r="E591" s="130"/>
      <c r="F591" s="188"/>
      <c r="G591" s="130"/>
      <c r="H591" s="130"/>
      <c r="I591" s="130"/>
      <c r="J591" s="130"/>
      <c r="K591" s="130"/>
      <c r="L591" s="130"/>
      <c r="M591" s="130"/>
      <c r="N591" s="130"/>
      <c r="O591" s="130"/>
      <c r="P591" s="130"/>
      <c r="Q591" s="130"/>
      <c r="R591" s="130"/>
    </row>
    <row r="592">
      <c r="A592" s="130"/>
      <c r="B592" s="130"/>
      <c r="C592" s="130"/>
      <c r="D592" s="130"/>
      <c r="E592" s="130"/>
      <c r="F592" s="188"/>
      <c r="G592" s="130"/>
      <c r="H592" s="130"/>
      <c r="I592" s="130"/>
      <c r="J592" s="130"/>
      <c r="K592" s="130"/>
      <c r="L592" s="130"/>
      <c r="M592" s="130"/>
      <c r="N592" s="130"/>
      <c r="O592" s="130"/>
      <c r="P592" s="130"/>
      <c r="Q592" s="130"/>
      <c r="R592" s="130"/>
    </row>
    <row r="593">
      <c r="A593" s="130"/>
      <c r="B593" s="130"/>
      <c r="C593" s="130"/>
      <c r="D593" s="130"/>
      <c r="E593" s="130"/>
      <c r="F593" s="188"/>
      <c r="G593" s="130"/>
      <c r="H593" s="130"/>
      <c r="I593" s="130"/>
      <c r="J593" s="130"/>
      <c r="K593" s="130"/>
      <c r="L593" s="130"/>
      <c r="M593" s="130"/>
      <c r="N593" s="130"/>
      <c r="O593" s="130"/>
      <c r="P593" s="130"/>
      <c r="Q593" s="130"/>
      <c r="R593" s="130"/>
    </row>
    <row r="594">
      <c r="A594" s="130"/>
      <c r="B594" s="130"/>
      <c r="C594" s="130"/>
      <c r="D594" s="130"/>
      <c r="E594" s="130"/>
      <c r="F594" s="188"/>
      <c r="G594" s="130"/>
      <c r="H594" s="130"/>
      <c r="I594" s="130"/>
      <c r="J594" s="130"/>
      <c r="K594" s="130"/>
      <c r="L594" s="130"/>
      <c r="M594" s="130"/>
      <c r="N594" s="130"/>
      <c r="O594" s="130"/>
      <c r="P594" s="130"/>
      <c r="Q594" s="130"/>
      <c r="R594" s="130"/>
    </row>
    <row r="595">
      <c r="A595" s="130"/>
      <c r="B595" s="130"/>
      <c r="C595" s="130"/>
      <c r="D595" s="130"/>
      <c r="E595" s="130"/>
      <c r="F595" s="188"/>
      <c r="G595" s="130"/>
      <c r="H595" s="130"/>
      <c r="I595" s="130"/>
      <c r="J595" s="130"/>
      <c r="K595" s="130"/>
      <c r="L595" s="130"/>
      <c r="M595" s="130"/>
      <c r="N595" s="130"/>
      <c r="O595" s="130"/>
      <c r="P595" s="130"/>
      <c r="Q595" s="130"/>
      <c r="R595" s="130"/>
    </row>
    <row r="596">
      <c r="A596" s="130"/>
      <c r="B596" s="130"/>
      <c r="C596" s="130"/>
      <c r="D596" s="130"/>
      <c r="E596" s="130"/>
      <c r="F596" s="188"/>
      <c r="G596" s="130"/>
      <c r="H596" s="130"/>
      <c r="I596" s="130"/>
      <c r="J596" s="130"/>
      <c r="K596" s="130"/>
      <c r="L596" s="130"/>
      <c r="M596" s="130"/>
      <c r="N596" s="130"/>
      <c r="O596" s="130"/>
      <c r="P596" s="130"/>
      <c r="Q596" s="130"/>
      <c r="R596" s="130"/>
    </row>
    <row r="597">
      <c r="A597" s="130"/>
      <c r="B597" s="130"/>
      <c r="C597" s="130"/>
      <c r="D597" s="130"/>
      <c r="E597" s="130"/>
      <c r="F597" s="188"/>
      <c r="G597" s="130"/>
      <c r="H597" s="130"/>
      <c r="I597" s="130"/>
      <c r="J597" s="130"/>
      <c r="K597" s="130"/>
      <c r="L597" s="130"/>
      <c r="M597" s="130"/>
      <c r="N597" s="130"/>
      <c r="O597" s="130"/>
      <c r="P597" s="130"/>
      <c r="Q597" s="130"/>
      <c r="R597" s="130"/>
    </row>
    <row r="598">
      <c r="A598" s="130"/>
      <c r="B598" s="130"/>
      <c r="C598" s="130"/>
      <c r="D598" s="130"/>
      <c r="E598" s="130"/>
      <c r="F598" s="188"/>
      <c r="G598" s="130"/>
      <c r="H598" s="130"/>
      <c r="I598" s="130"/>
      <c r="J598" s="130"/>
      <c r="K598" s="130"/>
      <c r="L598" s="130"/>
      <c r="M598" s="130"/>
      <c r="N598" s="130"/>
      <c r="O598" s="130"/>
      <c r="P598" s="130"/>
      <c r="Q598" s="130"/>
      <c r="R598" s="130"/>
    </row>
    <row r="599">
      <c r="A599" s="130"/>
      <c r="B599" s="130"/>
      <c r="C599" s="130"/>
      <c r="D599" s="130"/>
      <c r="E599" s="130"/>
      <c r="F599" s="188"/>
      <c r="G599" s="130"/>
      <c r="H599" s="130"/>
      <c r="I599" s="130"/>
      <c r="J599" s="130"/>
      <c r="K599" s="130"/>
      <c r="L599" s="130"/>
      <c r="M599" s="130"/>
      <c r="N599" s="130"/>
      <c r="O599" s="130"/>
      <c r="P599" s="130"/>
      <c r="Q599" s="130"/>
      <c r="R599" s="130"/>
    </row>
    <row r="600">
      <c r="A600" s="130"/>
      <c r="B600" s="130"/>
      <c r="C600" s="130"/>
      <c r="D600" s="130"/>
      <c r="E600" s="130"/>
      <c r="F600" s="188"/>
      <c r="G600" s="130"/>
      <c r="H600" s="130"/>
      <c r="I600" s="130"/>
      <c r="J600" s="130"/>
      <c r="K600" s="130"/>
      <c r="L600" s="130"/>
      <c r="M600" s="130"/>
      <c r="N600" s="130"/>
      <c r="O600" s="130"/>
      <c r="P600" s="130"/>
      <c r="Q600" s="130"/>
      <c r="R600" s="130"/>
    </row>
    <row r="601">
      <c r="A601" s="130"/>
      <c r="B601" s="130"/>
      <c r="C601" s="130"/>
      <c r="D601" s="130"/>
      <c r="E601" s="130"/>
      <c r="F601" s="188"/>
      <c r="G601" s="130"/>
      <c r="H601" s="130"/>
      <c r="I601" s="130"/>
      <c r="J601" s="130"/>
      <c r="K601" s="130"/>
      <c r="L601" s="130"/>
      <c r="M601" s="130"/>
      <c r="N601" s="130"/>
      <c r="O601" s="130"/>
      <c r="P601" s="130"/>
      <c r="Q601" s="130"/>
      <c r="R601" s="130"/>
    </row>
    <row r="602">
      <c r="A602" s="130"/>
      <c r="B602" s="130"/>
      <c r="C602" s="130"/>
      <c r="D602" s="130"/>
      <c r="E602" s="130"/>
      <c r="F602" s="188"/>
      <c r="G602" s="130"/>
      <c r="H602" s="130"/>
      <c r="I602" s="130"/>
      <c r="J602" s="130"/>
      <c r="K602" s="130"/>
      <c r="L602" s="130"/>
      <c r="M602" s="130"/>
      <c r="N602" s="130"/>
      <c r="O602" s="130"/>
      <c r="P602" s="130"/>
      <c r="Q602" s="130"/>
      <c r="R602" s="130"/>
    </row>
    <row r="603">
      <c r="A603" s="130"/>
      <c r="B603" s="130"/>
      <c r="C603" s="130"/>
      <c r="D603" s="130"/>
      <c r="E603" s="130"/>
      <c r="F603" s="188"/>
      <c r="G603" s="130"/>
      <c r="H603" s="130"/>
      <c r="I603" s="130"/>
      <c r="J603" s="130"/>
      <c r="K603" s="130"/>
      <c r="L603" s="130"/>
      <c r="M603" s="130"/>
      <c r="N603" s="130"/>
      <c r="O603" s="130"/>
      <c r="P603" s="130"/>
      <c r="Q603" s="130"/>
      <c r="R603" s="130"/>
    </row>
    <row r="604">
      <c r="A604" s="130"/>
      <c r="B604" s="130"/>
      <c r="C604" s="130"/>
      <c r="D604" s="130"/>
      <c r="E604" s="130"/>
      <c r="F604" s="188"/>
      <c r="G604" s="130"/>
      <c r="H604" s="130"/>
      <c r="I604" s="130"/>
      <c r="J604" s="130"/>
      <c r="K604" s="130"/>
      <c r="L604" s="130"/>
      <c r="M604" s="130"/>
      <c r="N604" s="130"/>
      <c r="O604" s="130"/>
      <c r="P604" s="130"/>
      <c r="Q604" s="130"/>
      <c r="R604" s="130"/>
    </row>
    <row r="605">
      <c r="A605" s="130"/>
      <c r="B605" s="130"/>
      <c r="C605" s="130"/>
      <c r="D605" s="130"/>
      <c r="E605" s="130"/>
      <c r="F605" s="188"/>
      <c r="G605" s="130"/>
      <c r="H605" s="130"/>
      <c r="I605" s="130"/>
      <c r="J605" s="130"/>
      <c r="K605" s="130"/>
      <c r="L605" s="130"/>
      <c r="M605" s="130"/>
      <c r="N605" s="130"/>
      <c r="O605" s="130"/>
      <c r="P605" s="130"/>
      <c r="Q605" s="130"/>
      <c r="R605" s="130"/>
    </row>
    <row r="606">
      <c r="A606" s="130"/>
      <c r="B606" s="130"/>
      <c r="C606" s="130"/>
      <c r="D606" s="130"/>
      <c r="E606" s="130"/>
      <c r="F606" s="188"/>
      <c r="G606" s="130"/>
      <c r="H606" s="130"/>
      <c r="I606" s="130"/>
      <c r="J606" s="130"/>
      <c r="K606" s="130"/>
      <c r="L606" s="130"/>
      <c r="M606" s="130"/>
      <c r="N606" s="130"/>
      <c r="O606" s="130"/>
      <c r="P606" s="130"/>
      <c r="Q606" s="130"/>
      <c r="R606" s="130"/>
    </row>
    <row r="607">
      <c r="A607" s="130"/>
      <c r="B607" s="130"/>
      <c r="C607" s="130"/>
      <c r="D607" s="130"/>
      <c r="E607" s="130"/>
      <c r="F607" s="188"/>
      <c r="G607" s="130"/>
      <c r="H607" s="130"/>
      <c r="I607" s="130"/>
      <c r="J607" s="130"/>
      <c r="K607" s="130"/>
      <c r="L607" s="130"/>
      <c r="M607" s="130"/>
      <c r="N607" s="130"/>
      <c r="O607" s="130"/>
      <c r="P607" s="130"/>
      <c r="Q607" s="130"/>
      <c r="R607" s="130"/>
    </row>
    <row r="608">
      <c r="A608" s="130"/>
      <c r="B608" s="130"/>
      <c r="C608" s="130"/>
      <c r="D608" s="130"/>
      <c r="E608" s="130"/>
      <c r="F608" s="188"/>
      <c r="G608" s="130"/>
      <c r="H608" s="130"/>
      <c r="I608" s="130"/>
      <c r="J608" s="130"/>
      <c r="K608" s="130"/>
      <c r="L608" s="130"/>
      <c r="M608" s="130"/>
      <c r="N608" s="130"/>
      <c r="O608" s="130"/>
      <c r="P608" s="130"/>
      <c r="Q608" s="130"/>
      <c r="R608" s="130"/>
    </row>
    <row r="609">
      <c r="A609" s="130"/>
      <c r="B609" s="130"/>
      <c r="C609" s="130"/>
      <c r="D609" s="130"/>
      <c r="E609" s="130"/>
      <c r="F609" s="188"/>
      <c r="G609" s="130"/>
      <c r="H609" s="130"/>
      <c r="I609" s="130"/>
      <c r="J609" s="130"/>
      <c r="K609" s="130"/>
      <c r="L609" s="130"/>
      <c r="M609" s="130"/>
      <c r="N609" s="130"/>
      <c r="O609" s="130"/>
      <c r="P609" s="130"/>
      <c r="Q609" s="130"/>
      <c r="R609" s="130"/>
    </row>
    <row r="610">
      <c r="A610" s="130"/>
      <c r="B610" s="130"/>
      <c r="C610" s="130"/>
      <c r="D610" s="130"/>
      <c r="E610" s="130"/>
      <c r="F610" s="188"/>
      <c r="G610" s="130"/>
      <c r="H610" s="130"/>
      <c r="I610" s="130"/>
      <c r="J610" s="130"/>
      <c r="K610" s="130"/>
      <c r="L610" s="130"/>
      <c r="M610" s="130"/>
      <c r="N610" s="130"/>
      <c r="O610" s="130"/>
      <c r="P610" s="130"/>
      <c r="Q610" s="130"/>
      <c r="R610" s="130"/>
    </row>
    <row r="611">
      <c r="A611" s="130"/>
      <c r="B611" s="130"/>
      <c r="C611" s="130"/>
      <c r="D611" s="130"/>
      <c r="E611" s="130"/>
      <c r="F611" s="188"/>
      <c r="G611" s="130"/>
      <c r="H611" s="130"/>
      <c r="I611" s="130"/>
      <c r="J611" s="130"/>
      <c r="K611" s="130"/>
      <c r="L611" s="130"/>
      <c r="M611" s="130"/>
      <c r="N611" s="130"/>
      <c r="O611" s="130"/>
      <c r="P611" s="130"/>
      <c r="Q611" s="130"/>
      <c r="R611" s="130"/>
    </row>
    <row r="612">
      <c r="A612" s="130"/>
      <c r="B612" s="130"/>
      <c r="C612" s="130"/>
      <c r="D612" s="130"/>
      <c r="E612" s="130"/>
      <c r="F612" s="188"/>
      <c r="G612" s="130"/>
      <c r="H612" s="130"/>
      <c r="I612" s="130"/>
      <c r="J612" s="130"/>
      <c r="K612" s="130"/>
      <c r="L612" s="130"/>
      <c r="M612" s="130"/>
      <c r="N612" s="130"/>
      <c r="O612" s="130"/>
      <c r="P612" s="130"/>
      <c r="Q612" s="130"/>
      <c r="R612" s="130"/>
    </row>
    <row r="613">
      <c r="A613" s="130"/>
      <c r="B613" s="130"/>
      <c r="C613" s="130"/>
      <c r="D613" s="130"/>
      <c r="E613" s="130"/>
      <c r="F613" s="188"/>
      <c r="G613" s="130"/>
      <c r="H613" s="130"/>
      <c r="I613" s="130"/>
      <c r="J613" s="130"/>
      <c r="K613" s="130"/>
      <c r="L613" s="130"/>
      <c r="M613" s="130"/>
      <c r="N613" s="130"/>
      <c r="O613" s="130"/>
      <c r="P613" s="130"/>
      <c r="Q613" s="130"/>
      <c r="R613" s="130"/>
    </row>
    <row r="614">
      <c r="A614" s="130"/>
      <c r="B614" s="130"/>
      <c r="C614" s="130"/>
      <c r="D614" s="130"/>
      <c r="E614" s="130"/>
      <c r="F614" s="188"/>
      <c r="G614" s="130"/>
      <c r="H614" s="130"/>
      <c r="I614" s="130"/>
      <c r="J614" s="130"/>
      <c r="K614" s="130"/>
      <c r="L614" s="130"/>
      <c r="M614" s="130"/>
      <c r="N614" s="130"/>
      <c r="O614" s="130"/>
      <c r="P614" s="130"/>
      <c r="Q614" s="130"/>
      <c r="R614" s="130"/>
    </row>
    <row r="615">
      <c r="A615" s="130"/>
      <c r="B615" s="130"/>
      <c r="C615" s="130"/>
      <c r="D615" s="130"/>
      <c r="E615" s="130"/>
      <c r="F615" s="188"/>
      <c r="G615" s="130"/>
      <c r="H615" s="130"/>
      <c r="I615" s="130"/>
      <c r="J615" s="130"/>
      <c r="K615" s="130"/>
      <c r="L615" s="130"/>
      <c r="M615" s="130"/>
      <c r="N615" s="130"/>
      <c r="O615" s="130"/>
      <c r="P615" s="130"/>
      <c r="Q615" s="130"/>
      <c r="R615" s="130"/>
    </row>
    <row r="616">
      <c r="A616" s="130"/>
      <c r="B616" s="130"/>
      <c r="C616" s="130"/>
      <c r="D616" s="130"/>
      <c r="E616" s="130"/>
      <c r="F616" s="188"/>
      <c r="G616" s="130"/>
      <c r="H616" s="130"/>
      <c r="I616" s="130"/>
      <c r="J616" s="130"/>
      <c r="K616" s="130"/>
      <c r="L616" s="130"/>
      <c r="M616" s="130"/>
      <c r="N616" s="130"/>
      <c r="O616" s="130"/>
      <c r="P616" s="130"/>
      <c r="Q616" s="130"/>
      <c r="R616" s="130"/>
    </row>
    <row r="617">
      <c r="A617" s="130"/>
      <c r="B617" s="130"/>
      <c r="C617" s="130"/>
      <c r="D617" s="130"/>
      <c r="E617" s="130"/>
      <c r="F617" s="188"/>
      <c r="G617" s="130"/>
      <c r="H617" s="130"/>
      <c r="I617" s="130"/>
      <c r="J617" s="130"/>
      <c r="K617" s="130"/>
      <c r="L617" s="130"/>
      <c r="M617" s="130"/>
      <c r="N617" s="130"/>
      <c r="O617" s="130"/>
      <c r="P617" s="130"/>
      <c r="Q617" s="130"/>
      <c r="R617" s="130"/>
    </row>
    <row r="618">
      <c r="A618" s="130"/>
      <c r="B618" s="130"/>
      <c r="C618" s="130"/>
      <c r="D618" s="130"/>
      <c r="E618" s="130"/>
      <c r="F618" s="188"/>
      <c r="G618" s="130"/>
      <c r="H618" s="130"/>
      <c r="I618" s="130"/>
      <c r="J618" s="130"/>
      <c r="K618" s="130"/>
      <c r="L618" s="130"/>
      <c r="M618" s="130"/>
      <c r="N618" s="130"/>
      <c r="O618" s="130"/>
      <c r="P618" s="130"/>
      <c r="Q618" s="130"/>
      <c r="R618" s="130"/>
    </row>
    <row r="619">
      <c r="A619" s="130"/>
      <c r="B619" s="130"/>
      <c r="C619" s="130"/>
      <c r="D619" s="130"/>
      <c r="E619" s="130"/>
      <c r="F619" s="188"/>
      <c r="G619" s="130"/>
      <c r="H619" s="130"/>
      <c r="I619" s="130"/>
      <c r="J619" s="130"/>
      <c r="K619" s="130"/>
      <c r="L619" s="130"/>
      <c r="M619" s="130"/>
      <c r="N619" s="130"/>
      <c r="O619" s="130"/>
      <c r="P619" s="130"/>
      <c r="Q619" s="130"/>
      <c r="R619" s="130"/>
    </row>
    <row r="620">
      <c r="A620" s="130"/>
      <c r="B620" s="130"/>
      <c r="C620" s="130"/>
      <c r="D620" s="130"/>
      <c r="E620" s="130"/>
      <c r="F620" s="188"/>
      <c r="G620" s="130"/>
      <c r="H620" s="130"/>
      <c r="I620" s="130"/>
      <c r="J620" s="130"/>
      <c r="K620" s="130"/>
      <c r="L620" s="130"/>
      <c r="M620" s="130"/>
      <c r="N620" s="130"/>
      <c r="O620" s="130"/>
      <c r="P620" s="130"/>
      <c r="Q620" s="130"/>
      <c r="R620" s="130"/>
    </row>
    <row r="621">
      <c r="A621" s="130"/>
      <c r="B621" s="130"/>
      <c r="C621" s="130"/>
      <c r="D621" s="130"/>
      <c r="E621" s="130"/>
      <c r="F621" s="188"/>
      <c r="G621" s="130"/>
      <c r="H621" s="130"/>
      <c r="I621" s="130"/>
      <c r="J621" s="130"/>
      <c r="K621" s="130"/>
      <c r="L621" s="130"/>
      <c r="M621" s="130"/>
      <c r="N621" s="130"/>
      <c r="O621" s="130"/>
      <c r="P621" s="130"/>
      <c r="Q621" s="130"/>
      <c r="R621" s="130"/>
    </row>
    <row r="622">
      <c r="A622" s="130"/>
      <c r="B622" s="130"/>
      <c r="C622" s="130"/>
      <c r="D622" s="130"/>
      <c r="E622" s="130"/>
      <c r="F622" s="188"/>
      <c r="G622" s="130"/>
      <c r="H622" s="130"/>
      <c r="I622" s="130"/>
      <c r="J622" s="130"/>
      <c r="K622" s="130"/>
      <c r="L622" s="130"/>
      <c r="M622" s="130"/>
      <c r="N622" s="130"/>
      <c r="O622" s="130"/>
      <c r="P622" s="130"/>
      <c r="Q622" s="130"/>
      <c r="R622" s="130"/>
    </row>
    <row r="623">
      <c r="A623" s="130"/>
      <c r="B623" s="130"/>
      <c r="C623" s="130"/>
      <c r="D623" s="130"/>
      <c r="E623" s="130"/>
      <c r="F623" s="188"/>
      <c r="G623" s="130"/>
      <c r="H623" s="130"/>
      <c r="I623" s="130"/>
      <c r="J623" s="130"/>
      <c r="K623" s="130"/>
      <c r="L623" s="130"/>
      <c r="M623" s="130"/>
      <c r="N623" s="130"/>
      <c r="O623" s="130"/>
      <c r="P623" s="130"/>
      <c r="Q623" s="130"/>
      <c r="R623" s="130"/>
    </row>
    <row r="624">
      <c r="A624" s="130"/>
      <c r="B624" s="130"/>
      <c r="C624" s="130"/>
      <c r="D624" s="130"/>
      <c r="E624" s="130"/>
      <c r="F624" s="188"/>
      <c r="G624" s="130"/>
      <c r="H624" s="130"/>
      <c r="I624" s="130"/>
      <c r="J624" s="130"/>
      <c r="K624" s="130"/>
      <c r="L624" s="130"/>
      <c r="M624" s="130"/>
      <c r="N624" s="130"/>
      <c r="O624" s="130"/>
      <c r="P624" s="130"/>
      <c r="Q624" s="130"/>
      <c r="R624" s="130"/>
    </row>
    <row r="625">
      <c r="A625" s="130"/>
      <c r="B625" s="130"/>
      <c r="C625" s="130"/>
      <c r="D625" s="130"/>
      <c r="E625" s="130"/>
      <c r="F625" s="188"/>
      <c r="G625" s="130"/>
      <c r="H625" s="130"/>
      <c r="I625" s="130"/>
      <c r="J625" s="130"/>
      <c r="K625" s="130"/>
      <c r="L625" s="130"/>
      <c r="M625" s="130"/>
      <c r="N625" s="130"/>
      <c r="O625" s="130"/>
      <c r="P625" s="130"/>
      <c r="Q625" s="130"/>
      <c r="R625" s="130"/>
    </row>
    <row r="626">
      <c r="A626" s="130"/>
      <c r="B626" s="130"/>
      <c r="C626" s="130"/>
      <c r="D626" s="130"/>
      <c r="E626" s="130"/>
      <c r="F626" s="188"/>
      <c r="G626" s="130"/>
      <c r="H626" s="130"/>
      <c r="I626" s="130"/>
      <c r="J626" s="130"/>
      <c r="K626" s="130"/>
      <c r="L626" s="130"/>
      <c r="M626" s="130"/>
      <c r="N626" s="130"/>
      <c r="O626" s="130"/>
      <c r="P626" s="130"/>
      <c r="Q626" s="130"/>
      <c r="R626" s="130"/>
    </row>
    <row r="627">
      <c r="A627" s="130"/>
      <c r="B627" s="130"/>
      <c r="C627" s="130"/>
      <c r="D627" s="130"/>
      <c r="E627" s="130"/>
      <c r="F627" s="188"/>
      <c r="G627" s="130"/>
      <c r="H627" s="130"/>
      <c r="I627" s="130"/>
      <c r="J627" s="130"/>
      <c r="K627" s="130"/>
      <c r="L627" s="130"/>
      <c r="M627" s="130"/>
      <c r="N627" s="130"/>
      <c r="O627" s="130"/>
      <c r="P627" s="130"/>
      <c r="Q627" s="130"/>
      <c r="R627" s="130"/>
    </row>
    <row r="628">
      <c r="A628" s="130"/>
      <c r="B628" s="130"/>
      <c r="C628" s="130"/>
      <c r="D628" s="130"/>
      <c r="E628" s="130"/>
      <c r="F628" s="188"/>
      <c r="G628" s="130"/>
      <c r="H628" s="130"/>
      <c r="I628" s="130"/>
      <c r="J628" s="130"/>
      <c r="K628" s="130"/>
      <c r="L628" s="130"/>
      <c r="M628" s="130"/>
      <c r="N628" s="130"/>
      <c r="O628" s="130"/>
      <c r="P628" s="130"/>
      <c r="Q628" s="130"/>
      <c r="R628" s="130"/>
    </row>
    <row r="629">
      <c r="A629" s="130"/>
      <c r="B629" s="130"/>
      <c r="C629" s="130"/>
      <c r="D629" s="130"/>
      <c r="E629" s="130"/>
      <c r="F629" s="188"/>
      <c r="G629" s="130"/>
      <c r="H629" s="130"/>
      <c r="I629" s="130"/>
      <c r="J629" s="130"/>
      <c r="K629" s="130"/>
      <c r="L629" s="130"/>
      <c r="M629" s="130"/>
      <c r="N629" s="130"/>
      <c r="O629" s="130"/>
      <c r="P629" s="130"/>
      <c r="Q629" s="130"/>
      <c r="R629" s="130"/>
    </row>
    <row r="630">
      <c r="A630" s="130"/>
      <c r="B630" s="130"/>
      <c r="C630" s="130"/>
      <c r="D630" s="130"/>
      <c r="E630" s="130"/>
      <c r="F630" s="188"/>
      <c r="G630" s="130"/>
      <c r="H630" s="130"/>
      <c r="I630" s="130"/>
      <c r="J630" s="130"/>
      <c r="K630" s="130"/>
      <c r="L630" s="130"/>
      <c r="M630" s="130"/>
      <c r="N630" s="130"/>
      <c r="O630" s="130"/>
      <c r="P630" s="130"/>
      <c r="Q630" s="130"/>
      <c r="R630" s="130"/>
    </row>
    <row r="631">
      <c r="A631" s="130"/>
      <c r="B631" s="130"/>
      <c r="C631" s="130"/>
      <c r="D631" s="130"/>
      <c r="E631" s="130"/>
      <c r="F631" s="188"/>
      <c r="G631" s="130"/>
      <c r="H631" s="130"/>
      <c r="I631" s="130"/>
      <c r="J631" s="130"/>
      <c r="K631" s="130"/>
      <c r="L631" s="130"/>
      <c r="M631" s="130"/>
      <c r="N631" s="130"/>
      <c r="O631" s="130"/>
      <c r="P631" s="130"/>
      <c r="Q631" s="130"/>
      <c r="R631" s="130"/>
    </row>
    <row r="632">
      <c r="A632" s="130"/>
      <c r="B632" s="130"/>
      <c r="C632" s="130"/>
      <c r="D632" s="130"/>
      <c r="E632" s="130"/>
      <c r="F632" s="188"/>
      <c r="G632" s="130"/>
      <c r="H632" s="130"/>
      <c r="I632" s="130"/>
      <c r="J632" s="130"/>
      <c r="K632" s="130"/>
      <c r="L632" s="130"/>
      <c r="M632" s="130"/>
      <c r="N632" s="130"/>
      <c r="O632" s="130"/>
      <c r="P632" s="130"/>
      <c r="Q632" s="130"/>
      <c r="R632" s="130"/>
    </row>
    <row r="633">
      <c r="A633" s="130"/>
      <c r="B633" s="130"/>
      <c r="C633" s="130"/>
      <c r="D633" s="130"/>
      <c r="E633" s="130"/>
      <c r="F633" s="188"/>
      <c r="G633" s="130"/>
      <c r="H633" s="130"/>
      <c r="I633" s="130"/>
      <c r="J633" s="130"/>
      <c r="K633" s="130"/>
      <c r="L633" s="130"/>
      <c r="M633" s="130"/>
      <c r="N633" s="130"/>
      <c r="O633" s="130"/>
      <c r="P633" s="130"/>
      <c r="Q633" s="130"/>
      <c r="R633" s="130"/>
    </row>
    <row r="634">
      <c r="A634" s="130"/>
      <c r="B634" s="130"/>
      <c r="C634" s="130"/>
      <c r="D634" s="130"/>
      <c r="E634" s="130"/>
      <c r="F634" s="188"/>
      <c r="G634" s="130"/>
      <c r="H634" s="130"/>
      <c r="I634" s="130"/>
      <c r="J634" s="130"/>
      <c r="K634" s="130"/>
      <c r="L634" s="130"/>
      <c r="M634" s="130"/>
      <c r="N634" s="130"/>
      <c r="O634" s="130"/>
      <c r="P634" s="130"/>
      <c r="Q634" s="130"/>
      <c r="R634" s="130"/>
    </row>
    <row r="635">
      <c r="A635" s="130"/>
      <c r="B635" s="130"/>
      <c r="C635" s="130"/>
      <c r="D635" s="130"/>
      <c r="E635" s="130"/>
      <c r="F635" s="188"/>
      <c r="G635" s="130"/>
      <c r="H635" s="130"/>
      <c r="I635" s="130"/>
      <c r="J635" s="130"/>
      <c r="K635" s="130"/>
      <c r="L635" s="130"/>
      <c r="M635" s="130"/>
      <c r="N635" s="130"/>
      <c r="O635" s="130"/>
      <c r="P635" s="130"/>
      <c r="Q635" s="130"/>
      <c r="R635" s="130"/>
    </row>
    <row r="636">
      <c r="A636" s="130"/>
      <c r="B636" s="130"/>
      <c r="C636" s="130"/>
      <c r="D636" s="130"/>
      <c r="E636" s="130"/>
      <c r="F636" s="188"/>
      <c r="G636" s="130"/>
      <c r="H636" s="130"/>
      <c r="I636" s="130"/>
      <c r="J636" s="130"/>
      <c r="K636" s="130"/>
      <c r="L636" s="130"/>
      <c r="M636" s="130"/>
      <c r="N636" s="130"/>
      <c r="O636" s="130"/>
      <c r="P636" s="130"/>
      <c r="Q636" s="130"/>
      <c r="R636" s="130"/>
    </row>
    <row r="637">
      <c r="A637" s="130"/>
      <c r="B637" s="130"/>
      <c r="C637" s="130"/>
      <c r="D637" s="130"/>
      <c r="E637" s="130"/>
      <c r="F637" s="188"/>
      <c r="G637" s="130"/>
      <c r="H637" s="130"/>
      <c r="I637" s="130"/>
      <c r="J637" s="130"/>
      <c r="K637" s="130"/>
      <c r="L637" s="130"/>
      <c r="M637" s="130"/>
      <c r="N637" s="130"/>
      <c r="O637" s="130"/>
      <c r="P637" s="130"/>
      <c r="Q637" s="130"/>
      <c r="R637" s="130"/>
    </row>
    <row r="638">
      <c r="A638" s="130"/>
      <c r="B638" s="130"/>
      <c r="C638" s="130"/>
      <c r="D638" s="130"/>
      <c r="E638" s="130"/>
      <c r="F638" s="188"/>
      <c r="G638" s="130"/>
      <c r="H638" s="130"/>
      <c r="I638" s="130"/>
      <c r="J638" s="130"/>
      <c r="K638" s="130"/>
      <c r="L638" s="130"/>
      <c r="M638" s="130"/>
      <c r="N638" s="130"/>
      <c r="O638" s="130"/>
      <c r="P638" s="130"/>
      <c r="Q638" s="130"/>
      <c r="R638" s="130"/>
    </row>
    <row r="639">
      <c r="A639" s="130"/>
      <c r="B639" s="130"/>
      <c r="C639" s="130"/>
      <c r="D639" s="130"/>
      <c r="E639" s="130"/>
      <c r="F639" s="188"/>
      <c r="G639" s="130"/>
      <c r="H639" s="130"/>
      <c r="I639" s="130"/>
      <c r="J639" s="130"/>
      <c r="K639" s="130"/>
      <c r="L639" s="130"/>
      <c r="M639" s="130"/>
      <c r="N639" s="130"/>
      <c r="O639" s="130"/>
      <c r="P639" s="130"/>
      <c r="Q639" s="130"/>
      <c r="R639" s="130"/>
    </row>
    <row r="640">
      <c r="A640" s="130"/>
      <c r="B640" s="130"/>
      <c r="C640" s="130"/>
      <c r="D640" s="130"/>
      <c r="E640" s="130"/>
      <c r="F640" s="188"/>
      <c r="G640" s="130"/>
      <c r="H640" s="130"/>
      <c r="I640" s="130"/>
      <c r="J640" s="130"/>
      <c r="K640" s="130"/>
      <c r="L640" s="130"/>
      <c r="M640" s="130"/>
      <c r="N640" s="130"/>
      <c r="O640" s="130"/>
      <c r="P640" s="130"/>
      <c r="Q640" s="130"/>
      <c r="R640" s="130"/>
    </row>
    <row r="641">
      <c r="A641" s="130"/>
      <c r="B641" s="130"/>
      <c r="C641" s="130"/>
      <c r="D641" s="130"/>
      <c r="E641" s="130"/>
      <c r="F641" s="188"/>
      <c r="G641" s="130"/>
      <c r="H641" s="130"/>
      <c r="I641" s="130"/>
      <c r="J641" s="130"/>
      <c r="K641" s="130"/>
      <c r="L641" s="130"/>
      <c r="M641" s="130"/>
      <c r="N641" s="130"/>
      <c r="O641" s="130"/>
      <c r="P641" s="130"/>
      <c r="Q641" s="130"/>
      <c r="R641" s="130"/>
    </row>
    <row r="642">
      <c r="A642" s="130"/>
      <c r="B642" s="130"/>
      <c r="C642" s="130"/>
      <c r="D642" s="130"/>
      <c r="E642" s="130"/>
      <c r="F642" s="188"/>
      <c r="G642" s="130"/>
      <c r="H642" s="130"/>
      <c r="I642" s="130"/>
      <c r="J642" s="130"/>
      <c r="K642" s="130"/>
      <c r="L642" s="130"/>
      <c r="M642" s="130"/>
      <c r="N642" s="130"/>
      <c r="O642" s="130"/>
      <c r="P642" s="130"/>
      <c r="Q642" s="130"/>
      <c r="R642" s="130"/>
    </row>
    <row r="643">
      <c r="A643" s="130"/>
      <c r="B643" s="130"/>
      <c r="C643" s="130"/>
      <c r="D643" s="130"/>
      <c r="E643" s="130"/>
      <c r="F643" s="188"/>
      <c r="G643" s="130"/>
      <c r="H643" s="130"/>
      <c r="I643" s="130"/>
      <c r="J643" s="130"/>
      <c r="K643" s="130"/>
      <c r="L643" s="130"/>
      <c r="M643" s="130"/>
      <c r="N643" s="130"/>
      <c r="O643" s="130"/>
      <c r="P643" s="130"/>
      <c r="Q643" s="130"/>
      <c r="R643" s="130"/>
    </row>
    <row r="644">
      <c r="A644" s="130"/>
      <c r="B644" s="130"/>
      <c r="C644" s="130"/>
      <c r="D644" s="130"/>
      <c r="E644" s="130"/>
      <c r="F644" s="188"/>
      <c r="G644" s="130"/>
      <c r="H644" s="130"/>
      <c r="I644" s="130"/>
      <c r="J644" s="130"/>
      <c r="K644" s="130"/>
      <c r="L644" s="130"/>
      <c r="M644" s="130"/>
      <c r="N644" s="130"/>
      <c r="O644" s="130"/>
      <c r="P644" s="130"/>
      <c r="Q644" s="130"/>
      <c r="R644" s="130"/>
    </row>
    <row r="645">
      <c r="A645" s="130"/>
      <c r="B645" s="130"/>
      <c r="C645" s="130"/>
      <c r="D645" s="130"/>
      <c r="E645" s="130"/>
      <c r="F645" s="188"/>
      <c r="G645" s="130"/>
      <c r="H645" s="130"/>
      <c r="I645" s="130"/>
      <c r="J645" s="130"/>
      <c r="K645" s="130"/>
      <c r="L645" s="130"/>
      <c r="M645" s="130"/>
      <c r="N645" s="130"/>
      <c r="O645" s="130"/>
      <c r="P645" s="130"/>
      <c r="Q645" s="130"/>
      <c r="R645" s="130"/>
    </row>
    <row r="646">
      <c r="A646" s="130"/>
      <c r="B646" s="130"/>
      <c r="C646" s="130"/>
      <c r="D646" s="130"/>
      <c r="E646" s="130"/>
      <c r="F646" s="188"/>
      <c r="G646" s="130"/>
      <c r="H646" s="130"/>
      <c r="I646" s="130"/>
      <c r="J646" s="130"/>
      <c r="K646" s="130"/>
      <c r="L646" s="130"/>
      <c r="M646" s="130"/>
      <c r="N646" s="130"/>
      <c r="O646" s="130"/>
      <c r="P646" s="130"/>
      <c r="Q646" s="130"/>
      <c r="R646" s="130"/>
    </row>
    <row r="647">
      <c r="A647" s="130"/>
      <c r="B647" s="130"/>
      <c r="C647" s="130"/>
      <c r="D647" s="130"/>
      <c r="E647" s="130"/>
      <c r="F647" s="188"/>
      <c r="G647" s="130"/>
      <c r="H647" s="130"/>
      <c r="I647" s="130"/>
      <c r="J647" s="130"/>
      <c r="K647" s="130"/>
      <c r="L647" s="130"/>
      <c r="M647" s="130"/>
      <c r="N647" s="130"/>
      <c r="O647" s="130"/>
      <c r="P647" s="130"/>
      <c r="Q647" s="130"/>
      <c r="R647" s="130"/>
    </row>
    <row r="648">
      <c r="A648" s="130"/>
      <c r="B648" s="130"/>
      <c r="C648" s="130"/>
      <c r="D648" s="130"/>
      <c r="E648" s="130"/>
      <c r="F648" s="188"/>
      <c r="G648" s="130"/>
      <c r="H648" s="130"/>
      <c r="I648" s="130"/>
      <c r="J648" s="130"/>
      <c r="K648" s="130"/>
      <c r="L648" s="130"/>
      <c r="M648" s="130"/>
      <c r="N648" s="130"/>
      <c r="O648" s="130"/>
      <c r="P648" s="130"/>
      <c r="Q648" s="130"/>
      <c r="R648" s="130"/>
    </row>
    <row r="649">
      <c r="A649" s="130"/>
      <c r="B649" s="130"/>
      <c r="C649" s="130"/>
      <c r="D649" s="130"/>
      <c r="E649" s="130"/>
      <c r="F649" s="188"/>
      <c r="G649" s="130"/>
      <c r="H649" s="130"/>
      <c r="I649" s="130"/>
      <c r="J649" s="130"/>
      <c r="K649" s="130"/>
      <c r="L649" s="130"/>
      <c r="M649" s="130"/>
      <c r="N649" s="130"/>
      <c r="O649" s="130"/>
      <c r="P649" s="130"/>
      <c r="Q649" s="130"/>
      <c r="R649" s="130"/>
    </row>
    <row r="650">
      <c r="A650" s="130"/>
      <c r="B650" s="130"/>
      <c r="C650" s="130"/>
      <c r="D650" s="130"/>
      <c r="E650" s="130"/>
      <c r="F650" s="188"/>
      <c r="G650" s="130"/>
      <c r="H650" s="130"/>
      <c r="I650" s="130"/>
      <c r="J650" s="130"/>
      <c r="K650" s="130"/>
      <c r="L650" s="130"/>
      <c r="M650" s="130"/>
      <c r="N650" s="130"/>
      <c r="O650" s="130"/>
      <c r="P650" s="130"/>
      <c r="Q650" s="130"/>
      <c r="R650" s="130"/>
    </row>
    <row r="651">
      <c r="A651" s="130"/>
      <c r="B651" s="130"/>
      <c r="C651" s="130"/>
      <c r="D651" s="130"/>
      <c r="E651" s="130"/>
      <c r="F651" s="188"/>
      <c r="G651" s="130"/>
      <c r="H651" s="130"/>
      <c r="I651" s="130"/>
      <c r="J651" s="130"/>
      <c r="K651" s="130"/>
      <c r="L651" s="130"/>
      <c r="M651" s="130"/>
      <c r="N651" s="130"/>
      <c r="O651" s="130"/>
      <c r="P651" s="130"/>
      <c r="Q651" s="130"/>
      <c r="R651" s="130"/>
    </row>
    <row r="652">
      <c r="A652" s="130"/>
      <c r="B652" s="130"/>
      <c r="C652" s="130"/>
      <c r="D652" s="130"/>
      <c r="E652" s="130"/>
      <c r="F652" s="188"/>
      <c r="G652" s="130"/>
      <c r="H652" s="130"/>
      <c r="I652" s="130"/>
      <c r="J652" s="130"/>
      <c r="K652" s="130"/>
      <c r="L652" s="130"/>
      <c r="M652" s="130"/>
      <c r="N652" s="130"/>
      <c r="O652" s="130"/>
      <c r="P652" s="130"/>
      <c r="Q652" s="130"/>
      <c r="R652" s="130"/>
    </row>
    <row r="653">
      <c r="A653" s="130"/>
      <c r="B653" s="130"/>
      <c r="C653" s="130"/>
      <c r="D653" s="130"/>
      <c r="E653" s="130"/>
      <c r="F653" s="188"/>
      <c r="G653" s="130"/>
      <c r="H653" s="130"/>
      <c r="I653" s="130"/>
      <c r="J653" s="130"/>
      <c r="K653" s="130"/>
      <c r="L653" s="130"/>
      <c r="M653" s="130"/>
      <c r="N653" s="130"/>
      <c r="O653" s="130"/>
      <c r="P653" s="130"/>
      <c r="Q653" s="130"/>
      <c r="R653" s="130"/>
    </row>
    <row r="654">
      <c r="A654" s="130"/>
      <c r="B654" s="130"/>
      <c r="C654" s="130"/>
      <c r="D654" s="130"/>
      <c r="E654" s="130"/>
      <c r="F654" s="188"/>
      <c r="G654" s="130"/>
      <c r="H654" s="130"/>
      <c r="I654" s="130"/>
      <c r="J654" s="130"/>
      <c r="K654" s="130"/>
      <c r="L654" s="130"/>
      <c r="M654" s="130"/>
      <c r="N654" s="130"/>
      <c r="O654" s="130"/>
      <c r="P654" s="130"/>
      <c r="Q654" s="130"/>
      <c r="R654" s="130"/>
    </row>
    <row r="655">
      <c r="A655" s="130"/>
      <c r="B655" s="130"/>
      <c r="C655" s="130"/>
      <c r="D655" s="130"/>
      <c r="E655" s="130"/>
      <c r="F655" s="188"/>
      <c r="G655" s="130"/>
      <c r="H655" s="130"/>
      <c r="I655" s="130"/>
      <c r="J655" s="130"/>
      <c r="K655" s="130"/>
      <c r="L655" s="130"/>
      <c r="M655" s="130"/>
      <c r="N655" s="130"/>
      <c r="O655" s="130"/>
      <c r="P655" s="130"/>
      <c r="Q655" s="130"/>
      <c r="R655" s="130"/>
    </row>
    <row r="656">
      <c r="A656" s="130"/>
      <c r="B656" s="130"/>
      <c r="C656" s="130"/>
      <c r="D656" s="130"/>
      <c r="E656" s="130"/>
      <c r="F656" s="188"/>
      <c r="G656" s="130"/>
      <c r="H656" s="130"/>
      <c r="I656" s="130"/>
      <c r="J656" s="130"/>
      <c r="K656" s="130"/>
      <c r="L656" s="130"/>
      <c r="M656" s="130"/>
      <c r="N656" s="130"/>
      <c r="O656" s="130"/>
      <c r="P656" s="130"/>
      <c r="Q656" s="130"/>
      <c r="R656" s="130"/>
    </row>
    <row r="657">
      <c r="A657" s="130"/>
      <c r="B657" s="130"/>
      <c r="C657" s="130"/>
      <c r="D657" s="130"/>
      <c r="E657" s="130"/>
      <c r="F657" s="188"/>
      <c r="G657" s="130"/>
      <c r="H657" s="130"/>
      <c r="I657" s="130"/>
      <c r="J657" s="130"/>
      <c r="K657" s="130"/>
      <c r="L657" s="130"/>
      <c r="M657" s="130"/>
      <c r="N657" s="130"/>
      <c r="O657" s="130"/>
      <c r="P657" s="130"/>
      <c r="Q657" s="130"/>
      <c r="R657" s="130"/>
    </row>
    <row r="658">
      <c r="A658" s="130"/>
      <c r="B658" s="130"/>
      <c r="C658" s="130"/>
      <c r="D658" s="130"/>
      <c r="E658" s="130"/>
      <c r="F658" s="188"/>
      <c r="G658" s="130"/>
      <c r="H658" s="130"/>
      <c r="I658" s="130"/>
      <c r="J658" s="130"/>
      <c r="K658" s="130"/>
      <c r="L658" s="130"/>
      <c r="M658" s="130"/>
      <c r="N658" s="130"/>
      <c r="O658" s="130"/>
      <c r="P658" s="130"/>
      <c r="Q658" s="130"/>
      <c r="R658" s="130"/>
    </row>
    <row r="659">
      <c r="A659" s="130"/>
      <c r="B659" s="130"/>
      <c r="C659" s="130"/>
      <c r="D659" s="130"/>
      <c r="E659" s="130"/>
      <c r="F659" s="188"/>
      <c r="G659" s="130"/>
      <c r="H659" s="130"/>
      <c r="I659" s="130"/>
      <c r="J659" s="130"/>
      <c r="K659" s="130"/>
      <c r="L659" s="130"/>
      <c r="M659" s="130"/>
      <c r="N659" s="130"/>
      <c r="O659" s="130"/>
      <c r="P659" s="130"/>
      <c r="Q659" s="130"/>
      <c r="R659" s="130"/>
    </row>
    <row r="660">
      <c r="A660" s="130"/>
      <c r="B660" s="130"/>
      <c r="C660" s="130"/>
      <c r="D660" s="130"/>
      <c r="E660" s="130"/>
      <c r="F660" s="188"/>
      <c r="G660" s="130"/>
      <c r="H660" s="130"/>
      <c r="I660" s="130"/>
      <c r="J660" s="130"/>
      <c r="K660" s="130"/>
      <c r="L660" s="130"/>
      <c r="M660" s="130"/>
      <c r="N660" s="130"/>
      <c r="O660" s="130"/>
      <c r="P660" s="130"/>
      <c r="Q660" s="130"/>
      <c r="R660" s="130"/>
    </row>
    <row r="661">
      <c r="A661" s="130"/>
      <c r="B661" s="130"/>
      <c r="C661" s="130"/>
      <c r="D661" s="130"/>
      <c r="E661" s="130"/>
      <c r="F661" s="188"/>
      <c r="G661" s="130"/>
      <c r="H661" s="130"/>
      <c r="I661" s="130"/>
      <c r="J661" s="130"/>
      <c r="K661" s="130"/>
      <c r="L661" s="130"/>
      <c r="M661" s="130"/>
      <c r="N661" s="130"/>
      <c r="O661" s="130"/>
      <c r="P661" s="130"/>
      <c r="Q661" s="130"/>
      <c r="R661" s="130"/>
    </row>
    <row r="662">
      <c r="A662" s="130"/>
      <c r="B662" s="130"/>
      <c r="C662" s="130"/>
      <c r="D662" s="130"/>
      <c r="E662" s="130"/>
      <c r="F662" s="188"/>
      <c r="G662" s="130"/>
      <c r="H662" s="130"/>
      <c r="I662" s="130"/>
      <c r="J662" s="130"/>
      <c r="K662" s="130"/>
      <c r="L662" s="130"/>
      <c r="M662" s="130"/>
      <c r="N662" s="130"/>
      <c r="O662" s="130"/>
      <c r="P662" s="130"/>
      <c r="Q662" s="130"/>
      <c r="R662" s="130"/>
    </row>
    <row r="663">
      <c r="A663" s="130"/>
      <c r="B663" s="130"/>
      <c r="C663" s="130"/>
      <c r="D663" s="130"/>
      <c r="E663" s="130"/>
      <c r="F663" s="188"/>
      <c r="G663" s="130"/>
      <c r="H663" s="130"/>
      <c r="I663" s="130"/>
      <c r="J663" s="130"/>
      <c r="K663" s="130"/>
      <c r="L663" s="130"/>
      <c r="M663" s="130"/>
      <c r="N663" s="130"/>
      <c r="O663" s="130"/>
      <c r="P663" s="130"/>
      <c r="Q663" s="130"/>
      <c r="R663" s="130"/>
    </row>
    <row r="664">
      <c r="A664" s="130"/>
      <c r="B664" s="130"/>
      <c r="C664" s="130"/>
      <c r="D664" s="130"/>
      <c r="E664" s="130"/>
      <c r="F664" s="188"/>
      <c r="G664" s="130"/>
      <c r="H664" s="130"/>
      <c r="I664" s="130"/>
      <c r="J664" s="130"/>
      <c r="K664" s="130"/>
      <c r="L664" s="130"/>
      <c r="M664" s="130"/>
      <c r="N664" s="130"/>
      <c r="O664" s="130"/>
      <c r="P664" s="130"/>
      <c r="Q664" s="130"/>
      <c r="R664" s="130"/>
    </row>
    <row r="665">
      <c r="A665" s="130"/>
      <c r="B665" s="130"/>
      <c r="C665" s="130"/>
      <c r="D665" s="130"/>
      <c r="E665" s="130"/>
      <c r="F665" s="188"/>
      <c r="G665" s="130"/>
      <c r="H665" s="130"/>
      <c r="I665" s="130"/>
      <c r="J665" s="130"/>
      <c r="K665" s="130"/>
      <c r="L665" s="130"/>
      <c r="M665" s="130"/>
      <c r="N665" s="130"/>
      <c r="O665" s="130"/>
      <c r="P665" s="130"/>
      <c r="Q665" s="130"/>
      <c r="R665" s="130"/>
    </row>
    <row r="666">
      <c r="A666" s="130"/>
      <c r="B666" s="130"/>
      <c r="C666" s="130"/>
      <c r="D666" s="130"/>
      <c r="E666" s="130"/>
      <c r="F666" s="188"/>
      <c r="G666" s="130"/>
      <c r="H666" s="130"/>
      <c r="I666" s="130"/>
      <c r="J666" s="130"/>
      <c r="K666" s="130"/>
      <c r="L666" s="130"/>
      <c r="M666" s="130"/>
      <c r="N666" s="130"/>
      <c r="O666" s="130"/>
      <c r="P666" s="130"/>
      <c r="Q666" s="130"/>
      <c r="R666" s="130"/>
    </row>
    <row r="667">
      <c r="A667" s="130"/>
      <c r="B667" s="130"/>
      <c r="C667" s="130"/>
      <c r="D667" s="130"/>
      <c r="E667" s="130"/>
      <c r="F667" s="188"/>
      <c r="G667" s="130"/>
      <c r="H667" s="130"/>
      <c r="I667" s="130"/>
      <c r="J667" s="130"/>
      <c r="K667" s="130"/>
      <c r="L667" s="130"/>
      <c r="M667" s="130"/>
      <c r="N667" s="130"/>
      <c r="O667" s="130"/>
      <c r="P667" s="130"/>
      <c r="Q667" s="130"/>
      <c r="R667" s="130"/>
    </row>
    <row r="668">
      <c r="A668" s="130"/>
      <c r="B668" s="130"/>
      <c r="C668" s="130"/>
      <c r="D668" s="130"/>
      <c r="E668" s="130"/>
      <c r="F668" s="188"/>
      <c r="G668" s="130"/>
      <c r="H668" s="130"/>
      <c r="I668" s="130"/>
      <c r="J668" s="130"/>
      <c r="K668" s="130"/>
      <c r="L668" s="130"/>
      <c r="M668" s="130"/>
      <c r="N668" s="130"/>
      <c r="O668" s="130"/>
      <c r="P668" s="130"/>
      <c r="Q668" s="130"/>
      <c r="R668" s="130"/>
    </row>
    <row r="669">
      <c r="A669" s="130"/>
      <c r="B669" s="130"/>
      <c r="C669" s="130"/>
      <c r="D669" s="130"/>
      <c r="E669" s="130"/>
      <c r="F669" s="188"/>
      <c r="G669" s="130"/>
      <c r="H669" s="130"/>
      <c r="I669" s="130"/>
      <c r="J669" s="130"/>
      <c r="K669" s="130"/>
      <c r="L669" s="130"/>
      <c r="M669" s="130"/>
      <c r="N669" s="130"/>
      <c r="O669" s="130"/>
      <c r="P669" s="130"/>
      <c r="Q669" s="130"/>
      <c r="R669" s="130"/>
    </row>
    <row r="670">
      <c r="A670" s="130"/>
      <c r="B670" s="130"/>
      <c r="C670" s="130"/>
      <c r="D670" s="130"/>
      <c r="E670" s="130"/>
      <c r="F670" s="188"/>
      <c r="G670" s="130"/>
      <c r="H670" s="130"/>
      <c r="I670" s="130"/>
      <c r="J670" s="130"/>
      <c r="K670" s="130"/>
      <c r="L670" s="130"/>
      <c r="M670" s="130"/>
      <c r="N670" s="130"/>
      <c r="O670" s="130"/>
      <c r="P670" s="130"/>
      <c r="Q670" s="130"/>
      <c r="R670" s="130"/>
    </row>
    <row r="671">
      <c r="A671" s="130"/>
      <c r="B671" s="130"/>
      <c r="C671" s="130"/>
      <c r="D671" s="130"/>
      <c r="E671" s="130"/>
      <c r="F671" s="188"/>
      <c r="G671" s="130"/>
      <c r="H671" s="130"/>
      <c r="I671" s="130"/>
      <c r="J671" s="130"/>
      <c r="K671" s="130"/>
      <c r="L671" s="130"/>
      <c r="M671" s="130"/>
      <c r="N671" s="130"/>
      <c r="O671" s="130"/>
      <c r="P671" s="130"/>
      <c r="Q671" s="130"/>
      <c r="R671" s="130"/>
    </row>
    <row r="672">
      <c r="A672" s="130"/>
      <c r="B672" s="130"/>
      <c r="C672" s="130"/>
      <c r="D672" s="130"/>
      <c r="E672" s="130"/>
      <c r="F672" s="188"/>
      <c r="G672" s="130"/>
      <c r="H672" s="130"/>
      <c r="I672" s="130"/>
      <c r="J672" s="130"/>
      <c r="K672" s="130"/>
      <c r="L672" s="130"/>
      <c r="M672" s="130"/>
      <c r="N672" s="130"/>
      <c r="O672" s="130"/>
      <c r="P672" s="130"/>
      <c r="Q672" s="130"/>
      <c r="R672" s="130"/>
    </row>
    <row r="673">
      <c r="A673" s="130"/>
      <c r="B673" s="130"/>
      <c r="C673" s="130"/>
      <c r="D673" s="130"/>
      <c r="E673" s="130"/>
      <c r="F673" s="188"/>
      <c r="G673" s="130"/>
      <c r="H673" s="130"/>
      <c r="I673" s="130"/>
      <c r="J673" s="130"/>
      <c r="K673" s="130"/>
      <c r="L673" s="130"/>
      <c r="M673" s="130"/>
      <c r="N673" s="130"/>
      <c r="O673" s="130"/>
      <c r="P673" s="130"/>
      <c r="Q673" s="130"/>
      <c r="R673" s="130"/>
    </row>
    <row r="674">
      <c r="A674" s="130"/>
      <c r="B674" s="130"/>
      <c r="C674" s="130"/>
      <c r="D674" s="130"/>
      <c r="E674" s="130"/>
      <c r="F674" s="188"/>
      <c r="G674" s="130"/>
      <c r="H674" s="130"/>
      <c r="I674" s="130"/>
      <c r="J674" s="130"/>
      <c r="K674" s="130"/>
      <c r="L674" s="130"/>
      <c r="M674" s="130"/>
      <c r="N674" s="130"/>
      <c r="O674" s="130"/>
      <c r="P674" s="130"/>
      <c r="Q674" s="130"/>
      <c r="R674" s="130"/>
    </row>
    <row r="675">
      <c r="A675" s="130"/>
      <c r="B675" s="130"/>
      <c r="C675" s="130"/>
      <c r="D675" s="130"/>
      <c r="E675" s="130"/>
      <c r="F675" s="188"/>
      <c r="G675" s="130"/>
      <c r="H675" s="130"/>
      <c r="I675" s="130"/>
      <c r="J675" s="130"/>
      <c r="K675" s="130"/>
      <c r="L675" s="130"/>
      <c r="M675" s="130"/>
      <c r="N675" s="130"/>
      <c r="O675" s="130"/>
      <c r="P675" s="130"/>
      <c r="Q675" s="130"/>
      <c r="R675" s="130"/>
    </row>
    <row r="676">
      <c r="A676" s="130"/>
      <c r="B676" s="130"/>
      <c r="C676" s="130"/>
      <c r="D676" s="130"/>
      <c r="E676" s="130"/>
      <c r="F676" s="188"/>
      <c r="G676" s="130"/>
      <c r="H676" s="130"/>
      <c r="I676" s="130"/>
      <c r="J676" s="130"/>
      <c r="K676" s="130"/>
      <c r="L676" s="130"/>
      <c r="M676" s="130"/>
      <c r="N676" s="130"/>
      <c r="O676" s="130"/>
      <c r="P676" s="130"/>
      <c r="Q676" s="130"/>
      <c r="R676" s="130"/>
    </row>
    <row r="677">
      <c r="A677" s="130"/>
      <c r="B677" s="130"/>
      <c r="C677" s="130"/>
      <c r="D677" s="130"/>
      <c r="E677" s="130"/>
      <c r="F677" s="188"/>
      <c r="G677" s="130"/>
      <c r="H677" s="130"/>
      <c r="I677" s="130"/>
      <c r="J677" s="130"/>
      <c r="K677" s="130"/>
      <c r="L677" s="130"/>
      <c r="M677" s="130"/>
      <c r="N677" s="130"/>
      <c r="O677" s="130"/>
      <c r="P677" s="130"/>
      <c r="Q677" s="130"/>
      <c r="R677" s="130"/>
    </row>
    <row r="678">
      <c r="A678" s="130"/>
      <c r="B678" s="130"/>
      <c r="C678" s="130"/>
      <c r="D678" s="130"/>
      <c r="E678" s="130"/>
      <c r="F678" s="188"/>
      <c r="G678" s="130"/>
      <c r="H678" s="130"/>
      <c r="I678" s="130"/>
      <c r="J678" s="130"/>
      <c r="K678" s="130"/>
      <c r="L678" s="130"/>
      <c r="M678" s="130"/>
      <c r="N678" s="130"/>
      <c r="O678" s="130"/>
      <c r="P678" s="130"/>
      <c r="Q678" s="130"/>
      <c r="R678" s="130"/>
    </row>
    <row r="679">
      <c r="A679" s="130"/>
      <c r="B679" s="130"/>
      <c r="C679" s="130"/>
      <c r="D679" s="130"/>
      <c r="E679" s="130"/>
      <c r="F679" s="188"/>
      <c r="G679" s="130"/>
      <c r="H679" s="130"/>
      <c r="I679" s="130"/>
      <c r="J679" s="130"/>
      <c r="K679" s="130"/>
      <c r="L679" s="130"/>
      <c r="M679" s="130"/>
      <c r="N679" s="130"/>
      <c r="O679" s="130"/>
      <c r="P679" s="130"/>
      <c r="Q679" s="130"/>
      <c r="R679" s="130"/>
    </row>
    <row r="680">
      <c r="A680" s="130"/>
      <c r="B680" s="130"/>
      <c r="C680" s="130"/>
      <c r="D680" s="130"/>
      <c r="E680" s="130"/>
      <c r="F680" s="188"/>
      <c r="G680" s="130"/>
      <c r="H680" s="130"/>
      <c r="I680" s="130"/>
      <c r="J680" s="130"/>
      <c r="K680" s="130"/>
      <c r="L680" s="130"/>
      <c r="M680" s="130"/>
      <c r="N680" s="130"/>
      <c r="O680" s="130"/>
      <c r="P680" s="130"/>
      <c r="Q680" s="130"/>
      <c r="R680" s="130"/>
    </row>
    <row r="681">
      <c r="A681" s="130"/>
      <c r="B681" s="130"/>
      <c r="C681" s="130"/>
      <c r="D681" s="130"/>
      <c r="E681" s="130"/>
      <c r="F681" s="188"/>
      <c r="G681" s="130"/>
      <c r="H681" s="130"/>
      <c r="I681" s="130"/>
      <c r="J681" s="130"/>
      <c r="K681" s="130"/>
      <c r="L681" s="130"/>
      <c r="M681" s="130"/>
      <c r="N681" s="130"/>
      <c r="O681" s="130"/>
      <c r="P681" s="130"/>
      <c r="Q681" s="130"/>
      <c r="R681" s="130"/>
    </row>
    <row r="682">
      <c r="A682" s="130"/>
      <c r="B682" s="130"/>
      <c r="C682" s="130"/>
      <c r="D682" s="130"/>
      <c r="E682" s="130"/>
      <c r="F682" s="188"/>
      <c r="G682" s="130"/>
      <c r="H682" s="130"/>
      <c r="I682" s="130"/>
      <c r="J682" s="130"/>
      <c r="K682" s="130"/>
      <c r="L682" s="130"/>
      <c r="M682" s="130"/>
      <c r="N682" s="130"/>
      <c r="O682" s="130"/>
      <c r="P682" s="130"/>
      <c r="Q682" s="130"/>
      <c r="R682" s="130"/>
    </row>
    <row r="683">
      <c r="A683" s="130"/>
      <c r="B683" s="130"/>
      <c r="C683" s="130"/>
      <c r="D683" s="130"/>
      <c r="E683" s="130"/>
      <c r="F683" s="188"/>
      <c r="G683" s="130"/>
      <c r="H683" s="130"/>
      <c r="I683" s="130"/>
      <c r="J683" s="130"/>
      <c r="K683" s="130"/>
      <c r="L683" s="130"/>
      <c r="M683" s="130"/>
      <c r="N683" s="130"/>
      <c r="O683" s="130"/>
      <c r="P683" s="130"/>
      <c r="Q683" s="130"/>
      <c r="R683" s="130"/>
    </row>
    <row r="684">
      <c r="A684" s="130"/>
      <c r="B684" s="130"/>
      <c r="C684" s="130"/>
      <c r="D684" s="130"/>
      <c r="E684" s="130"/>
      <c r="F684" s="188"/>
      <c r="G684" s="130"/>
      <c r="H684" s="130"/>
      <c r="I684" s="130"/>
      <c r="J684" s="130"/>
      <c r="K684" s="130"/>
      <c r="L684" s="130"/>
      <c r="M684" s="130"/>
      <c r="N684" s="130"/>
      <c r="O684" s="130"/>
      <c r="P684" s="130"/>
      <c r="Q684" s="130"/>
      <c r="R684" s="130"/>
    </row>
    <row r="685">
      <c r="A685" s="130"/>
      <c r="B685" s="130"/>
      <c r="C685" s="130"/>
      <c r="D685" s="130"/>
      <c r="E685" s="130"/>
      <c r="F685" s="188"/>
      <c r="G685" s="130"/>
      <c r="H685" s="130"/>
      <c r="I685" s="130"/>
      <c r="J685" s="130"/>
      <c r="K685" s="130"/>
      <c r="L685" s="130"/>
      <c r="M685" s="130"/>
      <c r="N685" s="130"/>
      <c r="O685" s="130"/>
      <c r="P685" s="130"/>
      <c r="Q685" s="130"/>
      <c r="R685" s="130"/>
    </row>
    <row r="686">
      <c r="A686" s="130"/>
      <c r="B686" s="130"/>
      <c r="C686" s="130"/>
      <c r="D686" s="130"/>
      <c r="E686" s="130"/>
      <c r="F686" s="188"/>
      <c r="G686" s="130"/>
      <c r="H686" s="130"/>
      <c r="I686" s="130"/>
      <c r="J686" s="130"/>
      <c r="K686" s="130"/>
      <c r="L686" s="130"/>
      <c r="M686" s="130"/>
      <c r="N686" s="130"/>
      <c r="O686" s="130"/>
      <c r="P686" s="130"/>
      <c r="Q686" s="130"/>
      <c r="R686" s="130"/>
    </row>
    <row r="687">
      <c r="A687" s="130"/>
      <c r="B687" s="130"/>
      <c r="C687" s="130"/>
      <c r="D687" s="130"/>
      <c r="E687" s="130"/>
      <c r="F687" s="188"/>
      <c r="G687" s="130"/>
      <c r="H687" s="130"/>
      <c r="I687" s="130"/>
      <c r="J687" s="130"/>
      <c r="K687" s="130"/>
      <c r="L687" s="130"/>
      <c r="M687" s="130"/>
      <c r="N687" s="130"/>
      <c r="O687" s="130"/>
      <c r="P687" s="130"/>
      <c r="Q687" s="130"/>
      <c r="R687" s="130"/>
    </row>
    <row r="688">
      <c r="A688" s="130"/>
      <c r="B688" s="130"/>
      <c r="C688" s="130"/>
      <c r="D688" s="130"/>
      <c r="E688" s="130"/>
      <c r="F688" s="188"/>
      <c r="G688" s="130"/>
      <c r="H688" s="130"/>
      <c r="I688" s="130"/>
      <c r="J688" s="130"/>
      <c r="K688" s="130"/>
      <c r="L688" s="130"/>
      <c r="M688" s="130"/>
      <c r="N688" s="130"/>
      <c r="O688" s="130"/>
      <c r="P688" s="130"/>
      <c r="Q688" s="130"/>
      <c r="R688" s="130"/>
    </row>
    <row r="689">
      <c r="A689" s="130"/>
      <c r="B689" s="130"/>
      <c r="C689" s="130"/>
      <c r="D689" s="130"/>
      <c r="E689" s="130"/>
      <c r="F689" s="188"/>
      <c r="G689" s="130"/>
      <c r="H689" s="130"/>
      <c r="I689" s="130"/>
      <c r="J689" s="130"/>
      <c r="K689" s="130"/>
      <c r="L689" s="130"/>
      <c r="M689" s="130"/>
      <c r="N689" s="130"/>
      <c r="O689" s="130"/>
      <c r="P689" s="130"/>
      <c r="Q689" s="130"/>
      <c r="R689" s="130"/>
    </row>
    <row r="690">
      <c r="A690" s="130"/>
      <c r="B690" s="130"/>
      <c r="C690" s="130"/>
      <c r="D690" s="130"/>
      <c r="E690" s="130"/>
      <c r="F690" s="188"/>
      <c r="G690" s="130"/>
      <c r="H690" s="130"/>
      <c r="I690" s="130"/>
      <c r="J690" s="130"/>
      <c r="K690" s="130"/>
      <c r="L690" s="130"/>
      <c r="M690" s="130"/>
      <c r="N690" s="130"/>
      <c r="O690" s="130"/>
      <c r="P690" s="130"/>
      <c r="Q690" s="130"/>
      <c r="R690" s="130"/>
    </row>
    <row r="691">
      <c r="A691" s="130"/>
      <c r="B691" s="130"/>
      <c r="C691" s="130"/>
      <c r="D691" s="130"/>
      <c r="E691" s="130"/>
      <c r="F691" s="188"/>
      <c r="G691" s="130"/>
      <c r="H691" s="130"/>
      <c r="I691" s="130"/>
      <c r="J691" s="130"/>
      <c r="K691" s="130"/>
      <c r="L691" s="130"/>
      <c r="M691" s="130"/>
      <c r="N691" s="130"/>
      <c r="O691" s="130"/>
      <c r="P691" s="130"/>
      <c r="Q691" s="130"/>
      <c r="R691" s="130"/>
    </row>
    <row r="692">
      <c r="A692" s="130"/>
      <c r="B692" s="130"/>
      <c r="C692" s="130"/>
      <c r="D692" s="130"/>
      <c r="E692" s="130"/>
      <c r="F692" s="188"/>
      <c r="G692" s="130"/>
      <c r="H692" s="130"/>
      <c r="I692" s="130"/>
      <c r="J692" s="130"/>
      <c r="K692" s="130"/>
      <c r="L692" s="130"/>
      <c r="M692" s="130"/>
      <c r="N692" s="130"/>
      <c r="O692" s="130"/>
      <c r="P692" s="130"/>
      <c r="Q692" s="130"/>
      <c r="R692" s="130"/>
    </row>
    <row r="693">
      <c r="A693" s="130"/>
      <c r="B693" s="130"/>
      <c r="C693" s="130"/>
      <c r="D693" s="130"/>
      <c r="E693" s="130"/>
      <c r="F693" s="188"/>
      <c r="G693" s="130"/>
      <c r="H693" s="130"/>
      <c r="I693" s="130"/>
      <c r="J693" s="130"/>
      <c r="K693" s="130"/>
      <c r="L693" s="130"/>
      <c r="M693" s="130"/>
      <c r="N693" s="130"/>
      <c r="O693" s="130"/>
      <c r="P693" s="130"/>
      <c r="Q693" s="130"/>
      <c r="R693" s="130"/>
    </row>
    <row r="694">
      <c r="A694" s="130"/>
      <c r="B694" s="130"/>
      <c r="C694" s="130"/>
      <c r="D694" s="130"/>
      <c r="E694" s="130"/>
      <c r="F694" s="188"/>
      <c r="G694" s="130"/>
      <c r="H694" s="130"/>
      <c r="I694" s="130"/>
      <c r="J694" s="130"/>
      <c r="K694" s="130"/>
      <c r="L694" s="130"/>
      <c r="M694" s="130"/>
      <c r="N694" s="130"/>
      <c r="O694" s="130"/>
      <c r="P694" s="130"/>
      <c r="Q694" s="130"/>
      <c r="R694" s="130"/>
    </row>
    <row r="695">
      <c r="A695" s="130"/>
      <c r="B695" s="130"/>
      <c r="C695" s="130"/>
      <c r="D695" s="130"/>
      <c r="E695" s="130"/>
      <c r="F695" s="188"/>
      <c r="G695" s="130"/>
      <c r="H695" s="130"/>
      <c r="I695" s="130"/>
      <c r="J695" s="130"/>
      <c r="K695" s="130"/>
      <c r="L695" s="130"/>
      <c r="M695" s="130"/>
      <c r="N695" s="130"/>
      <c r="O695" s="130"/>
      <c r="P695" s="130"/>
      <c r="Q695" s="130"/>
      <c r="R695" s="130"/>
    </row>
    <row r="696">
      <c r="A696" s="130"/>
      <c r="B696" s="130"/>
      <c r="C696" s="130"/>
      <c r="D696" s="130"/>
      <c r="E696" s="130"/>
      <c r="F696" s="188"/>
      <c r="G696" s="130"/>
      <c r="H696" s="130"/>
      <c r="I696" s="130"/>
      <c r="J696" s="130"/>
      <c r="K696" s="130"/>
      <c r="L696" s="130"/>
      <c r="M696" s="130"/>
      <c r="N696" s="130"/>
      <c r="O696" s="130"/>
      <c r="P696" s="130"/>
      <c r="Q696" s="130"/>
      <c r="R696" s="130"/>
    </row>
    <row r="697">
      <c r="A697" s="130"/>
      <c r="B697" s="130"/>
      <c r="C697" s="130"/>
      <c r="D697" s="130"/>
      <c r="E697" s="130"/>
      <c r="F697" s="188"/>
      <c r="G697" s="130"/>
      <c r="H697" s="130"/>
      <c r="I697" s="130"/>
      <c r="J697" s="130"/>
      <c r="K697" s="130"/>
      <c r="L697" s="130"/>
      <c r="M697" s="130"/>
      <c r="N697" s="130"/>
      <c r="O697" s="130"/>
      <c r="P697" s="130"/>
      <c r="Q697" s="130"/>
      <c r="R697" s="130"/>
    </row>
    <row r="698">
      <c r="A698" s="130"/>
      <c r="B698" s="130"/>
      <c r="C698" s="130"/>
      <c r="D698" s="130"/>
      <c r="E698" s="130"/>
      <c r="F698" s="188"/>
      <c r="G698" s="130"/>
      <c r="H698" s="130"/>
      <c r="I698" s="130"/>
      <c r="J698" s="130"/>
      <c r="K698" s="130"/>
      <c r="L698" s="130"/>
      <c r="M698" s="130"/>
      <c r="N698" s="130"/>
      <c r="O698" s="130"/>
      <c r="P698" s="130"/>
      <c r="Q698" s="130"/>
      <c r="R698" s="130"/>
    </row>
    <row r="699">
      <c r="A699" s="130"/>
      <c r="B699" s="130"/>
      <c r="C699" s="130"/>
      <c r="D699" s="130"/>
      <c r="E699" s="130"/>
      <c r="F699" s="188"/>
      <c r="G699" s="130"/>
      <c r="H699" s="130"/>
      <c r="I699" s="130"/>
      <c r="J699" s="130"/>
      <c r="K699" s="130"/>
      <c r="L699" s="130"/>
      <c r="M699" s="130"/>
      <c r="N699" s="130"/>
      <c r="O699" s="130"/>
      <c r="P699" s="130"/>
      <c r="Q699" s="130"/>
      <c r="R699" s="130"/>
    </row>
    <row r="700">
      <c r="A700" s="130"/>
      <c r="B700" s="130"/>
      <c r="C700" s="130"/>
      <c r="D700" s="130"/>
      <c r="E700" s="130"/>
      <c r="F700" s="188"/>
      <c r="G700" s="130"/>
      <c r="H700" s="130"/>
      <c r="I700" s="130"/>
      <c r="J700" s="130"/>
      <c r="K700" s="130"/>
      <c r="L700" s="130"/>
      <c r="M700" s="130"/>
      <c r="N700" s="130"/>
      <c r="O700" s="130"/>
      <c r="P700" s="130"/>
      <c r="Q700" s="130"/>
      <c r="R700" s="130"/>
    </row>
    <row r="701">
      <c r="A701" s="130"/>
      <c r="B701" s="130"/>
      <c r="C701" s="130"/>
      <c r="D701" s="130"/>
      <c r="E701" s="130"/>
      <c r="F701" s="188"/>
      <c r="G701" s="130"/>
      <c r="H701" s="130"/>
      <c r="I701" s="130"/>
      <c r="J701" s="130"/>
      <c r="K701" s="130"/>
      <c r="L701" s="130"/>
      <c r="M701" s="130"/>
      <c r="N701" s="130"/>
      <c r="O701" s="130"/>
      <c r="P701" s="130"/>
      <c r="Q701" s="130"/>
      <c r="R701" s="130"/>
    </row>
    <row r="702">
      <c r="A702" s="130"/>
      <c r="B702" s="130"/>
      <c r="C702" s="130"/>
      <c r="D702" s="130"/>
      <c r="E702" s="130"/>
      <c r="F702" s="188"/>
      <c r="G702" s="130"/>
      <c r="H702" s="130"/>
      <c r="I702" s="130"/>
      <c r="J702" s="130"/>
      <c r="K702" s="130"/>
      <c r="L702" s="130"/>
      <c r="M702" s="130"/>
      <c r="N702" s="130"/>
      <c r="O702" s="130"/>
      <c r="P702" s="130"/>
      <c r="Q702" s="130"/>
      <c r="R702" s="130"/>
    </row>
    <row r="703">
      <c r="A703" s="130"/>
      <c r="B703" s="130"/>
      <c r="C703" s="130"/>
      <c r="D703" s="130"/>
      <c r="E703" s="130"/>
      <c r="F703" s="188"/>
      <c r="G703" s="130"/>
      <c r="H703" s="130"/>
      <c r="I703" s="130"/>
      <c r="J703" s="130"/>
      <c r="K703" s="130"/>
      <c r="L703" s="130"/>
      <c r="M703" s="130"/>
      <c r="N703" s="130"/>
      <c r="O703" s="130"/>
      <c r="P703" s="130"/>
      <c r="Q703" s="130"/>
      <c r="R703" s="130"/>
    </row>
    <row r="704">
      <c r="A704" s="130"/>
      <c r="B704" s="130"/>
      <c r="C704" s="130"/>
      <c r="D704" s="130"/>
      <c r="E704" s="130"/>
      <c r="F704" s="188"/>
      <c r="G704" s="130"/>
      <c r="H704" s="130"/>
      <c r="I704" s="130"/>
      <c r="J704" s="130"/>
      <c r="K704" s="130"/>
      <c r="L704" s="130"/>
      <c r="M704" s="130"/>
      <c r="N704" s="130"/>
      <c r="O704" s="130"/>
      <c r="P704" s="130"/>
      <c r="Q704" s="130"/>
      <c r="R704" s="130"/>
    </row>
    <row r="705">
      <c r="A705" s="130"/>
      <c r="B705" s="130"/>
      <c r="C705" s="130"/>
      <c r="D705" s="130"/>
      <c r="E705" s="130"/>
      <c r="F705" s="188"/>
      <c r="G705" s="130"/>
      <c r="H705" s="130"/>
      <c r="I705" s="130"/>
      <c r="J705" s="130"/>
      <c r="K705" s="130"/>
      <c r="L705" s="130"/>
      <c r="M705" s="130"/>
      <c r="N705" s="130"/>
      <c r="O705" s="130"/>
      <c r="P705" s="130"/>
      <c r="Q705" s="130"/>
      <c r="R705" s="130"/>
    </row>
    <row r="706">
      <c r="A706" s="130"/>
      <c r="B706" s="130"/>
      <c r="C706" s="130"/>
      <c r="D706" s="130"/>
      <c r="E706" s="130"/>
      <c r="F706" s="188"/>
      <c r="G706" s="130"/>
      <c r="H706" s="130"/>
      <c r="I706" s="130"/>
      <c r="J706" s="130"/>
      <c r="K706" s="130"/>
      <c r="L706" s="130"/>
      <c r="M706" s="130"/>
      <c r="N706" s="130"/>
      <c r="O706" s="130"/>
      <c r="P706" s="130"/>
      <c r="Q706" s="130"/>
      <c r="R706" s="130"/>
    </row>
    <row r="707">
      <c r="A707" s="130"/>
      <c r="B707" s="130"/>
      <c r="C707" s="130"/>
      <c r="D707" s="130"/>
      <c r="E707" s="130"/>
      <c r="F707" s="188"/>
      <c r="G707" s="130"/>
      <c r="H707" s="130"/>
      <c r="I707" s="130"/>
      <c r="J707" s="130"/>
      <c r="K707" s="130"/>
      <c r="L707" s="130"/>
      <c r="M707" s="130"/>
      <c r="N707" s="130"/>
      <c r="O707" s="130"/>
      <c r="P707" s="130"/>
      <c r="Q707" s="130"/>
      <c r="R707" s="130"/>
    </row>
    <row r="708">
      <c r="A708" s="130"/>
      <c r="B708" s="130"/>
      <c r="C708" s="130"/>
      <c r="D708" s="130"/>
      <c r="E708" s="130"/>
      <c r="F708" s="188"/>
      <c r="G708" s="130"/>
      <c r="H708" s="130"/>
      <c r="I708" s="130"/>
      <c r="J708" s="130"/>
      <c r="K708" s="130"/>
      <c r="L708" s="130"/>
      <c r="M708" s="130"/>
      <c r="N708" s="130"/>
      <c r="O708" s="130"/>
      <c r="P708" s="130"/>
      <c r="Q708" s="130"/>
      <c r="R708" s="130"/>
    </row>
    <row r="709">
      <c r="A709" s="130"/>
      <c r="B709" s="130"/>
      <c r="C709" s="130"/>
      <c r="D709" s="130"/>
      <c r="E709" s="130"/>
      <c r="F709" s="188"/>
      <c r="G709" s="130"/>
      <c r="H709" s="130"/>
      <c r="I709" s="130"/>
      <c r="J709" s="130"/>
      <c r="K709" s="130"/>
      <c r="L709" s="130"/>
      <c r="M709" s="130"/>
      <c r="N709" s="130"/>
      <c r="O709" s="130"/>
      <c r="P709" s="130"/>
      <c r="Q709" s="130"/>
      <c r="R709" s="130"/>
    </row>
    <row r="710">
      <c r="A710" s="130"/>
      <c r="B710" s="130"/>
      <c r="C710" s="130"/>
      <c r="D710" s="130"/>
      <c r="E710" s="130"/>
      <c r="F710" s="188"/>
      <c r="G710" s="130"/>
      <c r="H710" s="130"/>
      <c r="I710" s="130"/>
      <c r="J710" s="130"/>
      <c r="K710" s="130"/>
      <c r="L710" s="130"/>
      <c r="M710" s="130"/>
      <c r="N710" s="130"/>
      <c r="O710" s="130"/>
      <c r="P710" s="130"/>
      <c r="Q710" s="130"/>
      <c r="R710" s="130"/>
    </row>
    <row r="711">
      <c r="A711" s="130"/>
      <c r="B711" s="130"/>
      <c r="C711" s="130"/>
      <c r="D711" s="130"/>
      <c r="E711" s="130"/>
      <c r="F711" s="188"/>
      <c r="G711" s="130"/>
      <c r="H711" s="130"/>
      <c r="I711" s="130"/>
      <c r="J711" s="130"/>
      <c r="K711" s="130"/>
      <c r="L711" s="130"/>
      <c r="M711" s="130"/>
      <c r="N711" s="130"/>
      <c r="O711" s="130"/>
      <c r="P711" s="130"/>
      <c r="Q711" s="130"/>
      <c r="R711" s="130"/>
    </row>
    <row r="712">
      <c r="A712" s="130"/>
      <c r="B712" s="130"/>
      <c r="C712" s="130"/>
      <c r="D712" s="130"/>
      <c r="E712" s="130"/>
      <c r="F712" s="188"/>
      <c r="G712" s="130"/>
      <c r="H712" s="130"/>
      <c r="I712" s="130"/>
      <c r="J712" s="130"/>
      <c r="K712" s="130"/>
      <c r="L712" s="130"/>
      <c r="M712" s="130"/>
      <c r="N712" s="130"/>
      <c r="O712" s="130"/>
      <c r="P712" s="130"/>
      <c r="Q712" s="130"/>
      <c r="R712" s="130"/>
    </row>
    <row r="713">
      <c r="A713" s="130"/>
      <c r="B713" s="130"/>
      <c r="C713" s="130"/>
      <c r="D713" s="130"/>
      <c r="E713" s="130"/>
      <c r="F713" s="188"/>
      <c r="G713" s="130"/>
      <c r="H713" s="130"/>
      <c r="I713" s="130"/>
      <c r="J713" s="130"/>
      <c r="K713" s="130"/>
      <c r="L713" s="130"/>
      <c r="M713" s="130"/>
      <c r="N713" s="130"/>
      <c r="O713" s="130"/>
      <c r="P713" s="130"/>
      <c r="Q713" s="130"/>
      <c r="R713" s="130"/>
    </row>
    <row r="714">
      <c r="A714" s="130"/>
      <c r="B714" s="130"/>
      <c r="C714" s="130"/>
      <c r="D714" s="130"/>
      <c r="E714" s="130"/>
      <c r="F714" s="188"/>
      <c r="G714" s="130"/>
      <c r="H714" s="130"/>
      <c r="I714" s="130"/>
      <c r="J714" s="130"/>
      <c r="K714" s="130"/>
      <c r="L714" s="130"/>
      <c r="M714" s="130"/>
      <c r="N714" s="130"/>
      <c r="O714" s="130"/>
      <c r="P714" s="130"/>
      <c r="Q714" s="130"/>
      <c r="R714" s="130"/>
    </row>
    <row r="715">
      <c r="A715" s="130"/>
      <c r="B715" s="130"/>
      <c r="C715" s="130"/>
      <c r="D715" s="130"/>
      <c r="E715" s="130"/>
      <c r="F715" s="188"/>
      <c r="G715" s="130"/>
      <c r="H715" s="130"/>
      <c r="I715" s="130"/>
      <c r="J715" s="130"/>
      <c r="K715" s="130"/>
      <c r="L715" s="130"/>
      <c r="M715" s="130"/>
      <c r="N715" s="130"/>
      <c r="O715" s="130"/>
      <c r="P715" s="130"/>
      <c r="Q715" s="130"/>
      <c r="R715" s="130"/>
    </row>
    <row r="716">
      <c r="A716" s="130"/>
      <c r="B716" s="130"/>
      <c r="C716" s="130"/>
      <c r="D716" s="130"/>
      <c r="E716" s="130"/>
      <c r="F716" s="188"/>
      <c r="G716" s="130"/>
      <c r="H716" s="130"/>
      <c r="I716" s="130"/>
      <c r="J716" s="130"/>
      <c r="K716" s="130"/>
      <c r="L716" s="130"/>
      <c r="M716" s="130"/>
      <c r="N716" s="130"/>
      <c r="O716" s="130"/>
      <c r="P716" s="130"/>
      <c r="Q716" s="130"/>
      <c r="R716" s="130"/>
    </row>
    <row r="717">
      <c r="A717" s="130"/>
      <c r="B717" s="130"/>
      <c r="C717" s="130"/>
      <c r="D717" s="130"/>
      <c r="E717" s="130"/>
      <c r="F717" s="188"/>
      <c r="G717" s="130"/>
      <c r="H717" s="130"/>
      <c r="I717" s="130"/>
      <c r="J717" s="130"/>
      <c r="K717" s="130"/>
      <c r="L717" s="130"/>
      <c r="M717" s="130"/>
      <c r="N717" s="130"/>
      <c r="O717" s="130"/>
      <c r="P717" s="130"/>
      <c r="Q717" s="130"/>
      <c r="R717" s="130"/>
    </row>
    <row r="718">
      <c r="A718" s="130"/>
      <c r="B718" s="130"/>
      <c r="C718" s="130"/>
      <c r="D718" s="130"/>
      <c r="E718" s="130"/>
      <c r="F718" s="188"/>
      <c r="G718" s="130"/>
      <c r="H718" s="130"/>
      <c r="I718" s="130"/>
      <c r="J718" s="130"/>
      <c r="K718" s="130"/>
      <c r="L718" s="130"/>
      <c r="M718" s="130"/>
      <c r="N718" s="130"/>
      <c r="O718" s="130"/>
      <c r="P718" s="130"/>
      <c r="Q718" s="130"/>
      <c r="R718" s="130"/>
    </row>
    <row r="719">
      <c r="A719" s="130"/>
      <c r="B719" s="130"/>
      <c r="C719" s="130"/>
      <c r="D719" s="130"/>
      <c r="E719" s="130"/>
      <c r="F719" s="188"/>
      <c r="G719" s="130"/>
      <c r="H719" s="130"/>
      <c r="I719" s="130"/>
      <c r="J719" s="130"/>
      <c r="K719" s="130"/>
      <c r="L719" s="130"/>
      <c r="M719" s="130"/>
      <c r="N719" s="130"/>
      <c r="O719" s="130"/>
      <c r="P719" s="130"/>
      <c r="Q719" s="130"/>
      <c r="R719" s="130"/>
    </row>
    <row r="720">
      <c r="A720" s="130"/>
      <c r="B720" s="130"/>
      <c r="C720" s="130"/>
      <c r="D720" s="130"/>
      <c r="E720" s="130"/>
      <c r="F720" s="188"/>
      <c r="G720" s="130"/>
      <c r="H720" s="130"/>
      <c r="I720" s="130"/>
      <c r="J720" s="130"/>
      <c r="K720" s="130"/>
      <c r="L720" s="130"/>
      <c r="M720" s="130"/>
      <c r="N720" s="130"/>
      <c r="O720" s="130"/>
      <c r="P720" s="130"/>
      <c r="Q720" s="130"/>
      <c r="R720" s="130"/>
    </row>
    <row r="721">
      <c r="A721" s="130"/>
      <c r="B721" s="130"/>
      <c r="C721" s="130"/>
      <c r="D721" s="130"/>
      <c r="E721" s="130"/>
      <c r="F721" s="188"/>
      <c r="G721" s="130"/>
      <c r="H721" s="130"/>
      <c r="I721" s="130"/>
      <c r="J721" s="130"/>
      <c r="K721" s="130"/>
      <c r="L721" s="130"/>
      <c r="M721" s="130"/>
      <c r="N721" s="130"/>
      <c r="O721" s="130"/>
      <c r="P721" s="130"/>
      <c r="Q721" s="130"/>
      <c r="R721" s="130"/>
    </row>
    <row r="722">
      <c r="A722" s="130"/>
      <c r="B722" s="130"/>
      <c r="C722" s="130"/>
      <c r="D722" s="130"/>
      <c r="E722" s="130"/>
      <c r="F722" s="188"/>
      <c r="G722" s="130"/>
      <c r="H722" s="130"/>
      <c r="I722" s="130"/>
      <c r="J722" s="130"/>
      <c r="K722" s="130"/>
      <c r="L722" s="130"/>
      <c r="M722" s="130"/>
      <c r="N722" s="130"/>
      <c r="O722" s="130"/>
      <c r="P722" s="130"/>
      <c r="Q722" s="130"/>
      <c r="R722" s="130"/>
    </row>
    <row r="723">
      <c r="A723" s="130"/>
      <c r="B723" s="130"/>
      <c r="C723" s="130"/>
      <c r="D723" s="130"/>
      <c r="E723" s="130"/>
      <c r="F723" s="188"/>
      <c r="G723" s="130"/>
      <c r="H723" s="130"/>
      <c r="I723" s="130"/>
      <c r="J723" s="130"/>
      <c r="K723" s="130"/>
      <c r="L723" s="130"/>
      <c r="M723" s="130"/>
      <c r="N723" s="130"/>
      <c r="O723" s="130"/>
      <c r="P723" s="130"/>
      <c r="Q723" s="130"/>
      <c r="R723" s="130"/>
    </row>
    <row r="724">
      <c r="A724" s="130"/>
      <c r="B724" s="130"/>
      <c r="C724" s="130"/>
      <c r="D724" s="130"/>
      <c r="E724" s="130"/>
      <c r="F724" s="188"/>
      <c r="G724" s="130"/>
      <c r="H724" s="130"/>
      <c r="I724" s="130"/>
      <c r="J724" s="130"/>
      <c r="K724" s="130"/>
      <c r="L724" s="130"/>
      <c r="M724" s="130"/>
      <c r="N724" s="130"/>
      <c r="O724" s="130"/>
      <c r="P724" s="130"/>
      <c r="Q724" s="130"/>
      <c r="R724" s="130"/>
    </row>
    <row r="725">
      <c r="A725" s="130"/>
      <c r="B725" s="130"/>
      <c r="C725" s="130"/>
      <c r="D725" s="130"/>
      <c r="E725" s="130"/>
      <c r="F725" s="188"/>
      <c r="G725" s="130"/>
      <c r="H725" s="130"/>
      <c r="I725" s="130"/>
      <c r="J725" s="130"/>
      <c r="K725" s="130"/>
      <c r="L725" s="130"/>
      <c r="M725" s="130"/>
      <c r="N725" s="130"/>
      <c r="O725" s="130"/>
      <c r="P725" s="130"/>
      <c r="Q725" s="130"/>
      <c r="R725" s="130"/>
    </row>
    <row r="726">
      <c r="A726" s="130"/>
      <c r="B726" s="130"/>
      <c r="C726" s="130"/>
      <c r="D726" s="130"/>
      <c r="E726" s="130"/>
      <c r="F726" s="188"/>
      <c r="G726" s="130"/>
      <c r="H726" s="130"/>
      <c r="I726" s="130"/>
      <c r="J726" s="130"/>
      <c r="K726" s="130"/>
      <c r="L726" s="130"/>
      <c r="M726" s="130"/>
      <c r="N726" s="130"/>
      <c r="O726" s="130"/>
      <c r="P726" s="130"/>
      <c r="Q726" s="130"/>
      <c r="R726" s="130"/>
    </row>
    <row r="727">
      <c r="A727" s="130"/>
      <c r="B727" s="130"/>
      <c r="C727" s="130"/>
      <c r="D727" s="130"/>
      <c r="E727" s="130"/>
      <c r="F727" s="188"/>
      <c r="G727" s="130"/>
      <c r="H727" s="130"/>
      <c r="I727" s="130"/>
      <c r="J727" s="130"/>
      <c r="K727" s="130"/>
      <c r="L727" s="130"/>
      <c r="M727" s="130"/>
      <c r="N727" s="130"/>
      <c r="O727" s="130"/>
      <c r="P727" s="130"/>
      <c r="Q727" s="130"/>
      <c r="R727" s="130"/>
    </row>
    <row r="728">
      <c r="A728" s="130"/>
      <c r="B728" s="130"/>
      <c r="C728" s="130"/>
      <c r="D728" s="130"/>
      <c r="E728" s="130"/>
      <c r="F728" s="188"/>
      <c r="G728" s="130"/>
      <c r="H728" s="130"/>
      <c r="I728" s="130"/>
      <c r="J728" s="130"/>
      <c r="K728" s="130"/>
      <c r="L728" s="130"/>
      <c r="M728" s="130"/>
      <c r="N728" s="130"/>
      <c r="O728" s="130"/>
      <c r="P728" s="130"/>
      <c r="Q728" s="130"/>
      <c r="R728" s="130"/>
    </row>
    <row r="729">
      <c r="A729" s="130"/>
      <c r="B729" s="130"/>
      <c r="C729" s="130"/>
      <c r="D729" s="130"/>
      <c r="E729" s="130"/>
      <c r="F729" s="188"/>
      <c r="G729" s="130"/>
      <c r="H729" s="130"/>
      <c r="I729" s="130"/>
      <c r="J729" s="130"/>
      <c r="K729" s="130"/>
      <c r="L729" s="130"/>
      <c r="M729" s="130"/>
      <c r="N729" s="130"/>
      <c r="O729" s="130"/>
      <c r="P729" s="130"/>
      <c r="Q729" s="130"/>
      <c r="R729" s="130"/>
    </row>
    <row r="730">
      <c r="A730" s="130"/>
      <c r="B730" s="130"/>
      <c r="C730" s="130"/>
      <c r="D730" s="130"/>
      <c r="E730" s="130"/>
      <c r="F730" s="188"/>
      <c r="G730" s="130"/>
      <c r="H730" s="130"/>
      <c r="I730" s="130"/>
      <c r="J730" s="130"/>
      <c r="K730" s="130"/>
      <c r="L730" s="130"/>
      <c r="M730" s="130"/>
      <c r="N730" s="130"/>
      <c r="O730" s="130"/>
      <c r="P730" s="130"/>
      <c r="Q730" s="130"/>
      <c r="R730" s="130"/>
    </row>
    <row r="731">
      <c r="A731" s="130"/>
      <c r="B731" s="130"/>
      <c r="C731" s="130"/>
      <c r="D731" s="130"/>
      <c r="E731" s="130"/>
      <c r="F731" s="188"/>
      <c r="G731" s="130"/>
      <c r="H731" s="130"/>
      <c r="I731" s="130"/>
      <c r="J731" s="130"/>
      <c r="K731" s="130"/>
      <c r="L731" s="130"/>
      <c r="M731" s="130"/>
      <c r="N731" s="130"/>
      <c r="O731" s="130"/>
      <c r="P731" s="130"/>
      <c r="Q731" s="130"/>
      <c r="R731" s="130"/>
    </row>
    <row r="732">
      <c r="A732" s="130"/>
      <c r="B732" s="130"/>
      <c r="C732" s="130"/>
      <c r="D732" s="130"/>
      <c r="E732" s="130"/>
      <c r="F732" s="188"/>
      <c r="G732" s="130"/>
      <c r="H732" s="130"/>
      <c r="I732" s="130"/>
      <c r="J732" s="130"/>
      <c r="K732" s="130"/>
      <c r="L732" s="130"/>
      <c r="M732" s="130"/>
      <c r="N732" s="130"/>
      <c r="O732" s="130"/>
      <c r="P732" s="130"/>
      <c r="Q732" s="130"/>
      <c r="R732" s="130"/>
    </row>
    <row r="733">
      <c r="A733" s="130"/>
      <c r="B733" s="130"/>
      <c r="C733" s="130"/>
      <c r="D733" s="130"/>
      <c r="E733" s="130"/>
      <c r="F733" s="188"/>
      <c r="G733" s="130"/>
      <c r="H733" s="130"/>
      <c r="I733" s="130"/>
      <c r="J733" s="130"/>
      <c r="K733" s="130"/>
      <c r="L733" s="130"/>
      <c r="M733" s="130"/>
      <c r="N733" s="130"/>
      <c r="O733" s="130"/>
      <c r="P733" s="130"/>
      <c r="Q733" s="130"/>
      <c r="R733" s="130"/>
    </row>
    <row r="734">
      <c r="A734" s="130"/>
      <c r="B734" s="130"/>
      <c r="C734" s="130"/>
      <c r="D734" s="130"/>
      <c r="E734" s="130"/>
      <c r="F734" s="188"/>
      <c r="G734" s="130"/>
      <c r="H734" s="130"/>
      <c r="I734" s="130"/>
      <c r="J734" s="130"/>
      <c r="K734" s="130"/>
      <c r="L734" s="130"/>
      <c r="M734" s="130"/>
      <c r="N734" s="130"/>
      <c r="O734" s="130"/>
      <c r="P734" s="130"/>
      <c r="Q734" s="130"/>
      <c r="R734" s="130"/>
    </row>
    <row r="735">
      <c r="A735" s="130"/>
      <c r="B735" s="130"/>
      <c r="C735" s="130"/>
      <c r="D735" s="130"/>
      <c r="E735" s="130"/>
      <c r="F735" s="188"/>
      <c r="G735" s="130"/>
      <c r="H735" s="130"/>
      <c r="I735" s="130"/>
      <c r="J735" s="130"/>
      <c r="K735" s="130"/>
      <c r="L735" s="130"/>
      <c r="M735" s="130"/>
      <c r="N735" s="130"/>
      <c r="O735" s="130"/>
      <c r="P735" s="130"/>
      <c r="Q735" s="130"/>
      <c r="R735" s="130"/>
    </row>
    <row r="736">
      <c r="A736" s="130"/>
      <c r="B736" s="130"/>
      <c r="C736" s="130"/>
      <c r="D736" s="130"/>
      <c r="E736" s="130"/>
      <c r="F736" s="188"/>
      <c r="G736" s="130"/>
      <c r="H736" s="130"/>
      <c r="I736" s="130"/>
      <c r="J736" s="130"/>
      <c r="K736" s="130"/>
      <c r="L736" s="130"/>
      <c r="M736" s="130"/>
      <c r="N736" s="130"/>
      <c r="O736" s="130"/>
      <c r="P736" s="130"/>
      <c r="Q736" s="130"/>
      <c r="R736" s="130"/>
    </row>
    <row r="737">
      <c r="A737" s="130"/>
      <c r="B737" s="130"/>
      <c r="C737" s="130"/>
      <c r="D737" s="130"/>
      <c r="E737" s="130"/>
      <c r="F737" s="188"/>
      <c r="G737" s="130"/>
      <c r="H737" s="130"/>
      <c r="I737" s="130"/>
      <c r="J737" s="130"/>
      <c r="K737" s="130"/>
      <c r="L737" s="130"/>
      <c r="M737" s="130"/>
      <c r="N737" s="130"/>
      <c r="O737" s="130"/>
      <c r="P737" s="130"/>
      <c r="Q737" s="130"/>
      <c r="R737" s="130"/>
    </row>
    <row r="738">
      <c r="A738" s="130"/>
      <c r="B738" s="130"/>
      <c r="C738" s="130"/>
      <c r="D738" s="130"/>
      <c r="E738" s="130"/>
      <c r="F738" s="188"/>
      <c r="G738" s="130"/>
      <c r="H738" s="130"/>
      <c r="I738" s="130"/>
      <c r="J738" s="130"/>
      <c r="K738" s="130"/>
      <c r="L738" s="130"/>
      <c r="M738" s="130"/>
      <c r="N738" s="130"/>
      <c r="O738" s="130"/>
      <c r="P738" s="130"/>
      <c r="Q738" s="130"/>
      <c r="R738" s="130"/>
    </row>
    <row r="739">
      <c r="A739" s="130"/>
      <c r="B739" s="130"/>
      <c r="C739" s="130"/>
      <c r="D739" s="130"/>
      <c r="E739" s="130"/>
      <c r="F739" s="188"/>
      <c r="G739" s="130"/>
      <c r="H739" s="130"/>
      <c r="I739" s="130"/>
      <c r="J739" s="130"/>
      <c r="K739" s="130"/>
      <c r="L739" s="130"/>
      <c r="M739" s="130"/>
      <c r="N739" s="130"/>
      <c r="O739" s="130"/>
      <c r="P739" s="130"/>
      <c r="Q739" s="130"/>
      <c r="R739" s="130"/>
    </row>
    <row r="740">
      <c r="A740" s="130"/>
      <c r="B740" s="130"/>
      <c r="C740" s="130"/>
      <c r="D740" s="130"/>
      <c r="E740" s="130"/>
      <c r="F740" s="188"/>
      <c r="G740" s="130"/>
      <c r="H740" s="130"/>
      <c r="I740" s="130"/>
      <c r="J740" s="130"/>
      <c r="K740" s="130"/>
      <c r="L740" s="130"/>
      <c r="M740" s="130"/>
      <c r="N740" s="130"/>
      <c r="O740" s="130"/>
      <c r="P740" s="130"/>
      <c r="Q740" s="130"/>
      <c r="R740" s="130"/>
    </row>
    <row r="741">
      <c r="A741" s="130"/>
      <c r="B741" s="130"/>
      <c r="C741" s="130"/>
      <c r="D741" s="130"/>
      <c r="E741" s="130"/>
      <c r="F741" s="188"/>
      <c r="G741" s="130"/>
      <c r="H741" s="130"/>
      <c r="I741" s="130"/>
      <c r="J741" s="130"/>
      <c r="K741" s="130"/>
      <c r="L741" s="130"/>
      <c r="M741" s="130"/>
      <c r="N741" s="130"/>
      <c r="O741" s="130"/>
      <c r="P741" s="130"/>
      <c r="Q741" s="130"/>
      <c r="R741" s="130"/>
    </row>
    <row r="742">
      <c r="A742" s="130"/>
      <c r="B742" s="130"/>
      <c r="C742" s="130"/>
      <c r="D742" s="130"/>
      <c r="E742" s="130"/>
      <c r="F742" s="188"/>
      <c r="G742" s="130"/>
      <c r="H742" s="130"/>
      <c r="I742" s="130"/>
      <c r="J742" s="130"/>
      <c r="K742" s="130"/>
      <c r="L742" s="130"/>
      <c r="M742" s="130"/>
      <c r="N742" s="130"/>
      <c r="O742" s="130"/>
      <c r="P742" s="130"/>
      <c r="Q742" s="130"/>
      <c r="R742" s="130"/>
    </row>
    <row r="743">
      <c r="A743" s="130"/>
      <c r="B743" s="130"/>
      <c r="C743" s="130"/>
      <c r="D743" s="130"/>
      <c r="E743" s="130"/>
      <c r="F743" s="188"/>
      <c r="G743" s="130"/>
      <c r="H743" s="130"/>
      <c r="I743" s="130"/>
      <c r="J743" s="130"/>
      <c r="K743" s="130"/>
      <c r="L743" s="130"/>
      <c r="M743" s="130"/>
      <c r="N743" s="130"/>
      <c r="O743" s="130"/>
      <c r="P743" s="130"/>
      <c r="Q743" s="130"/>
      <c r="R743" s="130"/>
    </row>
    <row r="744">
      <c r="A744" s="130"/>
      <c r="B744" s="130"/>
      <c r="C744" s="130"/>
      <c r="D744" s="130"/>
      <c r="E744" s="130"/>
      <c r="F744" s="188"/>
      <c r="G744" s="130"/>
      <c r="H744" s="130"/>
      <c r="I744" s="130"/>
      <c r="J744" s="130"/>
      <c r="K744" s="130"/>
      <c r="L744" s="130"/>
      <c r="M744" s="130"/>
      <c r="N744" s="130"/>
      <c r="O744" s="130"/>
      <c r="P744" s="130"/>
      <c r="Q744" s="130"/>
      <c r="R744" s="130"/>
    </row>
    <row r="745">
      <c r="A745" s="130"/>
      <c r="B745" s="130"/>
      <c r="C745" s="130"/>
      <c r="D745" s="130"/>
      <c r="E745" s="130"/>
      <c r="F745" s="188"/>
      <c r="G745" s="130"/>
      <c r="H745" s="130"/>
      <c r="I745" s="130"/>
      <c r="J745" s="130"/>
      <c r="K745" s="130"/>
      <c r="L745" s="130"/>
      <c r="M745" s="130"/>
      <c r="N745" s="130"/>
      <c r="O745" s="130"/>
      <c r="P745" s="130"/>
      <c r="Q745" s="130"/>
      <c r="R745" s="130"/>
    </row>
    <row r="746">
      <c r="A746" s="130"/>
      <c r="B746" s="130"/>
      <c r="C746" s="130"/>
      <c r="D746" s="130"/>
      <c r="E746" s="130"/>
      <c r="F746" s="188"/>
      <c r="G746" s="130"/>
      <c r="H746" s="130"/>
      <c r="I746" s="130"/>
      <c r="J746" s="130"/>
      <c r="K746" s="130"/>
      <c r="L746" s="130"/>
      <c r="M746" s="130"/>
      <c r="N746" s="130"/>
      <c r="O746" s="130"/>
      <c r="P746" s="130"/>
      <c r="Q746" s="130"/>
      <c r="R746" s="130"/>
    </row>
    <row r="747">
      <c r="A747" s="130"/>
      <c r="B747" s="130"/>
      <c r="C747" s="130"/>
      <c r="D747" s="130"/>
      <c r="E747" s="130"/>
      <c r="F747" s="188"/>
      <c r="G747" s="130"/>
      <c r="H747" s="130"/>
      <c r="I747" s="130"/>
      <c r="J747" s="130"/>
      <c r="K747" s="130"/>
      <c r="L747" s="130"/>
      <c r="M747" s="130"/>
      <c r="N747" s="130"/>
      <c r="O747" s="130"/>
      <c r="P747" s="130"/>
      <c r="Q747" s="130"/>
      <c r="R747" s="130"/>
    </row>
    <row r="748">
      <c r="A748" s="130"/>
      <c r="B748" s="130"/>
      <c r="C748" s="130"/>
      <c r="D748" s="130"/>
      <c r="E748" s="130"/>
      <c r="F748" s="188"/>
      <c r="G748" s="130"/>
      <c r="H748" s="130"/>
      <c r="I748" s="130"/>
      <c r="J748" s="130"/>
      <c r="K748" s="130"/>
      <c r="L748" s="130"/>
      <c r="M748" s="130"/>
      <c r="N748" s="130"/>
      <c r="O748" s="130"/>
      <c r="P748" s="130"/>
      <c r="Q748" s="130"/>
      <c r="R748" s="130"/>
    </row>
    <row r="749">
      <c r="A749" s="130"/>
      <c r="B749" s="130"/>
      <c r="C749" s="130"/>
      <c r="D749" s="130"/>
      <c r="E749" s="130"/>
      <c r="F749" s="188"/>
      <c r="G749" s="130"/>
      <c r="H749" s="130"/>
      <c r="I749" s="130"/>
      <c r="J749" s="130"/>
      <c r="K749" s="130"/>
      <c r="L749" s="130"/>
      <c r="M749" s="130"/>
      <c r="N749" s="130"/>
      <c r="O749" s="130"/>
      <c r="P749" s="130"/>
      <c r="Q749" s="130"/>
      <c r="R749" s="130"/>
    </row>
    <row r="750">
      <c r="A750" s="130"/>
      <c r="B750" s="130"/>
      <c r="C750" s="130"/>
      <c r="D750" s="130"/>
      <c r="E750" s="130"/>
      <c r="F750" s="188"/>
      <c r="G750" s="130"/>
      <c r="H750" s="130"/>
      <c r="I750" s="130"/>
      <c r="J750" s="130"/>
      <c r="K750" s="130"/>
      <c r="L750" s="130"/>
      <c r="M750" s="130"/>
      <c r="N750" s="130"/>
      <c r="O750" s="130"/>
      <c r="P750" s="130"/>
      <c r="Q750" s="130"/>
      <c r="R750" s="130"/>
    </row>
    <row r="751">
      <c r="A751" s="130"/>
      <c r="B751" s="130"/>
      <c r="C751" s="130"/>
      <c r="D751" s="130"/>
      <c r="E751" s="130"/>
      <c r="F751" s="188"/>
      <c r="G751" s="130"/>
      <c r="H751" s="130"/>
      <c r="I751" s="130"/>
      <c r="J751" s="130"/>
      <c r="K751" s="130"/>
      <c r="L751" s="130"/>
      <c r="M751" s="130"/>
      <c r="N751" s="130"/>
      <c r="O751" s="130"/>
      <c r="P751" s="130"/>
      <c r="Q751" s="130"/>
      <c r="R751" s="130"/>
    </row>
    <row r="752">
      <c r="A752" s="130"/>
      <c r="B752" s="130"/>
      <c r="C752" s="130"/>
      <c r="D752" s="130"/>
      <c r="E752" s="130"/>
      <c r="F752" s="188"/>
      <c r="G752" s="130"/>
      <c r="H752" s="130"/>
      <c r="I752" s="130"/>
      <c r="J752" s="130"/>
      <c r="K752" s="130"/>
      <c r="L752" s="130"/>
      <c r="M752" s="130"/>
      <c r="N752" s="130"/>
      <c r="O752" s="130"/>
      <c r="P752" s="130"/>
      <c r="Q752" s="130"/>
      <c r="R752" s="130"/>
    </row>
    <row r="753">
      <c r="A753" s="130"/>
      <c r="B753" s="130"/>
      <c r="C753" s="130"/>
      <c r="D753" s="130"/>
      <c r="E753" s="130"/>
      <c r="F753" s="188"/>
      <c r="G753" s="130"/>
      <c r="H753" s="130"/>
      <c r="I753" s="130"/>
      <c r="J753" s="130"/>
      <c r="K753" s="130"/>
      <c r="L753" s="130"/>
      <c r="M753" s="130"/>
      <c r="N753" s="130"/>
      <c r="O753" s="130"/>
      <c r="P753" s="130"/>
      <c r="Q753" s="130"/>
      <c r="R753" s="130"/>
    </row>
    <row r="754">
      <c r="A754" s="130"/>
      <c r="B754" s="130"/>
      <c r="C754" s="130"/>
      <c r="D754" s="130"/>
      <c r="E754" s="130"/>
      <c r="F754" s="188"/>
      <c r="G754" s="130"/>
      <c r="H754" s="130"/>
      <c r="I754" s="130"/>
      <c r="J754" s="130"/>
      <c r="K754" s="130"/>
      <c r="L754" s="130"/>
      <c r="M754" s="130"/>
      <c r="N754" s="130"/>
      <c r="O754" s="130"/>
      <c r="P754" s="130"/>
      <c r="Q754" s="130"/>
      <c r="R754" s="130"/>
    </row>
    <row r="755">
      <c r="A755" s="130"/>
      <c r="B755" s="130"/>
      <c r="C755" s="130"/>
      <c r="D755" s="130"/>
      <c r="E755" s="130"/>
      <c r="F755" s="188"/>
      <c r="G755" s="130"/>
      <c r="H755" s="130"/>
      <c r="I755" s="130"/>
      <c r="J755" s="130"/>
      <c r="K755" s="130"/>
      <c r="L755" s="130"/>
      <c r="M755" s="130"/>
      <c r="N755" s="130"/>
      <c r="O755" s="130"/>
      <c r="P755" s="130"/>
      <c r="Q755" s="130"/>
      <c r="R755" s="130"/>
    </row>
    <row r="756">
      <c r="A756" s="130"/>
      <c r="B756" s="130"/>
      <c r="C756" s="130"/>
      <c r="D756" s="130"/>
      <c r="E756" s="130"/>
      <c r="F756" s="188"/>
      <c r="G756" s="130"/>
      <c r="H756" s="130"/>
      <c r="I756" s="130"/>
      <c r="J756" s="130"/>
      <c r="K756" s="130"/>
      <c r="L756" s="130"/>
      <c r="M756" s="130"/>
      <c r="N756" s="130"/>
      <c r="O756" s="130"/>
      <c r="P756" s="130"/>
      <c r="Q756" s="130"/>
      <c r="R756" s="130"/>
    </row>
    <row r="757">
      <c r="A757" s="130"/>
      <c r="B757" s="130"/>
      <c r="C757" s="130"/>
      <c r="D757" s="130"/>
      <c r="E757" s="130"/>
      <c r="F757" s="188"/>
      <c r="G757" s="130"/>
      <c r="H757" s="130"/>
      <c r="I757" s="130"/>
      <c r="J757" s="130"/>
      <c r="K757" s="130"/>
      <c r="L757" s="130"/>
      <c r="M757" s="130"/>
      <c r="N757" s="130"/>
      <c r="O757" s="130"/>
      <c r="P757" s="130"/>
      <c r="Q757" s="130"/>
      <c r="R757" s="130"/>
    </row>
    <row r="758">
      <c r="A758" s="130"/>
      <c r="B758" s="130"/>
      <c r="C758" s="130"/>
      <c r="D758" s="130"/>
      <c r="E758" s="130"/>
      <c r="F758" s="188"/>
      <c r="G758" s="130"/>
      <c r="H758" s="130"/>
      <c r="I758" s="130"/>
      <c r="J758" s="130"/>
      <c r="K758" s="130"/>
      <c r="L758" s="130"/>
      <c r="M758" s="130"/>
      <c r="N758" s="130"/>
      <c r="O758" s="130"/>
      <c r="P758" s="130"/>
      <c r="Q758" s="130"/>
      <c r="R758" s="130"/>
    </row>
    <row r="759">
      <c r="A759" s="130"/>
      <c r="B759" s="130"/>
      <c r="C759" s="130"/>
      <c r="D759" s="130"/>
      <c r="E759" s="130"/>
      <c r="F759" s="188"/>
      <c r="G759" s="130"/>
      <c r="H759" s="130"/>
      <c r="I759" s="130"/>
      <c r="J759" s="130"/>
      <c r="K759" s="130"/>
      <c r="L759" s="130"/>
      <c r="M759" s="130"/>
      <c r="N759" s="130"/>
      <c r="O759" s="130"/>
      <c r="P759" s="130"/>
      <c r="Q759" s="130"/>
      <c r="R759" s="130"/>
    </row>
    <row r="760">
      <c r="A760" s="130"/>
      <c r="B760" s="130"/>
      <c r="C760" s="130"/>
      <c r="D760" s="130"/>
      <c r="E760" s="130"/>
      <c r="F760" s="188"/>
      <c r="G760" s="130"/>
      <c r="H760" s="130"/>
      <c r="I760" s="130"/>
      <c r="J760" s="130"/>
      <c r="K760" s="130"/>
      <c r="L760" s="130"/>
      <c r="M760" s="130"/>
      <c r="N760" s="130"/>
      <c r="O760" s="130"/>
      <c r="P760" s="130"/>
      <c r="Q760" s="130"/>
      <c r="R760" s="130"/>
    </row>
    <row r="761">
      <c r="A761" s="130"/>
      <c r="B761" s="130"/>
      <c r="C761" s="130"/>
      <c r="D761" s="130"/>
      <c r="E761" s="130"/>
      <c r="F761" s="188"/>
      <c r="G761" s="130"/>
      <c r="H761" s="130"/>
      <c r="I761" s="130"/>
      <c r="J761" s="130"/>
      <c r="K761" s="130"/>
      <c r="L761" s="130"/>
      <c r="M761" s="130"/>
      <c r="N761" s="130"/>
      <c r="O761" s="130"/>
      <c r="P761" s="130"/>
      <c r="Q761" s="130"/>
      <c r="R761" s="130"/>
    </row>
    <row r="762">
      <c r="A762" s="130"/>
      <c r="B762" s="130"/>
      <c r="C762" s="130"/>
      <c r="D762" s="130"/>
      <c r="E762" s="130"/>
      <c r="F762" s="188"/>
      <c r="G762" s="130"/>
      <c r="H762" s="130"/>
      <c r="I762" s="130"/>
      <c r="J762" s="130"/>
      <c r="K762" s="130"/>
      <c r="L762" s="130"/>
      <c r="M762" s="130"/>
      <c r="N762" s="130"/>
      <c r="O762" s="130"/>
      <c r="P762" s="130"/>
      <c r="Q762" s="130"/>
      <c r="R762" s="130"/>
    </row>
    <row r="763">
      <c r="A763" s="130"/>
      <c r="B763" s="130"/>
      <c r="C763" s="130"/>
      <c r="D763" s="130"/>
      <c r="E763" s="130"/>
      <c r="F763" s="188"/>
      <c r="G763" s="130"/>
      <c r="H763" s="130"/>
      <c r="I763" s="130"/>
      <c r="J763" s="130"/>
      <c r="K763" s="130"/>
      <c r="L763" s="130"/>
      <c r="M763" s="130"/>
      <c r="N763" s="130"/>
      <c r="O763" s="130"/>
      <c r="P763" s="130"/>
      <c r="Q763" s="130"/>
      <c r="R763" s="130"/>
    </row>
    <row r="764">
      <c r="A764" s="130"/>
      <c r="B764" s="130"/>
      <c r="C764" s="130"/>
      <c r="D764" s="130"/>
      <c r="E764" s="130"/>
      <c r="F764" s="188"/>
      <c r="G764" s="130"/>
      <c r="H764" s="130"/>
      <c r="I764" s="130"/>
      <c r="J764" s="130"/>
      <c r="K764" s="130"/>
      <c r="L764" s="130"/>
      <c r="M764" s="130"/>
      <c r="N764" s="130"/>
      <c r="O764" s="130"/>
      <c r="P764" s="130"/>
      <c r="Q764" s="130"/>
      <c r="R764" s="130"/>
    </row>
    <row r="765">
      <c r="A765" s="130"/>
      <c r="B765" s="130"/>
      <c r="C765" s="130"/>
      <c r="D765" s="130"/>
      <c r="E765" s="130"/>
      <c r="F765" s="188"/>
      <c r="G765" s="130"/>
      <c r="H765" s="130"/>
      <c r="I765" s="130"/>
      <c r="J765" s="130"/>
      <c r="K765" s="130"/>
      <c r="L765" s="130"/>
      <c r="M765" s="130"/>
      <c r="N765" s="130"/>
      <c r="O765" s="130"/>
      <c r="P765" s="130"/>
      <c r="Q765" s="130"/>
      <c r="R765" s="130"/>
    </row>
    <row r="766">
      <c r="A766" s="130"/>
      <c r="B766" s="130"/>
      <c r="C766" s="130"/>
      <c r="D766" s="130"/>
      <c r="E766" s="130"/>
      <c r="F766" s="188"/>
      <c r="G766" s="130"/>
      <c r="H766" s="130"/>
      <c r="I766" s="130"/>
      <c r="J766" s="130"/>
      <c r="K766" s="130"/>
      <c r="L766" s="130"/>
      <c r="M766" s="130"/>
      <c r="N766" s="130"/>
      <c r="O766" s="130"/>
      <c r="P766" s="130"/>
      <c r="Q766" s="130"/>
      <c r="R766" s="130"/>
    </row>
    <row r="767">
      <c r="A767" s="130"/>
      <c r="B767" s="130"/>
      <c r="C767" s="130"/>
      <c r="D767" s="130"/>
      <c r="E767" s="130"/>
      <c r="F767" s="188"/>
      <c r="G767" s="130"/>
      <c r="H767" s="130"/>
      <c r="I767" s="130"/>
      <c r="J767" s="130"/>
      <c r="K767" s="130"/>
      <c r="L767" s="130"/>
      <c r="M767" s="130"/>
      <c r="N767" s="130"/>
      <c r="O767" s="130"/>
      <c r="P767" s="130"/>
      <c r="Q767" s="130"/>
      <c r="R767" s="130"/>
    </row>
    <row r="768">
      <c r="A768" s="130"/>
      <c r="B768" s="130"/>
      <c r="C768" s="130"/>
      <c r="D768" s="130"/>
      <c r="E768" s="130"/>
      <c r="F768" s="188"/>
      <c r="G768" s="130"/>
      <c r="H768" s="130"/>
      <c r="I768" s="130"/>
      <c r="J768" s="130"/>
      <c r="K768" s="130"/>
      <c r="L768" s="130"/>
      <c r="M768" s="130"/>
      <c r="N768" s="130"/>
      <c r="O768" s="130"/>
      <c r="P768" s="130"/>
      <c r="Q768" s="130"/>
      <c r="R768" s="130"/>
    </row>
    <row r="769">
      <c r="A769" s="130"/>
      <c r="B769" s="130"/>
      <c r="C769" s="130"/>
      <c r="D769" s="130"/>
      <c r="E769" s="130"/>
      <c r="F769" s="188"/>
      <c r="G769" s="130"/>
      <c r="H769" s="130"/>
      <c r="I769" s="130"/>
      <c r="J769" s="130"/>
      <c r="K769" s="130"/>
      <c r="L769" s="130"/>
      <c r="M769" s="130"/>
      <c r="N769" s="130"/>
      <c r="O769" s="130"/>
      <c r="P769" s="130"/>
      <c r="Q769" s="130"/>
      <c r="R769" s="130"/>
    </row>
    <row r="770">
      <c r="A770" s="130"/>
      <c r="B770" s="130"/>
      <c r="C770" s="130"/>
      <c r="D770" s="130"/>
      <c r="E770" s="130"/>
      <c r="F770" s="188"/>
      <c r="G770" s="130"/>
      <c r="H770" s="130"/>
      <c r="I770" s="130"/>
      <c r="J770" s="130"/>
      <c r="K770" s="130"/>
      <c r="L770" s="130"/>
      <c r="M770" s="130"/>
      <c r="N770" s="130"/>
      <c r="O770" s="130"/>
      <c r="P770" s="130"/>
      <c r="Q770" s="130"/>
      <c r="R770" s="130"/>
    </row>
    <row r="771">
      <c r="A771" s="130"/>
      <c r="B771" s="130"/>
      <c r="C771" s="130"/>
      <c r="D771" s="130"/>
      <c r="E771" s="130"/>
      <c r="F771" s="188"/>
      <c r="G771" s="130"/>
      <c r="H771" s="130"/>
      <c r="I771" s="130"/>
      <c r="J771" s="130"/>
      <c r="K771" s="130"/>
      <c r="L771" s="130"/>
      <c r="M771" s="130"/>
      <c r="N771" s="130"/>
      <c r="O771" s="130"/>
      <c r="P771" s="130"/>
      <c r="Q771" s="130"/>
      <c r="R771" s="130"/>
    </row>
    <row r="772">
      <c r="A772" s="130"/>
      <c r="B772" s="130"/>
      <c r="C772" s="130"/>
      <c r="D772" s="130"/>
      <c r="E772" s="130"/>
      <c r="F772" s="188"/>
      <c r="G772" s="130"/>
      <c r="H772" s="130"/>
      <c r="I772" s="130"/>
      <c r="J772" s="130"/>
      <c r="K772" s="130"/>
      <c r="L772" s="130"/>
      <c r="M772" s="130"/>
      <c r="N772" s="130"/>
      <c r="O772" s="130"/>
      <c r="P772" s="130"/>
      <c r="Q772" s="130"/>
      <c r="R772" s="130"/>
    </row>
    <row r="773">
      <c r="A773" s="130"/>
      <c r="B773" s="130"/>
      <c r="C773" s="130"/>
      <c r="D773" s="130"/>
      <c r="E773" s="130"/>
      <c r="F773" s="188"/>
      <c r="G773" s="130"/>
      <c r="H773" s="130"/>
      <c r="I773" s="130"/>
      <c r="J773" s="130"/>
      <c r="K773" s="130"/>
      <c r="L773" s="130"/>
      <c r="M773" s="130"/>
      <c r="N773" s="130"/>
      <c r="O773" s="130"/>
      <c r="P773" s="130"/>
      <c r="Q773" s="130"/>
      <c r="R773" s="130"/>
    </row>
    <row r="774">
      <c r="A774" s="130"/>
      <c r="B774" s="130"/>
      <c r="C774" s="130"/>
      <c r="D774" s="130"/>
      <c r="E774" s="130"/>
      <c r="F774" s="188"/>
      <c r="G774" s="130"/>
      <c r="H774" s="130"/>
      <c r="I774" s="130"/>
      <c r="J774" s="130"/>
      <c r="K774" s="130"/>
      <c r="L774" s="130"/>
      <c r="M774" s="130"/>
      <c r="N774" s="130"/>
      <c r="O774" s="130"/>
      <c r="P774" s="130"/>
      <c r="Q774" s="130"/>
      <c r="R774" s="130"/>
    </row>
    <row r="775">
      <c r="A775" s="130"/>
      <c r="B775" s="130"/>
      <c r="C775" s="130"/>
      <c r="D775" s="130"/>
      <c r="E775" s="130"/>
      <c r="F775" s="188"/>
      <c r="G775" s="130"/>
      <c r="H775" s="130"/>
      <c r="I775" s="130"/>
      <c r="J775" s="130"/>
      <c r="K775" s="130"/>
      <c r="L775" s="130"/>
      <c r="M775" s="130"/>
      <c r="N775" s="130"/>
      <c r="O775" s="130"/>
      <c r="P775" s="130"/>
      <c r="Q775" s="130"/>
      <c r="R775" s="130"/>
    </row>
    <row r="776">
      <c r="A776" s="130"/>
      <c r="B776" s="130"/>
      <c r="C776" s="130"/>
      <c r="D776" s="130"/>
      <c r="E776" s="130"/>
      <c r="F776" s="188"/>
      <c r="G776" s="130"/>
      <c r="H776" s="130"/>
      <c r="I776" s="130"/>
      <c r="J776" s="130"/>
      <c r="K776" s="130"/>
      <c r="L776" s="130"/>
      <c r="M776" s="130"/>
      <c r="N776" s="130"/>
      <c r="O776" s="130"/>
      <c r="P776" s="130"/>
      <c r="Q776" s="130"/>
      <c r="R776" s="130"/>
    </row>
    <row r="777">
      <c r="A777" s="130"/>
      <c r="B777" s="130"/>
      <c r="C777" s="130"/>
      <c r="D777" s="130"/>
      <c r="E777" s="130"/>
      <c r="F777" s="188"/>
      <c r="G777" s="130"/>
      <c r="H777" s="130"/>
      <c r="I777" s="130"/>
      <c r="J777" s="130"/>
      <c r="K777" s="130"/>
      <c r="L777" s="130"/>
      <c r="M777" s="130"/>
      <c r="N777" s="130"/>
      <c r="O777" s="130"/>
      <c r="P777" s="130"/>
      <c r="Q777" s="130"/>
      <c r="R777" s="130"/>
    </row>
    <row r="778">
      <c r="A778" s="130"/>
      <c r="B778" s="130"/>
      <c r="C778" s="130"/>
      <c r="D778" s="130"/>
      <c r="E778" s="130"/>
      <c r="F778" s="188"/>
      <c r="G778" s="130"/>
      <c r="H778" s="130"/>
      <c r="I778" s="130"/>
      <c r="J778" s="130"/>
      <c r="K778" s="130"/>
      <c r="L778" s="130"/>
      <c r="M778" s="130"/>
      <c r="N778" s="130"/>
      <c r="O778" s="130"/>
      <c r="P778" s="130"/>
      <c r="Q778" s="130"/>
      <c r="R778" s="130"/>
    </row>
    <row r="779">
      <c r="A779" s="130"/>
      <c r="B779" s="130"/>
      <c r="C779" s="130"/>
      <c r="D779" s="130"/>
      <c r="E779" s="130"/>
      <c r="F779" s="188"/>
      <c r="G779" s="130"/>
      <c r="H779" s="130"/>
      <c r="I779" s="130"/>
      <c r="J779" s="130"/>
      <c r="K779" s="130"/>
      <c r="L779" s="130"/>
      <c r="M779" s="130"/>
      <c r="N779" s="130"/>
      <c r="O779" s="130"/>
      <c r="P779" s="130"/>
      <c r="Q779" s="130"/>
      <c r="R779" s="130"/>
    </row>
    <row r="780">
      <c r="A780" s="130"/>
      <c r="B780" s="130"/>
      <c r="C780" s="130"/>
      <c r="D780" s="130"/>
      <c r="E780" s="130"/>
      <c r="F780" s="188"/>
      <c r="G780" s="130"/>
      <c r="H780" s="130"/>
      <c r="I780" s="130"/>
      <c r="J780" s="130"/>
      <c r="K780" s="130"/>
      <c r="L780" s="130"/>
      <c r="M780" s="130"/>
      <c r="N780" s="130"/>
      <c r="O780" s="130"/>
      <c r="P780" s="130"/>
      <c r="Q780" s="130"/>
      <c r="R780" s="130"/>
    </row>
    <row r="781">
      <c r="A781" s="130"/>
      <c r="B781" s="130"/>
      <c r="C781" s="130"/>
      <c r="D781" s="130"/>
      <c r="E781" s="130"/>
      <c r="F781" s="188"/>
      <c r="G781" s="130"/>
      <c r="H781" s="130"/>
      <c r="I781" s="130"/>
      <c r="J781" s="130"/>
      <c r="K781" s="130"/>
      <c r="L781" s="130"/>
      <c r="M781" s="130"/>
      <c r="N781" s="130"/>
      <c r="O781" s="130"/>
      <c r="P781" s="130"/>
      <c r="Q781" s="130"/>
      <c r="R781" s="130"/>
    </row>
    <row r="782">
      <c r="A782" s="130"/>
      <c r="B782" s="130"/>
      <c r="C782" s="130"/>
      <c r="D782" s="130"/>
      <c r="E782" s="130"/>
      <c r="F782" s="188"/>
      <c r="G782" s="130"/>
      <c r="H782" s="130"/>
      <c r="I782" s="130"/>
      <c r="J782" s="130"/>
      <c r="K782" s="130"/>
      <c r="L782" s="130"/>
      <c r="M782" s="130"/>
      <c r="N782" s="130"/>
      <c r="O782" s="130"/>
      <c r="P782" s="130"/>
      <c r="Q782" s="130"/>
      <c r="R782" s="130"/>
    </row>
    <row r="783">
      <c r="A783" s="130"/>
      <c r="B783" s="130"/>
      <c r="C783" s="130"/>
      <c r="D783" s="130"/>
      <c r="E783" s="130"/>
      <c r="F783" s="188"/>
      <c r="G783" s="130"/>
      <c r="H783" s="130"/>
      <c r="I783" s="130"/>
      <c r="J783" s="130"/>
      <c r="K783" s="130"/>
      <c r="L783" s="130"/>
      <c r="M783" s="130"/>
      <c r="N783" s="130"/>
      <c r="O783" s="130"/>
      <c r="P783" s="130"/>
      <c r="Q783" s="130"/>
      <c r="R783" s="130"/>
    </row>
    <row r="784">
      <c r="A784" s="130"/>
      <c r="B784" s="130"/>
      <c r="C784" s="130"/>
      <c r="D784" s="130"/>
      <c r="E784" s="130"/>
      <c r="F784" s="188"/>
      <c r="G784" s="130"/>
      <c r="H784" s="130"/>
      <c r="I784" s="130"/>
      <c r="J784" s="130"/>
      <c r="K784" s="130"/>
      <c r="L784" s="130"/>
      <c r="M784" s="130"/>
      <c r="N784" s="130"/>
      <c r="O784" s="130"/>
      <c r="P784" s="130"/>
      <c r="Q784" s="130"/>
      <c r="R784" s="130"/>
    </row>
    <row r="785">
      <c r="A785" s="130"/>
      <c r="B785" s="130"/>
      <c r="C785" s="130"/>
      <c r="D785" s="130"/>
      <c r="E785" s="130"/>
      <c r="F785" s="188"/>
      <c r="G785" s="130"/>
      <c r="H785" s="130"/>
      <c r="I785" s="130"/>
      <c r="J785" s="130"/>
      <c r="K785" s="130"/>
      <c r="L785" s="130"/>
      <c r="M785" s="130"/>
      <c r="N785" s="130"/>
      <c r="O785" s="130"/>
      <c r="P785" s="130"/>
      <c r="Q785" s="130"/>
      <c r="R785" s="130"/>
    </row>
    <row r="786">
      <c r="A786" s="130"/>
      <c r="B786" s="130"/>
      <c r="C786" s="130"/>
      <c r="D786" s="130"/>
      <c r="E786" s="130"/>
      <c r="F786" s="188"/>
      <c r="G786" s="130"/>
      <c r="H786" s="130"/>
      <c r="I786" s="130"/>
      <c r="J786" s="130"/>
      <c r="K786" s="130"/>
      <c r="L786" s="130"/>
      <c r="M786" s="130"/>
      <c r="N786" s="130"/>
      <c r="O786" s="130"/>
      <c r="P786" s="130"/>
      <c r="Q786" s="130"/>
      <c r="R786" s="130"/>
    </row>
    <row r="787">
      <c r="A787" s="130"/>
      <c r="B787" s="130"/>
      <c r="C787" s="130"/>
      <c r="D787" s="130"/>
      <c r="E787" s="130"/>
      <c r="F787" s="188"/>
      <c r="G787" s="130"/>
      <c r="H787" s="130"/>
      <c r="I787" s="130"/>
      <c r="J787" s="130"/>
      <c r="K787" s="130"/>
      <c r="L787" s="130"/>
      <c r="M787" s="130"/>
      <c r="N787" s="130"/>
      <c r="O787" s="130"/>
      <c r="P787" s="130"/>
      <c r="Q787" s="130"/>
      <c r="R787" s="130"/>
    </row>
    <row r="788">
      <c r="A788" s="130"/>
      <c r="B788" s="130"/>
      <c r="C788" s="130"/>
      <c r="D788" s="130"/>
      <c r="E788" s="130"/>
      <c r="F788" s="188"/>
      <c r="G788" s="130"/>
      <c r="H788" s="130"/>
      <c r="I788" s="130"/>
      <c r="J788" s="130"/>
      <c r="K788" s="130"/>
      <c r="L788" s="130"/>
      <c r="M788" s="130"/>
      <c r="N788" s="130"/>
      <c r="O788" s="130"/>
      <c r="P788" s="130"/>
      <c r="Q788" s="130"/>
      <c r="R788" s="130"/>
    </row>
    <row r="789">
      <c r="A789" s="130"/>
      <c r="B789" s="130"/>
      <c r="C789" s="130"/>
      <c r="D789" s="130"/>
      <c r="E789" s="130"/>
      <c r="F789" s="188"/>
      <c r="G789" s="130"/>
      <c r="H789" s="130"/>
      <c r="I789" s="130"/>
      <c r="J789" s="130"/>
      <c r="K789" s="130"/>
      <c r="L789" s="130"/>
      <c r="M789" s="130"/>
      <c r="N789" s="130"/>
      <c r="O789" s="130"/>
      <c r="P789" s="130"/>
      <c r="Q789" s="130"/>
      <c r="R789" s="130"/>
    </row>
    <row r="790">
      <c r="A790" s="130"/>
      <c r="B790" s="130"/>
      <c r="C790" s="130"/>
      <c r="D790" s="130"/>
      <c r="E790" s="130"/>
      <c r="F790" s="188"/>
      <c r="G790" s="130"/>
      <c r="H790" s="130"/>
      <c r="I790" s="130"/>
      <c r="J790" s="130"/>
      <c r="K790" s="130"/>
      <c r="L790" s="130"/>
      <c r="M790" s="130"/>
      <c r="N790" s="130"/>
      <c r="O790" s="130"/>
      <c r="P790" s="130"/>
      <c r="Q790" s="130"/>
      <c r="R790" s="130"/>
    </row>
    <row r="791">
      <c r="A791" s="130"/>
      <c r="B791" s="130"/>
      <c r="C791" s="130"/>
      <c r="D791" s="130"/>
      <c r="E791" s="130"/>
      <c r="F791" s="188"/>
      <c r="G791" s="130"/>
      <c r="H791" s="130"/>
      <c r="I791" s="130"/>
      <c r="J791" s="130"/>
      <c r="K791" s="130"/>
      <c r="L791" s="130"/>
      <c r="M791" s="130"/>
      <c r="N791" s="130"/>
      <c r="O791" s="130"/>
      <c r="P791" s="130"/>
      <c r="Q791" s="130"/>
      <c r="R791" s="130"/>
    </row>
    <row r="792">
      <c r="A792" s="130"/>
      <c r="B792" s="130"/>
      <c r="C792" s="130"/>
      <c r="D792" s="130"/>
      <c r="E792" s="130"/>
      <c r="F792" s="188"/>
      <c r="G792" s="130"/>
      <c r="H792" s="130"/>
      <c r="I792" s="130"/>
      <c r="J792" s="130"/>
      <c r="K792" s="130"/>
      <c r="L792" s="130"/>
      <c r="M792" s="130"/>
      <c r="N792" s="130"/>
      <c r="O792" s="130"/>
      <c r="P792" s="130"/>
      <c r="Q792" s="130"/>
      <c r="R792" s="130"/>
    </row>
    <row r="793">
      <c r="A793" s="130"/>
      <c r="B793" s="130"/>
      <c r="C793" s="130"/>
      <c r="D793" s="130"/>
      <c r="E793" s="130"/>
      <c r="F793" s="188"/>
      <c r="G793" s="130"/>
      <c r="H793" s="130"/>
      <c r="I793" s="130"/>
      <c r="J793" s="130"/>
      <c r="K793" s="130"/>
      <c r="L793" s="130"/>
      <c r="M793" s="130"/>
      <c r="N793" s="130"/>
      <c r="O793" s="130"/>
      <c r="P793" s="130"/>
      <c r="Q793" s="130"/>
      <c r="R793" s="130"/>
    </row>
    <row r="794">
      <c r="A794" s="130"/>
      <c r="B794" s="130"/>
      <c r="C794" s="130"/>
      <c r="D794" s="130"/>
      <c r="E794" s="130"/>
      <c r="F794" s="188"/>
      <c r="G794" s="130"/>
      <c r="H794" s="130"/>
      <c r="I794" s="130"/>
      <c r="J794" s="130"/>
      <c r="K794" s="130"/>
      <c r="L794" s="130"/>
      <c r="M794" s="130"/>
      <c r="N794" s="130"/>
      <c r="O794" s="130"/>
      <c r="P794" s="130"/>
      <c r="Q794" s="130"/>
      <c r="R794" s="130"/>
    </row>
    <row r="795">
      <c r="A795" s="130"/>
      <c r="B795" s="130"/>
      <c r="C795" s="130"/>
      <c r="D795" s="130"/>
      <c r="E795" s="130"/>
      <c r="F795" s="188"/>
      <c r="G795" s="130"/>
      <c r="H795" s="130"/>
      <c r="I795" s="130"/>
      <c r="J795" s="130"/>
      <c r="K795" s="130"/>
      <c r="L795" s="130"/>
      <c r="M795" s="130"/>
      <c r="N795" s="130"/>
      <c r="O795" s="130"/>
      <c r="P795" s="130"/>
      <c r="Q795" s="130"/>
      <c r="R795" s="130"/>
    </row>
    <row r="796">
      <c r="A796" s="130"/>
      <c r="B796" s="130"/>
      <c r="C796" s="130"/>
      <c r="D796" s="130"/>
      <c r="E796" s="130"/>
      <c r="F796" s="188"/>
      <c r="G796" s="130"/>
      <c r="H796" s="130"/>
      <c r="I796" s="130"/>
      <c r="J796" s="130"/>
      <c r="K796" s="130"/>
      <c r="L796" s="130"/>
      <c r="M796" s="130"/>
      <c r="N796" s="130"/>
      <c r="O796" s="130"/>
      <c r="P796" s="130"/>
      <c r="Q796" s="130"/>
      <c r="R796" s="130"/>
    </row>
    <row r="797">
      <c r="A797" s="130"/>
      <c r="B797" s="130"/>
      <c r="C797" s="130"/>
      <c r="D797" s="130"/>
      <c r="E797" s="130"/>
      <c r="F797" s="188"/>
      <c r="G797" s="130"/>
      <c r="H797" s="130"/>
      <c r="I797" s="130"/>
      <c r="J797" s="130"/>
      <c r="K797" s="130"/>
      <c r="L797" s="130"/>
      <c r="M797" s="130"/>
      <c r="N797" s="130"/>
      <c r="O797" s="130"/>
      <c r="P797" s="130"/>
      <c r="Q797" s="130"/>
      <c r="R797" s="130"/>
    </row>
    <row r="798">
      <c r="A798" s="130"/>
      <c r="B798" s="130"/>
      <c r="C798" s="130"/>
      <c r="D798" s="130"/>
      <c r="E798" s="130"/>
      <c r="F798" s="188"/>
      <c r="G798" s="130"/>
      <c r="H798" s="130"/>
      <c r="I798" s="130"/>
      <c r="J798" s="130"/>
      <c r="K798" s="130"/>
      <c r="L798" s="130"/>
      <c r="M798" s="130"/>
      <c r="N798" s="130"/>
      <c r="O798" s="130"/>
      <c r="P798" s="130"/>
      <c r="Q798" s="130"/>
      <c r="R798" s="130"/>
    </row>
    <row r="799">
      <c r="A799" s="130"/>
      <c r="B799" s="130"/>
      <c r="C799" s="130"/>
      <c r="D799" s="130"/>
      <c r="E799" s="130"/>
      <c r="F799" s="188"/>
      <c r="G799" s="130"/>
      <c r="H799" s="130"/>
      <c r="I799" s="130"/>
      <c r="J799" s="130"/>
      <c r="K799" s="130"/>
      <c r="L799" s="130"/>
      <c r="M799" s="130"/>
      <c r="N799" s="130"/>
      <c r="O799" s="130"/>
      <c r="P799" s="130"/>
      <c r="Q799" s="130"/>
      <c r="R799" s="130"/>
    </row>
    <row r="800">
      <c r="A800" s="130"/>
      <c r="B800" s="130"/>
      <c r="C800" s="130"/>
      <c r="D800" s="130"/>
      <c r="E800" s="130"/>
      <c r="F800" s="188"/>
      <c r="G800" s="130"/>
      <c r="H800" s="130"/>
      <c r="I800" s="130"/>
      <c r="J800" s="130"/>
      <c r="K800" s="130"/>
      <c r="L800" s="130"/>
      <c r="M800" s="130"/>
      <c r="N800" s="130"/>
      <c r="O800" s="130"/>
      <c r="P800" s="130"/>
      <c r="Q800" s="130"/>
      <c r="R800" s="130"/>
    </row>
    <row r="801">
      <c r="A801" s="130"/>
      <c r="B801" s="130"/>
      <c r="C801" s="130"/>
      <c r="D801" s="130"/>
      <c r="E801" s="130"/>
      <c r="F801" s="188"/>
      <c r="G801" s="130"/>
      <c r="H801" s="130"/>
      <c r="I801" s="130"/>
      <c r="J801" s="130"/>
      <c r="K801" s="130"/>
      <c r="L801" s="130"/>
      <c r="M801" s="130"/>
      <c r="N801" s="130"/>
      <c r="O801" s="130"/>
      <c r="P801" s="130"/>
      <c r="Q801" s="130"/>
      <c r="R801" s="130"/>
    </row>
    <row r="802">
      <c r="A802" s="130"/>
      <c r="B802" s="130"/>
      <c r="C802" s="130"/>
      <c r="D802" s="130"/>
      <c r="E802" s="130"/>
      <c r="F802" s="188"/>
      <c r="G802" s="130"/>
      <c r="H802" s="130"/>
      <c r="I802" s="130"/>
      <c r="J802" s="130"/>
      <c r="K802" s="130"/>
      <c r="L802" s="130"/>
      <c r="M802" s="130"/>
      <c r="N802" s="130"/>
      <c r="O802" s="130"/>
      <c r="P802" s="130"/>
      <c r="Q802" s="130"/>
      <c r="R802" s="130"/>
    </row>
    <row r="803">
      <c r="A803" s="130"/>
      <c r="B803" s="130"/>
      <c r="C803" s="130"/>
      <c r="D803" s="130"/>
      <c r="E803" s="130"/>
      <c r="F803" s="188"/>
      <c r="G803" s="130"/>
      <c r="H803" s="130"/>
      <c r="I803" s="130"/>
      <c r="J803" s="130"/>
      <c r="K803" s="130"/>
      <c r="L803" s="130"/>
      <c r="M803" s="130"/>
      <c r="N803" s="130"/>
      <c r="O803" s="130"/>
      <c r="P803" s="130"/>
      <c r="Q803" s="130"/>
      <c r="R803" s="130"/>
    </row>
    <row r="804">
      <c r="A804" s="130"/>
      <c r="B804" s="130"/>
      <c r="C804" s="130"/>
      <c r="D804" s="130"/>
      <c r="E804" s="130"/>
      <c r="F804" s="188"/>
      <c r="G804" s="130"/>
      <c r="H804" s="130"/>
      <c r="I804" s="130"/>
      <c r="J804" s="130"/>
      <c r="K804" s="130"/>
      <c r="L804" s="130"/>
      <c r="M804" s="130"/>
      <c r="N804" s="130"/>
      <c r="O804" s="130"/>
      <c r="P804" s="130"/>
      <c r="Q804" s="130"/>
      <c r="R804" s="130"/>
    </row>
    <row r="805">
      <c r="A805" s="130"/>
      <c r="B805" s="130"/>
      <c r="C805" s="130"/>
      <c r="D805" s="130"/>
      <c r="E805" s="130"/>
      <c r="F805" s="188"/>
      <c r="G805" s="130"/>
      <c r="H805" s="130"/>
      <c r="I805" s="130"/>
      <c r="J805" s="130"/>
      <c r="K805" s="130"/>
      <c r="L805" s="130"/>
      <c r="M805" s="130"/>
      <c r="N805" s="130"/>
      <c r="O805" s="130"/>
      <c r="P805" s="130"/>
      <c r="Q805" s="130"/>
      <c r="R805" s="130"/>
    </row>
    <row r="806">
      <c r="A806" s="130"/>
      <c r="B806" s="130"/>
      <c r="C806" s="130"/>
      <c r="D806" s="130"/>
      <c r="E806" s="130"/>
      <c r="F806" s="188"/>
      <c r="G806" s="130"/>
      <c r="H806" s="130"/>
      <c r="I806" s="130"/>
      <c r="J806" s="130"/>
      <c r="K806" s="130"/>
      <c r="L806" s="130"/>
      <c r="M806" s="130"/>
      <c r="N806" s="130"/>
      <c r="O806" s="130"/>
      <c r="P806" s="130"/>
      <c r="Q806" s="130"/>
      <c r="R806" s="130"/>
    </row>
    <row r="807">
      <c r="A807" s="130"/>
      <c r="B807" s="130"/>
      <c r="C807" s="130"/>
      <c r="D807" s="130"/>
      <c r="E807" s="130"/>
      <c r="F807" s="188"/>
      <c r="G807" s="130"/>
      <c r="H807" s="130"/>
      <c r="I807" s="130"/>
      <c r="J807" s="130"/>
      <c r="K807" s="130"/>
      <c r="L807" s="130"/>
      <c r="M807" s="130"/>
      <c r="N807" s="130"/>
      <c r="O807" s="130"/>
      <c r="P807" s="130"/>
      <c r="Q807" s="130"/>
      <c r="R807" s="130"/>
    </row>
    <row r="808">
      <c r="A808" s="130"/>
      <c r="B808" s="130"/>
      <c r="C808" s="130"/>
      <c r="D808" s="130"/>
      <c r="E808" s="130"/>
      <c r="F808" s="188"/>
      <c r="G808" s="130"/>
      <c r="H808" s="130"/>
      <c r="I808" s="130"/>
      <c r="J808" s="130"/>
      <c r="K808" s="130"/>
      <c r="L808" s="130"/>
      <c r="M808" s="130"/>
      <c r="N808" s="130"/>
      <c r="O808" s="130"/>
      <c r="P808" s="130"/>
      <c r="Q808" s="130"/>
      <c r="R808" s="130"/>
    </row>
    <row r="809">
      <c r="A809" s="130"/>
      <c r="B809" s="130"/>
      <c r="C809" s="130"/>
      <c r="D809" s="130"/>
      <c r="E809" s="130"/>
      <c r="F809" s="188"/>
      <c r="G809" s="130"/>
      <c r="H809" s="130"/>
      <c r="I809" s="130"/>
      <c r="J809" s="130"/>
      <c r="K809" s="130"/>
      <c r="L809" s="130"/>
      <c r="M809" s="130"/>
      <c r="N809" s="130"/>
      <c r="O809" s="130"/>
      <c r="P809" s="130"/>
      <c r="Q809" s="130"/>
      <c r="R809" s="130"/>
    </row>
    <row r="810">
      <c r="A810" s="130"/>
      <c r="B810" s="130"/>
      <c r="C810" s="130"/>
      <c r="D810" s="130"/>
      <c r="E810" s="130"/>
      <c r="F810" s="188"/>
      <c r="G810" s="130"/>
      <c r="H810" s="130"/>
      <c r="I810" s="130"/>
      <c r="J810" s="130"/>
      <c r="K810" s="130"/>
      <c r="L810" s="130"/>
      <c r="M810" s="130"/>
      <c r="N810" s="130"/>
      <c r="O810" s="130"/>
      <c r="P810" s="130"/>
      <c r="Q810" s="130"/>
      <c r="R810" s="130"/>
    </row>
    <row r="811">
      <c r="A811" s="130"/>
      <c r="B811" s="130"/>
      <c r="C811" s="130"/>
      <c r="D811" s="130"/>
      <c r="E811" s="130"/>
      <c r="F811" s="188"/>
      <c r="G811" s="130"/>
      <c r="H811" s="130"/>
      <c r="I811" s="130"/>
      <c r="J811" s="130"/>
      <c r="K811" s="130"/>
      <c r="L811" s="130"/>
      <c r="M811" s="130"/>
      <c r="N811" s="130"/>
      <c r="O811" s="130"/>
      <c r="P811" s="130"/>
      <c r="Q811" s="130"/>
      <c r="R811" s="130"/>
    </row>
    <row r="812">
      <c r="A812" s="130"/>
      <c r="B812" s="130"/>
      <c r="C812" s="130"/>
      <c r="D812" s="130"/>
      <c r="E812" s="130"/>
      <c r="F812" s="188"/>
      <c r="G812" s="130"/>
      <c r="H812" s="130"/>
      <c r="I812" s="130"/>
      <c r="J812" s="130"/>
      <c r="K812" s="130"/>
      <c r="L812" s="130"/>
      <c r="M812" s="130"/>
      <c r="N812" s="130"/>
      <c r="O812" s="130"/>
      <c r="P812" s="130"/>
      <c r="Q812" s="130"/>
      <c r="R812" s="130"/>
    </row>
    <row r="813">
      <c r="A813" s="130"/>
      <c r="B813" s="130"/>
      <c r="C813" s="130"/>
      <c r="D813" s="130"/>
      <c r="E813" s="130"/>
      <c r="F813" s="188"/>
      <c r="G813" s="130"/>
      <c r="H813" s="130"/>
      <c r="I813" s="130"/>
      <c r="J813" s="130"/>
      <c r="K813" s="130"/>
      <c r="L813" s="130"/>
      <c r="M813" s="130"/>
      <c r="N813" s="130"/>
      <c r="O813" s="130"/>
      <c r="P813" s="130"/>
      <c r="Q813" s="130"/>
      <c r="R813" s="130"/>
    </row>
    <row r="814">
      <c r="A814" s="130"/>
      <c r="B814" s="130"/>
      <c r="C814" s="130"/>
      <c r="D814" s="130"/>
      <c r="E814" s="130"/>
      <c r="F814" s="188"/>
      <c r="G814" s="130"/>
      <c r="H814" s="130"/>
      <c r="I814" s="130"/>
      <c r="J814" s="130"/>
      <c r="K814" s="130"/>
      <c r="L814" s="130"/>
      <c r="M814" s="130"/>
      <c r="N814" s="130"/>
      <c r="O814" s="130"/>
      <c r="P814" s="130"/>
      <c r="Q814" s="130"/>
      <c r="R814" s="130"/>
    </row>
    <row r="815">
      <c r="A815" s="130"/>
      <c r="B815" s="130"/>
      <c r="C815" s="130"/>
      <c r="D815" s="130"/>
      <c r="E815" s="130"/>
      <c r="F815" s="188"/>
      <c r="G815" s="130"/>
      <c r="H815" s="130"/>
      <c r="I815" s="130"/>
      <c r="J815" s="130"/>
      <c r="K815" s="130"/>
      <c r="L815" s="130"/>
      <c r="M815" s="130"/>
      <c r="N815" s="130"/>
      <c r="O815" s="130"/>
      <c r="P815" s="130"/>
      <c r="Q815" s="130"/>
      <c r="R815" s="130"/>
    </row>
    <row r="816">
      <c r="A816" s="130"/>
      <c r="B816" s="130"/>
      <c r="C816" s="130"/>
      <c r="D816" s="130"/>
      <c r="E816" s="130"/>
      <c r="F816" s="188"/>
      <c r="G816" s="130"/>
      <c r="H816" s="130"/>
      <c r="I816" s="130"/>
      <c r="J816" s="130"/>
      <c r="K816" s="130"/>
      <c r="L816" s="130"/>
      <c r="M816" s="130"/>
      <c r="N816" s="130"/>
      <c r="O816" s="130"/>
      <c r="P816" s="130"/>
      <c r="Q816" s="130"/>
      <c r="R816" s="130"/>
    </row>
    <row r="817">
      <c r="A817" s="130"/>
      <c r="B817" s="130"/>
      <c r="C817" s="130"/>
      <c r="D817" s="130"/>
      <c r="E817" s="130"/>
      <c r="F817" s="188"/>
      <c r="G817" s="130"/>
      <c r="H817" s="130"/>
      <c r="I817" s="130"/>
      <c r="J817" s="130"/>
      <c r="K817" s="130"/>
      <c r="L817" s="130"/>
      <c r="M817" s="130"/>
      <c r="N817" s="130"/>
      <c r="O817" s="130"/>
      <c r="P817" s="130"/>
      <c r="Q817" s="130"/>
      <c r="R817" s="130"/>
    </row>
    <row r="818">
      <c r="A818" s="130"/>
      <c r="B818" s="130"/>
      <c r="C818" s="130"/>
      <c r="D818" s="130"/>
      <c r="E818" s="130"/>
      <c r="F818" s="188"/>
      <c r="G818" s="130"/>
      <c r="H818" s="130"/>
      <c r="I818" s="130"/>
      <c r="J818" s="130"/>
      <c r="K818" s="130"/>
      <c r="L818" s="130"/>
      <c r="M818" s="130"/>
      <c r="N818" s="130"/>
      <c r="O818" s="130"/>
      <c r="P818" s="130"/>
      <c r="Q818" s="130"/>
      <c r="R818" s="130"/>
    </row>
    <row r="819">
      <c r="A819" s="130"/>
      <c r="B819" s="130"/>
      <c r="C819" s="130"/>
      <c r="D819" s="130"/>
      <c r="E819" s="130"/>
      <c r="F819" s="188"/>
      <c r="G819" s="130"/>
      <c r="H819" s="130"/>
      <c r="I819" s="130"/>
      <c r="J819" s="130"/>
      <c r="K819" s="130"/>
      <c r="L819" s="130"/>
      <c r="M819" s="130"/>
      <c r="N819" s="130"/>
      <c r="O819" s="130"/>
      <c r="P819" s="130"/>
      <c r="Q819" s="130"/>
      <c r="R819" s="130"/>
    </row>
    <row r="820">
      <c r="A820" s="130"/>
      <c r="B820" s="130"/>
      <c r="C820" s="130"/>
      <c r="D820" s="130"/>
      <c r="E820" s="130"/>
      <c r="F820" s="188"/>
      <c r="G820" s="130"/>
      <c r="H820" s="130"/>
      <c r="I820" s="130"/>
      <c r="J820" s="130"/>
      <c r="K820" s="130"/>
      <c r="L820" s="130"/>
      <c r="M820" s="130"/>
      <c r="N820" s="130"/>
      <c r="O820" s="130"/>
      <c r="P820" s="130"/>
      <c r="Q820" s="130"/>
      <c r="R820" s="130"/>
    </row>
    <row r="821">
      <c r="A821" s="130"/>
      <c r="B821" s="130"/>
      <c r="C821" s="130"/>
      <c r="D821" s="130"/>
      <c r="E821" s="130"/>
      <c r="F821" s="188"/>
      <c r="G821" s="130"/>
      <c r="H821" s="130"/>
      <c r="I821" s="130"/>
      <c r="J821" s="130"/>
      <c r="K821" s="130"/>
      <c r="L821" s="130"/>
      <c r="M821" s="130"/>
      <c r="N821" s="130"/>
      <c r="O821" s="130"/>
      <c r="P821" s="130"/>
      <c r="Q821" s="130"/>
      <c r="R821" s="130"/>
    </row>
    <row r="822">
      <c r="A822" s="130"/>
      <c r="B822" s="130"/>
      <c r="C822" s="130"/>
      <c r="D822" s="130"/>
      <c r="E822" s="130"/>
      <c r="F822" s="188"/>
      <c r="G822" s="130"/>
      <c r="H822" s="130"/>
      <c r="I822" s="130"/>
      <c r="J822" s="130"/>
      <c r="K822" s="130"/>
      <c r="L822" s="130"/>
      <c r="M822" s="130"/>
      <c r="N822" s="130"/>
      <c r="O822" s="130"/>
      <c r="P822" s="130"/>
      <c r="Q822" s="130"/>
      <c r="R822" s="130"/>
    </row>
    <row r="823">
      <c r="A823" s="130"/>
      <c r="B823" s="130"/>
      <c r="C823" s="130"/>
      <c r="D823" s="130"/>
      <c r="E823" s="130"/>
      <c r="F823" s="188"/>
      <c r="G823" s="130"/>
      <c r="H823" s="130"/>
      <c r="I823" s="130"/>
      <c r="J823" s="130"/>
      <c r="K823" s="130"/>
      <c r="L823" s="130"/>
      <c r="M823" s="130"/>
      <c r="N823" s="130"/>
      <c r="O823" s="130"/>
      <c r="P823" s="130"/>
      <c r="Q823" s="130"/>
      <c r="R823" s="130"/>
    </row>
    <row r="824">
      <c r="A824" s="130"/>
      <c r="B824" s="130"/>
      <c r="C824" s="130"/>
      <c r="D824" s="130"/>
      <c r="E824" s="130"/>
      <c r="F824" s="188"/>
      <c r="G824" s="130"/>
      <c r="H824" s="130"/>
      <c r="I824" s="130"/>
      <c r="J824" s="130"/>
      <c r="K824" s="130"/>
      <c r="L824" s="130"/>
      <c r="M824" s="130"/>
      <c r="N824" s="130"/>
      <c r="O824" s="130"/>
      <c r="P824" s="130"/>
      <c r="Q824" s="130"/>
      <c r="R824" s="130"/>
    </row>
    <row r="825">
      <c r="A825" s="130"/>
      <c r="B825" s="130"/>
      <c r="C825" s="130"/>
      <c r="D825" s="130"/>
      <c r="E825" s="130"/>
      <c r="F825" s="188"/>
      <c r="G825" s="130"/>
      <c r="H825" s="130"/>
      <c r="I825" s="130"/>
      <c r="J825" s="130"/>
      <c r="K825" s="130"/>
      <c r="L825" s="130"/>
      <c r="M825" s="130"/>
      <c r="N825" s="130"/>
      <c r="O825" s="130"/>
      <c r="P825" s="130"/>
      <c r="Q825" s="130"/>
      <c r="R825" s="130"/>
    </row>
    <row r="826">
      <c r="A826" s="130"/>
      <c r="B826" s="130"/>
      <c r="C826" s="130"/>
      <c r="D826" s="130"/>
      <c r="E826" s="130"/>
      <c r="F826" s="188"/>
      <c r="G826" s="130"/>
      <c r="H826" s="130"/>
      <c r="I826" s="130"/>
      <c r="J826" s="130"/>
      <c r="K826" s="130"/>
      <c r="L826" s="130"/>
      <c r="M826" s="130"/>
      <c r="N826" s="130"/>
      <c r="O826" s="130"/>
      <c r="P826" s="130"/>
      <c r="Q826" s="130"/>
      <c r="R826" s="130"/>
    </row>
    <row r="827">
      <c r="A827" s="130"/>
      <c r="B827" s="130"/>
      <c r="C827" s="130"/>
      <c r="D827" s="130"/>
      <c r="E827" s="130"/>
      <c r="F827" s="188"/>
      <c r="G827" s="130"/>
      <c r="H827" s="130"/>
      <c r="I827" s="130"/>
      <c r="J827" s="130"/>
      <c r="K827" s="130"/>
      <c r="L827" s="130"/>
      <c r="M827" s="130"/>
      <c r="N827" s="130"/>
      <c r="O827" s="130"/>
      <c r="P827" s="130"/>
      <c r="Q827" s="130"/>
      <c r="R827" s="130"/>
    </row>
    <row r="828">
      <c r="A828" s="130"/>
      <c r="B828" s="130"/>
      <c r="C828" s="130"/>
      <c r="D828" s="130"/>
      <c r="E828" s="130"/>
      <c r="F828" s="188"/>
      <c r="G828" s="130"/>
      <c r="H828" s="130"/>
      <c r="I828" s="130"/>
      <c r="J828" s="130"/>
      <c r="K828" s="130"/>
      <c r="L828" s="130"/>
      <c r="M828" s="130"/>
      <c r="N828" s="130"/>
      <c r="O828" s="130"/>
      <c r="P828" s="130"/>
      <c r="Q828" s="130"/>
      <c r="R828" s="130"/>
    </row>
    <row r="829">
      <c r="A829" s="130"/>
      <c r="B829" s="130"/>
      <c r="C829" s="130"/>
      <c r="D829" s="130"/>
      <c r="E829" s="130"/>
      <c r="F829" s="188"/>
      <c r="G829" s="130"/>
      <c r="H829" s="130"/>
      <c r="I829" s="130"/>
      <c r="J829" s="130"/>
      <c r="K829" s="130"/>
      <c r="L829" s="130"/>
      <c r="M829" s="130"/>
      <c r="N829" s="130"/>
      <c r="O829" s="130"/>
      <c r="P829" s="130"/>
      <c r="Q829" s="130"/>
      <c r="R829" s="130"/>
    </row>
    <row r="830">
      <c r="A830" s="130"/>
      <c r="B830" s="130"/>
      <c r="C830" s="130"/>
      <c r="D830" s="130"/>
      <c r="E830" s="130"/>
      <c r="F830" s="188"/>
      <c r="G830" s="130"/>
      <c r="H830" s="130"/>
      <c r="I830" s="130"/>
      <c r="J830" s="130"/>
      <c r="K830" s="130"/>
      <c r="L830" s="130"/>
      <c r="M830" s="130"/>
      <c r="N830" s="130"/>
      <c r="O830" s="130"/>
      <c r="P830" s="130"/>
      <c r="Q830" s="130"/>
      <c r="R830" s="130"/>
    </row>
    <row r="831">
      <c r="A831" s="130"/>
      <c r="B831" s="130"/>
      <c r="C831" s="130"/>
      <c r="D831" s="130"/>
      <c r="E831" s="130"/>
      <c r="F831" s="188"/>
      <c r="G831" s="130"/>
      <c r="H831" s="130"/>
      <c r="I831" s="130"/>
      <c r="J831" s="130"/>
      <c r="K831" s="130"/>
      <c r="L831" s="130"/>
      <c r="M831" s="130"/>
      <c r="N831" s="130"/>
      <c r="O831" s="130"/>
      <c r="P831" s="130"/>
      <c r="Q831" s="130"/>
      <c r="R831" s="130"/>
    </row>
    <row r="832">
      <c r="A832" s="130"/>
      <c r="B832" s="130"/>
      <c r="C832" s="130"/>
      <c r="D832" s="130"/>
      <c r="E832" s="130"/>
      <c r="F832" s="188"/>
      <c r="G832" s="130"/>
      <c r="H832" s="130"/>
      <c r="I832" s="130"/>
      <c r="J832" s="130"/>
      <c r="K832" s="130"/>
      <c r="L832" s="130"/>
      <c r="M832" s="130"/>
      <c r="N832" s="130"/>
      <c r="O832" s="130"/>
      <c r="P832" s="130"/>
      <c r="Q832" s="130"/>
      <c r="R832" s="130"/>
    </row>
    <row r="833">
      <c r="A833" s="130"/>
      <c r="B833" s="130"/>
      <c r="C833" s="130"/>
      <c r="D833" s="130"/>
      <c r="E833" s="130"/>
      <c r="F833" s="188"/>
      <c r="G833" s="130"/>
      <c r="H833" s="130"/>
      <c r="I833" s="130"/>
      <c r="J833" s="130"/>
      <c r="K833" s="130"/>
      <c r="L833" s="130"/>
      <c r="M833" s="130"/>
      <c r="N833" s="130"/>
      <c r="O833" s="130"/>
      <c r="P833" s="130"/>
      <c r="Q833" s="130"/>
      <c r="R833" s="130"/>
    </row>
    <row r="834">
      <c r="A834" s="130"/>
      <c r="B834" s="130"/>
      <c r="C834" s="130"/>
      <c r="D834" s="130"/>
      <c r="E834" s="130"/>
      <c r="F834" s="188"/>
      <c r="G834" s="130"/>
      <c r="H834" s="130"/>
      <c r="I834" s="130"/>
      <c r="J834" s="130"/>
      <c r="K834" s="130"/>
      <c r="L834" s="130"/>
      <c r="M834" s="130"/>
      <c r="N834" s="130"/>
      <c r="O834" s="130"/>
      <c r="P834" s="130"/>
      <c r="Q834" s="130"/>
      <c r="R834" s="130"/>
    </row>
    <row r="835">
      <c r="A835" s="130"/>
      <c r="B835" s="130"/>
      <c r="C835" s="130"/>
      <c r="D835" s="130"/>
      <c r="E835" s="130"/>
      <c r="F835" s="188"/>
      <c r="G835" s="130"/>
      <c r="H835" s="130"/>
      <c r="I835" s="130"/>
      <c r="J835" s="130"/>
      <c r="K835" s="130"/>
      <c r="L835" s="130"/>
      <c r="M835" s="130"/>
      <c r="N835" s="130"/>
      <c r="O835" s="130"/>
      <c r="P835" s="130"/>
      <c r="Q835" s="130"/>
      <c r="R835" s="130"/>
    </row>
    <row r="836">
      <c r="A836" s="130"/>
      <c r="B836" s="130"/>
      <c r="C836" s="130"/>
      <c r="D836" s="130"/>
      <c r="E836" s="130"/>
      <c r="F836" s="188"/>
      <c r="G836" s="130"/>
      <c r="H836" s="130"/>
      <c r="I836" s="130"/>
      <c r="J836" s="130"/>
      <c r="K836" s="130"/>
      <c r="L836" s="130"/>
      <c r="M836" s="130"/>
      <c r="N836" s="130"/>
      <c r="O836" s="130"/>
      <c r="P836" s="130"/>
      <c r="Q836" s="130"/>
      <c r="R836" s="130"/>
    </row>
    <row r="837">
      <c r="A837" s="130"/>
      <c r="B837" s="130"/>
      <c r="C837" s="130"/>
      <c r="D837" s="130"/>
      <c r="E837" s="130"/>
      <c r="F837" s="188"/>
      <c r="G837" s="130"/>
      <c r="H837" s="130"/>
      <c r="I837" s="130"/>
      <c r="J837" s="130"/>
      <c r="K837" s="130"/>
      <c r="L837" s="130"/>
      <c r="M837" s="130"/>
      <c r="N837" s="130"/>
      <c r="O837" s="130"/>
      <c r="P837" s="130"/>
      <c r="Q837" s="130"/>
      <c r="R837" s="130"/>
    </row>
    <row r="838">
      <c r="A838" s="130"/>
      <c r="B838" s="130"/>
      <c r="C838" s="130"/>
      <c r="D838" s="130"/>
      <c r="E838" s="130"/>
      <c r="F838" s="188"/>
      <c r="G838" s="130"/>
      <c r="H838" s="130"/>
      <c r="I838" s="130"/>
      <c r="J838" s="130"/>
      <c r="K838" s="130"/>
      <c r="L838" s="130"/>
      <c r="M838" s="130"/>
      <c r="N838" s="130"/>
      <c r="O838" s="130"/>
      <c r="P838" s="130"/>
      <c r="Q838" s="130"/>
      <c r="R838" s="130"/>
    </row>
    <row r="839">
      <c r="A839" s="130"/>
      <c r="B839" s="130"/>
      <c r="C839" s="130"/>
      <c r="D839" s="130"/>
      <c r="E839" s="130"/>
      <c r="F839" s="188"/>
      <c r="G839" s="130"/>
      <c r="H839" s="130"/>
      <c r="I839" s="130"/>
      <c r="J839" s="130"/>
      <c r="K839" s="130"/>
      <c r="L839" s="130"/>
      <c r="M839" s="130"/>
      <c r="N839" s="130"/>
      <c r="O839" s="130"/>
      <c r="P839" s="130"/>
      <c r="Q839" s="130"/>
      <c r="R839" s="130"/>
    </row>
    <row r="840">
      <c r="A840" s="130"/>
      <c r="B840" s="130"/>
      <c r="C840" s="130"/>
      <c r="D840" s="130"/>
      <c r="E840" s="130"/>
      <c r="F840" s="188"/>
      <c r="G840" s="130"/>
      <c r="H840" s="130"/>
      <c r="I840" s="130"/>
      <c r="J840" s="130"/>
      <c r="K840" s="130"/>
      <c r="L840" s="130"/>
      <c r="M840" s="130"/>
      <c r="N840" s="130"/>
      <c r="O840" s="130"/>
      <c r="P840" s="130"/>
      <c r="Q840" s="130"/>
      <c r="R840" s="130"/>
    </row>
    <row r="841">
      <c r="A841" s="130"/>
      <c r="B841" s="130"/>
      <c r="C841" s="130"/>
      <c r="D841" s="130"/>
      <c r="E841" s="130"/>
      <c r="F841" s="188"/>
      <c r="G841" s="130"/>
      <c r="H841" s="130"/>
      <c r="I841" s="130"/>
      <c r="J841" s="130"/>
      <c r="K841" s="130"/>
      <c r="L841" s="130"/>
      <c r="M841" s="130"/>
      <c r="N841" s="130"/>
      <c r="O841" s="130"/>
      <c r="P841" s="130"/>
      <c r="Q841" s="130"/>
      <c r="R841" s="130"/>
    </row>
    <row r="842">
      <c r="A842" s="130"/>
      <c r="B842" s="130"/>
      <c r="C842" s="130"/>
      <c r="D842" s="130"/>
      <c r="E842" s="130"/>
      <c r="F842" s="188"/>
      <c r="G842" s="130"/>
      <c r="H842" s="130"/>
      <c r="I842" s="130"/>
      <c r="J842" s="130"/>
      <c r="K842" s="130"/>
      <c r="L842" s="130"/>
      <c r="M842" s="130"/>
      <c r="N842" s="130"/>
      <c r="O842" s="130"/>
      <c r="P842" s="130"/>
      <c r="Q842" s="130"/>
      <c r="R842" s="130"/>
    </row>
    <row r="843">
      <c r="A843" s="130"/>
      <c r="B843" s="130"/>
      <c r="C843" s="130"/>
      <c r="D843" s="130"/>
      <c r="E843" s="130"/>
      <c r="F843" s="188"/>
      <c r="G843" s="130"/>
      <c r="H843" s="130"/>
      <c r="I843" s="130"/>
      <c r="J843" s="130"/>
      <c r="K843" s="130"/>
      <c r="L843" s="130"/>
      <c r="M843" s="130"/>
      <c r="N843" s="130"/>
      <c r="O843" s="130"/>
      <c r="P843" s="130"/>
      <c r="Q843" s="130"/>
      <c r="R843" s="130"/>
    </row>
    <row r="844">
      <c r="A844" s="130"/>
      <c r="B844" s="130"/>
      <c r="C844" s="130"/>
      <c r="D844" s="130"/>
      <c r="E844" s="130"/>
      <c r="F844" s="188"/>
      <c r="G844" s="130"/>
      <c r="H844" s="130"/>
      <c r="I844" s="130"/>
      <c r="J844" s="130"/>
      <c r="K844" s="130"/>
      <c r="L844" s="130"/>
      <c r="M844" s="130"/>
      <c r="N844" s="130"/>
      <c r="O844" s="130"/>
      <c r="P844" s="130"/>
      <c r="Q844" s="130"/>
      <c r="R844" s="130"/>
    </row>
    <row r="845">
      <c r="A845" s="130"/>
      <c r="B845" s="130"/>
      <c r="C845" s="130"/>
      <c r="D845" s="130"/>
      <c r="E845" s="130"/>
      <c r="F845" s="188"/>
      <c r="G845" s="130"/>
      <c r="H845" s="130"/>
      <c r="I845" s="130"/>
      <c r="J845" s="130"/>
      <c r="K845" s="130"/>
      <c r="L845" s="130"/>
      <c r="M845" s="130"/>
      <c r="N845" s="130"/>
      <c r="O845" s="130"/>
      <c r="P845" s="130"/>
      <c r="Q845" s="130"/>
      <c r="R845" s="130"/>
    </row>
    <row r="846">
      <c r="A846" s="130"/>
      <c r="B846" s="130"/>
      <c r="C846" s="130"/>
      <c r="D846" s="130"/>
      <c r="E846" s="130"/>
      <c r="F846" s="188"/>
      <c r="G846" s="130"/>
      <c r="H846" s="130"/>
      <c r="I846" s="130"/>
      <c r="J846" s="130"/>
      <c r="K846" s="130"/>
      <c r="L846" s="130"/>
      <c r="M846" s="130"/>
      <c r="N846" s="130"/>
      <c r="O846" s="130"/>
      <c r="P846" s="130"/>
      <c r="Q846" s="130"/>
      <c r="R846" s="130"/>
    </row>
    <row r="847">
      <c r="A847" s="130"/>
      <c r="B847" s="130"/>
      <c r="C847" s="130"/>
      <c r="D847" s="130"/>
      <c r="E847" s="130"/>
      <c r="F847" s="188"/>
      <c r="G847" s="130"/>
      <c r="H847" s="130"/>
      <c r="I847" s="130"/>
      <c r="J847" s="130"/>
      <c r="K847" s="130"/>
      <c r="L847" s="130"/>
      <c r="M847" s="130"/>
      <c r="N847" s="130"/>
      <c r="O847" s="130"/>
      <c r="P847" s="130"/>
      <c r="Q847" s="130"/>
      <c r="R847" s="130"/>
    </row>
    <row r="848">
      <c r="A848" s="130"/>
      <c r="B848" s="130"/>
      <c r="C848" s="130"/>
      <c r="D848" s="130"/>
      <c r="E848" s="130"/>
      <c r="F848" s="188"/>
      <c r="G848" s="130"/>
      <c r="H848" s="130"/>
      <c r="I848" s="130"/>
      <c r="J848" s="130"/>
      <c r="K848" s="130"/>
      <c r="L848" s="130"/>
      <c r="M848" s="130"/>
      <c r="N848" s="130"/>
      <c r="O848" s="130"/>
      <c r="P848" s="130"/>
      <c r="Q848" s="130"/>
      <c r="R848" s="130"/>
    </row>
    <row r="849">
      <c r="A849" s="130"/>
      <c r="B849" s="130"/>
      <c r="C849" s="130"/>
      <c r="D849" s="130"/>
      <c r="E849" s="130"/>
      <c r="F849" s="188"/>
      <c r="G849" s="130"/>
      <c r="H849" s="130"/>
      <c r="I849" s="130"/>
      <c r="J849" s="130"/>
      <c r="K849" s="130"/>
      <c r="L849" s="130"/>
      <c r="M849" s="130"/>
      <c r="N849" s="130"/>
      <c r="O849" s="130"/>
      <c r="P849" s="130"/>
      <c r="Q849" s="130"/>
      <c r="R849" s="130"/>
    </row>
    <row r="850">
      <c r="A850" s="130"/>
      <c r="B850" s="130"/>
      <c r="C850" s="130"/>
      <c r="D850" s="130"/>
      <c r="E850" s="130"/>
      <c r="F850" s="188"/>
      <c r="G850" s="130"/>
      <c r="H850" s="130"/>
      <c r="I850" s="130"/>
      <c r="J850" s="130"/>
      <c r="K850" s="130"/>
      <c r="L850" s="130"/>
      <c r="M850" s="130"/>
      <c r="N850" s="130"/>
      <c r="O850" s="130"/>
      <c r="P850" s="130"/>
      <c r="Q850" s="130"/>
      <c r="R850" s="130"/>
    </row>
    <row r="851">
      <c r="A851" s="130"/>
      <c r="B851" s="130"/>
      <c r="C851" s="130"/>
      <c r="D851" s="130"/>
      <c r="E851" s="130"/>
      <c r="F851" s="188"/>
      <c r="G851" s="130"/>
      <c r="H851" s="130"/>
      <c r="I851" s="130"/>
      <c r="J851" s="130"/>
      <c r="K851" s="130"/>
      <c r="L851" s="130"/>
      <c r="M851" s="130"/>
      <c r="N851" s="130"/>
      <c r="O851" s="130"/>
      <c r="P851" s="130"/>
      <c r="Q851" s="130"/>
      <c r="R851" s="130"/>
    </row>
    <row r="852">
      <c r="A852" s="130"/>
      <c r="B852" s="130"/>
      <c r="C852" s="130"/>
      <c r="D852" s="130"/>
      <c r="E852" s="130"/>
      <c r="F852" s="188"/>
      <c r="G852" s="130"/>
      <c r="H852" s="130"/>
      <c r="I852" s="130"/>
      <c r="J852" s="130"/>
      <c r="K852" s="130"/>
      <c r="L852" s="130"/>
      <c r="M852" s="130"/>
      <c r="N852" s="130"/>
      <c r="O852" s="130"/>
      <c r="P852" s="130"/>
      <c r="Q852" s="130"/>
      <c r="R852" s="130"/>
    </row>
    <row r="853">
      <c r="A853" s="130"/>
      <c r="B853" s="130"/>
      <c r="C853" s="130"/>
      <c r="D853" s="130"/>
      <c r="E853" s="130"/>
      <c r="F853" s="188"/>
      <c r="G853" s="130"/>
      <c r="H853" s="130"/>
      <c r="I853" s="130"/>
      <c r="J853" s="130"/>
      <c r="K853" s="130"/>
      <c r="L853" s="130"/>
      <c r="M853" s="130"/>
      <c r="N853" s="130"/>
      <c r="O853" s="130"/>
      <c r="P853" s="130"/>
      <c r="Q853" s="130"/>
      <c r="R853" s="130"/>
    </row>
    <row r="854">
      <c r="A854" s="130"/>
      <c r="B854" s="130"/>
      <c r="C854" s="130"/>
      <c r="D854" s="130"/>
      <c r="E854" s="130"/>
      <c r="F854" s="188"/>
      <c r="G854" s="130"/>
      <c r="H854" s="130"/>
      <c r="I854" s="130"/>
      <c r="J854" s="130"/>
      <c r="K854" s="130"/>
      <c r="L854" s="130"/>
      <c r="M854" s="130"/>
      <c r="N854" s="130"/>
      <c r="O854" s="130"/>
      <c r="P854" s="130"/>
      <c r="Q854" s="130"/>
      <c r="R854" s="130"/>
    </row>
    <row r="855">
      <c r="A855" s="130"/>
      <c r="B855" s="130"/>
      <c r="C855" s="130"/>
      <c r="D855" s="130"/>
      <c r="E855" s="130"/>
      <c r="F855" s="188"/>
      <c r="G855" s="130"/>
      <c r="H855" s="130"/>
      <c r="I855" s="130"/>
      <c r="J855" s="130"/>
      <c r="K855" s="130"/>
      <c r="L855" s="130"/>
      <c r="M855" s="130"/>
      <c r="N855" s="130"/>
      <c r="O855" s="130"/>
      <c r="P855" s="130"/>
      <c r="Q855" s="130"/>
      <c r="R855" s="130"/>
    </row>
    <row r="856">
      <c r="A856" s="130"/>
      <c r="B856" s="130"/>
      <c r="C856" s="130"/>
      <c r="D856" s="130"/>
      <c r="E856" s="130"/>
      <c r="F856" s="188"/>
      <c r="G856" s="130"/>
      <c r="H856" s="130"/>
      <c r="I856" s="130"/>
      <c r="J856" s="130"/>
      <c r="K856" s="130"/>
      <c r="L856" s="130"/>
      <c r="M856" s="130"/>
      <c r="N856" s="130"/>
      <c r="O856" s="130"/>
      <c r="P856" s="130"/>
      <c r="Q856" s="130"/>
      <c r="R856" s="130"/>
    </row>
    <row r="857">
      <c r="A857" s="130"/>
      <c r="B857" s="130"/>
      <c r="C857" s="130"/>
      <c r="D857" s="130"/>
      <c r="E857" s="130"/>
      <c r="F857" s="188"/>
      <c r="G857" s="130"/>
      <c r="H857" s="130"/>
      <c r="I857" s="130"/>
      <c r="J857" s="130"/>
      <c r="K857" s="130"/>
      <c r="L857" s="130"/>
      <c r="M857" s="130"/>
      <c r="N857" s="130"/>
      <c r="O857" s="130"/>
      <c r="P857" s="130"/>
      <c r="Q857" s="130"/>
      <c r="R857" s="130"/>
    </row>
    <row r="858">
      <c r="A858" s="130"/>
      <c r="B858" s="130"/>
      <c r="C858" s="130"/>
      <c r="D858" s="130"/>
      <c r="E858" s="130"/>
      <c r="F858" s="188"/>
      <c r="G858" s="130"/>
      <c r="H858" s="130"/>
      <c r="I858" s="130"/>
      <c r="J858" s="130"/>
      <c r="K858" s="130"/>
      <c r="L858" s="130"/>
      <c r="M858" s="130"/>
      <c r="N858" s="130"/>
      <c r="O858" s="130"/>
      <c r="P858" s="130"/>
      <c r="Q858" s="130"/>
      <c r="R858" s="130"/>
    </row>
    <row r="859">
      <c r="A859" s="130"/>
      <c r="B859" s="130"/>
      <c r="C859" s="130"/>
      <c r="D859" s="130"/>
      <c r="E859" s="130"/>
      <c r="F859" s="188"/>
      <c r="G859" s="130"/>
      <c r="H859" s="130"/>
      <c r="I859" s="130"/>
      <c r="J859" s="130"/>
      <c r="K859" s="130"/>
      <c r="L859" s="130"/>
      <c r="M859" s="130"/>
      <c r="N859" s="130"/>
      <c r="O859" s="130"/>
      <c r="P859" s="130"/>
      <c r="Q859" s="130"/>
      <c r="R859" s="130"/>
    </row>
    <row r="860">
      <c r="A860" s="130"/>
      <c r="B860" s="130"/>
      <c r="C860" s="130"/>
      <c r="D860" s="130"/>
      <c r="E860" s="130"/>
      <c r="F860" s="188"/>
      <c r="G860" s="130"/>
      <c r="H860" s="130"/>
      <c r="I860" s="130"/>
      <c r="J860" s="130"/>
      <c r="K860" s="130"/>
      <c r="L860" s="130"/>
      <c r="M860" s="130"/>
      <c r="N860" s="130"/>
      <c r="O860" s="130"/>
      <c r="P860" s="130"/>
      <c r="Q860" s="130"/>
      <c r="R860" s="130"/>
    </row>
    <row r="861">
      <c r="A861" s="130"/>
      <c r="B861" s="130"/>
      <c r="C861" s="130"/>
      <c r="D861" s="130"/>
      <c r="E861" s="130"/>
      <c r="F861" s="188"/>
      <c r="G861" s="130"/>
      <c r="H861" s="130"/>
      <c r="I861" s="130"/>
      <c r="J861" s="130"/>
      <c r="K861" s="130"/>
      <c r="L861" s="130"/>
      <c r="M861" s="130"/>
      <c r="N861" s="130"/>
      <c r="O861" s="130"/>
      <c r="P861" s="130"/>
      <c r="Q861" s="130"/>
      <c r="R861" s="130"/>
    </row>
    <row r="862">
      <c r="A862" s="130"/>
      <c r="B862" s="130"/>
      <c r="C862" s="130"/>
      <c r="D862" s="130"/>
      <c r="E862" s="130"/>
      <c r="F862" s="188"/>
      <c r="G862" s="130"/>
      <c r="H862" s="130"/>
      <c r="I862" s="130"/>
      <c r="J862" s="130"/>
      <c r="K862" s="130"/>
      <c r="L862" s="130"/>
      <c r="M862" s="130"/>
      <c r="N862" s="130"/>
      <c r="O862" s="130"/>
      <c r="P862" s="130"/>
      <c r="Q862" s="130"/>
      <c r="R862" s="130"/>
    </row>
    <row r="863">
      <c r="A863" s="130"/>
      <c r="B863" s="130"/>
      <c r="C863" s="130"/>
      <c r="D863" s="130"/>
      <c r="E863" s="130"/>
      <c r="F863" s="188"/>
      <c r="G863" s="130"/>
      <c r="H863" s="130"/>
      <c r="I863" s="130"/>
      <c r="J863" s="130"/>
      <c r="K863" s="130"/>
      <c r="L863" s="130"/>
      <c r="M863" s="130"/>
      <c r="N863" s="130"/>
      <c r="O863" s="130"/>
      <c r="P863" s="130"/>
      <c r="Q863" s="130"/>
      <c r="R863" s="130"/>
    </row>
    <row r="864">
      <c r="A864" s="130"/>
      <c r="B864" s="130"/>
      <c r="C864" s="130"/>
      <c r="D864" s="130"/>
      <c r="E864" s="130"/>
      <c r="F864" s="188"/>
      <c r="G864" s="130"/>
      <c r="H864" s="130"/>
      <c r="I864" s="130"/>
      <c r="J864" s="130"/>
      <c r="K864" s="130"/>
      <c r="L864" s="130"/>
      <c r="M864" s="130"/>
      <c r="N864" s="130"/>
      <c r="O864" s="130"/>
      <c r="P864" s="130"/>
      <c r="Q864" s="130"/>
      <c r="R864" s="130"/>
    </row>
    <row r="865">
      <c r="A865" s="130"/>
      <c r="B865" s="130"/>
      <c r="C865" s="130"/>
      <c r="D865" s="130"/>
      <c r="E865" s="130"/>
      <c r="F865" s="188"/>
      <c r="G865" s="130"/>
      <c r="H865" s="130"/>
      <c r="I865" s="130"/>
      <c r="J865" s="130"/>
      <c r="K865" s="130"/>
      <c r="L865" s="130"/>
      <c r="M865" s="130"/>
      <c r="N865" s="130"/>
      <c r="O865" s="130"/>
      <c r="P865" s="130"/>
      <c r="Q865" s="130"/>
      <c r="R865" s="130"/>
    </row>
    <row r="866">
      <c r="A866" s="130"/>
      <c r="B866" s="130"/>
      <c r="C866" s="130"/>
      <c r="D866" s="130"/>
      <c r="E866" s="130"/>
      <c r="F866" s="188"/>
      <c r="G866" s="130"/>
      <c r="H866" s="130"/>
      <c r="I866" s="130"/>
      <c r="J866" s="130"/>
      <c r="K866" s="130"/>
      <c r="L866" s="130"/>
      <c r="M866" s="130"/>
      <c r="N866" s="130"/>
      <c r="O866" s="130"/>
      <c r="P866" s="130"/>
      <c r="Q866" s="130"/>
      <c r="R866" s="130"/>
    </row>
    <row r="867">
      <c r="A867" s="130"/>
      <c r="B867" s="130"/>
      <c r="C867" s="130"/>
      <c r="D867" s="130"/>
      <c r="E867" s="130"/>
      <c r="F867" s="188"/>
      <c r="G867" s="130"/>
      <c r="H867" s="130"/>
      <c r="I867" s="130"/>
      <c r="J867" s="130"/>
      <c r="K867" s="130"/>
      <c r="L867" s="130"/>
      <c r="M867" s="130"/>
      <c r="N867" s="130"/>
      <c r="O867" s="130"/>
      <c r="P867" s="130"/>
      <c r="Q867" s="130"/>
      <c r="R867" s="130"/>
    </row>
    <row r="868">
      <c r="A868" s="130"/>
      <c r="B868" s="130"/>
      <c r="C868" s="130"/>
      <c r="D868" s="130"/>
      <c r="E868" s="130"/>
      <c r="F868" s="188"/>
      <c r="G868" s="130"/>
      <c r="H868" s="130"/>
      <c r="I868" s="130"/>
      <c r="J868" s="130"/>
      <c r="K868" s="130"/>
      <c r="L868" s="130"/>
      <c r="M868" s="130"/>
      <c r="N868" s="130"/>
      <c r="O868" s="130"/>
      <c r="P868" s="130"/>
      <c r="Q868" s="130"/>
      <c r="R868" s="130"/>
    </row>
    <row r="869">
      <c r="A869" s="130"/>
      <c r="B869" s="130"/>
      <c r="C869" s="130"/>
      <c r="D869" s="130"/>
      <c r="E869" s="130"/>
      <c r="F869" s="188"/>
      <c r="G869" s="130"/>
      <c r="H869" s="130"/>
      <c r="I869" s="130"/>
      <c r="J869" s="130"/>
      <c r="K869" s="130"/>
      <c r="L869" s="130"/>
      <c r="M869" s="130"/>
      <c r="N869" s="130"/>
      <c r="O869" s="130"/>
      <c r="P869" s="130"/>
      <c r="Q869" s="130"/>
      <c r="R869" s="130"/>
    </row>
    <row r="870">
      <c r="A870" s="130"/>
      <c r="B870" s="130"/>
      <c r="C870" s="130"/>
      <c r="D870" s="130"/>
      <c r="E870" s="130"/>
      <c r="F870" s="188"/>
      <c r="G870" s="130"/>
      <c r="H870" s="130"/>
      <c r="I870" s="130"/>
      <c r="J870" s="130"/>
      <c r="K870" s="130"/>
      <c r="L870" s="130"/>
      <c r="M870" s="130"/>
      <c r="N870" s="130"/>
      <c r="O870" s="130"/>
      <c r="P870" s="130"/>
      <c r="Q870" s="130"/>
      <c r="R870" s="130"/>
    </row>
    <row r="871">
      <c r="A871" s="130"/>
      <c r="B871" s="130"/>
      <c r="C871" s="130"/>
      <c r="D871" s="130"/>
      <c r="E871" s="130"/>
      <c r="F871" s="188"/>
      <c r="G871" s="130"/>
      <c r="H871" s="130"/>
      <c r="I871" s="130"/>
      <c r="J871" s="130"/>
      <c r="K871" s="130"/>
      <c r="L871" s="130"/>
      <c r="M871" s="130"/>
      <c r="N871" s="130"/>
      <c r="O871" s="130"/>
      <c r="P871" s="130"/>
      <c r="Q871" s="130"/>
      <c r="R871" s="130"/>
    </row>
    <row r="872">
      <c r="A872" s="130"/>
      <c r="B872" s="130"/>
      <c r="C872" s="130"/>
      <c r="D872" s="130"/>
      <c r="E872" s="130"/>
      <c r="F872" s="188"/>
      <c r="G872" s="130"/>
      <c r="H872" s="130"/>
      <c r="I872" s="130"/>
      <c r="J872" s="130"/>
      <c r="K872" s="130"/>
      <c r="L872" s="130"/>
      <c r="M872" s="130"/>
      <c r="N872" s="130"/>
      <c r="O872" s="130"/>
      <c r="P872" s="130"/>
      <c r="Q872" s="130"/>
      <c r="R872" s="130"/>
    </row>
    <row r="873">
      <c r="A873" s="130"/>
      <c r="B873" s="130"/>
      <c r="C873" s="130"/>
      <c r="D873" s="130"/>
      <c r="E873" s="130"/>
      <c r="F873" s="188"/>
      <c r="G873" s="130"/>
      <c r="H873" s="130"/>
      <c r="I873" s="130"/>
      <c r="J873" s="130"/>
      <c r="K873" s="130"/>
      <c r="L873" s="130"/>
      <c r="M873" s="130"/>
      <c r="N873" s="130"/>
      <c r="O873" s="130"/>
      <c r="P873" s="130"/>
      <c r="Q873" s="130"/>
      <c r="R873" s="130"/>
    </row>
    <row r="874">
      <c r="A874" s="130"/>
      <c r="B874" s="130"/>
      <c r="C874" s="130"/>
      <c r="D874" s="130"/>
      <c r="E874" s="130"/>
      <c r="F874" s="188"/>
      <c r="G874" s="130"/>
      <c r="H874" s="130"/>
      <c r="I874" s="130"/>
      <c r="J874" s="130"/>
      <c r="K874" s="130"/>
      <c r="L874" s="130"/>
      <c r="M874" s="130"/>
      <c r="N874" s="130"/>
      <c r="O874" s="130"/>
      <c r="P874" s="130"/>
      <c r="Q874" s="130"/>
      <c r="R874" s="130"/>
    </row>
    <row r="875">
      <c r="A875" s="130"/>
      <c r="B875" s="130"/>
      <c r="C875" s="130"/>
      <c r="D875" s="130"/>
      <c r="E875" s="130"/>
      <c r="F875" s="188"/>
      <c r="G875" s="130"/>
      <c r="H875" s="130"/>
      <c r="I875" s="130"/>
      <c r="J875" s="130"/>
      <c r="K875" s="130"/>
      <c r="L875" s="130"/>
      <c r="M875" s="130"/>
      <c r="N875" s="130"/>
      <c r="O875" s="130"/>
      <c r="P875" s="130"/>
      <c r="Q875" s="130"/>
      <c r="R875" s="130"/>
    </row>
    <row r="876">
      <c r="A876" s="130"/>
      <c r="B876" s="130"/>
      <c r="C876" s="130"/>
      <c r="D876" s="130"/>
      <c r="E876" s="130"/>
      <c r="F876" s="188"/>
      <c r="G876" s="130"/>
      <c r="H876" s="130"/>
      <c r="I876" s="130"/>
      <c r="J876" s="130"/>
      <c r="K876" s="130"/>
      <c r="L876" s="130"/>
      <c r="M876" s="130"/>
      <c r="N876" s="130"/>
      <c r="O876" s="130"/>
      <c r="P876" s="130"/>
      <c r="Q876" s="130"/>
      <c r="R876" s="130"/>
    </row>
    <row r="877">
      <c r="A877" s="130"/>
      <c r="B877" s="130"/>
      <c r="C877" s="130"/>
      <c r="D877" s="130"/>
      <c r="E877" s="130"/>
      <c r="F877" s="188"/>
      <c r="G877" s="130"/>
      <c r="H877" s="130"/>
      <c r="I877" s="130"/>
      <c r="J877" s="130"/>
      <c r="K877" s="130"/>
      <c r="L877" s="130"/>
      <c r="M877" s="130"/>
      <c r="N877" s="130"/>
      <c r="O877" s="130"/>
      <c r="P877" s="130"/>
      <c r="Q877" s="130"/>
      <c r="R877" s="130"/>
    </row>
    <row r="878">
      <c r="A878" s="130"/>
      <c r="B878" s="130"/>
      <c r="C878" s="130"/>
      <c r="D878" s="130"/>
      <c r="E878" s="130"/>
      <c r="F878" s="188"/>
      <c r="G878" s="130"/>
      <c r="H878" s="130"/>
      <c r="I878" s="130"/>
      <c r="J878" s="130"/>
      <c r="K878" s="130"/>
      <c r="L878" s="130"/>
      <c r="M878" s="130"/>
      <c r="N878" s="130"/>
      <c r="O878" s="130"/>
      <c r="P878" s="130"/>
      <c r="Q878" s="130"/>
      <c r="R878" s="130"/>
    </row>
    <row r="879">
      <c r="A879" s="130"/>
      <c r="B879" s="130"/>
      <c r="C879" s="130"/>
      <c r="D879" s="130"/>
      <c r="E879" s="130"/>
      <c r="F879" s="188"/>
      <c r="G879" s="130"/>
      <c r="H879" s="130"/>
      <c r="I879" s="130"/>
      <c r="J879" s="130"/>
      <c r="K879" s="130"/>
      <c r="L879" s="130"/>
      <c r="M879" s="130"/>
      <c r="N879" s="130"/>
      <c r="O879" s="130"/>
      <c r="P879" s="130"/>
      <c r="Q879" s="130"/>
      <c r="R879" s="130"/>
    </row>
    <row r="880">
      <c r="A880" s="130"/>
      <c r="B880" s="130"/>
      <c r="C880" s="130"/>
      <c r="D880" s="130"/>
      <c r="E880" s="130"/>
      <c r="F880" s="188"/>
      <c r="G880" s="130"/>
      <c r="H880" s="130"/>
      <c r="I880" s="130"/>
      <c r="J880" s="130"/>
      <c r="K880" s="130"/>
      <c r="L880" s="130"/>
      <c r="M880" s="130"/>
      <c r="N880" s="130"/>
      <c r="O880" s="130"/>
      <c r="P880" s="130"/>
      <c r="Q880" s="130"/>
      <c r="R880" s="130"/>
    </row>
    <row r="881">
      <c r="A881" s="130"/>
      <c r="B881" s="130"/>
      <c r="C881" s="130"/>
      <c r="D881" s="130"/>
      <c r="E881" s="130"/>
      <c r="F881" s="188"/>
      <c r="G881" s="130"/>
      <c r="H881" s="130"/>
      <c r="I881" s="130"/>
      <c r="J881" s="130"/>
      <c r="K881" s="130"/>
      <c r="L881" s="130"/>
      <c r="M881" s="130"/>
      <c r="N881" s="130"/>
      <c r="O881" s="130"/>
      <c r="P881" s="130"/>
      <c r="Q881" s="130"/>
      <c r="R881" s="130"/>
    </row>
    <row r="882">
      <c r="A882" s="130"/>
      <c r="B882" s="130"/>
      <c r="C882" s="130"/>
      <c r="D882" s="130"/>
      <c r="E882" s="130"/>
      <c r="F882" s="188"/>
      <c r="G882" s="130"/>
      <c r="H882" s="130"/>
      <c r="I882" s="130"/>
      <c r="J882" s="130"/>
      <c r="K882" s="130"/>
      <c r="L882" s="130"/>
      <c r="M882" s="130"/>
      <c r="N882" s="130"/>
      <c r="O882" s="130"/>
      <c r="P882" s="130"/>
      <c r="Q882" s="130"/>
      <c r="R882" s="130"/>
    </row>
    <row r="883">
      <c r="A883" s="130"/>
      <c r="B883" s="130"/>
      <c r="C883" s="130"/>
      <c r="D883" s="130"/>
      <c r="E883" s="130"/>
      <c r="F883" s="188"/>
      <c r="G883" s="130"/>
      <c r="H883" s="130"/>
      <c r="I883" s="130"/>
      <c r="J883" s="130"/>
      <c r="K883" s="130"/>
      <c r="L883" s="130"/>
      <c r="M883" s="130"/>
      <c r="N883" s="130"/>
      <c r="O883" s="130"/>
      <c r="P883" s="130"/>
      <c r="Q883" s="130"/>
      <c r="R883" s="130"/>
    </row>
    <row r="884">
      <c r="A884" s="130"/>
      <c r="B884" s="130"/>
      <c r="C884" s="130"/>
      <c r="D884" s="130"/>
      <c r="E884" s="130"/>
      <c r="F884" s="188"/>
      <c r="G884" s="130"/>
      <c r="H884" s="130"/>
      <c r="I884" s="130"/>
      <c r="J884" s="130"/>
      <c r="K884" s="130"/>
      <c r="L884" s="130"/>
      <c r="M884" s="130"/>
      <c r="N884" s="130"/>
      <c r="O884" s="130"/>
      <c r="P884" s="130"/>
      <c r="Q884" s="130"/>
      <c r="R884" s="130"/>
    </row>
    <row r="885">
      <c r="A885" s="130"/>
      <c r="B885" s="130"/>
      <c r="C885" s="130"/>
      <c r="D885" s="130"/>
      <c r="E885" s="130"/>
      <c r="F885" s="188"/>
      <c r="G885" s="130"/>
      <c r="H885" s="130"/>
      <c r="I885" s="130"/>
      <c r="J885" s="130"/>
      <c r="K885" s="130"/>
      <c r="L885" s="130"/>
      <c r="M885" s="130"/>
      <c r="N885" s="130"/>
      <c r="O885" s="130"/>
      <c r="P885" s="130"/>
      <c r="Q885" s="130"/>
      <c r="R885" s="130"/>
    </row>
    <row r="886">
      <c r="A886" s="130"/>
      <c r="B886" s="130"/>
      <c r="C886" s="130"/>
      <c r="D886" s="130"/>
      <c r="E886" s="130"/>
      <c r="F886" s="188"/>
      <c r="G886" s="130"/>
      <c r="H886" s="130"/>
      <c r="I886" s="130"/>
      <c r="J886" s="130"/>
      <c r="K886" s="130"/>
      <c r="L886" s="130"/>
      <c r="M886" s="130"/>
      <c r="N886" s="130"/>
      <c r="O886" s="130"/>
      <c r="P886" s="130"/>
      <c r="Q886" s="130"/>
      <c r="R886" s="130"/>
    </row>
    <row r="887">
      <c r="A887" s="130"/>
      <c r="B887" s="130"/>
      <c r="C887" s="130"/>
      <c r="D887" s="130"/>
      <c r="E887" s="130"/>
      <c r="F887" s="188"/>
      <c r="G887" s="130"/>
      <c r="H887" s="130"/>
      <c r="I887" s="130"/>
      <c r="J887" s="130"/>
      <c r="K887" s="130"/>
      <c r="L887" s="130"/>
      <c r="M887" s="130"/>
      <c r="N887" s="130"/>
      <c r="O887" s="130"/>
      <c r="P887" s="130"/>
      <c r="Q887" s="130"/>
      <c r="R887" s="130"/>
    </row>
    <row r="888">
      <c r="A888" s="130"/>
      <c r="B888" s="130"/>
      <c r="C888" s="130"/>
      <c r="D888" s="130"/>
      <c r="E888" s="130"/>
      <c r="F888" s="188"/>
      <c r="G888" s="130"/>
      <c r="H888" s="130"/>
      <c r="I888" s="130"/>
      <c r="J888" s="130"/>
      <c r="K888" s="130"/>
      <c r="L888" s="130"/>
      <c r="M888" s="130"/>
      <c r="N888" s="130"/>
      <c r="O888" s="130"/>
      <c r="P888" s="130"/>
      <c r="Q888" s="130"/>
      <c r="R888" s="130"/>
    </row>
    <row r="889">
      <c r="A889" s="130"/>
      <c r="B889" s="130"/>
      <c r="C889" s="130"/>
      <c r="D889" s="130"/>
      <c r="E889" s="130"/>
      <c r="F889" s="188"/>
      <c r="G889" s="130"/>
      <c r="H889" s="130"/>
      <c r="I889" s="130"/>
      <c r="J889" s="130"/>
      <c r="K889" s="130"/>
      <c r="L889" s="130"/>
      <c r="M889" s="130"/>
      <c r="N889" s="130"/>
      <c r="O889" s="130"/>
      <c r="P889" s="130"/>
      <c r="Q889" s="130"/>
      <c r="R889" s="130"/>
    </row>
    <row r="890">
      <c r="A890" s="130"/>
      <c r="B890" s="130"/>
      <c r="C890" s="130"/>
      <c r="D890" s="130"/>
      <c r="E890" s="130"/>
      <c r="F890" s="188"/>
      <c r="G890" s="130"/>
      <c r="H890" s="130"/>
      <c r="I890" s="130"/>
      <c r="J890" s="130"/>
      <c r="K890" s="130"/>
      <c r="L890" s="130"/>
      <c r="M890" s="130"/>
      <c r="N890" s="130"/>
      <c r="O890" s="130"/>
      <c r="P890" s="130"/>
      <c r="Q890" s="130"/>
      <c r="R890" s="130"/>
    </row>
    <row r="891">
      <c r="A891" s="130"/>
      <c r="B891" s="130"/>
      <c r="C891" s="130"/>
      <c r="D891" s="130"/>
      <c r="E891" s="130"/>
      <c r="F891" s="188"/>
      <c r="G891" s="130"/>
      <c r="H891" s="130"/>
      <c r="I891" s="130"/>
      <c r="J891" s="130"/>
      <c r="K891" s="130"/>
      <c r="L891" s="130"/>
      <c r="M891" s="130"/>
      <c r="N891" s="130"/>
      <c r="O891" s="130"/>
      <c r="P891" s="130"/>
      <c r="Q891" s="130"/>
      <c r="R891" s="130"/>
    </row>
    <row r="892">
      <c r="A892" s="130"/>
      <c r="B892" s="130"/>
      <c r="C892" s="130"/>
      <c r="D892" s="130"/>
      <c r="E892" s="130"/>
      <c r="F892" s="188"/>
      <c r="G892" s="130"/>
      <c r="H892" s="130"/>
      <c r="I892" s="130"/>
      <c r="J892" s="130"/>
      <c r="K892" s="130"/>
      <c r="L892" s="130"/>
      <c r="M892" s="130"/>
      <c r="N892" s="130"/>
      <c r="O892" s="130"/>
      <c r="P892" s="130"/>
      <c r="Q892" s="130"/>
      <c r="R892" s="130"/>
    </row>
    <row r="893">
      <c r="A893" s="130"/>
      <c r="B893" s="130"/>
      <c r="C893" s="130"/>
      <c r="D893" s="130"/>
      <c r="E893" s="130"/>
      <c r="F893" s="188"/>
      <c r="G893" s="130"/>
      <c r="H893" s="130"/>
      <c r="I893" s="130"/>
      <c r="J893" s="130"/>
      <c r="K893" s="130"/>
      <c r="L893" s="130"/>
      <c r="M893" s="130"/>
      <c r="N893" s="130"/>
      <c r="O893" s="130"/>
      <c r="P893" s="130"/>
      <c r="Q893" s="130"/>
      <c r="R893" s="130"/>
    </row>
    <row r="894">
      <c r="A894" s="130"/>
      <c r="B894" s="130"/>
      <c r="C894" s="130"/>
      <c r="D894" s="130"/>
      <c r="E894" s="130"/>
      <c r="F894" s="188"/>
      <c r="G894" s="130"/>
      <c r="H894" s="130"/>
      <c r="I894" s="130"/>
      <c r="J894" s="130"/>
      <c r="K894" s="130"/>
      <c r="L894" s="130"/>
      <c r="M894" s="130"/>
      <c r="N894" s="130"/>
      <c r="O894" s="130"/>
      <c r="P894" s="130"/>
      <c r="Q894" s="130"/>
      <c r="R894" s="130"/>
    </row>
    <row r="895">
      <c r="A895" s="130"/>
      <c r="B895" s="130"/>
      <c r="C895" s="130"/>
      <c r="D895" s="130"/>
      <c r="E895" s="130"/>
      <c r="F895" s="188"/>
      <c r="G895" s="130"/>
      <c r="H895" s="130"/>
      <c r="I895" s="130"/>
      <c r="J895" s="130"/>
      <c r="K895" s="130"/>
      <c r="L895" s="130"/>
      <c r="M895" s="130"/>
      <c r="N895" s="130"/>
      <c r="O895" s="130"/>
      <c r="P895" s="130"/>
      <c r="Q895" s="130"/>
      <c r="R895" s="130"/>
    </row>
    <row r="896">
      <c r="A896" s="130"/>
      <c r="B896" s="130"/>
      <c r="C896" s="130"/>
      <c r="D896" s="130"/>
      <c r="E896" s="130"/>
      <c r="F896" s="188"/>
      <c r="G896" s="130"/>
      <c r="H896" s="130"/>
      <c r="I896" s="130"/>
      <c r="J896" s="130"/>
      <c r="K896" s="130"/>
      <c r="L896" s="130"/>
      <c r="M896" s="130"/>
      <c r="N896" s="130"/>
      <c r="O896" s="130"/>
      <c r="P896" s="130"/>
      <c r="Q896" s="130"/>
      <c r="R896" s="130"/>
    </row>
    <row r="897">
      <c r="A897" s="130"/>
      <c r="B897" s="130"/>
      <c r="C897" s="130"/>
      <c r="D897" s="130"/>
      <c r="E897" s="130"/>
      <c r="F897" s="188"/>
      <c r="G897" s="130"/>
      <c r="H897" s="130"/>
      <c r="I897" s="130"/>
      <c r="J897" s="130"/>
      <c r="K897" s="130"/>
      <c r="L897" s="130"/>
      <c r="M897" s="130"/>
      <c r="N897" s="130"/>
      <c r="O897" s="130"/>
      <c r="P897" s="130"/>
      <c r="Q897" s="130"/>
      <c r="R897" s="130"/>
    </row>
    <row r="898">
      <c r="A898" s="130"/>
      <c r="B898" s="130"/>
      <c r="C898" s="130"/>
      <c r="D898" s="130"/>
      <c r="E898" s="130"/>
      <c r="F898" s="188"/>
      <c r="G898" s="130"/>
      <c r="H898" s="130"/>
      <c r="I898" s="130"/>
      <c r="J898" s="130"/>
      <c r="K898" s="130"/>
      <c r="L898" s="130"/>
      <c r="M898" s="130"/>
      <c r="N898" s="130"/>
      <c r="O898" s="130"/>
      <c r="P898" s="130"/>
      <c r="Q898" s="130"/>
      <c r="R898" s="130"/>
    </row>
    <row r="899">
      <c r="A899" s="130"/>
      <c r="B899" s="130"/>
      <c r="C899" s="130"/>
      <c r="D899" s="130"/>
      <c r="E899" s="130"/>
      <c r="F899" s="188"/>
      <c r="G899" s="130"/>
      <c r="H899" s="130"/>
      <c r="I899" s="130"/>
      <c r="J899" s="130"/>
      <c r="K899" s="130"/>
      <c r="L899" s="130"/>
      <c r="M899" s="130"/>
      <c r="N899" s="130"/>
      <c r="O899" s="130"/>
      <c r="P899" s="130"/>
      <c r="Q899" s="130"/>
      <c r="R899" s="130"/>
    </row>
    <row r="900">
      <c r="A900" s="130"/>
      <c r="B900" s="130"/>
      <c r="C900" s="130"/>
      <c r="D900" s="130"/>
      <c r="E900" s="130"/>
      <c r="F900" s="188"/>
      <c r="G900" s="130"/>
      <c r="H900" s="130"/>
      <c r="I900" s="130"/>
      <c r="J900" s="130"/>
      <c r="K900" s="130"/>
      <c r="L900" s="130"/>
      <c r="M900" s="130"/>
      <c r="N900" s="130"/>
      <c r="O900" s="130"/>
      <c r="P900" s="130"/>
      <c r="Q900" s="130"/>
      <c r="R900" s="130"/>
    </row>
    <row r="901">
      <c r="A901" s="130"/>
      <c r="B901" s="130"/>
      <c r="C901" s="130"/>
      <c r="D901" s="130"/>
      <c r="E901" s="130"/>
      <c r="F901" s="188"/>
      <c r="G901" s="130"/>
      <c r="H901" s="130"/>
      <c r="I901" s="130"/>
      <c r="J901" s="130"/>
      <c r="K901" s="130"/>
      <c r="L901" s="130"/>
      <c r="M901" s="130"/>
      <c r="N901" s="130"/>
      <c r="O901" s="130"/>
      <c r="P901" s="130"/>
      <c r="Q901" s="130"/>
      <c r="R901" s="130"/>
    </row>
    <row r="902">
      <c r="A902" s="130"/>
      <c r="B902" s="130"/>
      <c r="C902" s="130"/>
      <c r="D902" s="130"/>
      <c r="E902" s="130"/>
      <c r="F902" s="188"/>
      <c r="G902" s="130"/>
      <c r="H902" s="130"/>
      <c r="I902" s="130"/>
      <c r="J902" s="130"/>
      <c r="K902" s="130"/>
      <c r="L902" s="130"/>
      <c r="M902" s="130"/>
      <c r="N902" s="130"/>
      <c r="O902" s="130"/>
      <c r="P902" s="130"/>
      <c r="Q902" s="130"/>
      <c r="R902" s="130"/>
    </row>
    <row r="903">
      <c r="A903" s="130"/>
      <c r="B903" s="130"/>
      <c r="C903" s="130"/>
      <c r="D903" s="130"/>
      <c r="E903" s="130"/>
      <c r="F903" s="188"/>
      <c r="G903" s="130"/>
      <c r="H903" s="130"/>
      <c r="I903" s="130"/>
      <c r="J903" s="130"/>
      <c r="K903" s="130"/>
      <c r="L903" s="130"/>
      <c r="M903" s="130"/>
      <c r="N903" s="130"/>
      <c r="O903" s="130"/>
      <c r="P903" s="130"/>
      <c r="Q903" s="130"/>
      <c r="R903" s="130"/>
    </row>
    <row r="904">
      <c r="A904" s="130"/>
      <c r="B904" s="130"/>
      <c r="C904" s="130"/>
      <c r="D904" s="130"/>
      <c r="E904" s="130"/>
      <c r="F904" s="188"/>
      <c r="G904" s="130"/>
      <c r="H904" s="130"/>
      <c r="I904" s="130"/>
      <c r="J904" s="130"/>
      <c r="K904" s="130"/>
      <c r="L904" s="130"/>
      <c r="M904" s="130"/>
      <c r="N904" s="130"/>
      <c r="O904" s="130"/>
      <c r="P904" s="130"/>
      <c r="Q904" s="130"/>
      <c r="R904" s="130"/>
    </row>
    <row r="905">
      <c r="A905" s="130"/>
      <c r="B905" s="130"/>
      <c r="C905" s="130"/>
      <c r="D905" s="130"/>
      <c r="E905" s="130"/>
      <c r="F905" s="188"/>
      <c r="G905" s="130"/>
      <c r="H905" s="130"/>
      <c r="I905" s="130"/>
      <c r="J905" s="130"/>
      <c r="K905" s="130"/>
      <c r="L905" s="130"/>
      <c r="M905" s="130"/>
      <c r="N905" s="130"/>
      <c r="O905" s="130"/>
      <c r="P905" s="130"/>
      <c r="Q905" s="130"/>
      <c r="R905" s="130"/>
    </row>
    <row r="906">
      <c r="A906" s="130"/>
      <c r="B906" s="130"/>
      <c r="C906" s="130"/>
      <c r="D906" s="130"/>
      <c r="E906" s="130"/>
      <c r="F906" s="188"/>
      <c r="G906" s="130"/>
      <c r="H906" s="130"/>
      <c r="I906" s="130"/>
      <c r="J906" s="130"/>
      <c r="K906" s="130"/>
      <c r="L906" s="130"/>
      <c r="M906" s="130"/>
      <c r="N906" s="130"/>
      <c r="O906" s="130"/>
      <c r="P906" s="130"/>
      <c r="Q906" s="130"/>
      <c r="R906" s="130"/>
    </row>
    <row r="907">
      <c r="A907" s="130"/>
      <c r="B907" s="130"/>
      <c r="C907" s="130"/>
      <c r="D907" s="130"/>
      <c r="E907" s="130"/>
      <c r="F907" s="188"/>
      <c r="G907" s="130"/>
      <c r="H907" s="130"/>
      <c r="I907" s="130"/>
      <c r="J907" s="130"/>
      <c r="K907" s="130"/>
      <c r="L907" s="130"/>
      <c r="M907" s="130"/>
      <c r="N907" s="130"/>
      <c r="O907" s="130"/>
      <c r="P907" s="130"/>
      <c r="Q907" s="130"/>
      <c r="R907" s="130"/>
    </row>
    <row r="908">
      <c r="A908" s="130"/>
      <c r="B908" s="130"/>
      <c r="C908" s="130"/>
      <c r="D908" s="130"/>
      <c r="E908" s="130"/>
      <c r="F908" s="188"/>
      <c r="G908" s="130"/>
      <c r="H908" s="130"/>
      <c r="I908" s="130"/>
      <c r="J908" s="130"/>
      <c r="K908" s="130"/>
      <c r="L908" s="130"/>
      <c r="M908" s="130"/>
      <c r="N908" s="130"/>
      <c r="O908" s="130"/>
      <c r="P908" s="130"/>
      <c r="Q908" s="130"/>
      <c r="R908" s="130"/>
    </row>
    <row r="909">
      <c r="A909" s="130"/>
      <c r="B909" s="130"/>
      <c r="C909" s="130"/>
      <c r="D909" s="130"/>
      <c r="E909" s="130"/>
      <c r="F909" s="188"/>
      <c r="G909" s="130"/>
      <c r="H909" s="130"/>
      <c r="I909" s="130"/>
      <c r="J909" s="130"/>
      <c r="K909" s="130"/>
      <c r="L909" s="130"/>
      <c r="M909" s="130"/>
      <c r="N909" s="130"/>
      <c r="O909" s="130"/>
      <c r="P909" s="130"/>
      <c r="Q909" s="130"/>
      <c r="R909" s="130"/>
    </row>
    <row r="910">
      <c r="A910" s="130"/>
      <c r="B910" s="130"/>
      <c r="C910" s="130"/>
      <c r="D910" s="130"/>
      <c r="E910" s="130"/>
      <c r="F910" s="188"/>
      <c r="G910" s="130"/>
      <c r="H910" s="130"/>
      <c r="I910" s="130"/>
      <c r="J910" s="130"/>
      <c r="K910" s="130"/>
      <c r="L910" s="130"/>
      <c r="M910" s="130"/>
      <c r="N910" s="130"/>
      <c r="O910" s="130"/>
      <c r="P910" s="130"/>
      <c r="Q910" s="130"/>
      <c r="R910" s="130"/>
    </row>
    <row r="911">
      <c r="A911" s="130"/>
      <c r="B911" s="130"/>
      <c r="C911" s="130"/>
      <c r="D911" s="130"/>
      <c r="E911" s="130"/>
      <c r="F911" s="188"/>
      <c r="G911" s="130"/>
      <c r="H911" s="130"/>
      <c r="I911" s="130"/>
      <c r="J911" s="130"/>
      <c r="K911" s="130"/>
      <c r="L911" s="130"/>
      <c r="M911" s="130"/>
      <c r="N911" s="130"/>
      <c r="O911" s="130"/>
      <c r="P911" s="130"/>
      <c r="Q911" s="130"/>
      <c r="R911" s="130"/>
    </row>
    <row r="912">
      <c r="A912" s="130"/>
      <c r="B912" s="130"/>
      <c r="C912" s="130"/>
      <c r="D912" s="130"/>
      <c r="E912" s="130"/>
      <c r="F912" s="188"/>
      <c r="G912" s="130"/>
      <c r="H912" s="130"/>
      <c r="I912" s="130"/>
      <c r="J912" s="130"/>
      <c r="K912" s="130"/>
      <c r="L912" s="130"/>
      <c r="M912" s="130"/>
      <c r="N912" s="130"/>
      <c r="O912" s="130"/>
      <c r="P912" s="130"/>
      <c r="Q912" s="130"/>
      <c r="R912" s="130"/>
    </row>
    <row r="913">
      <c r="A913" s="130"/>
      <c r="B913" s="130"/>
      <c r="C913" s="130"/>
      <c r="D913" s="130"/>
      <c r="E913" s="130"/>
      <c r="F913" s="188"/>
      <c r="G913" s="130"/>
      <c r="H913" s="130"/>
      <c r="I913" s="130"/>
      <c r="J913" s="130"/>
      <c r="K913" s="130"/>
      <c r="L913" s="130"/>
      <c r="M913" s="130"/>
      <c r="N913" s="130"/>
      <c r="O913" s="130"/>
      <c r="P913" s="130"/>
      <c r="Q913" s="130"/>
      <c r="R913" s="130"/>
    </row>
    <row r="914">
      <c r="A914" s="130"/>
      <c r="B914" s="130"/>
      <c r="C914" s="130"/>
      <c r="D914" s="130"/>
      <c r="E914" s="130"/>
      <c r="F914" s="188"/>
      <c r="G914" s="130"/>
      <c r="H914" s="130"/>
      <c r="I914" s="130"/>
      <c r="J914" s="130"/>
      <c r="K914" s="130"/>
      <c r="L914" s="130"/>
      <c r="M914" s="130"/>
      <c r="N914" s="130"/>
      <c r="O914" s="130"/>
      <c r="P914" s="130"/>
      <c r="Q914" s="130"/>
      <c r="R914" s="130"/>
    </row>
    <row r="915">
      <c r="A915" s="130"/>
      <c r="B915" s="130"/>
      <c r="C915" s="130"/>
      <c r="D915" s="130"/>
      <c r="E915" s="130"/>
      <c r="F915" s="188"/>
      <c r="G915" s="130"/>
      <c r="H915" s="130"/>
      <c r="I915" s="130"/>
      <c r="J915" s="130"/>
      <c r="K915" s="130"/>
      <c r="L915" s="130"/>
      <c r="M915" s="130"/>
      <c r="N915" s="130"/>
      <c r="O915" s="130"/>
      <c r="P915" s="130"/>
      <c r="Q915" s="130"/>
      <c r="R915" s="130"/>
    </row>
    <row r="916">
      <c r="A916" s="130"/>
      <c r="B916" s="130"/>
      <c r="C916" s="130"/>
      <c r="D916" s="130"/>
      <c r="E916" s="130"/>
      <c r="F916" s="188"/>
      <c r="G916" s="130"/>
      <c r="H916" s="130"/>
      <c r="I916" s="130"/>
      <c r="J916" s="130"/>
      <c r="K916" s="130"/>
      <c r="L916" s="130"/>
      <c r="M916" s="130"/>
      <c r="N916" s="130"/>
      <c r="O916" s="130"/>
      <c r="P916" s="130"/>
      <c r="Q916" s="130"/>
      <c r="R916" s="130"/>
    </row>
    <row r="917">
      <c r="A917" s="130"/>
      <c r="B917" s="130"/>
      <c r="C917" s="130"/>
      <c r="D917" s="130"/>
      <c r="E917" s="130"/>
      <c r="F917" s="188"/>
      <c r="G917" s="130"/>
      <c r="H917" s="130"/>
      <c r="I917" s="130"/>
      <c r="J917" s="130"/>
      <c r="K917" s="130"/>
      <c r="L917" s="130"/>
      <c r="M917" s="130"/>
      <c r="N917" s="130"/>
      <c r="O917" s="130"/>
      <c r="P917" s="130"/>
      <c r="Q917" s="130"/>
      <c r="R917" s="130"/>
    </row>
    <row r="918">
      <c r="A918" s="130"/>
      <c r="B918" s="130"/>
      <c r="C918" s="130"/>
      <c r="D918" s="130"/>
      <c r="E918" s="130"/>
      <c r="F918" s="188"/>
      <c r="G918" s="130"/>
      <c r="H918" s="130"/>
      <c r="I918" s="130"/>
      <c r="J918" s="130"/>
      <c r="K918" s="130"/>
      <c r="L918" s="130"/>
      <c r="M918" s="130"/>
      <c r="N918" s="130"/>
      <c r="O918" s="130"/>
      <c r="P918" s="130"/>
      <c r="Q918" s="130"/>
      <c r="R918" s="130"/>
    </row>
    <row r="919">
      <c r="A919" s="130"/>
      <c r="B919" s="130"/>
      <c r="C919" s="130"/>
      <c r="D919" s="130"/>
      <c r="E919" s="130"/>
      <c r="F919" s="188"/>
      <c r="G919" s="130"/>
      <c r="H919" s="130"/>
      <c r="I919" s="130"/>
      <c r="J919" s="130"/>
      <c r="K919" s="130"/>
      <c r="L919" s="130"/>
      <c r="M919" s="130"/>
      <c r="N919" s="130"/>
      <c r="O919" s="130"/>
      <c r="P919" s="130"/>
      <c r="Q919" s="130"/>
      <c r="R919" s="130"/>
    </row>
    <row r="920">
      <c r="A920" s="130"/>
      <c r="B920" s="130"/>
      <c r="C920" s="130"/>
      <c r="D920" s="130"/>
      <c r="E920" s="130"/>
      <c r="F920" s="188"/>
      <c r="G920" s="130"/>
      <c r="H920" s="130"/>
      <c r="I920" s="130"/>
      <c r="J920" s="130"/>
      <c r="K920" s="130"/>
      <c r="L920" s="130"/>
      <c r="M920" s="130"/>
      <c r="N920" s="130"/>
      <c r="O920" s="130"/>
      <c r="P920" s="130"/>
      <c r="Q920" s="130"/>
      <c r="R920" s="130"/>
    </row>
    <row r="921">
      <c r="A921" s="130"/>
      <c r="B921" s="130"/>
      <c r="C921" s="130"/>
      <c r="D921" s="130"/>
      <c r="E921" s="130"/>
      <c r="F921" s="188"/>
      <c r="G921" s="130"/>
      <c r="H921" s="130"/>
      <c r="I921" s="130"/>
      <c r="J921" s="130"/>
      <c r="K921" s="130"/>
      <c r="L921" s="130"/>
      <c r="M921" s="130"/>
      <c r="N921" s="130"/>
      <c r="O921" s="130"/>
      <c r="P921" s="130"/>
      <c r="Q921" s="130"/>
      <c r="R921" s="130"/>
    </row>
    <row r="922">
      <c r="A922" s="130"/>
      <c r="B922" s="130"/>
      <c r="C922" s="130"/>
      <c r="D922" s="130"/>
      <c r="E922" s="130"/>
      <c r="F922" s="188"/>
      <c r="G922" s="130"/>
      <c r="H922" s="130"/>
      <c r="I922" s="130"/>
      <c r="J922" s="130"/>
      <c r="K922" s="130"/>
      <c r="L922" s="130"/>
      <c r="M922" s="130"/>
      <c r="N922" s="130"/>
      <c r="O922" s="130"/>
      <c r="P922" s="130"/>
      <c r="Q922" s="130"/>
      <c r="R922" s="130"/>
    </row>
    <row r="923">
      <c r="A923" s="130"/>
      <c r="B923" s="130"/>
      <c r="C923" s="130"/>
      <c r="D923" s="130"/>
      <c r="E923" s="130"/>
      <c r="F923" s="188"/>
      <c r="G923" s="130"/>
      <c r="H923" s="130"/>
      <c r="I923" s="130"/>
      <c r="J923" s="130"/>
      <c r="K923" s="130"/>
      <c r="L923" s="130"/>
      <c r="M923" s="130"/>
      <c r="N923" s="130"/>
      <c r="O923" s="130"/>
      <c r="P923" s="130"/>
      <c r="Q923" s="130"/>
      <c r="R923" s="130"/>
    </row>
    <row r="924">
      <c r="A924" s="130"/>
      <c r="B924" s="130"/>
      <c r="C924" s="130"/>
      <c r="D924" s="130"/>
      <c r="E924" s="130"/>
      <c r="F924" s="188"/>
      <c r="G924" s="130"/>
      <c r="H924" s="130"/>
      <c r="I924" s="130"/>
      <c r="J924" s="130"/>
      <c r="K924" s="130"/>
      <c r="L924" s="130"/>
      <c r="M924" s="130"/>
      <c r="N924" s="130"/>
      <c r="O924" s="130"/>
      <c r="P924" s="130"/>
      <c r="Q924" s="130"/>
      <c r="R924" s="130"/>
    </row>
    <row r="925">
      <c r="A925" s="130"/>
      <c r="B925" s="130"/>
      <c r="C925" s="130"/>
      <c r="D925" s="130"/>
      <c r="E925" s="130"/>
      <c r="F925" s="188"/>
      <c r="G925" s="130"/>
      <c r="H925" s="130"/>
      <c r="I925" s="130"/>
      <c r="J925" s="130"/>
      <c r="K925" s="130"/>
      <c r="L925" s="130"/>
      <c r="M925" s="130"/>
      <c r="N925" s="130"/>
      <c r="O925" s="130"/>
      <c r="P925" s="130"/>
      <c r="Q925" s="130"/>
      <c r="R925" s="130"/>
    </row>
    <row r="926">
      <c r="A926" s="130"/>
      <c r="B926" s="130"/>
      <c r="C926" s="130"/>
      <c r="D926" s="130"/>
      <c r="E926" s="130"/>
      <c r="F926" s="188"/>
      <c r="G926" s="130"/>
      <c r="H926" s="130"/>
      <c r="I926" s="130"/>
      <c r="J926" s="130"/>
      <c r="K926" s="130"/>
      <c r="L926" s="130"/>
      <c r="M926" s="130"/>
      <c r="N926" s="130"/>
      <c r="O926" s="130"/>
      <c r="P926" s="130"/>
      <c r="Q926" s="130"/>
      <c r="R926" s="130"/>
    </row>
    <row r="927">
      <c r="A927" s="130"/>
      <c r="B927" s="130"/>
      <c r="C927" s="130"/>
      <c r="D927" s="130"/>
      <c r="E927" s="130"/>
      <c r="F927" s="188"/>
      <c r="G927" s="130"/>
      <c r="H927" s="130"/>
      <c r="I927" s="130"/>
      <c r="J927" s="130"/>
      <c r="K927" s="130"/>
      <c r="L927" s="130"/>
      <c r="M927" s="130"/>
      <c r="N927" s="130"/>
      <c r="O927" s="130"/>
      <c r="P927" s="130"/>
      <c r="Q927" s="130"/>
      <c r="R927" s="130"/>
    </row>
    <row r="928">
      <c r="A928" s="130"/>
      <c r="B928" s="130"/>
      <c r="C928" s="130"/>
      <c r="D928" s="130"/>
      <c r="E928" s="130"/>
      <c r="F928" s="188"/>
      <c r="G928" s="130"/>
      <c r="H928" s="130"/>
      <c r="I928" s="130"/>
      <c r="J928" s="130"/>
      <c r="K928" s="130"/>
      <c r="L928" s="130"/>
      <c r="M928" s="130"/>
      <c r="N928" s="130"/>
      <c r="O928" s="130"/>
      <c r="P928" s="130"/>
      <c r="Q928" s="130"/>
      <c r="R928" s="130"/>
    </row>
    <row r="929">
      <c r="A929" s="130"/>
      <c r="B929" s="130"/>
      <c r="C929" s="130"/>
      <c r="D929" s="130"/>
      <c r="E929" s="130"/>
      <c r="F929" s="188"/>
      <c r="G929" s="130"/>
      <c r="H929" s="130"/>
      <c r="I929" s="130"/>
      <c r="J929" s="130"/>
      <c r="K929" s="130"/>
      <c r="L929" s="130"/>
      <c r="M929" s="130"/>
      <c r="N929" s="130"/>
      <c r="O929" s="130"/>
      <c r="P929" s="130"/>
      <c r="Q929" s="130"/>
      <c r="R929" s="130"/>
    </row>
    <row r="930">
      <c r="A930" s="130"/>
      <c r="B930" s="130"/>
      <c r="C930" s="130"/>
      <c r="D930" s="130"/>
      <c r="E930" s="130"/>
      <c r="F930" s="188"/>
      <c r="G930" s="130"/>
      <c r="H930" s="130"/>
      <c r="I930" s="130"/>
      <c r="J930" s="130"/>
      <c r="K930" s="130"/>
      <c r="L930" s="130"/>
      <c r="M930" s="130"/>
      <c r="N930" s="130"/>
      <c r="O930" s="130"/>
      <c r="P930" s="130"/>
      <c r="Q930" s="130"/>
      <c r="R930" s="130"/>
    </row>
    <row r="931">
      <c r="A931" s="130"/>
      <c r="B931" s="130"/>
      <c r="C931" s="130"/>
      <c r="D931" s="130"/>
      <c r="E931" s="130"/>
      <c r="F931" s="188"/>
      <c r="G931" s="130"/>
      <c r="H931" s="130"/>
      <c r="I931" s="130"/>
      <c r="J931" s="130"/>
      <c r="K931" s="130"/>
      <c r="L931" s="130"/>
      <c r="M931" s="130"/>
      <c r="N931" s="130"/>
      <c r="O931" s="130"/>
      <c r="P931" s="130"/>
      <c r="Q931" s="130"/>
      <c r="R931" s="130"/>
    </row>
    <row r="932">
      <c r="A932" s="130"/>
      <c r="B932" s="130"/>
      <c r="C932" s="130"/>
      <c r="D932" s="130"/>
      <c r="E932" s="130"/>
      <c r="F932" s="188"/>
      <c r="G932" s="130"/>
      <c r="H932" s="130"/>
      <c r="I932" s="130"/>
      <c r="J932" s="130"/>
      <c r="K932" s="130"/>
      <c r="L932" s="130"/>
      <c r="M932" s="130"/>
      <c r="N932" s="130"/>
      <c r="O932" s="130"/>
      <c r="P932" s="130"/>
      <c r="Q932" s="130"/>
      <c r="R932" s="130"/>
    </row>
    <row r="933">
      <c r="A933" s="130"/>
      <c r="B933" s="130"/>
      <c r="C933" s="130"/>
      <c r="D933" s="130"/>
      <c r="E933" s="130"/>
      <c r="F933" s="188"/>
      <c r="G933" s="130"/>
      <c r="H933" s="130"/>
      <c r="I933" s="130"/>
      <c r="J933" s="130"/>
      <c r="K933" s="130"/>
      <c r="L933" s="130"/>
      <c r="M933" s="130"/>
      <c r="N933" s="130"/>
      <c r="O933" s="130"/>
      <c r="P933" s="130"/>
      <c r="Q933" s="130"/>
      <c r="R933" s="130"/>
    </row>
    <row r="934">
      <c r="A934" s="130"/>
      <c r="B934" s="130"/>
      <c r="C934" s="130"/>
      <c r="D934" s="130"/>
      <c r="E934" s="130"/>
      <c r="F934" s="188"/>
      <c r="G934" s="130"/>
      <c r="H934" s="130"/>
      <c r="I934" s="130"/>
      <c r="J934" s="130"/>
      <c r="K934" s="130"/>
      <c r="L934" s="130"/>
      <c r="M934" s="130"/>
      <c r="N934" s="130"/>
      <c r="O934" s="130"/>
      <c r="P934" s="130"/>
      <c r="Q934" s="130"/>
      <c r="R934" s="130"/>
    </row>
    <row r="935">
      <c r="A935" s="130"/>
      <c r="B935" s="130"/>
      <c r="C935" s="130"/>
      <c r="D935" s="130"/>
      <c r="E935" s="130"/>
      <c r="F935" s="188"/>
      <c r="G935" s="130"/>
      <c r="H935" s="130"/>
      <c r="I935" s="130"/>
      <c r="J935" s="130"/>
      <c r="K935" s="130"/>
      <c r="L935" s="130"/>
      <c r="M935" s="130"/>
      <c r="N935" s="130"/>
      <c r="O935" s="130"/>
      <c r="P935" s="130"/>
      <c r="Q935" s="130"/>
      <c r="R935" s="130"/>
    </row>
    <row r="936">
      <c r="A936" s="130"/>
      <c r="B936" s="130"/>
      <c r="C936" s="130"/>
      <c r="D936" s="130"/>
      <c r="E936" s="130"/>
      <c r="F936" s="188"/>
      <c r="G936" s="130"/>
      <c r="H936" s="130"/>
      <c r="I936" s="130"/>
      <c r="J936" s="130"/>
      <c r="K936" s="130"/>
      <c r="L936" s="130"/>
      <c r="M936" s="130"/>
      <c r="N936" s="130"/>
      <c r="O936" s="130"/>
      <c r="P936" s="130"/>
      <c r="Q936" s="130"/>
      <c r="R936" s="130"/>
    </row>
    <row r="937">
      <c r="A937" s="130"/>
      <c r="B937" s="130"/>
      <c r="C937" s="130"/>
      <c r="D937" s="130"/>
      <c r="E937" s="130"/>
      <c r="F937" s="188"/>
      <c r="G937" s="130"/>
      <c r="H937" s="130"/>
      <c r="I937" s="130"/>
      <c r="J937" s="130"/>
      <c r="K937" s="130"/>
      <c r="L937" s="130"/>
      <c r="M937" s="130"/>
      <c r="N937" s="130"/>
      <c r="O937" s="130"/>
      <c r="P937" s="130"/>
      <c r="Q937" s="130"/>
      <c r="R937" s="130"/>
    </row>
    <row r="938">
      <c r="A938" s="130"/>
      <c r="B938" s="130"/>
      <c r="C938" s="130"/>
      <c r="D938" s="130"/>
      <c r="E938" s="130"/>
      <c r="F938" s="188"/>
      <c r="G938" s="130"/>
      <c r="H938" s="130"/>
      <c r="I938" s="130"/>
      <c r="J938" s="130"/>
      <c r="K938" s="130"/>
      <c r="L938" s="130"/>
      <c r="M938" s="130"/>
      <c r="N938" s="130"/>
      <c r="O938" s="130"/>
      <c r="P938" s="130"/>
      <c r="Q938" s="130"/>
      <c r="R938" s="130"/>
    </row>
    <row r="939">
      <c r="A939" s="130"/>
      <c r="B939" s="130"/>
      <c r="C939" s="130"/>
      <c r="D939" s="130"/>
      <c r="E939" s="130"/>
      <c r="F939" s="188"/>
      <c r="G939" s="130"/>
      <c r="H939" s="130"/>
      <c r="I939" s="130"/>
      <c r="J939" s="130"/>
      <c r="K939" s="130"/>
      <c r="L939" s="130"/>
      <c r="M939" s="130"/>
      <c r="N939" s="130"/>
      <c r="O939" s="130"/>
      <c r="P939" s="130"/>
      <c r="Q939" s="130"/>
      <c r="R939" s="130"/>
    </row>
    <row r="940">
      <c r="A940" s="130"/>
      <c r="B940" s="130"/>
      <c r="C940" s="130"/>
      <c r="D940" s="130"/>
      <c r="E940" s="130"/>
      <c r="F940" s="188"/>
      <c r="G940" s="130"/>
      <c r="H940" s="130"/>
      <c r="I940" s="130"/>
      <c r="J940" s="130"/>
      <c r="K940" s="130"/>
      <c r="L940" s="130"/>
      <c r="M940" s="130"/>
      <c r="N940" s="130"/>
      <c r="O940" s="130"/>
      <c r="P940" s="130"/>
      <c r="Q940" s="130"/>
      <c r="R940" s="130"/>
    </row>
    <row r="941">
      <c r="A941" s="130"/>
      <c r="B941" s="130"/>
      <c r="C941" s="130"/>
      <c r="D941" s="130"/>
      <c r="E941" s="130"/>
      <c r="F941" s="188"/>
      <c r="G941" s="130"/>
      <c r="H941" s="130"/>
      <c r="I941" s="130"/>
      <c r="J941" s="130"/>
      <c r="K941" s="130"/>
      <c r="L941" s="130"/>
      <c r="M941" s="130"/>
      <c r="N941" s="130"/>
      <c r="O941" s="130"/>
      <c r="P941" s="130"/>
      <c r="Q941" s="130"/>
      <c r="R941" s="130"/>
    </row>
    <row r="942">
      <c r="A942" s="130"/>
      <c r="B942" s="130"/>
      <c r="C942" s="130"/>
      <c r="D942" s="130"/>
      <c r="E942" s="130"/>
      <c r="F942" s="188"/>
      <c r="G942" s="130"/>
      <c r="H942" s="130"/>
      <c r="I942" s="130"/>
      <c r="J942" s="130"/>
      <c r="K942" s="130"/>
      <c r="L942" s="130"/>
      <c r="M942" s="130"/>
      <c r="N942" s="130"/>
      <c r="O942" s="130"/>
      <c r="P942" s="130"/>
      <c r="Q942" s="130"/>
      <c r="R942" s="130"/>
    </row>
    <row r="943">
      <c r="A943" s="130"/>
      <c r="B943" s="130"/>
      <c r="C943" s="130"/>
      <c r="D943" s="130"/>
      <c r="E943" s="130"/>
      <c r="F943" s="188"/>
      <c r="G943" s="130"/>
      <c r="H943" s="130"/>
      <c r="I943" s="130"/>
      <c r="J943" s="130"/>
      <c r="K943" s="130"/>
      <c r="L943" s="130"/>
      <c r="M943" s="130"/>
      <c r="N943" s="130"/>
      <c r="O943" s="130"/>
      <c r="P943" s="130"/>
      <c r="Q943" s="130"/>
      <c r="R943" s="130"/>
    </row>
    <row r="944">
      <c r="A944" s="130"/>
      <c r="B944" s="130"/>
      <c r="C944" s="130"/>
      <c r="D944" s="130"/>
      <c r="E944" s="130"/>
      <c r="F944" s="188"/>
      <c r="G944" s="130"/>
      <c r="H944" s="130"/>
      <c r="I944" s="130"/>
      <c r="J944" s="130"/>
      <c r="K944" s="130"/>
      <c r="L944" s="130"/>
      <c r="M944" s="130"/>
      <c r="N944" s="130"/>
      <c r="O944" s="130"/>
      <c r="P944" s="130"/>
      <c r="Q944" s="130"/>
      <c r="R944" s="130"/>
    </row>
    <row r="945">
      <c r="A945" s="130"/>
      <c r="B945" s="130"/>
      <c r="C945" s="130"/>
      <c r="D945" s="130"/>
      <c r="E945" s="130"/>
      <c r="F945" s="188"/>
      <c r="G945" s="130"/>
      <c r="H945" s="130"/>
      <c r="I945" s="130"/>
      <c r="J945" s="130"/>
      <c r="K945" s="130"/>
      <c r="L945" s="130"/>
      <c r="M945" s="130"/>
      <c r="N945" s="130"/>
      <c r="O945" s="130"/>
      <c r="P945" s="130"/>
      <c r="Q945" s="130"/>
      <c r="R945" s="130"/>
    </row>
    <row r="946">
      <c r="A946" s="130"/>
      <c r="B946" s="130"/>
      <c r="C946" s="130"/>
      <c r="D946" s="130"/>
      <c r="E946" s="130"/>
      <c r="F946" s="188"/>
      <c r="G946" s="130"/>
      <c r="H946" s="130"/>
      <c r="I946" s="130"/>
      <c r="J946" s="130"/>
      <c r="K946" s="130"/>
      <c r="L946" s="130"/>
      <c r="M946" s="130"/>
      <c r="N946" s="130"/>
      <c r="O946" s="130"/>
      <c r="P946" s="130"/>
      <c r="Q946" s="130"/>
      <c r="R946" s="130"/>
    </row>
    <row r="947">
      <c r="A947" s="130"/>
      <c r="B947" s="130"/>
      <c r="C947" s="130"/>
      <c r="D947" s="130"/>
      <c r="E947" s="130"/>
      <c r="F947" s="188"/>
      <c r="G947" s="130"/>
      <c r="H947" s="130"/>
      <c r="I947" s="130"/>
      <c r="J947" s="130"/>
      <c r="K947" s="130"/>
      <c r="L947" s="130"/>
      <c r="M947" s="130"/>
      <c r="N947" s="130"/>
      <c r="O947" s="130"/>
      <c r="P947" s="130"/>
      <c r="Q947" s="130"/>
      <c r="R947" s="130"/>
    </row>
    <row r="948">
      <c r="A948" s="130"/>
      <c r="B948" s="130"/>
      <c r="C948" s="130"/>
      <c r="D948" s="130"/>
      <c r="E948" s="130"/>
      <c r="F948" s="188"/>
      <c r="G948" s="130"/>
      <c r="H948" s="130"/>
      <c r="I948" s="130"/>
      <c r="J948" s="130"/>
      <c r="K948" s="130"/>
      <c r="L948" s="130"/>
      <c r="M948" s="130"/>
      <c r="N948" s="130"/>
      <c r="O948" s="130"/>
      <c r="P948" s="130"/>
      <c r="Q948" s="130"/>
      <c r="R948" s="130"/>
    </row>
    <row r="949">
      <c r="A949" s="130"/>
      <c r="B949" s="130"/>
      <c r="C949" s="130"/>
      <c r="D949" s="130"/>
      <c r="E949" s="130"/>
      <c r="F949" s="188"/>
      <c r="G949" s="130"/>
      <c r="H949" s="130"/>
      <c r="I949" s="130"/>
      <c r="J949" s="130"/>
      <c r="K949" s="130"/>
      <c r="L949" s="130"/>
      <c r="M949" s="130"/>
      <c r="N949" s="130"/>
      <c r="O949" s="130"/>
      <c r="P949" s="130"/>
      <c r="Q949" s="130"/>
      <c r="R949" s="130"/>
    </row>
    <row r="950">
      <c r="A950" s="130"/>
      <c r="B950" s="130"/>
      <c r="C950" s="130"/>
      <c r="D950" s="130"/>
      <c r="E950" s="130"/>
      <c r="F950" s="188"/>
      <c r="G950" s="130"/>
      <c r="H950" s="130"/>
      <c r="I950" s="130"/>
      <c r="J950" s="130"/>
      <c r="K950" s="130"/>
      <c r="L950" s="130"/>
      <c r="M950" s="130"/>
      <c r="N950" s="130"/>
      <c r="O950" s="130"/>
      <c r="P950" s="130"/>
      <c r="Q950" s="130"/>
      <c r="R950" s="130"/>
    </row>
    <row r="951">
      <c r="A951" s="130"/>
      <c r="B951" s="130"/>
      <c r="C951" s="130"/>
      <c r="D951" s="130"/>
      <c r="E951" s="130"/>
      <c r="F951" s="188"/>
      <c r="G951" s="130"/>
      <c r="H951" s="130"/>
      <c r="I951" s="130"/>
      <c r="J951" s="130"/>
      <c r="K951" s="130"/>
      <c r="L951" s="130"/>
      <c r="M951" s="130"/>
      <c r="N951" s="130"/>
      <c r="O951" s="130"/>
      <c r="P951" s="130"/>
      <c r="Q951" s="130"/>
      <c r="R951" s="130"/>
    </row>
    <row r="952">
      <c r="A952" s="130"/>
      <c r="B952" s="130"/>
      <c r="C952" s="130"/>
      <c r="D952" s="130"/>
      <c r="E952" s="130"/>
      <c r="F952" s="188"/>
      <c r="G952" s="130"/>
      <c r="H952" s="130"/>
      <c r="I952" s="130"/>
      <c r="J952" s="130"/>
      <c r="K952" s="130"/>
      <c r="L952" s="130"/>
      <c r="M952" s="130"/>
      <c r="N952" s="130"/>
      <c r="O952" s="130"/>
      <c r="P952" s="130"/>
      <c r="Q952" s="130"/>
      <c r="R952" s="130"/>
    </row>
    <row r="953">
      <c r="A953" s="130"/>
      <c r="B953" s="130"/>
      <c r="C953" s="130"/>
      <c r="D953" s="130"/>
      <c r="E953" s="130"/>
      <c r="F953" s="188"/>
      <c r="G953" s="130"/>
      <c r="H953" s="130"/>
      <c r="I953" s="130"/>
      <c r="J953" s="130"/>
      <c r="K953" s="130"/>
      <c r="L953" s="130"/>
      <c r="M953" s="130"/>
      <c r="N953" s="130"/>
      <c r="O953" s="130"/>
      <c r="P953" s="130"/>
      <c r="Q953" s="130"/>
      <c r="R953" s="130"/>
    </row>
    <row r="954">
      <c r="A954" s="130"/>
      <c r="B954" s="130"/>
      <c r="C954" s="130"/>
      <c r="D954" s="130"/>
      <c r="E954" s="130"/>
      <c r="F954" s="188"/>
      <c r="G954" s="130"/>
      <c r="H954" s="130"/>
      <c r="I954" s="130"/>
      <c r="J954" s="130"/>
      <c r="K954" s="130"/>
      <c r="L954" s="130"/>
      <c r="M954" s="130"/>
      <c r="N954" s="130"/>
      <c r="O954" s="130"/>
      <c r="P954" s="130"/>
      <c r="Q954" s="130"/>
      <c r="R954" s="130"/>
    </row>
    <row r="955">
      <c r="A955" s="130"/>
      <c r="B955" s="130"/>
      <c r="C955" s="130"/>
      <c r="D955" s="130"/>
      <c r="E955" s="130"/>
      <c r="F955" s="188"/>
      <c r="G955" s="130"/>
      <c r="H955" s="130"/>
      <c r="I955" s="130"/>
      <c r="J955" s="130"/>
      <c r="K955" s="130"/>
      <c r="L955" s="130"/>
      <c r="M955" s="130"/>
      <c r="N955" s="130"/>
      <c r="O955" s="130"/>
      <c r="P955" s="130"/>
      <c r="Q955" s="130"/>
      <c r="R955" s="130"/>
    </row>
    <row r="956">
      <c r="A956" s="130"/>
      <c r="B956" s="130"/>
      <c r="C956" s="130"/>
      <c r="D956" s="130"/>
      <c r="E956" s="130"/>
      <c r="F956" s="188"/>
      <c r="G956" s="130"/>
      <c r="H956" s="130"/>
      <c r="I956" s="130"/>
      <c r="J956" s="130"/>
      <c r="K956" s="130"/>
      <c r="L956" s="130"/>
      <c r="M956" s="130"/>
      <c r="N956" s="130"/>
      <c r="O956" s="130"/>
      <c r="P956" s="130"/>
      <c r="Q956" s="130"/>
      <c r="R956" s="130"/>
    </row>
    <row r="957">
      <c r="A957" s="130"/>
      <c r="B957" s="130"/>
      <c r="C957" s="130"/>
      <c r="D957" s="130"/>
      <c r="E957" s="130"/>
      <c r="F957" s="188"/>
      <c r="G957" s="130"/>
      <c r="H957" s="130"/>
      <c r="I957" s="130"/>
      <c r="J957" s="130"/>
      <c r="K957" s="130"/>
      <c r="L957" s="130"/>
      <c r="M957" s="130"/>
      <c r="N957" s="130"/>
      <c r="O957" s="130"/>
      <c r="P957" s="130"/>
      <c r="Q957" s="130"/>
      <c r="R957" s="130"/>
    </row>
    <row r="958">
      <c r="A958" s="130"/>
      <c r="B958" s="130"/>
      <c r="C958" s="130"/>
      <c r="D958" s="130"/>
      <c r="E958" s="130"/>
      <c r="F958" s="188"/>
      <c r="G958" s="130"/>
      <c r="H958" s="130"/>
      <c r="I958" s="130"/>
      <c r="J958" s="130"/>
      <c r="K958" s="130"/>
      <c r="L958" s="130"/>
      <c r="M958" s="130"/>
      <c r="N958" s="130"/>
      <c r="O958" s="130"/>
      <c r="P958" s="130"/>
      <c r="Q958" s="130"/>
      <c r="R958" s="130"/>
    </row>
    <row r="959">
      <c r="A959" s="130"/>
      <c r="B959" s="130"/>
      <c r="C959" s="130"/>
      <c r="D959" s="130"/>
      <c r="E959" s="130"/>
      <c r="F959" s="188"/>
      <c r="G959" s="130"/>
      <c r="H959" s="130"/>
      <c r="I959" s="130"/>
      <c r="J959" s="130"/>
      <c r="K959" s="130"/>
      <c r="L959" s="130"/>
      <c r="M959" s="130"/>
      <c r="N959" s="130"/>
      <c r="O959" s="130"/>
      <c r="P959" s="130"/>
      <c r="Q959" s="130"/>
      <c r="R959" s="130"/>
    </row>
    <row r="960">
      <c r="A960" s="130"/>
      <c r="B960" s="130"/>
      <c r="C960" s="130"/>
      <c r="D960" s="130"/>
      <c r="E960" s="130"/>
      <c r="F960" s="188"/>
      <c r="G960" s="130"/>
      <c r="H960" s="130"/>
      <c r="I960" s="130"/>
      <c r="J960" s="130"/>
      <c r="K960" s="130"/>
      <c r="L960" s="130"/>
      <c r="M960" s="130"/>
      <c r="N960" s="130"/>
      <c r="O960" s="130"/>
      <c r="P960" s="130"/>
      <c r="Q960" s="130"/>
      <c r="R960" s="130"/>
    </row>
    <row r="961">
      <c r="A961" s="130"/>
      <c r="B961" s="130"/>
      <c r="C961" s="130"/>
      <c r="D961" s="130"/>
      <c r="E961" s="130"/>
      <c r="F961" s="188"/>
      <c r="G961" s="130"/>
      <c r="H961" s="130"/>
      <c r="I961" s="130"/>
      <c r="J961" s="130"/>
      <c r="K961" s="130"/>
      <c r="L961" s="130"/>
      <c r="M961" s="130"/>
      <c r="N961" s="130"/>
      <c r="O961" s="130"/>
      <c r="P961" s="130"/>
      <c r="Q961" s="130"/>
      <c r="R961" s="130"/>
    </row>
    <row r="962">
      <c r="A962" s="130"/>
      <c r="B962" s="130"/>
      <c r="C962" s="130"/>
      <c r="D962" s="130"/>
      <c r="E962" s="130"/>
      <c r="F962" s="188"/>
      <c r="G962" s="130"/>
      <c r="H962" s="130"/>
      <c r="I962" s="130"/>
      <c r="J962" s="130"/>
      <c r="K962" s="130"/>
      <c r="L962" s="130"/>
      <c r="M962" s="130"/>
      <c r="N962" s="130"/>
      <c r="O962" s="130"/>
      <c r="P962" s="130"/>
      <c r="Q962" s="130"/>
      <c r="R962" s="130"/>
    </row>
    <row r="963">
      <c r="A963" s="130"/>
      <c r="B963" s="130"/>
      <c r="C963" s="130"/>
      <c r="D963" s="130"/>
      <c r="E963" s="130"/>
      <c r="F963" s="188"/>
      <c r="G963" s="130"/>
      <c r="H963" s="130"/>
      <c r="I963" s="130"/>
      <c r="J963" s="130"/>
      <c r="K963" s="130"/>
      <c r="L963" s="130"/>
      <c r="M963" s="130"/>
      <c r="N963" s="130"/>
      <c r="O963" s="130"/>
      <c r="P963" s="130"/>
      <c r="Q963" s="130"/>
      <c r="R963" s="130"/>
    </row>
    <row r="964">
      <c r="A964" s="130"/>
      <c r="B964" s="130"/>
      <c r="C964" s="130"/>
      <c r="D964" s="130"/>
      <c r="E964" s="130"/>
      <c r="F964" s="188"/>
      <c r="G964" s="130"/>
      <c r="H964" s="130"/>
      <c r="I964" s="130"/>
      <c r="J964" s="130"/>
      <c r="K964" s="130"/>
      <c r="L964" s="130"/>
      <c r="M964" s="130"/>
      <c r="N964" s="130"/>
      <c r="O964" s="130"/>
      <c r="P964" s="130"/>
      <c r="Q964" s="130"/>
      <c r="R964" s="130"/>
    </row>
    <row r="965">
      <c r="A965" s="130"/>
      <c r="B965" s="130"/>
      <c r="C965" s="130"/>
      <c r="D965" s="130"/>
      <c r="E965" s="130"/>
      <c r="F965" s="188"/>
      <c r="G965" s="130"/>
      <c r="H965" s="130"/>
      <c r="I965" s="130"/>
      <c r="J965" s="130"/>
      <c r="K965" s="130"/>
      <c r="L965" s="130"/>
      <c r="M965" s="130"/>
      <c r="N965" s="130"/>
      <c r="O965" s="130"/>
      <c r="P965" s="130"/>
      <c r="Q965" s="130"/>
      <c r="R965" s="130"/>
    </row>
    <row r="966">
      <c r="A966" s="130"/>
      <c r="B966" s="130"/>
      <c r="C966" s="130"/>
      <c r="D966" s="130"/>
      <c r="E966" s="130"/>
      <c r="F966" s="188"/>
      <c r="G966" s="130"/>
      <c r="H966" s="130"/>
      <c r="I966" s="130"/>
      <c r="J966" s="130"/>
      <c r="K966" s="130"/>
      <c r="L966" s="130"/>
      <c r="M966" s="130"/>
      <c r="N966" s="130"/>
      <c r="O966" s="130"/>
      <c r="P966" s="130"/>
      <c r="Q966" s="130"/>
      <c r="R966" s="130"/>
    </row>
    <row r="967">
      <c r="A967" s="130"/>
      <c r="B967" s="130"/>
      <c r="C967" s="130"/>
      <c r="D967" s="130"/>
      <c r="E967" s="130"/>
      <c r="F967" s="188"/>
      <c r="G967" s="130"/>
      <c r="H967" s="130"/>
      <c r="I967" s="130"/>
      <c r="J967" s="130"/>
      <c r="K967" s="130"/>
      <c r="L967" s="130"/>
      <c r="M967" s="130"/>
      <c r="N967" s="130"/>
      <c r="O967" s="130"/>
      <c r="P967" s="130"/>
      <c r="Q967" s="130"/>
      <c r="R967" s="130"/>
    </row>
    <row r="968">
      <c r="A968" s="130"/>
      <c r="B968" s="130"/>
      <c r="C968" s="130"/>
      <c r="D968" s="130"/>
      <c r="E968" s="130"/>
      <c r="F968" s="188"/>
      <c r="G968" s="130"/>
      <c r="H968" s="130"/>
      <c r="I968" s="130"/>
      <c r="J968" s="130"/>
      <c r="K968" s="130"/>
      <c r="L968" s="130"/>
      <c r="M968" s="130"/>
      <c r="N968" s="130"/>
      <c r="O968" s="130"/>
      <c r="P968" s="130"/>
      <c r="Q968" s="130"/>
      <c r="R968" s="130"/>
    </row>
    <row r="969">
      <c r="A969" s="130"/>
      <c r="B969" s="130"/>
      <c r="C969" s="130"/>
      <c r="D969" s="130"/>
      <c r="E969" s="130"/>
      <c r="F969" s="188"/>
      <c r="G969" s="130"/>
      <c r="H969" s="130"/>
      <c r="I969" s="130"/>
      <c r="J969" s="130"/>
      <c r="K969" s="130"/>
      <c r="L969" s="130"/>
      <c r="M969" s="130"/>
      <c r="N969" s="130"/>
      <c r="O969" s="130"/>
      <c r="P969" s="130"/>
      <c r="Q969" s="130"/>
      <c r="R969" s="130"/>
    </row>
    <row r="970">
      <c r="A970" s="130"/>
      <c r="B970" s="130"/>
      <c r="C970" s="130"/>
      <c r="D970" s="130"/>
      <c r="E970" s="130"/>
      <c r="F970" s="188"/>
      <c r="G970" s="130"/>
      <c r="H970" s="130"/>
      <c r="I970" s="130"/>
      <c r="J970" s="130"/>
      <c r="K970" s="130"/>
      <c r="L970" s="130"/>
      <c r="M970" s="130"/>
      <c r="N970" s="130"/>
      <c r="O970" s="130"/>
      <c r="P970" s="130"/>
      <c r="Q970" s="130"/>
      <c r="R970" s="130"/>
    </row>
    <row r="971">
      <c r="A971" s="130"/>
      <c r="B971" s="130"/>
      <c r="C971" s="130"/>
      <c r="D971" s="130"/>
      <c r="E971" s="130"/>
      <c r="F971" s="188"/>
      <c r="G971" s="130"/>
      <c r="H971" s="130"/>
      <c r="I971" s="130"/>
      <c r="J971" s="130"/>
      <c r="K971" s="130"/>
      <c r="L971" s="130"/>
      <c r="M971" s="130"/>
      <c r="N971" s="130"/>
      <c r="O971" s="130"/>
      <c r="P971" s="130"/>
      <c r="Q971" s="130"/>
      <c r="R971" s="130"/>
    </row>
    <row r="972">
      <c r="A972" s="130"/>
      <c r="B972" s="130"/>
      <c r="C972" s="130"/>
      <c r="D972" s="130"/>
      <c r="E972" s="130"/>
      <c r="F972" s="188"/>
      <c r="G972" s="130"/>
      <c r="H972" s="130"/>
      <c r="I972" s="130"/>
      <c r="J972" s="130"/>
      <c r="K972" s="130"/>
      <c r="L972" s="130"/>
      <c r="M972" s="130"/>
      <c r="N972" s="130"/>
      <c r="O972" s="130"/>
      <c r="P972" s="130"/>
      <c r="Q972" s="130"/>
      <c r="R972" s="130"/>
    </row>
    <row r="973">
      <c r="A973" s="130"/>
      <c r="B973" s="130"/>
      <c r="C973" s="130"/>
      <c r="D973" s="130"/>
      <c r="E973" s="130"/>
      <c r="F973" s="188"/>
      <c r="G973" s="130"/>
      <c r="H973" s="130"/>
      <c r="I973" s="130"/>
      <c r="J973" s="130"/>
      <c r="K973" s="130"/>
      <c r="L973" s="130"/>
      <c r="M973" s="130"/>
      <c r="N973" s="130"/>
      <c r="O973" s="130"/>
      <c r="P973" s="130"/>
      <c r="Q973" s="130"/>
      <c r="R973" s="130"/>
    </row>
    <row r="974">
      <c r="A974" s="130"/>
      <c r="B974" s="130"/>
      <c r="C974" s="130"/>
      <c r="D974" s="130"/>
      <c r="E974" s="130"/>
      <c r="F974" s="188"/>
      <c r="G974" s="130"/>
      <c r="H974" s="130"/>
      <c r="I974" s="130"/>
      <c r="J974" s="130"/>
      <c r="K974" s="130"/>
      <c r="L974" s="130"/>
      <c r="M974" s="130"/>
      <c r="N974" s="130"/>
      <c r="O974" s="130"/>
      <c r="P974" s="130"/>
      <c r="Q974" s="130"/>
      <c r="R974" s="130"/>
    </row>
    <row r="975">
      <c r="A975" s="130"/>
      <c r="B975" s="130"/>
      <c r="C975" s="130"/>
      <c r="D975" s="130"/>
      <c r="E975" s="130"/>
      <c r="F975" s="188"/>
      <c r="G975" s="130"/>
      <c r="H975" s="130"/>
      <c r="I975" s="130"/>
      <c r="J975" s="130"/>
      <c r="K975" s="130"/>
      <c r="L975" s="130"/>
      <c r="M975" s="130"/>
      <c r="N975" s="130"/>
      <c r="O975" s="130"/>
      <c r="P975" s="130"/>
      <c r="Q975" s="130"/>
      <c r="R975" s="130"/>
    </row>
    <row r="976">
      <c r="A976" s="130"/>
      <c r="B976" s="130"/>
      <c r="C976" s="130"/>
      <c r="D976" s="130"/>
      <c r="E976" s="130"/>
      <c r="F976" s="188"/>
      <c r="G976" s="130"/>
      <c r="H976" s="130"/>
      <c r="I976" s="130"/>
      <c r="J976" s="130"/>
      <c r="K976" s="130"/>
      <c r="L976" s="130"/>
      <c r="M976" s="130"/>
      <c r="N976" s="130"/>
      <c r="O976" s="130"/>
      <c r="P976" s="130"/>
      <c r="Q976" s="130"/>
      <c r="R976" s="130"/>
    </row>
    <row r="977">
      <c r="A977" s="130"/>
      <c r="B977" s="130"/>
      <c r="C977" s="130"/>
      <c r="D977" s="130"/>
      <c r="E977" s="130"/>
      <c r="F977" s="188"/>
      <c r="G977" s="130"/>
      <c r="H977" s="130"/>
      <c r="I977" s="130"/>
      <c r="J977" s="130"/>
      <c r="K977" s="130"/>
      <c r="L977" s="130"/>
      <c r="M977" s="130"/>
      <c r="N977" s="130"/>
      <c r="O977" s="130"/>
      <c r="P977" s="130"/>
      <c r="Q977" s="130"/>
      <c r="R977" s="130"/>
    </row>
    <row r="978">
      <c r="A978" s="130"/>
      <c r="B978" s="130"/>
      <c r="C978" s="130"/>
      <c r="D978" s="130"/>
      <c r="E978" s="130"/>
      <c r="F978" s="188"/>
      <c r="G978" s="130"/>
      <c r="H978" s="130"/>
      <c r="I978" s="130"/>
      <c r="J978" s="130"/>
      <c r="K978" s="130"/>
      <c r="L978" s="130"/>
      <c r="M978" s="130"/>
      <c r="N978" s="130"/>
      <c r="O978" s="130"/>
      <c r="P978" s="130"/>
      <c r="Q978" s="130"/>
      <c r="R978" s="130"/>
    </row>
    <row r="979">
      <c r="A979" s="130"/>
      <c r="B979" s="130"/>
      <c r="C979" s="130"/>
      <c r="D979" s="130"/>
      <c r="E979" s="130"/>
      <c r="F979" s="188"/>
      <c r="G979" s="130"/>
      <c r="H979" s="130"/>
      <c r="I979" s="130"/>
      <c r="J979" s="130"/>
      <c r="K979" s="130"/>
      <c r="L979" s="130"/>
      <c r="M979" s="130"/>
      <c r="N979" s="130"/>
      <c r="O979" s="130"/>
      <c r="P979" s="130"/>
      <c r="Q979" s="130"/>
      <c r="R979" s="130"/>
    </row>
    <row r="980">
      <c r="A980" s="130"/>
      <c r="B980" s="130"/>
      <c r="C980" s="130"/>
      <c r="D980" s="130"/>
      <c r="E980" s="130"/>
      <c r="F980" s="188"/>
      <c r="G980" s="130"/>
      <c r="H980" s="130"/>
      <c r="I980" s="130"/>
      <c r="J980" s="130"/>
      <c r="K980" s="130"/>
      <c r="L980" s="130"/>
      <c r="M980" s="130"/>
      <c r="N980" s="130"/>
      <c r="O980" s="130"/>
      <c r="P980" s="130"/>
      <c r="Q980" s="130"/>
      <c r="R980" s="130"/>
    </row>
    <row r="981">
      <c r="A981" s="130"/>
      <c r="B981" s="130"/>
      <c r="C981" s="130"/>
      <c r="D981" s="130"/>
      <c r="E981" s="130"/>
      <c r="F981" s="188"/>
      <c r="G981" s="130"/>
      <c r="H981" s="130"/>
      <c r="I981" s="130"/>
      <c r="J981" s="130"/>
      <c r="K981" s="130"/>
      <c r="L981" s="130"/>
      <c r="M981" s="130"/>
      <c r="N981" s="130"/>
      <c r="O981" s="130"/>
      <c r="P981" s="130"/>
      <c r="Q981" s="130"/>
      <c r="R981" s="130"/>
    </row>
    <row r="982">
      <c r="A982" s="130"/>
      <c r="B982" s="130"/>
      <c r="C982" s="130"/>
      <c r="D982" s="130"/>
      <c r="E982" s="130"/>
      <c r="F982" s="188"/>
      <c r="G982" s="130"/>
      <c r="H982" s="130"/>
      <c r="I982" s="130"/>
      <c r="J982" s="130"/>
      <c r="K982" s="130"/>
      <c r="L982" s="130"/>
      <c r="M982" s="130"/>
      <c r="N982" s="130"/>
      <c r="O982" s="130"/>
      <c r="P982" s="130"/>
      <c r="Q982" s="130"/>
      <c r="R982" s="130"/>
    </row>
    <row r="983">
      <c r="A983" s="130"/>
      <c r="B983" s="130"/>
      <c r="C983" s="130"/>
      <c r="D983" s="130"/>
      <c r="E983" s="130"/>
      <c r="F983" s="188"/>
      <c r="G983" s="130"/>
      <c r="H983" s="130"/>
      <c r="I983" s="130"/>
      <c r="J983" s="130"/>
      <c r="K983" s="130"/>
      <c r="L983" s="130"/>
      <c r="M983" s="130"/>
      <c r="N983" s="130"/>
      <c r="O983" s="130"/>
      <c r="P983" s="130"/>
      <c r="Q983" s="130"/>
      <c r="R983" s="130"/>
    </row>
    <row r="984">
      <c r="A984" s="130"/>
      <c r="B984" s="130"/>
      <c r="C984" s="130"/>
      <c r="D984" s="130"/>
      <c r="E984" s="130"/>
      <c r="F984" s="188"/>
      <c r="G984" s="130"/>
      <c r="H984" s="130"/>
      <c r="I984" s="130"/>
      <c r="J984" s="130"/>
      <c r="K984" s="130"/>
      <c r="L984" s="130"/>
      <c r="M984" s="130"/>
      <c r="N984" s="130"/>
      <c r="O984" s="130"/>
      <c r="P984" s="130"/>
      <c r="Q984" s="130"/>
      <c r="R984" s="130"/>
    </row>
    <row r="985">
      <c r="A985" s="130"/>
      <c r="B985" s="130"/>
      <c r="C985" s="130"/>
      <c r="D985" s="130"/>
      <c r="E985" s="130"/>
      <c r="F985" s="188"/>
      <c r="G985" s="130"/>
      <c r="H985" s="130"/>
      <c r="I985" s="130"/>
      <c r="J985" s="130"/>
      <c r="K985" s="130"/>
      <c r="L985" s="130"/>
      <c r="M985" s="130"/>
      <c r="N985" s="130"/>
      <c r="O985" s="130"/>
      <c r="P985" s="130"/>
      <c r="Q985" s="130"/>
      <c r="R985" s="130"/>
    </row>
    <row r="986">
      <c r="A986" s="130"/>
      <c r="B986" s="130"/>
      <c r="C986" s="130"/>
      <c r="D986" s="130"/>
      <c r="E986" s="130"/>
      <c r="F986" s="188"/>
      <c r="G986" s="130"/>
      <c r="H986" s="130"/>
      <c r="I986" s="130"/>
      <c r="J986" s="130"/>
      <c r="K986" s="130"/>
      <c r="L986" s="130"/>
      <c r="M986" s="130"/>
      <c r="N986" s="130"/>
      <c r="O986" s="130"/>
      <c r="P986" s="130"/>
      <c r="Q986" s="130"/>
      <c r="R986" s="130"/>
    </row>
    <row r="987">
      <c r="A987" s="130"/>
      <c r="B987" s="130"/>
      <c r="C987" s="130"/>
      <c r="D987" s="130"/>
      <c r="E987" s="130"/>
      <c r="F987" s="188"/>
      <c r="G987" s="130"/>
      <c r="H987" s="130"/>
      <c r="I987" s="130"/>
      <c r="J987" s="130"/>
      <c r="K987" s="130"/>
      <c r="L987" s="130"/>
      <c r="M987" s="130"/>
      <c r="N987" s="130"/>
      <c r="O987" s="130"/>
      <c r="P987" s="130"/>
      <c r="Q987" s="130"/>
      <c r="R987" s="130"/>
    </row>
    <row r="988">
      <c r="A988" s="130"/>
      <c r="B988" s="130"/>
      <c r="C988" s="130"/>
      <c r="D988" s="130"/>
      <c r="E988" s="130"/>
      <c r="F988" s="188"/>
      <c r="G988" s="130"/>
      <c r="H988" s="130"/>
      <c r="I988" s="130"/>
      <c r="J988" s="130"/>
      <c r="K988" s="130"/>
      <c r="L988" s="130"/>
      <c r="M988" s="130"/>
      <c r="N988" s="130"/>
      <c r="O988" s="130"/>
      <c r="P988" s="130"/>
      <c r="Q988" s="130"/>
      <c r="R988" s="130"/>
    </row>
    <row r="989">
      <c r="A989" s="130"/>
      <c r="B989" s="130"/>
      <c r="C989" s="130"/>
      <c r="D989" s="130"/>
      <c r="E989" s="130"/>
      <c r="F989" s="188"/>
      <c r="G989" s="130"/>
      <c r="H989" s="130"/>
      <c r="I989" s="130"/>
      <c r="J989" s="130"/>
      <c r="K989" s="130"/>
      <c r="L989" s="130"/>
      <c r="M989" s="130"/>
      <c r="N989" s="130"/>
      <c r="O989" s="130"/>
      <c r="P989" s="130"/>
      <c r="Q989" s="130"/>
      <c r="R989" s="130"/>
    </row>
    <row r="990">
      <c r="A990" s="130"/>
      <c r="B990" s="130"/>
      <c r="C990" s="130"/>
      <c r="D990" s="130"/>
      <c r="E990" s="130"/>
      <c r="F990" s="188"/>
      <c r="G990" s="130"/>
      <c r="H990" s="130"/>
      <c r="I990" s="130"/>
      <c r="J990" s="130"/>
      <c r="K990" s="130"/>
      <c r="L990" s="130"/>
      <c r="M990" s="130"/>
      <c r="N990" s="130"/>
      <c r="O990" s="130"/>
      <c r="P990" s="130"/>
      <c r="Q990" s="130"/>
      <c r="R990" s="130"/>
    </row>
    <row r="991">
      <c r="A991" s="130"/>
      <c r="B991" s="130"/>
      <c r="C991" s="130"/>
      <c r="D991" s="130"/>
      <c r="E991" s="130"/>
      <c r="F991" s="188"/>
      <c r="G991" s="130"/>
      <c r="H991" s="130"/>
      <c r="I991" s="130"/>
      <c r="J991" s="130"/>
      <c r="K991" s="130"/>
      <c r="L991" s="130"/>
      <c r="M991" s="130"/>
      <c r="N991" s="130"/>
      <c r="O991" s="130"/>
      <c r="P991" s="130"/>
      <c r="Q991" s="130"/>
      <c r="R991" s="130"/>
    </row>
    <row r="992">
      <c r="A992" s="130"/>
      <c r="B992" s="130"/>
      <c r="C992" s="130"/>
      <c r="D992" s="130"/>
      <c r="E992" s="130"/>
      <c r="F992" s="188"/>
      <c r="G992" s="130"/>
      <c r="H992" s="130"/>
      <c r="I992" s="130"/>
      <c r="J992" s="130"/>
      <c r="K992" s="130"/>
      <c r="L992" s="130"/>
      <c r="M992" s="130"/>
      <c r="N992" s="130"/>
      <c r="O992" s="130"/>
      <c r="P992" s="130"/>
      <c r="Q992" s="130"/>
      <c r="R992" s="130"/>
    </row>
    <row r="993">
      <c r="A993" s="130"/>
      <c r="B993" s="130"/>
      <c r="C993" s="130"/>
      <c r="D993" s="130"/>
      <c r="E993" s="130"/>
      <c r="F993" s="188"/>
      <c r="G993" s="130"/>
      <c r="H993" s="130"/>
      <c r="I993" s="130"/>
      <c r="J993" s="130"/>
      <c r="K993" s="130"/>
      <c r="L993" s="130"/>
      <c r="M993" s="130"/>
      <c r="N993" s="130"/>
      <c r="O993" s="130"/>
      <c r="P993" s="130"/>
      <c r="Q993" s="130"/>
      <c r="R993" s="130"/>
    </row>
    <row r="994">
      <c r="A994" s="130"/>
      <c r="B994" s="130"/>
      <c r="C994" s="130"/>
      <c r="D994" s="130"/>
      <c r="E994" s="130"/>
      <c r="F994" s="188"/>
      <c r="G994" s="130"/>
      <c r="H994" s="130"/>
      <c r="I994" s="130"/>
      <c r="J994" s="130"/>
      <c r="K994" s="130"/>
      <c r="L994" s="130"/>
      <c r="M994" s="130"/>
      <c r="N994" s="130"/>
      <c r="O994" s="130"/>
      <c r="P994" s="130"/>
      <c r="Q994" s="130"/>
      <c r="R994" s="130"/>
    </row>
    <row r="995">
      <c r="A995" s="130"/>
      <c r="B995" s="130"/>
      <c r="C995" s="130"/>
      <c r="D995" s="130"/>
      <c r="E995" s="130"/>
      <c r="F995" s="188"/>
      <c r="G995" s="130"/>
      <c r="H995" s="130"/>
      <c r="I995" s="130"/>
      <c r="J995" s="130"/>
      <c r="K995" s="130"/>
      <c r="L995" s="130"/>
      <c r="M995" s="130"/>
      <c r="N995" s="130"/>
      <c r="O995" s="130"/>
      <c r="P995" s="130"/>
      <c r="Q995" s="130"/>
      <c r="R995" s="130"/>
    </row>
    <row r="996">
      <c r="A996" s="130"/>
      <c r="B996" s="130"/>
      <c r="C996" s="130"/>
      <c r="D996" s="130"/>
      <c r="E996" s="130"/>
      <c r="F996" s="188"/>
      <c r="G996" s="130"/>
      <c r="H996" s="130"/>
      <c r="I996" s="130"/>
      <c r="J996" s="130"/>
      <c r="K996" s="130"/>
      <c r="L996" s="130"/>
      <c r="M996" s="130"/>
      <c r="N996" s="130"/>
      <c r="O996" s="130"/>
      <c r="P996" s="130"/>
      <c r="Q996" s="130"/>
      <c r="R996" s="130"/>
    </row>
    <row r="997">
      <c r="A997" s="130"/>
      <c r="B997" s="130"/>
      <c r="C997" s="130"/>
      <c r="D997" s="130"/>
      <c r="E997" s="130"/>
      <c r="F997" s="188"/>
      <c r="G997" s="130"/>
      <c r="H997" s="130"/>
      <c r="I997" s="130"/>
      <c r="J997" s="130"/>
      <c r="K997" s="130"/>
      <c r="L997" s="130"/>
      <c r="M997" s="130"/>
      <c r="N997" s="130"/>
      <c r="O997" s="130"/>
      <c r="P997" s="130"/>
      <c r="Q997" s="130"/>
      <c r="R997" s="130"/>
    </row>
    <row r="998">
      <c r="A998" s="130"/>
      <c r="B998" s="130"/>
      <c r="C998" s="130"/>
      <c r="D998" s="130"/>
      <c r="E998" s="130"/>
      <c r="F998" s="188"/>
      <c r="G998" s="130"/>
      <c r="H998" s="130"/>
      <c r="I998" s="130"/>
      <c r="J998" s="130"/>
      <c r="K998" s="130"/>
      <c r="L998" s="130"/>
      <c r="M998" s="130"/>
      <c r="N998" s="130"/>
      <c r="O998" s="130"/>
      <c r="P998" s="130"/>
      <c r="Q998" s="130"/>
      <c r="R998" s="130"/>
    </row>
    <row r="999">
      <c r="A999" s="130"/>
      <c r="B999" s="130"/>
      <c r="C999" s="130"/>
      <c r="D999" s="130"/>
      <c r="E999" s="130"/>
      <c r="F999" s="188"/>
      <c r="G999" s="130"/>
      <c r="H999" s="130"/>
      <c r="I999" s="130"/>
      <c r="J999" s="130"/>
      <c r="K999" s="130"/>
      <c r="L999" s="130"/>
      <c r="M999" s="130"/>
      <c r="N999" s="130"/>
      <c r="O999" s="130"/>
      <c r="P999" s="130"/>
      <c r="Q999" s="130"/>
      <c r="R999" s="130"/>
    </row>
    <row r="1000">
      <c r="A1000" s="130"/>
      <c r="B1000" s="130"/>
      <c r="C1000" s="130"/>
      <c r="D1000" s="130"/>
      <c r="E1000" s="130"/>
      <c r="F1000" s="188"/>
      <c r="G1000" s="130"/>
      <c r="H1000" s="130"/>
      <c r="I1000" s="130"/>
      <c r="J1000" s="130"/>
      <c r="K1000" s="130"/>
      <c r="L1000" s="130"/>
      <c r="M1000" s="130"/>
      <c r="N1000" s="130"/>
      <c r="O1000" s="130"/>
      <c r="P1000" s="130"/>
      <c r="Q1000" s="130"/>
      <c r="R1000" s="130"/>
    </row>
    <row r="1001">
      <c r="A1001" s="130"/>
      <c r="B1001" s="130"/>
      <c r="C1001" s="130"/>
      <c r="D1001" s="130"/>
      <c r="E1001" s="130"/>
      <c r="F1001" s="130"/>
      <c r="G1001" s="130"/>
      <c r="H1001" s="130"/>
      <c r="I1001" s="130"/>
      <c r="J1001" s="130"/>
      <c r="K1001" s="130"/>
      <c r="L1001" s="130"/>
      <c r="M1001" s="130"/>
      <c r="N1001" s="130"/>
      <c r="O1001" s="130"/>
      <c r="P1001" s="130"/>
      <c r="Q1001" s="130"/>
      <c r="R1001" s="130"/>
    </row>
    <row r="1002">
      <c r="A1002" s="130"/>
      <c r="B1002" s="130"/>
      <c r="C1002" s="130"/>
      <c r="D1002" s="130"/>
      <c r="E1002" s="130"/>
      <c r="F1002" s="130"/>
      <c r="G1002" s="130"/>
      <c r="H1002" s="130"/>
      <c r="I1002" s="130"/>
      <c r="J1002" s="130"/>
      <c r="K1002" s="130"/>
      <c r="L1002" s="130"/>
      <c r="M1002" s="130"/>
      <c r="N1002" s="130"/>
      <c r="O1002" s="130"/>
      <c r="P1002" s="130"/>
      <c r="Q1002" s="130"/>
      <c r="R1002" s="130"/>
    </row>
    <row r="1003">
      <c r="A1003" s="130"/>
      <c r="B1003" s="130"/>
      <c r="C1003" s="130"/>
      <c r="D1003" s="130"/>
      <c r="E1003" s="130"/>
      <c r="F1003" s="130"/>
      <c r="G1003" s="130"/>
      <c r="H1003" s="130"/>
      <c r="I1003" s="130"/>
      <c r="J1003" s="130"/>
      <c r="K1003" s="130"/>
      <c r="L1003" s="130"/>
      <c r="M1003" s="130"/>
      <c r="N1003" s="130"/>
      <c r="O1003" s="130"/>
      <c r="P1003" s="130"/>
      <c r="Q1003" s="130"/>
      <c r="R1003" s="130"/>
    </row>
    <row r="1004">
      <c r="A1004" s="130"/>
      <c r="B1004" s="130"/>
      <c r="C1004" s="130"/>
      <c r="D1004" s="130"/>
      <c r="E1004" s="130"/>
      <c r="F1004" s="130"/>
      <c r="G1004" s="130"/>
      <c r="H1004" s="130"/>
      <c r="I1004" s="130"/>
      <c r="J1004" s="130"/>
      <c r="K1004" s="130"/>
      <c r="L1004" s="130"/>
      <c r="M1004" s="130"/>
      <c r="N1004" s="130"/>
      <c r="O1004" s="130"/>
      <c r="P1004" s="130"/>
      <c r="Q1004" s="130"/>
      <c r="R1004" s="130"/>
    </row>
    <row r="1005">
      <c r="A1005" s="130"/>
      <c r="B1005" s="130"/>
      <c r="C1005" s="130"/>
      <c r="D1005" s="130"/>
      <c r="E1005" s="130"/>
      <c r="F1005" s="130"/>
      <c r="G1005" s="130"/>
      <c r="H1005" s="130"/>
      <c r="I1005" s="130"/>
      <c r="J1005" s="130"/>
      <c r="K1005" s="130"/>
      <c r="L1005" s="130"/>
      <c r="M1005" s="130"/>
      <c r="N1005" s="130"/>
      <c r="O1005" s="130"/>
      <c r="P1005" s="130"/>
      <c r="Q1005" s="130"/>
      <c r="R1005" s="130"/>
    </row>
    <row r="1006">
      <c r="A1006" s="130"/>
      <c r="B1006" s="130"/>
      <c r="C1006" s="130"/>
      <c r="D1006" s="130"/>
      <c r="E1006" s="130"/>
      <c r="F1006" s="130"/>
      <c r="G1006" s="130"/>
      <c r="H1006" s="130"/>
      <c r="I1006" s="130"/>
      <c r="J1006" s="130"/>
      <c r="K1006" s="130"/>
      <c r="L1006" s="130"/>
      <c r="M1006" s="130"/>
      <c r="N1006" s="130"/>
      <c r="O1006" s="130"/>
      <c r="P1006" s="130"/>
      <c r="Q1006" s="130"/>
      <c r="R1006" s="130"/>
    </row>
    <row r="1007">
      <c r="A1007" s="130"/>
      <c r="B1007" s="130"/>
      <c r="C1007" s="130"/>
      <c r="D1007" s="130"/>
      <c r="E1007" s="130"/>
      <c r="F1007" s="130"/>
      <c r="G1007" s="130"/>
      <c r="H1007" s="130"/>
      <c r="I1007" s="130"/>
      <c r="J1007" s="130"/>
      <c r="K1007" s="130"/>
      <c r="L1007" s="130"/>
      <c r="M1007" s="130"/>
      <c r="N1007" s="130"/>
      <c r="O1007" s="130"/>
      <c r="P1007" s="130"/>
      <c r="Q1007" s="130"/>
      <c r="R1007" s="130"/>
    </row>
    <row r="1008">
      <c r="A1008" s="130"/>
      <c r="B1008" s="130"/>
      <c r="C1008" s="130"/>
      <c r="D1008" s="130"/>
      <c r="E1008" s="130"/>
      <c r="F1008" s="130"/>
      <c r="G1008" s="130"/>
      <c r="H1008" s="130"/>
      <c r="I1008" s="130"/>
      <c r="J1008" s="130"/>
      <c r="K1008" s="130"/>
      <c r="L1008" s="130"/>
      <c r="M1008" s="130"/>
      <c r="N1008" s="130"/>
      <c r="O1008" s="130"/>
      <c r="P1008" s="130"/>
      <c r="Q1008" s="130"/>
      <c r="R1008" s="130"/>
    </row>
    <row r="1009">
      <c r="A1009" s="130"/>
      <c r="B1009" s="130"/>
      <c r="C1009" s="130"/>
      <c r="D1009" s="130"/>
      <c r="E1009" s="130"/>
      <c r="F1009" s="130"/>
      <c r="G1009" s="130"/>
      <c r="H1009" s="130"/>
      <c r="I1009" s="130"/>
      <c r="J1009" s="130"/>
      <c r="K1009" s="130"/>
      <c r="L1009" s="130"/>
      <c r="M1009" s="130"/>
      <c r="N1009" s="130"/>
      <c r="O1009" s="130"/>
      <c r="P1009" s="130"/>
      <c r="Q1009" s="130"/>
      <c r="R1009" s="130"/>
    </row>
    <row r="1010">
      <c r="A1010" s="130"/>
      <c r="B1010" s="130"/>
      <c r="C1010" s="130"/>
      <c r="D1010" s="130"/>
      <c r="E1010" s="130"/>
      <c r="F1010" s="130"/>
      <c r="G1010" s="130"/>
      <c r="H1010" s="130"/>
      <c r="I1010" s="130"/>
      <c r="J1010" s="130"/>
      <c r="K1010" s="130"/>
      <c r="L1010" s="130"/>
      <c r="M1010" s="130"/>
      <c r="N1010" s="130"/>
      <c r="O1010" s="130"/>
      <c r="P1010" s="130"/>
      <c r="Q1010" s="130"/>
      <c r="R1010" s="130"/>
    </row>
    <row r="1011">
      <c r="A1011" s="130"/>
      <c r="B1011" s="130"/>
      <c r="C1011" s="130"/>
      <c r="D1011" s="130"/>
      <c r="E1011" s="130"/>
      <c r="F1011" s="130"/>
      <c r="G1011" s="130"/>
      <c r="H1011" s="130"/>
      <c r="I1011" s="130"/>
      <c r="J1011" s="130"/>
      <c r="K1011" s="130"/>
      <c r="L1011" s="130"/>
      <c r="M1011" s="130"/>
      <c r="N1011" s="130"/>
      <c r="O1011" s="130"/>
      <c r="P1011" s="130"/>
      <c r="Q1011" s="130"/>
      <c r="R1011" s="130"/>
    </row>
    <row r="1012">
      <c r="A1012" s="130"/>
      <c r="B1012" s="130"/>
      <c r="C1012" s="130"/>
      <c r="D1012" s="130"/>
      <c r="E1012" s="130"/>
      <c r="F1012" s="130"/>
      <c r="G1012" s="130"/>
      <c r="H1012" s="130"/>
      <c r="I1012" s="130"/>
      <c r="J1012" s="130"/>
      <c r="K1012" s="130"/>
      <c r="L1012" s="130"/>
      <c r="M1012" s="130"/>
      <c r="N1012" s="130"/>
      <c r="O1012" s="130"/>
      <c r="P1012" s="130"/>
      <c r="Q1012" s="130"/>
      <c r="R1012" s="130"/>
    </row>
    <row r="1013">
      <c r="A1013" s="130"/>
      <c r="B1013" s="130"/>
      <c r="C1013" s="130"/>
      <c r="D1013" s="130"/>
      <c r="E1013" s="130"/>
      <c r="F1013" s="130"/>
      <c r="G1013" s="130"/>
      <c r="H1013" s="130"/>
      <c r="I1013" s="130"/>
      <c r="J1013" s="130"/>
      <c r="K1013" s="130"/>
      <c r="L1013" s="130"/>
      <c r="M1013" s="130"/>
      <c r="N1013" s="130"/>
      <c r="O1013" s="130"/>
      <c r="P1013" s="130"/>
      <c r="Q1013" s="130"/>
      <c r="R1013" s="130"/>
    </row>
    <row r="1014">
      <c r="A1014" s="130"/>
      <c r="B1014" s="130"/>
      <c r="C1014" s="130"/>
      <c r="D1014" s="130"/>
      <c r="E1014" s="130"/>
      <c r="F1014" s="130"/>
      <c r="G1014" s="130"/>
      <c r="H1014" s="130"/>
      <c r="I1014" s="130"/>
      <c r="J1014" s="130"/>
      <c r="K1014" s="130"/>
      <c r="L1014" s="130"/>
      <c r="M1014" s="130"/>
      <c r="N1014" s="130"/>
      <c r="O1014" s="130"/>
      <c r="P1014" s="130"/>
      <c r="Q1014" s="130"/>
      <c r="R1014" s="130"/>
    </row>
    <row r="1015">
      <c r="A1015" s="130"/>
      <c r="B1015" s="130"/>
      <c r="C1015" s="130"/>
      <c r="D1015" s="130"/>
      <c r="E1015" s="130"/>
      <c r="F1015" s="130"/>
      <c r="G1015" s="130"/>
      <c r="H1015" s="130"/>
      <c r="I1015" s="130"/>
      <c r="J1015" s="130"/>
      <c r="K1015" s="130"/>
      <c r="L1015" s="130"/>
      <c r="M1015" s="130"/>
      <c r="N1015" s="130"/>
      <c r="O1015" s="130"/>
      <c r="P1015" s="130"/>
      <c r="Q1015" s="130"/>
      <c r="R1015" s="130"/>
    </row>
    <row r="1016">
      <c r="A1016" s="130"/>
      <c r="B1016" s="130"/>
      <c r="C1016" s="130"/>
      <c r="D1016" s="130"/>
      <c r="E1016" s="130"/>
      <c r="F1016" s="130"/>
      <c r="G1016" s="130"/>
      <c r="H1016" s="130"/>
      <c r="I1016" s="130"/>
      <c r="J1016" s="130"/>
      <c r="K1016" s="130"/>
      <c r="L1016" s="130"/>
      <c r="M1016" s="130"/>
      <c r="N1016" s="130"/>
      <c r="O1016" s="130"/>
      <c r="P1016" s="130"/>
      <c r="Q1016" s="130"/>
      <c r="R1016" s="130"/>
    </row>
    <row r="1017">
      <c r="A1017" s="130"/>
      <c r="B1017" s="130"/>
      <c r="C1017" s="130"/>
      <c r="D1017" s="130"/>
      <c r="E1017" s="130"/>
      <c r="F1017" s="130"/>
      <c r="G1017" s="130"/>
      <c r="H1017" s="130"/>
      <c r="I1017" s="130"/>
      <c r="J1017" s="130"/>
      <c r="K1017" s="130"/>
      <c r="L1017" s="130"/>
      <c r="M1017" s="130"/>
      <c r="N1017" s="130"/>
      <c r="O1017" s="130"/>
      <c r="P1017" s="130"/>
      <c r="Q1017" s="130"/>
      <c r="R1017" s="130"/>
    </row>
    <row r="1018">
      <c r="A1018" s="130"/>
      <c r="B1018" s="130"/>
      <c r="C1018" s="130"/>
      <c r="D1018" s="130"/>
      <c r="E1018" s="130"/>
      <c r="F1018" s="130"/>
      <c r="G1018" s="130"/>
      <c r="H1018" s="130"/>
      <c r="I1018" s="130"/>
      <c r="J1018" s="130"/>
      <c r="K1018" s="130"/>
      <c r="L1018" s="130"/>
      <c r="M1018" s="130"/>
      <c r="N1018" s="130"/>
      <c r="O1018" s="130"/>
      <c r="P1018" s="130"/>
      <c r="Q1018" s="130"/>
      <c r="R1018" s="130"/>
    </row>
    <row r="1019">
      <c r="A1019" s="130"/>
      <c r="B1019" s="130"/>
      <c r="C1019" s="130"/>
      <c r="D1019" s="130"/>
      <c r="E1019" s="130"/>
      <c r="F1019" s="130"/>
      <c r="G1019" s="130"/>
      <c r="H1019" s="130"/>
      <c r="I1019" s="130"/>
      <c r="J1019" s="130"/>
      <c r="K1019" s="130"/>
      <c r="L1019" s="130"/>
      <c r="M1019" s="130"/>
      <c r="N1019" s="130"/>
      <c r="O1019" s="130"/>
      <c r="P1019" s="130"/>
      <c r="Q1019" s="130"/>
      <c r="R1019" s="130"/>
    </row>
    <row r="1020">
      <c r="A1020" s="130"/>
      <c r="B1020" s="130"/>
      <c r="C1020" s="130"/>
      <c r="D1020" s="130"/>
      <c r="E1020" s="130"/>
      <c r="F1020" s="130"/>
      <c r="G1020" s="130"/>
      <c r="H1020" s="130"/>
      <c r="I1020" s="130"/>
      <c r="J1020" s="130"/>
      <c r="K1020" s="130"/>
      <c r="L1020" s="130"/>
      <c r="M1020" s="130"/>
      <c r="N1020" s="130"/>
      <c r="O1020" s="130"/>
      <c r="P1020" s="130"/>
      <c r="Q1020" s="130"/>
      <c r="R1020" s="130"/>
    </row>
    <row r="1021">
      <c r="A1021" s="130"/>
      <c r="B1021" s="130"/>
      <c r="C1021" s="130"/>
      <c r="D1021" s="130"/>
      <c r="E1021" s="130"/>
      <c r="F1021" s="130"/>
      <c r="G1021" s="130"/>
      <c r="H1021" s="130"/>
      <c r="I1021" s="130"/>
      <c r="J1021" s="130"/>
      <c r="K1021" s="130"/>
      <c r="L1021" s="130"/>
      <c r="M1021" s="130"/>
      <c r="N1021" s="130"/>
      <c r="O1021" s="130"/>
      <c r="P1021" s="130"/>
      <c r="Q1021" s="130"/>
      <c r="R1021" s="130"/>
    </row>
    <row r="1022">
      <c r="A1022" s="130"/>
      <c r="B1022" s="130"/>
      <c r="C1022" s="130"/>
      <c r="D1022" s="130"/>
      <c r="E1022" s="130"/>
      <c r="F1022" s="130"/>
      <c r="G1022" s="130"/>
      <c r="H1022" s="130"/>
      <c r="I1022" s="130"/>
      <c r="J1022" s="130"/>
      <c r="K1022" s="130"/>
      <c r="L1022" s="130"/>
      <c r="M1022" s="130"/>
      <c r="N1022" s="130"/>
      <c r="O1022" s="130"/>
      <c r="P1022" s="130"/>
      <c r="Q1022" s="130"/>
      <c r="R1022" s="130"/>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393" t="s">
        <v>8277</v>
      </c>
      <c r="B1" s="393" t="s">
        <v>8278</v>
      </c>
      <c r="C1" s="288" t="s">
        <v>8279</v>
      </c>
      <c r="D1" s="2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12" t="s">
        <v>8280</v>
      </c>
      <c r="F1" s="39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13" t="s">
        <v>8281</v>
      </c>
      <c r="H1" s="39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396" t="s">
        <v>8282</v>
      </c>
      <c r="J1" s="396" t="s">
        <v>8283</v>
      </c>
      <c r="K1" s="112" t="s">
        <v>8284</v>
      </c>
      <c r="L1" s="112" t="s">
        <v>8285</v>
      </c>
      <c r="M1" s="414" t="s">
        <v>8286</v>
      </c>
      <c r="N1" s="414" t="s">
        <v>8287</v>
      </c>
      <c r="O1" s="398"/>
      <c r="P1" s="398"/>
      <c r="Q1" s="398"/>
      <c r="R1" s="398"/>
      <c r="S1" s="398"/>
      <c r="T1" s="398"/>
      <c r="U1" s="398"/>
      <c r="V1" s="398"/>
      <c r="W1" s="398"/>
    </row>
    <row r="2">
      <c r="A2" s="399" t="s">
        <v>8288</v>
      </c>
      <c r="B2" s="399" t="s">
        <v>8289</v>
      </c>
      <c r="C2" s="106" t="s">
        <v>8290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371" t="s">
        <v>8291</v>
      </c>
      <c r="F2" s="204" t="str">
        <f>IFERROR(__xludf.DUMMYFUNCTION("GOOGLETRANSLATE(B2,""zh-tw"",""en"")"),"1 - Search for ""NVIDIA APP install"" on Google and launch the NVIDIA application.")</f>
        <v>1 - Search for "NVIDIA APP install" on Google and launch the NVIDIA application.</v>
      </c>
      <c r="G2" s="415" t="s">
        <v>8292</v>
      </c>
      <c r="H2" s="400" t="str">
        <f>IFERROR(__xludf.DUMMYFUNCTION("GOOGLETRANSLATE(B2,""zh-tw"",""zh"")"),"1 - 在google上搜寻 NVIDIA APP安装，并启动 NVIDIA 应用程式。")</f>
        <v>1 - 在google上搜寻 NVIDIA APP安装，并启动 NVIDIA 应用程式。</v>
      </c>
      <c r="I2" s="401" t="s">
        <v>8293</v>
      </c>
      <c r="J2" s="401" t="s">
        <v>8294</v>
      </c>
      <c r="K2" s="180" t="s">
        <v>8295</v>
      </c>
      <c r="L2" s="180" t="s">
        <v>8296</v>
      </c>
      <c r="M2" s="416" t="s">
        <v>8297</v>
      </c>
      <c r="N2" s="416" t="s">
        <v>8298</v>
      </c>
      <c r="O2" s="130"/>
      <c r="P2" s="130"/>
      <c r="Q2" s="130"/>
      <c r="R2" s="130"/>
      <c r="S2" s="130"/>
      <c r="T2" s="130"/>
      <c r="U2" s="130"/>
      <c r="V2" s="130"/>
      <c r="W2" s="130"/>
    </row>
    <row r="3">
      <c r="A3" s="399" t="s">
        <v>8299</v>
      </c>
      <c r="B3" s="399" t="s">
        <v>8300</v>
      </c>
      <c r="C3" s="106" t="s">
        <v>8301</v>
      </c>
      <c r="D3" s="106" t="str">
        <f>IFERROR(__xludf.DUMMYFUNCTION("GOOGLETRANSLATE(B3,""zh-tw"",""ja"")"),"2 - 最新バージョンに更新した後、NVIDIA アプリケーションを再起動します。")</f>
        <v>2 - 最新バージョンに更新した後、NVIDIA アプリケーションを再起動します。</v>
      </c>
      <c r="E3" s="371" t="s">
        <v>8302</v>
      </c>
      <c r="F3" s="204" t="str">
        <f>IFERROR(__xludf.DUMMYFUNCTION("GOOGLETRANSLATE(B3,""zh-tw"",""en"")"),"2 - Restart the NVIDIA application after updating to the latest version.")</f>
        <v>2 - Restart the NVIDIA application after updating to the latest version.</v>
      </c>
      <c r="G3" s="415" t="s">
        <v>8303</v>
      </c>
      <c r="H3" s="400" t="str">
        <f>IFERROR(__xludf.DUMMYFUNCTION("GOOGLETRANSLATE(B3,""zh-tw"",""zh"")"),"2 - 在更新至最新版本后重新启动 NVIDIA 应用程式。")</f>
        <v>2 - 在更新至最新版本后重新启动 NVIDIA 应用程式。</v>
      </c>
      <c r="I3" s="401" t="s">
        <v>8304</v>
      </c>
      <c r="J3" s="401" t="s">
        <v>8305</v>
      </c>
      <c r="K3" s="180" t="s">
        <v>8306</v>
      </c>
      <c r="L3" s="180" t="s">
        <v>8307</v>
      </c>
      <c r="M3" s="416" t="s">
        <v>8308</v>
      </c>
      <c r="N3" s="416" t="s">
        <v>8309</v>
      </c>
      <c r="O3" s="130"/>
      <c r="P3" s="130"/>
      <c r="Q3" s="130"/>
      <c r="R3" s="130"/>
      <c r="S3" s="130"/>
      <c r="T3" s="130"/>
      <c r="U3" s="130"/>
      <c r="V3" s="130"/>
      <c r="W3" s="130"/>
    </row>
    <row r="4">
      <c r="A4" s="399" t="s">
        <v>8310</v>
      </c>
      <c r="B4" s="399" t="s">
        <v>8311</v>
      </c>
      <c r="C4" s="106" t="s">
        <v>8312</v>
      </c>
      <c r="D4" s="106" t="str">
        <f>IFERROR(__xludf.DUMMYFUNCTION("GOOGLETRANSLATE(B4,""zh-tw"",""ja"")"),"3 - NVIDIA アプリケーションで、グラフィック設定領域に移動します。")</f>
        <v>3 - NVIDIA アプリケーションで、グラフィック設定領域に移動します。</v>
      </c>
      <c r="E4" s="371" t="s">
        <v>8313</v>
      </c>
      <c r="F4" s="204" t="str">
        <f>IFERROR(__xludf.DUMMYFUNCTION("GOOGLETRANSLATE(B4,""zh-tw"",""en"")"),"3 - In the NVIDIA application, go to the graphics settings area.")</f>
        <v>3 - In the NVIDIA application, go to the graphics settings area.</v>
      </c>
      <c r="G4" s="415" t="s">
        <v>8314</v>
      </c>
      <c r="H4" s="400" t="str">
        <f>IFERROR(__xludf.DUMMYFUNCTION("GOOGLETRANSLATE(B4,""zh-tw"",""zh"")"),"3 - 在NVIDIA应用程式中，进入图形设置区域。")</f>
        <v>3 - 在NVIDIA应用程式中，进入图形设置区域。</v>
      </c>
      <c r="I4" s="401" t="s">
        <v>8315</v>
      </c>
      <c r="J4" s="401" t="s">
        <v>8316</v>
      </c>
      <c r="K4" s="180" t="s">
        <v>8317</v>
      </c>
      <c r="L4" s="180" t="s">
        <v>8318</v>
      </c>
      <c r="M4" s="416" t="s">
        <v>8319</v>
      </c>
      <c r="N4" s="416" t="s">
        <v>8320</v>
      </c>
      <c r="O4" s="130"/>
      <c r="P4" s="130"/>
      <c r="Q4" s="130"/>
      <c r="R4" s="130"/>
      <c r="S4" s="130"/>
      <c r="T4" s="130"/>
      <c r="U4" s="130"/>
      <c r="V4" s="130"/>
      <c r="W4" s="130"/>
    </row>
    <row r="5">
      <c r="A5" s="399" t="s">
        <v>8321</v>
      </c>
      <c r="B5" s="399" t="s">
        <v>8322</v>
      </c>
      <c r="C5" s="106" t="s">
        <v>8323</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71" t="s">
        <v>8324</v>
      </c>
      <c r="F5" s="204" t="str">
        <f>IFERROR(__xludf.DUMMYFUNCTION("GOOGLETRANSLATE(B5,""zh-tw"",""en"")"),"4 - In ""Program Settings"", click the three dots, select ""Add Program"", and then find the game's executable file.")</f>
        <v>4 - In "Program Settings", click the three dots, select "Add Program", and then find the game's executable file.</v>
      </c>
      <c r="G5" s="415" t="s">
        <v>8325</v>
      </c>
      <c r="H5" s="400" t="str">
        <f>IFERROR(__xludf.DUMMYFUNCTION("GOOGLETRANSLATE(B5,""zh-tw"",""zh"")"),"4 - 在「程式设定」中点击三个点，选择「新增程式」，然后寻找游戏的执行档。")</f>
        <v>4 - 在「程式设定」中点击三个点，选择「新增程式」，然后寻找游戏的执行档。</v>
      </c>
      <c r="I5" s="401" t="s">
        <v>8326</v>
      </c>
      <c r="J5" s="401" t="s">
        <v>8327</v>
      </c>
      <c r="K5" s="180" t="s">
        <v>8328</v>
      </c>
      <c r="L5" s="180" t="s">
        <v>8329</v>
      </c>
      <c r="M5" s="416" t="s">
        <v>8330</v>
      </c>
      <c r="N5" s="416" t="s">
        <v>8331</v>
      </c>
      <c r="O5" s="130"/>
      <c r="P5" s="130"/>
      <c r="Q5" s="130"/>
      <c r="R5" s="130"/>
      <c r="S5" s="130"/>
      <c r="T5" s="130"/>
      <c r="U5" s="130"/>
      <c r="V5" s="130"/>
      <c r="W5" s="130"/>
    </row>
    <row r="6">
      <c r="A6" s="399" t="s">
        <v>8332</v>
      </c>
      <c r="B6" s="399" t="s">
        <v>8333</v>
      </c>
      <c r="C6" s="106" t="s">
        <v>8334</v>
      </c>
      <c r="D6" s="106" t="str">
        <f>IFERROR(__xludf.DUMMYFUNCTION("GOOGLETRANSLATE(B6,""zh-tw"",""ja"")"),"5 - 「低遅延モード」を「超高」に、「電源管理モード」を「最適電力」に設定します。")</f>
        <v>5 - 「低遅延モード」を「超高」に、「電源管理モード」を「最適電力」に設定します。</v>
      </c>
      <c r="E6" s="371" t="s">
        <v>8335</v>
      </c>
      <c r="F6" s="204" t="str">
        <f>IFERROR(__xludf.DUMMYFUNCTION("GOOGLETRANSLATE(B6,""zh-tw"",""en"")"),"5 - Set ""Low Latency Mode"" to ""Ultra High"" and ""Power Management Mode"" to ""Optimal Power"".")</f>
        <v>5 - Set "Low Latency Mode" to "Ultra High" and "Power Management Mode" to "Optimal Power".</v>
      </c>
      <c r="G6" s="415" t="s">
        <v>8336</v>
      </c>
      <c r="H6" s="400" t="str">
        <f>IFERROR(__xludf.DUMMYFUNCTION("GOOGLETRANSLATE(B6,""zh-tw"",""zh"")"),"5 - 将「低延迟模式」设为「超高」，电源管理模式设为「最佳电源」。")</f>
        <v>5 - 将「低延迟模式」设为「超高」，电源管理模式设为「最佳电源」。</v>
      </c>
      <c r="I6" s="401" t="s">
        <v>8337</v>
      </c>
      <c r="J6" s="401" t="s">
        <v>8338</v>
      </c>
      <c r="K6" s="180" t="s">
        <v>8339</v>
      </c>
      <c r="L6" s="180" t="s">
        <v>8340</v>
      </c>
      <c r="M6" s="416" t="s">
        <v>8341</v>
      </c>
      <c r="N6" s="416" t="s">
        <v>8342</v>
      </c>
      <c r="O6" s="130"/>
      <c r="P6" s="130"/>
      <c r="Q6" s="130"/>
      <c r="R6" s="130"/>
      <c r="S6" s="130"/>
      <c r="T6" s="130"/>
      <c r="U6" s="130"/>
      <c r="V6" s="130"/>
      <c r="W6" s="130"/>
    </row>
    <row r="7">
      <c r="A7" s="399" t="s">
        <v>8343</v>
      </c>
      <c r="B7" s="399" t="s">
        <v>8344</v>
      </c>
      <c r="C7" s="106" t="s">
        <v>8345</v>
      </c>
      <c r="D7" s="106" t="str">
        <f>IFERROR(__xludf.DUMMYFUNCTION("GOOGLETRANSLATE(B7,""zh-tw"",""ja"")"),"6-「垂直同期」を「高速」に設定します。")</f>
        <v>6-「垂直同期」を「高速」に設定します。</v>
      </c>
      <c r="E7" s="371" t="s">
        <v>8346</v>
      </c>
      <c r="F7" s="204" t="str">
        <f>IFERROR(__xludf.DUMMYFUNCTION("GOOGLETRANSLATE(B7,""zh-tw"",""en"")"),"6- Set ""Vertical Sync"" to ""Fast"".")</f>
        <v>6- Set "Vertical Sync" to "Fast".</v>
      </c>
      <c r="G7" s="415" t="s">
        <v>8347</v>
      </c>
      <c r="H7" s="400" t="str">
        <f>IFERROR(__xludf.DUMMYFUNCTION("GOOGLETRANSLATE(B7,""zh-tw"",""zh"")"),"6- 将「垂直同步」设为「快速」。")</f>
        <v>6- 将「垂直同步」设为「快速」。</v>
      </c>
      <c r="I7" s="401" t="s">
        <v>8348</v>
      </c>
      <c r="J7" s="401" t="s">
        <v>8349</v>
      </c>
      <c r="K7" s="180" t="s">
        <v>8350</v>
      </c>
      <c r="L7" s="180" t="s">
        <v>8351</v>
      </c>
      <c r="M7" s="416" t="s">
        <v>8352</v>
      </c>
      <c r="N7" s="416" t="s">
        <v>8353</v>
      </c>
      <c r="O7" s="130"/>
      <c r="P7" s="130"/>
      <c r="Q7" s="130"/>
      <c r="R7" s="130"/>
      <c r="S7" s="130"/>
      <c r="T7" s="130"/>
      <c r="U7" s="130"/>
      <c r="V7" s="130"/>
      <c r="W7" s="130"/>
    </row>
    <row r="8">
      <c r="A8" s="399" t="s">
        <v>8354</v>
      </c>
      <c r="B8" s="399" t="s">
        <v>8355</v>
      </c>
      <c r="C8" s="106" t="s">
        <v>8356</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71" t="s">
        <v>8357</v>
      </c>
      <c r="F8" s="204" t="str">
        <f>IFERROR(__xludf.DUMMYFUNCTION("GOOGLETRANSLATE(B8,""zh-tw"",""en"")"),"7 - If your computer cannot handle these options, please choose the best option.")</f>
        <v>7 - If your computer cannot handle these options, please choose the best option.</v>
      </c>
      <c r="G8" s="415" t="s">
        <v>8358</v>
      </c>
      <c r="H8" s="400" t="str">
        <f>IFERROR(__xludf.DUMMYFUNCTION("GOOGLETRANSLATE(B8,""zh-tw"",""zh"")"),"7 - 如果你的电脑无法负荷这些选项，请依照最佳的选项即可。")</f>
        <v>7 - 如果你的电脑无法负荷这些选项，请依照最佳的选项即可。</v>
      </c>
      <c r="I8" s="401" t="s">
        <v>8359</v>
      </c>
      <c r="J8" s="401" t="s">
        <v>8360</v>
      </c>
      <c r="K8" s="180" t="s">
        <v>8361</v>
      </c>
      <c r="L8" s="180" t="s">
        <v>8362</v>
      </c>
      <c r="M8" s="416" t="s">
        <v>8363</v>
      </c>
      <c r="N8" s="416" t="s">
        <v>8364</v>
      </c>
      <c r="O8" s="130"/>
      <c r="P8" s="130"/>
      <c r="Q8" s="130"/>
      <c r="R8" s="130"/>
      <c r="S8" s="130"/>
      <c r="T8" s="130"/>
      <c r="U8" s="130"/>
      <c r="V8" s="130"/>
      <c r="W8" s="130"/>
    </row>
    <row r="9">
      <c r="A9" s="399" t="s">
        <v>8365</v>
      </c>
      <c r="B9" s="399" t="s">
        <v>8366</v>
      </c>
      <c r="C9" s="106" t="s">
        <v>8367</v>
      </c>
      <c r="D9" s="106" t="str">
        <f>IFERROR(__xludf.DUMMYFUNCTION("GOOGLETRANSLATE(B9,""zh-tw"",""ja"")"),"8- ゲームを起動すると、その優れた安定性を体験できます。")</f>
        <v>8- ゲームを起動すると、その優れた安定性を体験できます。</v>
      </c>
      <c r="E9" s="371" t="s">
        <v>8368</v>
      </c>
      <c r="F9" s="204" t="str">
        <f>IFERROR(__xludf.DUMMYFUNCTION("GOOGLETRANSLATE(B9,""zh-tw"",""en"")"),"8- Now, launch the game and you will experience its excellent stability.")</f>
        <v>8- Now, launch the game and you will experience its excellent stability.</v>
      </c>
      <c r="G9" s="415" t="s">
        <v>8369</v>
      </c>
      <c r="H9" s="400" t="str">
        <f>IFERROR(__xludf.DUMMYFUNCTION("GOOGLETRANSLATE(B9,""zh-tw"",""zh"")"),"8- 现在，将游戏启动，你能体验到良好的稳定性能。")</f>
        <v>8- 现在，将游戏启动，你能体验到良好的稳定性能。</v>
      </c>
      <c r="I9" s="401" t="s">
        <v>8370</v>
      </c>
      <c r="J9" s="401" t="s">
        <v>8371</v>
      </c>
      <c r="K9" s="180" t="s">
        <v>8372</v>
      </c>
      <c r="L9" s="180" t="s">
        <v>8373</v>
      </c>
      <c r="M9" s="416" t="s">
        <v>8368</v>
      </c>
      <c r="N9" s="416" t="s">
        <v>8374</v>
      </c>
      <c r="O9" s="130"/>
      <c r="P9" s="130"/>
      <c r="Q9" s="130"/>
      <c r="R9" s="130"/>
      <c r="S9" s="130"/>
      <c r="T9" s="130"/>
      <c r="U9" s="130"/>
      <c r="V9" s="130"/>
      <c r="W9" s="130"/>
    </row>
    <row r="10">
      <c r="A10" s="399"/>
      <c r="B10" s="417" t="s">
        <v>8375</v>
      </c>
      <c r="C10" s="184"/>
      <c r="D10" s="418" t="s">
        <v>8376</v>
      </c>
      <c r="E10" s="419"/>
      <c r="F10" s="420" t="s">
        <v>8272</v>
      </c>
      <c r="G10" s="400"/>
      <c r="H10" s="421" t="s">
        <v>8377</v>
      </c>
      <c r="I10" s="422"/>
      <c r="J10" s="423" t="s">
        <v>8274</v>
      </c>
      <c r="K10" s="185"/>
      <c r="L10" s="409" t="str">
        <f>HYPERLINK("https://www.youtube.com/watch?v=9NSNcMB5M2o&amp;ab_channel=gabrielb", "Video Youtube tham khảo")</f>
        <v>Video Youtube tham khảo</v>
      </c>
      <c r="M10" s="424"/>
      <c r="N10" s="425" t="s">
        <v>8378</v>
      </c>
      <c r="O10" s="130"/>
      <c r="P10" s="130"/>
      <c r="Q10" s="130"/>
      <c r="R10" s="130"/>
      <c r="S10" s="130"/>
      <c r="T10" s="130"/>
      <c r="U10" s="130"/>
      <c r="V10" s="130"/>
      <c r="W10" s="130"/>
    </row>
    <row r="11">
      <c r="A11" s="411"/>
      <c r="B11" s="411"/>
      <c r="C11" s="130"/>
      <c r="D11" s="130"/>
      <c r="E11" s="130"/>
      <c r="F11" s="411"/>
      <c r="G11" s="130"/>
      <c r="H11" s="130"/>
      <c r="I11" s="130"/>
      <c r="J11" s="338"/>
      <c r="K11" s="239"/>
      <c r="L11" s="239"/>
      <c r="M11" s="130"/>
      <c r="N11" s="130"/>
      <c r="O11" s="130"/>
      <c r="P11" s="130"/>
      <c r="Q11" s="130"/>
      <c r="R11" s="130"/>
      <c r="S11" s="130"/>
      <c r="T11" s="130"/>
      <c r="U11" s="130"/>
      <c r="V11" s="130"/>
      <c r="W11" s="130"/>
    </row>
    <row r="12">
      <c r="A12" s="411"/>
      <c r="B12" s="411"/>
      <c r="C12" s="130"/>
      <c r="D12" s="130"/>
      <c r="E12" s="130"/>
      <c r="F12" s="130"/>
      <c r="G12" s="130"/>
      <c r="H12" s="130"/>
      <c r="I12" s="130"/>
      <c r="J12" s="130"/>
      <c r="K12" s="239"/>
      <c r="L12" s="239"/>
      <c r="M12" s="130"/>
      <c r="N12" s="130"/>
      <c r="O12" s="130"/>
      <c r="P12" s="130"/>
      <c r="Q12" s="130"/>
      <c r="R12" s="130"/>
      <c r="S12" s="130"/>
      <c r="T12" s="130"/>
      <c r="U12" s="130"/>
      <c r="V12" s="130"/>
      <c r="W12" s="130"/>
    </row>
    <row r="13">
      <c r="A13" s="411"/>
      <c r="B13" s="411"/>
      <c r="C13" s="130"/>
      <c r="D13" s="130"/>
      <c r="E13" s="130"/>
      <c r="F13" s="130"/>
      <c r="G13" s="130"/>
      <c r="H13" s="130"/>
      <c r="I13" s="130"/>
      <c r="J13" s="130"/>
      <c r="K13" s="239"/>
      <c r="L13" s="239"/>
      <c r="M13" s="130"/>
      <c r="N13" s="130"/>
      <c r="O13" s="130"/>
      <c r="P13" s="130"/>
      <c r="Q13" s="130"/>
      <c r="R13" s="130"/>
      <c r="S13" s="130"/>
      <c r="T13" s="130"/>
      <c r="U13" s="130"/>
      <c r="V13" s="130"/>
      <c r="W13" s="130"/>
    </row>
    <row r="14">
      <c r="A14" s="411"/>
      <c r="B14" s="411"/>
      <c r="C14" s="130"/>
      <c r="D14" s="130"/>
      <c r="E14" s="130"/>
      <c r="F14" s="130"/>
      <c r="G14" s="130"/>
      <c r="H14" s="130"/>
      <c r="I14" s="130"/>
      <c r="J14" s="130"/>
      <c r="K14" s="239"/>
      <c r="L14" s="239"/>
      <c r="M14" s="130"/>
      <c r="N14" s="130"/>
      <c r="O14" s="130"/>
      <c r="P14" s="130"/>
      <c r="Q14" s="130"/>
      <c r="R14" s="130"/>
      <c r="S14" s="130"/>
      <c r="T14" s="130"/>
      <c r="U14" s="130"/>
      <c r="V14" s="130"/>
      <c r="W14" s="130"/>
    </row>
    <row r="15">
      <c r="A15" s="411"/>
      <c r="B15" s="411"/>
      <c r="C15" s="130"/>
      <c r="D15" s="130"/>
      <c r="E15" s="130"/>
      <c r="F15" s="130"/>
      <c r="G15" s="130"/>
      <c r="H15" s="130"/>
      <c r="I15" s="130"/>
      <c r="J15" s="130"/>
      <c r="K15" s="239"/>
      <c r="L15" s="239"/>
      <c r="M15" s="130"/>
      <c r="N15" s="130"/>
      <c r="O15" s="130"/>
      <c r="P15" s="130"/>
      <c r="Q15" s="130"/>
      <c r="R15" s="130"/>
      <c r="S15" s="130"/>
      <c r="T15" s="130"/>
      <c r="U15" s="130"/>
      <c r="V15" s="130"/>
      <c r="W15" s="130"/>
    </row>
    <row r="16">
      <c r="A16" s="411"/>
      <c r="B16" s="411"/>
      <c r="C16" s="130"/>
      <c r="D16" s="130"/>
      <c r="E16" s="130"/>
      <c r="F16" s="130"/>
      <c r="G16" s="130"/>
      <c r="H16" s="130"/>
      <c r="I16" s="130"/>
      <c r="J16" s="130"/>
      <c r="K16" s="239"/>
      <c r="L16" s="239"/>
      <c r="M16" s="130"/>
      <c r="N16" s="130"/>
      <c r="O16" s="130"/>
      <c r="P16" s="130"/>
      <c r="Q16" s="130"/>
      <c r="R16" s="130"/>
      <c r="S16" s="130"/>
      <c r="T16" s="130"/>
      <c r="U16" s="130"/>
      <c r="V16" s="130"/>
      <c r="W16" s="130"/>
    </row>
    <row r="17">
      <c r="A17" s="411"/>
      <c r="B17" s="411"/>
      <c r="C17" s="130"/>
      <c r="D17" s="130"/>
      <c r="E17" s="130"/>
      <c r="F17" s="130"/>
      <c r="G17" s="130"/>
      <c r="H17" s="130"/>
      <c r="I17" s="130"/>
      <c r="J17" s="130"/>
      <c r="K17" s="239"/>
      <c r="L17" s="239"/>
      <c r="M17" s="130"/>
      <c r="N17" s="130"/>
      <c r="O17" s="130"/>
      <c r="P17" s="130"/>
      <c r="Q17" s="130"/>
      <c r="R17" s="130"/>
      <c r="S17" s="130"/>
      <c r="T17" s="130"/>
      <c r="U17" s="130"/>
      <c r="V17" s="130"/>
      <c r="W17" s="130"/>
    </row>
    <row r="18">
      <c r="A18" s="411"/>
      <c r="B18" s="411"/>
      <c r="C18" s="130"/>
      <c r="D18" s="130"/>
      <c r="E18" s="130"/>
      <c r="F18" s="130"/>
      <c r="G18" s="130"/>
      <c r="H18" s="130"/>
      <c r="I18" s="130"/>
      <c r="J18" s="130"/>
      <c r="K18" s="239"/>
      <c r="L18" s="239"/>
      <c r="M18" s="130"/>
      <c r="N18" s="130"/>
      <c r="O18" s="130"/>
      <c r="P18" s="130"/>
      <c r="Q18" s="130"/>
      <c r="R18" s="130"/>
      <c r="S18" s="130"/>
      <c r="T18" s="130"/>
      <c r="U18" s="130"/>
      <c r="V18" s="130"/>
      <c r="W18" s="130"/>
    </row>
    <row r="19">
      <c r="A19" s="411"/>
      <c r="B19" s="411"/>
      <c r="C19" s="130"/>
      <c r="D19" s="130"/>
      <c r="E19" s="130"/>
      <c r="F19" s="130"/>
      <c r="G19" s="130"/>
      <c r="H19" s="130"/>
      <c r="I19" s="130"/>
      <c r="J19" s="130"/>
      <c r="K19" s="239"/>
      <c r="L19" s="239"/>
      <c r="M19" s="130"/>
      <c r="N19" s="130"/>
      <c r="O19" s="130"/>
      <c r="P19" s="130"/>
      <c r="Q19" s="130"/>
      <c r="R19" s="130"/>
      <c r="S19" s="130"/>
      <c r="T19" s="130"/>
      <c r="U19" s="130"/>
      <c r="V19" s="130"/>
      <c r="W19" s="130"/>
    </row>
    <row r="20">
      <c r="A20" s="411"/>
      <c r="B20" s="411"/>
      <c r="C20" s="130"/>
      <c r="D20" s="130"/>
      <c r="E20" s="130"/>
      <c r="F20" s="130"/>
      <c r="G20" s="130"/>
      <c r="H20" s="130"/>
      <c r="I20" s="130"/>
      <c r="J20" s="130"/>
      <c r="K20" s="239"/>
      <c r="L20" s="239"/>
      <c r="M20" s="130"/>
      <c r="N20" s="130"/>
      <c r="O20" s="130"/>
      <c r="P20" s="130"/>
      <c r="Q20" s="130"/>
      <c r="R20" s="130"/>
      <c r="S20" s="130"/>
      <c r="T20" s="130"/>
      <c r="U20" s="130"/>
      <c r="V20" s="130"/>
      <c r="W20" s="130"/>
    </row>
    <row r="21">
      <c r="A21" s="411"/>
      <c r="B21" s="411"/>
      <c r="C21" s="130"/>
      <c r="D21" s="130"/>
      <c r="E21" s="130"/>
      <c r="F21" s="130"/>
      <c r="G21" s="130"/>
      <c r="H21" s="130"/>
      <c r="I21" s="130"/>
      <c r="J21" s="130"/>
      <c r="K21" s="239"/>
      <c r="L21" s="239"/>
      <c r="M21" s="130"/>
      <c r="N21" s="130"/>
      <c r="O21" s="130"/>
      <c r="P21" s="130"/>
      <c r="Q21" s="130"/>
      <c r="R21" s="130"/>
      <c r="S21" s="130"/>
      <c r="T21" s="130"/>
      <c r="U21" s="130"/>
      <c r="V21" s="130"/>
      <c r="W21" s="130"/>
    </row>
    <row r="22">
      <c r="A22" s="426"/>
      <c r="B22" s="411"/>
      <c r="C22" s="130"/>
      <c r="D22" s="130"/>
      <c r="E22" s="130"/>
      <c r="F22" s="130"/>
      <c r="G22" s="130"/>
      <c r="H22" s="130"/>
      <c r="I22" s="130"/>
      <c r="J22" s="130"/>
      <c r="K22" s="239"/>
      <c r="L22" s="239"/>
      <c r="M22" s="130"/>
      <c r="N22" s="130"/>
      <c r="O22" s="130"/>
      <c r="P22" s="130"/>
      <c r="Q22" s="130"/>
      <c r="R22" s="130"/>
      <c r="S22" s="130"/>
      <c r="T22" s="130"/>
      <c r="U22" s="130"/>
      <c r="V22" s="130"/>
      <c r="W22" s="130"/>
    </row>
    <row r="23">
      <c r="A23" s="411"/>
      <c r="B23" s="411"/>
      <c r="C23" s="130"/>
      <c r="D23" s="130"/>
      <c r="E23" s="130"/>
      <c r="F23" s="130"/>
      <c r="G23" s="130"/>
      <c r="H23" s="130"/>
      <c r="I23" s="130"/>
      <c r="J23" s="130"/>
      <c r="K23" s="239"/>
      <c r="L23" s="239"/>
      <c r="M23" s="130"/>
      <c r="N23" s="130"/>
      <c r="O23" s="130"/>
      <c r="P23" s="130"/>
      <c r="Q23" s="130"/>
      <c r="R23" s="130"/>
      <c r="S23" s="130"/>
      <c r="T23" s="130"/>
      <c r="U23" s="130"/>
      <c r="V23" s="130"/>
      <c r="W23" s="130"/>
    </row>
    <row r="24">
      <c r="A24" s="411"/>
      <c r="B24" s="411"/>
      <c r="C24" s="130"/>
      <c r="D24" s="130"/>
      <c r="E24" s="130"/>
      <c r="F24" s="130"/>
      <c r="G24" s="130"/>
      <c r="H24" s="130"/>
      <c r="I24" s="130"/>
      <c r="J24" s="130"/>
      <c r="K24" s="239"/>
      <c r="L24" s="239"/>
      <c r="M24" s="130"/>
      <c r="N24" s="130"/>
      <c r="O24" s="130"/>
      <c r="P24" s="130"/>
      <c r="Q24" s="130"/>
      <c r="R24" s="130"/>
      <c r="S24" s="130"/>
      <c r="T24" s="130"/>
      <c r="U24" s="130"/>
      <c r="V24" s="130"/>
      <c r="W24" s="130"/>
    </row>
    <row r="25">
      <c r="A25" s="411"/>
      <c r="B25" s="411"/>
      <c r="C25" s="130"/>
      <c r="D25" s="130"/>
      <c r="E25" s="130"/>
      <c r="F25" s="130"/>
      <c r="G25" s="130"/>
      <c r="H25" s="130"/>
      <c r="I25" s="130"/>
      <c r="J25" s="130"/>
      <c r="K25" s="239"/>
      <c r="L25" s="239"/>
      <c r="M25" s="130"/>
      <c r="N25" s="130"/>
      <c r="O25" s="130"/>
      <c r="P25" s="130"/>
      <c r="Q25" s="130"/>
      <c r="R25" s="130"/>
      <c r="S25" s="130"/>
      <c r="T25" s="130"/>
      <c r="U25" s="130"/>
      <c r="V25" s="130"/>
      <c r="W25" s="130"/>
    </row>
    <row r="26">
      <c r="A26" s="411"/>
      <c r="B26" s="411"/>
      <c r="C26" s="130"/>
      <c r="D26" s="130"/>
      <c r="E26" s="130"/>
      <c r="F26" s="130"/>
      <c r="G26" s="130"/>
      <c r="H26" s="130"/>
      <c r="I26" s="130"/>
      <c r="J26" s="130"/>
      <c r="K26" s="239"/>
      <c r="L26" s="239"/>
      <c r="M26" s="130"/>
      <c r="N26" s="130"/>
      <c r="O26" s="130"/>
      <c r="P26" s="130"/>
      <c r="Q26" s="130"/>
      <c r="R26" s="130"/>
      <c r="S26" s="130"/>
      <c r="T26" s="130"/>
      <c r="U26" s="130"/>
      <c r="V26" s="130"/>
      <c r="W26" s="130"/>
    </row>
    <row r="27">
      <c r="A27" s="411"/>
      <c r="B27" s="411"/>
      <c r="C27" s="130"/>
      <c r="D27" s="130"/>
      <c r="E27" s="130"/>
      <c r="F27" s="130"/>
      <c r="G27" s="130"/>
      <c r="H27" s="130"/>
      <c r="I27" s="130"/>
      <c r="J27" s="130"/>
      <c r="K27" s="239"/>
      <c r="L27" s="239"/>
      <c r="M27" s="130"/>
      <c r="N27" s="130"/>
      <c r="O27" s="130"/>
      <c r="P27" s="130"/>
      <c r="Q27" s="130"/>
      <c r="R27" s="130"/>
      <c r="S27" s="130"/>
      <c r="T27" s="130"/>
      <c r="U27" s="130"/>
      <c r="V27" s="130"/>
      <c r="W27" s="130"/>
    </row>
    <row r="28">
      <c r="A28" s="411"/>
      <c r="B28" s="411"/>
      <c r="C28" s="130"/>
      <c r="D28" s="130"/>
      <c r="E28" s="130"/>
      <c r="F28" s="130"/>
      <c r="G28" s="130"/>
      <c r="H28" s="130"/>
      <c r="I28" s="130"/>
      <c r="J28" s="130"/>
      <c r="K28" s="239"/>
      <c r="L28" s="239"/>
      <c r="M28" s="130"/>
      <c r="N28" s="130"/>
      <c r="O28" s="130"/>
      <c r="P28" s="130"/>
      <c r="Q28" s="130"/>
      <c r="R28" s="130"/>
      <c r="S28" s="130"/>
      <c r="T28" s="130"/>
      <c r="U28" s="130"/>
      <c r="V28" s="130"/>
      <c r="W28" s="130"/>
    </row>
    <row r="29">
      <c r="A29" s="411"/>
      <c r="B29" s="411"/>
      <c r="C29" s="130"/>
      <c r="D29" s="130"/>
      <c r="E29" s="130"/>
      <c r="F29" s="130"/>
      <c r="G29" s="130"/>
      <c r="H29" s="130"/>
      <c r="I29" s="130"/>
      <c r="J29" s="130"/>
      <c r="K29" s="239"/>
      <c r="L29" s="239"/>
      <c r="M29" s="130"/>
      <c r="N29" s="130"/>
      <c r="O29" s="130"/>
      <c r="P29" s="130"/>
      <c r="Q29" s="130"/>
      <c r="R29" s="130"/>
      <c r="S29" s="130"/>
      <c r="T29" s="130"/>
      <c r="U29" s="130"/>
      <c r="V29" s="130"/>
      <c r="W29" s="130"/>
    </row>
    <row r="30">
      <c r="A30" s="411"/>
      <c r="B30" s="411"/>
      <c r="C30" s="130"/>
      <c r="D30" s="130"/>
      <c r="E30" s="130"/>
      <c r="F30" s="130"/>
      <c r="G30" s="130"/>
      <c r="H30" s="130"/>
      <c r="I30" s="130"/>
      <c r="J30" s="130"/>
      <c r="K30" s="239"/>
      <c r="L30" s="239"/>
      <c r="M30" s="130"/>
      <c r="N30" s="130"/>
      <c r="O30" s="130"/>
      <c r="P30" s="130"/>
      <c r="Q30" s="130"/>
      <c r="R30" s="130"/>
      <c r="S30" s="130"/>
      <c r="T30" s="130"/>
      <c r="U30" s="130"/>
      <c r="V30" s="130"/>
      <c r="W30" s="130"/>
    </row>
    <row r="31">
      <c r="A31" s="411"/>
      <c r="B31" s="411"/>
      <c r="C31" s="130"/>
      <c r="D31" s="130"/>
      <c r="E31" s="130"/>
      <c r="F31" s="130"/>
      <c r="G31" s="130"/>
      <c r="H31" s="130"/>
      <c r="I31" s="130"/>
      <c r="J31" s="130"/>
      <c r="K31" s="239"/>
      <c r="L31" s="239"/>
      <c r="M31" s="130"/>
      <c r="N31" s="130"/>
      <c r="O31" s="130"/>
      <c r="P31" s="130"/>
      <c r="Q31" s="130"/>
      <c r="R31" s="130"/>
      <c r="S31" s="130"/>
      <c r="T31" s="130"/>
      <c r="U31" s="130"/>
      <c r="V31" s="130"/>
      <c r="W31" s="130"/>
    </row>
    <row r="32">
      <c r="A32" s="411"/>
      <c r="B32" s="411"/>
      <c r="C32" s="130"/>
      <c r="D32" s="130"/>
      <c r="E32" s="130"/>
      <c r="F32" s="130"/>
      <c r="G32" s="130"/>
      <c r="H32" s="130"/>
      <c r="I32" s="130"/>
      <c r="J32" s="130"/>
      <c r="K32" s="239"/>
      <c r="L32" s="239"/>
      <c r="M32" s="130"/>
      <c r="N32" s="130"/>
      <c r="O32" s="130"/>
      <c r="P32" s="130"/>
      <c r="Q32" s="130"/>
      <c r="R32" s="130"/>
      <c r="S32" s="130"/>
      <c r="T32" s="130"/>
      <c r="U32" s="130"/>
      <c r="V32" s="130"/>
      <c r="W32" s="130"/>
    </row>
    <row r="33">
      <c r="A33" s="411"/>
      <c r="B33" s="411"/>
      <c r="C33" s="130"/>
      <c r="D33" s="130"/>
      <c r="E33" s="130"/>
      <c r="F33" s="130"/>
      <c r="G33" s="130"/>
      <c r="H33" s="130"/>
      <c r="I33" s="130"/>
      <c r="J33" s="130"/>
      <c r="K33" s="239"/>
      <c r="L33" s="239"/>
      <c r="M33" s="130"/>
      <c r="N33" s="130"/>
      <c r="O33" s="130"/>
      <c r="P33" s="130"/>
      <c r="Q33" s="130"/>
      <c r="R33" s="130"/>
      <c r="S33" s="130"/>
      <c r="T33" s="130"/>
      <c r="U33" s="130"/>
      <c r="V33" s="130"/>
      <c r="W33" s="130"/>
    </row>
    <row r="34">
      <c r="A34" s="411"/>
      <c r="B34" s="411"/>
      <c r="C34" s="130"/>
      <c r="D34" s="130"/>
      <c r="E34" s="130"/>
      <c r="F34" s="130"/>
      <c r="G34" s="130"/>
      <c r="H34" s="130"/>
      <c r="I34" s="130"/>
      <c r="J34" s="130"/>
      <c r="K34" s="239"/>
      <c r="L34" s="239"/>
      <c r="M34" s="130"/>
      <c r="N34" s="130"/>
      <c r="O34" s="130"/>
      <c r="P34" s="130"/>
      <c r="Q34" s="130"/>
      <c r="R34" s="130"/>
      <c r="S34" s="130"/>
      <c r="T34" s="130"/>
      <c r="U34" s="130"/>
      <c r="V34" s="130"/>
      <c r="W34" s="130"/>
    </row>
    <row r="35">
      <c r="A35" s="411"/>
      <c r="B35" s="411"/>
      <c r="C35" s="130"/>
      <c r="D35" s="130"/>
      <c r="E35" s="130"/>
      <c r="F35" s="130"/>
      <c r="G35" s="130"/>
      <c r="H35" s="130"/>
      <c r="I35" s="130"/>
      <c r="J35" s="130"/>
      <c r="K35" s="239"/>
      <c r="L35" s="239"/>
      <c r="M35" s="130"/>
      <c r="N35" s="130"/>
      <c r="O35" s="130"/>
      <c r="P35" s="130"/>
      <c r="Q35" s="130"/>
      <c r="R35" s="130"/>
      <c r="S35" s="130"/>
      <c r="T35" s="130"/>
      <c r="U35" s="130"/>
      <c r="V35" s="130"/>
      <c r="W35" s="130"/>
    </row>
    <row r="36">
      <c r="A36" s="130"/>
      <c r="B36" s="130"/>
      <c r="C36" s="130"/>
      <c r="D36" s="130"/>
      <c r="E36" s="130"/>
      <c r="F36" s="130"/>
      <c r="G36" s="130"/>
      <c r="H36" s="130"/>
      <c r="I36" s="130"/>
      <c r="J36" s="130"/>
      <c r="K36" s="239"/>
      <c r="L36" s="239"/>
      <c r="M36" s="130"/>
      <c r="N36" s="130"/>
      <c r="O36" s="130"/>
      <c r="P36" s="130"/>
      <c r="Q36" s="130"/>
      <c r="R36" s="130"/>
      <c r="S36" s="130"/>
      <c r="T36" s="130"/>
      <c r="U36" s="130"/>
      <c r="V36" s="130"/>
      <c r="W36" s="130"/>
    </row>
    <row r="37">
      <c r="A37" s="130"/>
      <c r="B37" s="130"/>
      <c r="C37" s="130"/>
      <c r="D37" s="130"/>
      <c r="E37" s="130"/>
      <c r="F37" s="130"/>
      <c r="G37" s="130"/>
      <c r="H37" s="130"/>
      <c r="I37" s="130"/>
      <c r="J37" s="130"/>
      <c r="K37" s="239"/>
      <c r="L37" s="239"/>
      <c r="M37" s="130"/>
      <c r="N37" s="130"/>
      <c r="O37" s="130"/>
      <c r="P37" s="130"/>
      <c r="Q37" s="130"/>
      <c r="R37" s="130"/>
      <c r="S37" s="130"/>
      <c r="T37" s="130"/>
      <c r="U37" s="130"/>
      <c r="V37" s="130"/>
      <c r="W37" s="130"/>
    </row>
    <row r="38">
      <c r="A38" s="130"/>
      <c r="B38" s="130"/>
      <c r="C38" s="130"/>
      <c r="D38" s="130"/>
      <c r="E38" s="130"/>
      <c r="F38" s="130"/>
      <c r="G38" s="130"/>
      <c r="H38" s="130"/>
      <c r="I38" s="130"/>
      <c r="J38" s="130"/>
      <c r="K38" s="239"/>
      <c r="L38" s="239"/>
      <c r="M38" s="130"/>
      <c r="N38" s="130"/>
      <c r="O38" s="130"/>
      <c r="P38" s="130"/>
      <c r="Q38" s="130"/>
      <c r="R38" s="130"/>
      <c r="S38" s="130"/>
      <c r="T38" s="130"/>
      <c r="U38" s="130"/>
      <c r="V38" s="130"/>
      <c r="W38" s="130"/>
    </row>
    <row r="39">
      <c r="A39" s="130"/>
      <c r="B39" s="130"/>
      <c r="C39" s="130"/>
      <c r="D39" s="130"/>
      <c r="E39" s="130"/>
      <c r="F39" s="130"/>
      <c r="G39" s="130"/>
      <c r="H39" s="130"/>
      <c r="I39" s="130"/>
      <c r="J39" s="130"/>
      <c r="K39" s="239"/>
      <c r="L39" s="239"/>
      <c r="M39" s="130"/>
      <c r="N39" s="130"/>
      <c r="O39" s="130"/>
      <c r="P39" s="130"/>
      <c r="Q39" s="130"/>
      <c r="R39" s="130"/>
      <c r="S39" s="130"/>
      <c r="T39" s="130"/>
      <c r="U39" s="130"/>
      <c r="V39" s="130"/>
      <c r="W39" s="130"/>
    </row>
    <row r="40">
      <c r="A40" s="130"/>
      <c r="B40" s="130"/>
      <c r="C40" s="130"/>
      <c r="D40" s="130"/>
      <c r="E40" s="130"/>
      <c r="F40" s="130"/>
      <c r="G40" s="130"/>
      <c r="H40" s="130"/>
      <c r="I40" s="130"/>
      <c r="J40" s="130"/>
      <c r="K40" s="239"/>
      <c r="L40" s="239"/>
      <c r="M40" s="130"/>
      <c r="N40" s="130"/>
      <c r="O40" s="130"/>
      <c r="P40" s="130"/>
      <c r="Q40" s="130"/>
      <c r="R40" s="130"/>
      <c r="S40" s="130"/>
      <c r="T40" s="130"/>
      <c r="U40" s="130"/>
      <c r="V40" s="130"/>
      <c r="W40" s="130"/>
    </row>
    <row r="41">
      <c r="A41" s="130"/>
      <c r="B41" s="130"/>
      <c r="C41" s="130"/>
      <c r="D41" s="130"/>
      <c r="E41" s="130"/>
      <c r="F41" s="130"/>
      <c r="G41" s="130"/>
      <c r="H41" s="130"/>
      <c r="I41" s="130"/>
      <c r="J41" s="130"/>
      <c r="K41" s="239"/>
      <c r="L41" s="239"/>
      <c r="M41" s="130"/>
      <c r="N41" s="130"/>
      <c r="O41" s="130"/>
      <c r="P41" s="130"/>
      <c r="Q41" s="130"/>
      <c r="R41" s="130"/>
      <c r="S41" s="130"/>
      <c r="T41" s="130"/>
      <c r="U41" s="130"/>
      <c r="V41" s="130"/>
      <c r="W41" s="130"/>
    </row>
    <row r="42">
      <c r="A42" s="130"/>
      <c r="B42" s="130"/>
      <c r="C42" s="130"/>
      <c r="D42" s="130"/>
      <c r="E42" s="130"/>
      <c r="F42" s="130"/>
      <c r="G42" s="130"/>
      <c r="H42" s="130"/>
      <c r="I42" s="130"/>
      <c r="J42" s="130"/>
      <c r="K42" s="239"/>
      <c r="L42" s="239"/>
      <c r="M42" s="130"/>
      <c r="N42" s="130"/>
      <c r="O42" s="130"/>
      <c r="P42" s="130"/>
      <c r="Q42" s="130"/>
      <c r="R42" s="130"/>
      <c r="S42" s="130"/>
      <c r="T42" s="130"/>
      <c r="U42" s="130"/>
      <c r="V42" s="130"/>
      <c r="W42" s="130"/>
    </row>
    <row r="43">
      <c r="A43" s="130"/>
      <c r="B43" s="130"/>
      <c r="C43" s="130"/>
      <c r="D43" s="130"/>
      <c r="E43" s="130"/>
      <c r="F43" s="130"/>
      <c r="G43" s="130"/>
      <c r="H43" s="130"/>
      <c r="I43" s="130"/>
      <c r="J43" s="130"/>
      <c r="K43" s="239"/>
      <c r="L43" s="239"/>
      <c r="M43" s="130"/>
      <c r="N43" s="130"/>
      <c r="O43" s="130"/>
      <c r="P43" s="130"/>
      <c r="Q43" s="130"/>
      <c r="R43" s="130"/>
      <c r="S43" s="130"/>
      <c r="T43" s="130"/>
      <c r="U43" s="130"/>
      <c r="V43" s="130"/>
      <c r="W43" s="130"/>
    </row>
    <row r="44">
      <c r="A44" s="130"/>
      <c r="B44" s="130"/>
      <c r="C44" s="130"/>
      <c r="D44" s="130"/>
      <c r="E44" s="130"/>
      <c r="F44" s="130"/>
      <c r="G44" s="130"/>
      <c r="H44" s="130"/>
      <c r="I44" s="130"/>
      <c r="J44" s="130"/>
      <c r="K44" s="239"/>
      <c r="L44" s="239"/>
      <c r="M44" s="130"/>
      <c r="N44" s="130"/>
      <c r="O44" s="130"/>
      <c r="P44" s="130"/>
      <c r="Q44" s="130"/>
      <c r="R44" s="130"/>
      <c r="S44" s="130"/>
      <c r="T44" s="130"/>
      <c r="U44" s="130"/>
      <c r="V44" s="130"/>
      <c r="W44" s="130"/>
    </row>
    <row r="45">
      <c r="A45" s="130"/>
      <c r="B45" s="130"/>
      <c r="C45" s="130"/>
      <c r="D45" s="130"/>
      <c r="E45" s="130"/>
      <c r="F45" s="130"/>
      <c r="G45" s="130"/>
      <c r="H45" s="130"/>
      <c r="I45" s="130"/>
      <c r="J45" s="130"/>
      <c r="K45" s="239"/>
      <c r="L45" s="239"/>
      <c r="M45" s="130"/>
      <c r="N45" s="130"/>
      <c r="O45" s="130"/>
      <c r="P45" s="130"/>
      <c r="Q45" s="130"/>
      <c r="R45" s="130"/>
      <c r="S45" s="130"/>
      <c r="T45" s="130"/>
      <c r="U45" s="130"/>
      <c r="V45" s="130"/>
      <c r="W45" s="130"/>
    </row>
    <row r="46">
      <c r="A46" s="130"/>
      <c r="B46" s="130"/>
      <c r="C46" s="130"/>
      <c r="D46" s="130"/>
      <c r="E46" s="130"/>
      <c r="F46" s="130"/>
      <c r="G46" s="130"/>
      <c r="H46" s="130"/>
      <c r="I46" s="130"/>
      <c r="J46" s="130"/>
      <c r="K46" s="239"/>
      <c r="L46" s="239"/>
      <c r="M46" s="130"/>
      <c r="N46" s="130"/>
      <c r="O46" s="130"/>
      <c r="P46" s="130"/>
      <c r="Q46" s="130"/>
      <c r="R46" s="130"/>
      <c r="S46" s="130"/>
      <c r="T46" s="130"/>
      <c r="U46" s="130"/>
      <c r="V46" s="130"/>
      <c r="W46" s="130"/>
    </row>
    <row r="47">
      <c r="A47" s="130"/>
      <c r="B47" s="130"/>
      <c r="C47" s="130"/>
      <c r="D47" s="130"/>
      <c r="E47" s="130"/>
      <c r="F47" s="130"/>
      <c r="G47" s="130"/>
      <c r="H47" s="130"/>
      <c r="I47" s="130"/>
      <c r="J47" s="130"/>
      <c r="K47" s="239"/>
      <c r="L47" s="239"/>
      <c r="M47" s="130"/>
      <c r="N47" s="130"/>
      <c r="O47" s="130"/>
      <c r="P47" s="130"/>
      <c r="Q47" s="130"/>
      <c r="R47" s="130"/>
      <c r="S47" s="130"/>
      <c r="T47" s="130"/>
      <c r="U47" s="130"/>
      <c r="V47" s="130"/>
      <c r="W47" s="130"/>
    </row>
    <row r="48">
      <c r="A48" s="130"/>
      <c r="B48" s="130"/>
      <c r="C48" s="130"/>
      <c r="D48" s="130"/>
      <c r="E48" s="130"/>
      <c r="F48" s="130"/>
      <c r="G48" s="130"/>
      <c r="H48" s="130"/>
      <c r="I48" s="130"/>
      <c r="J48" s="130"/>
      <c r="K48" s="239"/>
      <c r="L48" s="239"/>
      <c r="M48" s="130"/>
      <c r="N48" s="130"/>
      <c r="O48" s="130"/>
      <c r="P48" s="130"/>
      <c r="Q48" s="130"/>
      <c r="R48" s="130"/>
      <c r="S48" s="130"/>
      <c r="T48" s="130"/>
      <c r="U48" s="130"/>
      <c r="V48" s="130"/>
      <c r="W48" s="130"/>
    </row>
    <row r="49">
      <c r="A49" s="130"/>
      <c r="B49" s="130"/>
      <c r="C49" s="130"/>
      <c r="D49" s="130"/>
      <c r="E49" s="130"/>
      <c r="F49" s="130"/>
      <c r="G49" s="130"/>
      <c r="H49" s="130"/>
      <c r="I49" s="130"/>
      <c r="J49" s="130"/>
      <c r="K49" s="239"/>
      <c r="L49" s="239"/>
      <c r="M49" s="130"/>
      <c r="N49" s="130"/>
      <c r="O49" s="130"/>
      <c r="P49" s="130"/>
      <c r="Q49" s="130"/>
      <c r="R49" s="130"/>
      <c r="S49" s="130"/>
      <c r="T49" s="130"/>
      <c r="U49" s="130"/>
      <c r="V49" s="130"/>
      <c r="W49" s="130"/>
    </row>
    <row r="50">
      <c r="A50" s="130"/>
      <c r="B50" s="130"/>
      <c r="C50" s="130"/>
      <c r="D50" s="130"/>
      <c r="E50" s="130"/>
      <c r="F50" s="130"/>
      <c r="G50" s="130"/>
      <c r="H50" s="130"/>
      <c r="I50" s="130"/>
      <c r="J50" s="130"/>
      <c r="K50" s="239"/>
      <c r="L50" s="239"/>
      <c r="M50" s="130"/>
      <c r="N50" s="130"/>
      <c r="O50" s="130"/>
      <c r="P50" s="130"/>
      <c r="Q50" s="130"/>
      <c r="R50" s="130"/>
      <c r="S50" s="130"/>
      <c r="T50" s="130"/>
      <c r="U50" s="130"/>
      <c r="V50" s="130"/>
      <c r="W50" s="130"/>
    </row>
    <row r="51">
      <c r="A51" s="130"/>
      <c r="B51" s="130"/>
      <c r="C51" s="130"/>
      <c r="D51" s="130"/>
      <c r="E51" s="130"/>
      <c r="F51" s="130"/>
      <c r="G51" s="130"/>
      <c r="H51" s="130"/>
      <c r="I51" s="130"/>
      <c r="J51" s="130"/>
      <c r="K51" s="239"/>
      <c r="L51" s="239"/>
      <c r="M51" s="130"/>
      <c r="N51" s="130"/>
      <c r="O51" s="130"/>
      <c r="P51" s="130"/>
      <c r="Q51" s="130"/>
      <c r="R51" s="130"/>
      <c r="S51" s="130"/>
      <c r="T51" s="130"/>
      <c r="U51" s="130"/>
      <c r="V51" s="130"/>
      <c r="W51" s="130"/>
    </row>
    <row r="52">
      <c r="A52" s="130"/>
      <c r="B52" s="130"/>
      <c r="C52" s="130"/>
      <c r="D52" s="130"/>
      <c r="E52" s="130"/>
      <c r="F52" s="130"/>
      <c r="G52" s="130"/>
      <c r="H52" s="130"/>
      <c r="I52" s="130"/>
      <c r="J52" s="130"/>
      <c r="K52" s="239"/>
      <c r="L52" s="239"/>
      <c r="M52" s="130"/>
      <c r="N52" s="130"/>
      <c r="O52" s="130"/>
      <c r="P52" s="130"/>
      <c r="Q52" s="130"/>
      <c r="R52" s="130"/>
      <c r="S52" s="130"/>
      <c r="T52" s="130"/>
      <c r="U52" s="130"/>
      <c r="V52" s="130"/>
      <c r="W52" s="130"/>
    </row>
    <row r="53">
      <c r="A53" s="130"/>
      <c r="B53" s="130"/>
      <c r="C53" s="130"/>
      <c r="D53" s="130"/>
      <c r="E53" s="130"/>
      <c r="F53" s="130"/>
      <c r="G53" s="130"/>
      <c r="H53" s="130"/>
      <c r="I53" s="130"/>
      <c r="J53" s="130"/>
      <c r="K53" s="239"/>
      <c r="L53" s="239"/>
      <c r="M53" s="130"/>
      <c r="N53" s="130"/>
      <c r="O53" s="130"/>
      <c r="P53" s="130"/>
      <c r="Q53" s="130"/>
      <c r="R53" s="130"/>
      <c r="S53" s="130"/>
      <c r="T53" s="130"/>
      <c r="U53" s="130"/>
      <c r="V53" s="130"/>
      <c r="W53" s="130"/>
    </row>
    <row r="54">
      <c r="A54" s="130"/>
      <c r="B54" s="130"/>
      <c r="C54" s="130"/>
      <c r="D54" s="130"/>
      <c r="E54" s="130"/>
      <c r="F54" s="130"/>
      <c r="G54" s="130"/>
      <c r="H54" s="130"/>
      <c r="I54" s="130"/>
      <c r="J54" s="130"/>
      <c r="K54" s="239"/>
      <c r="L54" s="239"/>
      <c r="M54" s="130"/>
      <c r="N54" s="130"/>
      <c r="O54" s="130"/>
      <c r="P54" s="130"/>
      <c r="Q54" s="130"/>
      <c r="R54" s="130"/>
      <c r="S54" s="130"/>
      <c r="T54" s="130"/>
      <c r="U54" s="130"/>
      <c r="V54" s="130"/>
      <c r="W54" s="130"/>
    </row>
    <row r="55">
      <c r="A55" s="130"/>
      <c r="B55" s="130"/>
      <c r="C55" s="130"/>
      <c r="D55" s="130"/>
      <c r="E55" s="130"/>
      <c r="F55" s="130"/>
      <c r="G55" s="130"/>
      <c r="H55" s="130"/>
      <c r="I55" s="130"/>
      <c r="J55" s="130"/>
      <c r="K55" s="239"/>
      <c r="L55" s="239"/>
      <c r="M55" s="130"/>
      <c r="N55" s="130"/>
      <c r="O55" s="130"/>
      <c r="P55" s="130"/>
      <c r="Q55" s="130"/>
      <c r="R55" s="130"/>
      <c r="S55" s="130"/>
      <c r="T55" s="130"/>
      <c r="U55" s="130"/>
      <c r="V55" s="130"/>
      <c r="W55" s="130"/>
    </row>
    <row r="56">
      <c r="A56" s="130"/>
      <c r="B56" s="130"/>
      <c r="C56" s="130"/>
      <c r="D56" s="130"/>
      <c r="E56" s="130"/>
      <c r="F56" s="130"/>
      <c r="G56" s="130"/>
      <c r="H56" s="130"/>
      <c r="I56" s="130"/>
      <c r="J56" s="130"/>
      <c r="K56" s="239"/>
      <c r="L56" s="239"/>
      <c r="M56" s="130"/>
      <c r="N56" s="130"/>
      <c r="O56" s="130"/>
      <c r="P56" s="130"/>
      <c r="Q56" s="130"/>
      <c r="R56" s="130"/>
      <c r="S56" s="130"/>
      <c r="T56" s="130"/>
      <c r="U56" s="130"/>
      <c r="V56" s="130"/>
      <c r="W56" s="130"/>
    </row>
    <row r="57">
      <c r="A57" s="130"/>
      <c r="B57" s="130"/>
      <c r="C57" s="130"/>
      <c r="D57" s="130"/>
      <c r="E57" s="130"/>
      <c r="F57" s="130"/>
      <c r="G57" s="130"/>
      <c r="H57" s="130"/>
      <c r="I57" s="130"/>
      <c r="J57" s="130"/>
      <c r="K57" s="239"/>
      <c r="L57" s="239"/>
      <c r="M57" s="130"/>
      <c r="N57" s="130"/>
      <c r="O57" s="130"/>
      <c r="P57" s="130"/>
      <c r="Q57" s="130"/>
      <c r="R57" s="130"/>
      <c r="S57" s="130"/>
      <c r="T57" s="130"/>
      <c r="U57" s="130"/>
      <c r="V57" s="130"/>
      <c r="W57" s="130"/>
    </row>
    <row r="58">
      <c r="A58" s="130"/>
      <c r="B58" s="130"/>
      <c r="C58" s="130"/>
      <c r="D58" s="130"/>
      <c r="E58" s="130"/>
      <c r="F58" s="130"/>
      <c r="G58" s="130"/>
      <c r="H58" s="130"/>
      <c r="I58" s="130"/>
      <c r="J58" s="130"/>
      <c r="K58" s="239"/>
      <c r="L58" s="239"/>
      <c r="M58" s="130"/>
      <c r="N58" s="130"/>
      <c r="O58" s="130"/>
      <c r="P58" s="130"/>
      <c r="Q58" s="130"/>
      <c r="R58" s="130"/>
      <c r="S58" s="130"/>
      <c r="T58" s="130"/>
      <c r="U58" s="130"/>
      <c r="V58" s="130"/>
      <c r="W58" s="130"/>
    </row>
    <row r="59">
      <c r="A59" s="130"/>
      <c r="B59" s="130"/>
      <c r="C59" s="130"/>
      <c r="D59" s="130"/>
      <c r="E59" s="130"/>
      <c r="F59" s="130"/>
      <c r="G59" s="130"/>
      <c r="H59" s="130"/>
      <c r="I59" s="130"/>
      <c r="J59" s="130"/>
      <c r="K59" s="239"/>
      <c r="L59" s="239"/>
      <c r="M59" s="130"/>
      <c r="N59" s="130"/>
      <c r="O59" s="130"/>
      <c r="P59" s="130"/>
      <c r="Q59" s="130"/>
      <c r="R59" s="130"/>
      <c r="S59" s="130"/>
      <c r="T59" s="130"/>
      <c r="U59" s="130"/>
      <c r="V59" s="130"/>
      <c r="W59" s="130"/>
    </row>
    <row r="60">
      <c r="A60" s="130"/>
      <c r="B60" s="130"/>
      <c r="C60" s="130"/>
      <c r="D60" s="130"/>
      <c r="E60" s="130"/>
      <c r="F60" s="130"/>
      <c r="G60" s="130"/>
      <c r="H60" s="130"/>
      <c r="I60" s="130"/>
      <c r="J60" s="130"/>
      <c r="K60" s="239"/>
      <c r="L60" s="239"/>
      <c r="M60" s="130"/>
      <c r="N60" s="130"/>
      <c r="O60" s="130"/>
      <c r="P60" s="130"/>
      <c r="Q60" s="130"/>
      <c r="R60" s="130"/>
      <c r="S60" s="130"/>
      <c r="T60" s="130"/>
      <c r="U60" s="130"/>
      <c r="V60" s="130"/>
      <c r="W60" s="130"/>
    </row>
    <row r="61">
      <c r="A61" s="130"/>
      <c r="B61" s="130"/>
      <c r="C61" s="130"/>
      <c r="D61" s="130"/>
      <c r="E61" s="130"/>
      <c r="F61" s="130"/>
      <c r="G61" s="130"/>
      <c r="H61" s="130"/>
      <c r="I61" s="130"/>
      <c r="J61" s="130"/>
      <c r="K61" s="239"/>
      <c r="L61" s="239"/>
      <c r="M61" s="130"/>
      <c r="N61" s="130"/>
      <c r="O61" s="130"/>
      <c r="P61" s="130"/>
      <c r="Q61" s="130"/>
      <c r="R61" s="130"/>
      <c r="S61" s="130"/>
      <c r="T61" s="130"/>
      <c r="U61" s="130"/>
      <c r="V61" s="130"/>
      <c r="W61" s="130"/>
    </row>
    <row r="62">
      <c r="A62" s="130"/>
      <c r="B62" s="130"/>
      <c r="C62" s="130"/>
      <c r="D62" s="130"/>
      <c r="E62" s="130"/>
      <c r="F62" s="130"/>
      <c r="G62" s="130"/>
      <c r="H62" s="130"/>
      <c r="I62" s="130"/>
      <c r="J62" s="130"/>
      <c r="K62" s="239"/>
      <c r="L62" s="239"/>
      <c r="M62" s="130"/>
      <c r="N62" s="130"/>
      <c r="O62" s="130"/>
      <c r="P62" s="130"/>
      <c r="Q62" s="130"/>
      <c r="R62" s="130"/>
      <c r="S62" s="130"/>
      <c r="T62" s="130"/>
      <c r="U62" s="130"/>
      <c r="V62" s="130"/>
      <c r="W62" s="130"/>
    </row>
    <row r="63">
      <c r="A63" s="130"/>
      <c r="B63" s="130"/>
      <c r="C63" s="130"/>
      <c r="D63" s="130"/>
      <c r="E63" s="130"/>
      <c r="F63" s="130"/>
      <c r="G63" s="130"/>
      <c r="H63" s="130"/>
      <c r="I63" s="130"/>
      <c r="J63" s="130"/>
      <c r="K63" s="239"/>
      <c r="L63" s="239"/>
      <c r="M63" s="130"/>
      <c r="N63" s="130"/>
      <c r="O63" s="130"/>
      <c r="P63" s="130"/>
      <c r="Q63" s="130"/>
      <c r="R63" s="130"/>
      <c r="S63" s="130"/>
      <c r="T63" s="130"/>
      <c r="U63" s="130"/>
      <c r="V63" s="130"/>
      <c r="W63" s="130"/>
    </row>
    <row r="64">
      <c r="A64" s="130"/>
      <c r="B64" s="130"/>
      <c r="C64" s="130"/>
      <c r="D64" s="130"/>
      <c r="E64" s="130"/>
      <c r="F64" s="130"/>
      <c r="G64" s="130"/>
      <c r="H64" s="130"/>
      <c r="I64" s="130"/>
      <c r="J64" s="130"/>
      <c r="K64" s="239"/>
      <c r="L64" s="239"/>
      <c r="M64" s="130"/>
      <c r="N64" s="130"/>
      <c r="O64" s="130"/>
      <c r="P64" s="130"/>
      <c r="Q64" s="130"/>
      <c r="R64" s="130"/>
      <c r="S64" s="130"/>
      <c r="T64" s="130"/>
      <c r="U64" s="130"/>
      <c r="V64" s="130"/>
      <c r="W64" s="130"/>
    </row>
    <row r="65">
      <c r="A65" s="130"/>
      <c r="B65" s="130"/>
      <c r="C65" s="130"/>
      <c r="D65" s="130"/>
      <c r="E65" s="130"/>
      <c r="F65" s="130"/>
      <c r="G65" s="130"/>
      <c r="H65" s="130"/>
      <c r="I65" s="130"/>
      <c r="J65" s="130"/>
      <c r="K65" s="239"/>
      <c r="L65" s="239"/>
      <c r="M65" s="130"/>
      <c r="N65" s="130"/>
      <c r="O65" s="130"/>
      <c r="P65" s="130"/>
      <c r="Q65" s="130"/>
      <c r="R65" s="130"/>
      <c r="S65" s="130"/>
      <c r="T65" s="130"/>
      <c r="U65" s="130"/>
      <c r="V65" s="130"/>
      <c r="W65" s="130"/>
    </row>
    <row r="66">
      <c r="A66" s="130"/>
      <c r="B66" s="130"/>
      <c r="C66" s="130"/>
      <c r="D66" s="130"/>
      <c r="E66" s="130"/>
      <c r="F66" s="130"/>
      <c r="G66" s="130"/>
      <c r="H66" s="130"/>
      <c r="I66" s="130"/>
      <c r="J66" s="130"/>
      <c r="K66" s="239"/>
      <c r="L66" s="239"/>
      <c r="M66" s="130"/>
      <c r="N66" s="130"/>
      <c r="O66" s="130"/>
      <c r="P66" s="130"/>
      <c r="Q66" s="130"/>
      <c r="R66" s="130"/>
      <c r="S66" s="130"/>
      <c r="T66" s="130"/>
      <c r="U66" s="130"/>
      <c r="V66" s="130"/>
      <c r="W66" s="130"/>
    </row>
    <row r="67">
      <c r="A67" s="130"/>
      <c r="B67" s="130"/>
      <c r="C67" s="130"/>
      <c r="D67" s="130"/>
      <c r="E67" s="130"/>
      <c r="F67" s="130"/>
      <c r="G67" s="130"/>
      <c r="H67" s="130"/>
      <c r="I67" s="130"/>
      <c r="J67" s="130"/>
      <c r="K67" s="239"/>
      <c r="L67" s="239"/>
      <c r="M67" s="130"/>
      <c r="N67" s="130"/>
      <c r="O67" s="130"/>
      <c r="P67" s="130"/>
      <c r="Q67" s="130"/>
      <c r="R67" s="130"/>
      <c r="S67" s="130"/>
      <c r="T67" s="130"/>
      <c r="U67" s="130"/>
      <c r="V67" s="130"/>
      <c r="W67" s="130"/>
    </row>
    <row r="68">
      <c r="A68" s="130"/>
      <c r="B68" s="130"/>
      <c r="C68" s="130"/>
      <c r="D68" s="130"/>
      <c r="E68" s="130"/>
      <c r="F68" s="130"/>
      <c r="G68" s="130"/>
      <c r="H68" s="130"/>
      <c r="I68" s="130"/>
      <c r="J68" s="130"/>
      <c r="K68" s="239"/>
      <c r="L68" s="239"/>
      <c r="M68" s="130"/>
      <c r="N68" s="130"/>
      <c r="O68" s="130"/>
      <c r="P68" s="130"/>
      <c r="Q68" s="130"/>
      <c r="R68" s="130"/>
      <c r="S68" s="130"/>
      <c r="T68" s="130"/>
      <c r="U68" s="130"/>
      <c r="V68" s="130"/>
      <c r="W68" s="130"/>
    </row>
    <row r="69">
      <c r="A69" s="130"/>
      <c r="B69" s="130"/>
      <c r="C69" s="130"/>
      <c r="D69" s="130"/>
      <c r="E69" s="130"/>
      <c r="F69" s="130"/>
      <c r="G69" s="130"/>
      <c r="H69" s="130"/>
      <c r="I69" s="130"/>
      <c r="J69" s="130"/>
      <c r="K69" s="239"/>
      <c r="L69" s="239"/>
      <c r="M69" s="130"/>
      <c r="N69" s="130"/>
      <c r="O69" s="130"/>
      <c r="P69" s="130"/>
      <c r="Q69" s="130"/>
      <c r="R69" s="130"/>
      <c r="S69" s="130"/>
      <c r="T69" s="130"/>
      <c r="U69" s="130"/>
      <c r="V69" s="130"/>
      <c r="W69" s="130"/>
    </row>
    <row r="70">
      <c r="A70" s="130"/>
      <c r="B70" s="130"/>
      <c r="C70" s="130"/>
      <c r="D70" s="130"/>
      <c r="E70" s="130"/>
      <c r="F70" s="130"/>
      <c r="G70" s="130"/>
      <c r="H70" s="130"/>
      <c r="I70" s="130"/>
      <c r="J70" s="130"/>
      <c r="K70" s="239"/>
      <c r="L70" s="239"/>
      <c r="M70" s="130"/>
      <c r="N70" s="130"/>
      <c r="O70" s="130"/>
      <c r="P70" s="130"/>
      <c r="Q70" s="130"/>
      <c r="R70" s="130"/>
      <c r="S70" s="130"/>
      <c r="T70" s="130"/>
      <c r="U70" s="130"/>
      <c r="V70" s="130"/>
      <c r="W70" s="130"/>
    </row>
    <row r="71">
      <c r="A71" s="130"/>
      <c r="B71" s="130"/>
      <c r="C71" s="130"/>
      <c r="D71" s="130"/>
      <c r="E71" s="130"/>
      <c r="F71" s="130"/>
      <c r="G71" s="130"/>
      <c r="H71" s="130"/>
      <c r="I71" s="130"/>
      <c r="J71" s="130"/>
      <c r="K71" s="239"/>
      <c r="L71" s="239"/>
      <c r="M71" s="130"/>
      <c r="N71" s="130"/>
      <c r="O71" s="130"/>
      <c r="P71" s="130"/>
      <c r="Q71" s="130"/>
      <c r="R71" s="130"/>
      <c r="S71" s="130"/>
      <c r="T71" s="130"/>
      <c r="U71" s="130"/>
      <c r="V71" s="130"/>
      <c r="W71" s="130"/>
    </row>
    <row r="72">
      <c r="A72" s="130"/>
      <c r="B72" s="130"/>
      <c r="C72" s="130"/>
      <c r="D72" s="130"/>
      <c r="E72" s="130"/>
      <c r="F72" s="130"/>
      <c r="G72" s="130"/>
      <c r="H72" s="130"/>
      <c r="I72" s="130"/>
      <c r="J72" s="130"/>
      <c r="K72" s="239"/>
      <c r="L72" s="239"/>
      <c r="M72" s="130"/>
      <c r="N72" s="130"/>
      <c r="O72" s="130"/>
      <c r="P72" s="130"/>
      <c r="Q72" s="130"/>
      <c r="R72" s="130"/>
      <c r="S72" s="130"/>
      <c r="T72" s="130"/>
      <c r="U72" s="130"/>
      <c r="V72" s="130"/>
      <c r="W72" s="130"/>
    </row>
    <row r="73">
      <c r="A73" s="130"/>
      <c r="B73" s="130"/>
      <c r="C73" s="130"/>
      <c r="D73" s="130"/>
      <c r="E73" s="130"/>
      <c r="F73" s="130"/>
      <c r="G73" s="130"/>
      <c r="H73" s="130"/>
      <c r="I73" s="130"/>
      <c r="J73" s="130"/>
      <c r="K73" s="239"/>
      <c r="L73" s="239"/>
      <c r="M73" s="130"/>
      <c r="N73" s="130"/>
      <c r="O73" s="130"/>
      <c r="P73" s="130"/>
      <c r="Q73" s="130"/>
      <c r="R73" s="130"/>
      <c r="S73" s="130"/>
      <c r="T73" s="130"/>
      <c r="U73" s="130"/>
      <c r="V73" s="130"/>
      <c r="W73" s="130"/>
    </row>
    <row r="74">
      <c r="A74" s="130"/>
      <c r="B74" s="130"/>
      <c r="C74" s="130"/>
      <c r="D74" s="130"/>
      <c r="E74" s="130"/>
      <c r="F74" s="130"/>
      <c r="G74" s="130"/>
      <c r="H74" s="130"/>
      <c r="I74" s="130"/>
      <c r="J74" s="130"/>
      <c r="K74" s="239"/>
      <c r="L74" s="239"/>
      <c r="M74" s="130"/>
      <c r="N74" s="130"/>
      <c r="O74" s="130"/>
      <c r="P74" s="130"/>
      <c r="Q74" s="130"/>
      <c r="R74" s="130"/>
      <c r="S74" s="130"/>
      <c r="T74" s="130"/>
      <c r="U74" s="130"/>
      <c r="V74" s="130"/>
      <c r="W74" s="130"/>
    </row>
    <row r="75">
      <c r="A75" s="130"/>
      <c r="B75" s="130"/>
      <c r="C75" s="130"/>
      <c r="D75" s="130"/>
      <c r="E75" s="130"/>
      <c r="F75" s="130"/>
      <c r="G75" s="130"/>
      <c r="H75" s="130"/>
      <c r="I75" s="130"/>
      <c r="J75" s="130"/>
      <c r="K75" s="239"/>
      <c r="L75" s="239"/>
      <c r="M75" s="130"/>
      <c r="N75" s="130"/>
      <c r="O75" s="130"/>
      <c r="P75" s="130"/>
      <c r="Q75" s="130"/>
      <c r="R75" s="130"/>
      <c r="S75" s="130"/>
      <c r="T75" s="130"/>
      <c r="U75" s="130"/>
      <c r="V75" s="130"/>
      <c r="W75" s="130"/>
    </row>
    <row r="76">
      <c r="A76" s="130"/>
      <c r="B76" s="130"/>
      <c r="C76" s="130"/>
      <c r="D76" s="130"/>
      <c r="E76" s="130"/>
      <c r="F76" s="130"/>
      <c r="G76" s="130"/>
      <c r="H76" s="130"/>
      <c r="I76" s="130"/>
      <c r="J76" s="130"/>
      <c r="K76" s="239"/>
      <c r="L76" s="239"/>
      <c r="M76" s="130"/>
      <c r="N76" s="130"/>
      <c r="O76" s="130"/>
      <c r="P76" s="130"/>
      <c r="Q76" s="130"/>
      <c r="R76" s="130"/>
      <c r="S76" s="130"/>
      <c r="T76" s="130"/>
      <c r="U76" s="130"/>
      <c r="V76" s="130"/>
      <c r="W76" s="130"/>
    </row>
    <row r="77">
      <c r="A77" s="130"/>
      <c r="B77" s="130"/>
      <c r="C77" s="130"/>
      <c r="D77" s="130"/>
      <c r="E77" s="130"/>
      <c r="F77" s="130"/>
      <c r="G77" s="130"/>
      <c r="H77" s="130"/>
      <c r="I77" s="130"/>
      <c r="J77" s="130"/>
      <c r="K77" s="239"/>
      <c r="L77" s="239"/>
      <c r="M77" s="130"/>
      <c r="N77" s="130"/>
      <c r="O77" s="130"/>
      <c r="P77" s="130"/>
      <c r="Q77" s="130"/>
      <c r="R77" s="130"/>
      <c r="S77" s="130"/>
      <c r="T77" s="130"/>
      <c r="U77" s="130"/>
      <c r="V77" s="130"/>
      <c r="W77" s="130"/>
    </row>
    <row r="78">
      <c r="A78" s="130"/>
      <c r="B78" s="130"/>
      <c r="C78" s="130"/>
      <c r="D78" s="130"/>
      <c r="E78" s="130"/>
      <c r="F78" s="130"/>
      <c r="G78" s="130"/>
      <c r="H78" s="130"/>
      <c r="I78" s="130"/>
      <c r="J78" s="130"/>
      <c r="K78" s="239"/>
      <c r="L78" s="239"/>
      <c r="M78" s="130"/>
      <c r="N78" s="130"/>
      <c r="O78" s="130"/>
      <c r="P78" s="130"/>
      <c r="Q78" s="130"/>
      <c r="R78" s="130"/>
      <c r="S78" s="130"/>
      <c r="T78" s="130"/>
      <c r="U78" s="130"/>
      <c r="V78" s="130"/>
      <c r="W78" s="130"/>
    </row>
    <row r="79">
      <c r="A79" s="130"/>
      <c r="B79" s="130"/>
      <c r="C79" s="130"/>
      <c r="D79" s="130"/>
      <c r="E79" s="130"/>
      <c r="F79" s="130"/>
      <c r="G79" s="130"/>
      <c r="H79" s="130"/>
      <c r="I79" s="130"/>
      <c r="J79" s="130"/>
      <c r="K79" s="239"/>
      <c r="L79" s="239"/>
      <c r="M79" s="130"/>
      <c r="N79" s="130"/>
      <c r="O79" s="130"/>
      <c r="P79" s="130"/>
      <c r="Q79" s="130"/>
      <c r="R79" s="130"/>
      <c r="S79" s="130"/>
      <c r="T79" s="130"/>
      <c r="U79" s="130"/>
      <c r="V79" s="130"/>
      <c r="W79" s="130"/>
    </row>
    <row r="80">
      <c r="A80" s="130"/>
      <c r="B80" s="130"/>
      <c r="C80" s="130"/>
      <c r="D80" s="130"/>
      <c r="E80" s="130"/>
      <c r="F80" s="130"/>
      <c r="G80" s="130"/>
      <c r="H80" s="130"/>
      <c r="I80" s="130"/>
      <c r="J80" s="130"/>
      <c r="K80" s="239"/>
      <c r="L80" s="239"/>
      <c r="M80" s="130"/>
      <c r="N80" s="130"/>
      <c r="O80" s="130"/>
      <c r="P80" s="130"/>
      <c r="Q80" s="130"/>
      <c r="R80" s="130"/>
      <c r="S80" s="130"/>
      <c r="T80" s="130"/>
      <c r="U80" s="130"/>
      <c r="V80" s="130"/>
      <c r="W80" s="130"/>
    </row>
    <row r="81">
      <c r="A81" s="130"/>
      <c r="B81" s="130"/>
      <c r="C81" s="130"/>
      <c r="D81" s="130"/>
      <c r="E81" s="130"/>
      <c r="F81" s="130"/>
      <c r="G81" s="130"/>
      <c r="H81" s="130"/>
      <c r="I81" s="130"/>
      <c r="J81" s="130"/>
      <c r="K81" s="239"/>
      <c r="L81" s="239"/>
      <c r="M81" s="130"/>
      <c r="N81" s="130"/>
      <c r="O81" s="130"/>
      <c r="P81" s="130"/>
      <c r="Q81" s="130"/>
      <c r="R81" s="130"/>
      <c r="S81" s="130"/>
      <c r="T81" s="130"/>
      <c r="U81" s="130"/>
      <c r="V81" s="130"/>
      <c r="W81" s="130"/>
    </row>
    <row r="82">
      <c r="A82" s="130"/>
      <c r="B82" s="130"/>
      <c r="C82" s="130"/>
      <c r="D82" s="130"/>
      <c r="E82" s="130"/>
      <c r="F82" s="130"/>
      <c r="G82" s="130"/>
      <c r="H82" s="130"/>
      <c r="I82" s="130"/>
      <c r="J82" s="130"/>
      <c r="K82" s="239"/>
      <c r="L82" s="239"/>
      <c r="M82" s="130"/>
      <c r="N82" s="130"/>
      <c r="O82" s="130"/>
      <c r="P82" s="130"/>
      <c r="Q82" s="130"/>
      <c r="R82" s="130"/>
      <c r="S82" s="130"/>
      <c r="T82" s="130"/>
      <c r="U82" s="130"/>
      <c r="V82" s="130"/>
      <c r="W82" s="130"/>
    </row>
    <row r="83">
      <c r="A83" s="130"/>
      <c r="B83" s="130"/>
      <c r="C83" s="130"/>
      <c r="D83" s="130"/>
      <c r="E83" s="130"/>
      <c r="F83" s="130"/>
      <c r="G83" s="130"/>
      <c r="H83" s="130"/>
      <c r="I83" s="130"/>
      <c r="J83" s="130"/>
      <c r="K83" s="239"/>
      <c r="L83" s="239"/>
      <c r="M83" s="130"/>
      <c r="N83" s="130"/>
      <c r="O83" s="130"/>
      <c r="P83" s="130"/>
      <c r="Q83" s="130"/>
      <c r="R83" s="130"/>
      <c r="S83" s="130"/>
      <c r="T83" s="130"/>
      <c r="U83" s="130"/>
      <c r="V83" s="130"/>
      <c r="W83" s="130"/>
    </row>
    <row r="84">
      <c r="A84" s="130"/>
      <c r="B84" s="130"/>
      <c r="C84" s="130"/>
      <c r="D84" s="130"/>
      <c r="E84" s="130"/>
      <c r="F84" s="130"/>
      <c r="G84" s="130"/>
      <c r="H84" s="130"/>
      <c r="I84" s="130"/>
      <c r="J84" s="130"/>
      <c r="K84" s="239"/>
      <c r="L84" s="239"/>
      <c r="M84" s="130"/>
      <c r="N84" s="130"/>
      <c r="O84" s="130"/>
      <c r="P84" s="130"/>
      <c r="Q84" s="130"/>
      <c r="R84" s="130"/>
      <c r="S84" s="130"/>
      <c r="T84" s="130"/>
      <c r="U84" s="130"/>
      <c r="V84" s="130"/>
      <c r="W84" s="130"/>
    </row>
    <row r="85">
      <c r="A85" s="130"/>
      <c r="B85" s="130"/>
      <c r="C85" s="130"/>
      <c r="D85" s="130"/>
      <c r="E85" s="130"/>
      <c r="F85" s="130"/>
      <c r="G85" s="130"/>
      <c r="H85" s="130"/>
      <c r="I85" s="130"/>
      <c r="J85" s="130"/>
      <c r="K85" s="239"/>
      <c r="L85" s="239"/>
      <c r="M85" s="130"/>
      <c r="N85" s="130"/>
      <c r="O85" s="130"/>
      <c r="P85" s="130"/>
      <c r="Q85" s="130"/>
      <c r="R85" s="130"/>
      <c r="S85" s="130"/>
      <c r="T85" s="130"/>
      <c r="U85" s="130"/>
      <c r="V85" s="130"/>
      <c r="W85" s="130"/>
    </row>
    <row r="86">
      <c r="A86" s="130"/>
      <c r="B86" s="130"/>
      <c r="C86" s="130"/>
      <c r="D86" s="130"/>
      <c r="E86" s="130"/>
      <c r="F86" s="130"/>
      <c r="G86" s="130"/>
      <c r="H86" s="130"/>
      <c r="I86" s="130"/>
      <c r="J86" s="130"/>
      <c r="K86" s="239"/>
      <c r="L86" s="239"/>
      <c r="M86" s="130"/>
      <c r="N86" s="130"/>
      <c r="O86" s="130"/>
      <c r="P86" s="130"/>
      <c r="Q86" s="130"/>
      <c r="R86" s="130"/>
      <c r="S86" s="130"/>
      <c r="T86" s="130"/>
      <c r="U86" s="130"/>
      <c r="V86" s="130"/>
      <c r="W86" s="130"/>
    </row>
    <row r="87">
      <c r="A87" s="130"/>
      <c r="B87" s="130"/>
      <c r="C87" s="130"/>
      <c r="D87" s="130"/>
      <c r="E87" s="130"/>
      <c r="F87" s="130"/>
      <c r="G87" s="130"/>
      <c r="H87" s="130"/>
      <c r="I87" s="130"/>
      <c r="J87" s="130"/>
      <c r="K87" s="239"/>
      <c r="L87" s="239"/>
      <c r="M87" s="130"/>
      <c r="N87" s="130"/>
      <c r="O87" s="130"/>
      <c r="P87" s="130"/>
      <c r="Q87" s="130"/>
      <c r="R87" s="130"/>
      <c r="S87" s="130"/>
      <c r="T87" s="130"/>
      <c r="U87" s="130"/>
      <c r="V87" s="130"/>
      <c r="W87" s="130"/>
    </row>
    <row r="88">
      <c r="A88" s="130"/>
      <c r="B88" s="130"/>
      <c r="C88" s="130"/>
      <c r="D88" s="130"/>
      <c r="E88" s="130"/>
      <c r="F88" s="130"/>
      <c r="G88" s="130"/>
      <c r="H88" s="130"/>
      <c r="I88" s="130"/>
      <c r="J88" s="130"/>
      <c r="K88" s="239"/>
      <c r="L88" s="239"/>
      <c r="M88" s="130"/>
      <c r="N88" s="130"/>
      <c r="O88" s="130"/>
      <c r="P88" s="130"/>
      <c r="Q88" s="130"/>
      <c r="R88" s="130"/>
      <c r="S88" s="130"/>
      <c r="T88" s="130"/>
      <c r="U88" s="130"/>
      <c r="V88" s="130"/>
      <c r="W88" s="130"/>
    </row>
    <row r="89">
      <c r="A89" s="130"/>
      <c r="B89" s="130"/>
      <c r="C89" s="130"/>
      <c r="D89" s="130"/>
      <c r="E89" s="130"/>
      <c r="F89" s="130"/>
      <c r="G89" s="130"/>
      <c r="H89" s="130"/>
      <c r="I89" s="130"/>
      <c r="J89" s="130"/>
      <c r="K89" s="239"/>
      <c r="L89" s="239"/>
      <c r="M89" s="130"/>
      <c r="N89" s="130"/>
      <c r="O89" s="130"/>
      <c r="P89" s="130"/>
      <c r="Q89" s="130"/>
      <c r="R89" s="130"/>
      <c r="S89" s="130"/>
      <c r="T89" s="130"/>
      <c r="U89" s="130"/>
      <c r="V89" s="130"/>
      <c r="W89" s="130"/>
    </row>
    <row r="90">
      <c r="A90" s="130"/>
      <c r="B90" s="130"/>
      <c r="C90" s="130"/>
      <c r="D90" s="130"/>
      <c r="E90" s="130"/>
      <c r="F90" s="130"/>
      <c r="G90" s="130"/>
      <c r="H90" s="130"/>
      <c r="I90" s="130"/>
      <c r="J90" s="130"/>
      <c r="K90" s="239"/>
      <c r="L90" s="239"/>
      <c r="M90" s="130"/>
      <c r="N90" s="130"/>
      <c r="O90" s="130"/>
      <c r="P90" s="130"/>
      <c r="Q90" s="130"/>
      <c r="R90" s="130"/>
      <c r="S90" s="130"/>
      <c r="T90" s="130"/>
      <c r="U90" s="130"/>
      <c r="V90" s="130"/>
      <c r="W90" s="130"/>
    </row>
    <row r="91">
      <c r="A91" s="130"/>
      <c r="B91" s="130"/>
      <c r="C91" s="130"/>
      <c r="D91" s="130"/>
      <c r="E91" s="130"/>
      <c r="F91" s="130"/>
      <c r="G91" s="130"/>
      <c r="H91" s="130"/>
      <c r="I91" s="130"/>
      <c r="J91" s="130"/>
      <c r="K91" s="239"/>
      <c r="L91" s="239"/>
      <c r="M91" s="130"/>
      <c r="N91" s="130"/>
      <c r="O91" s="130"/>
      <c r="P91" s="130"/>
      <c r="Q91" s="130"/>
      <c r="R91" s="130"/>
      <c r="S91" s="130"/>
      <c r="T91" s="130"/>
      <c r="U91" s="130"/>
      <c r="V91" s="130"/>
      <c r="W91" s="130"/>
    </row>
    <row r="92">
      <c r="A92" s="130"/>
      <c r="B92" s="130"/>
      <c r="C92" s="130"/>
      <c r="D92" s="130"/>
      <c r="E92" s="130"/>
      <c r="F92" s="130"/>
      <c r="G92" s="130"/>
      <c r="H92" s="130"/>
      <c r="I92" s="130"/>
      <c r="J92" s="130"/>
      <c r="K92" s="239"/>
      <c r="L92" s="239"/>
      <c r="M92" s="130"/>
      <c r="N92" s="130"/>
      <c r="O92" s="130"/>
      <c r="P92" s="130"/>
      <c r="Q92" s="130"/>
      <c r="R92" s="130"/>
      <c r="S92" s="130"/>
      <c r="T92" s="130"/>
      <c r="U92" s="130"/>
      <c r="V92" s="130"/>
      <c r="W92" s="130"/>
    </row>
    <row r="93">
      <c r="A93" s="130"/>
      <c r="B93" s="130"/>
      <c r="C93" s="130"/>
      <c r="D93" s="130"/>
      <c r="E93" s="130"/>
      <c r="F93" s="130"/>
      <c r="G93" s="130"/>
      <c r="H93" s="130"/>
      <c r="I93" s="130"/>
      <c r="J93" s="130"/>
      <c r="K93" s="239"/>
      <c r="L93" s="239"/>
      <c r="M93" s="130"/>
      <c r="N93" s="130"/>
      <c r="O93" s="130"/>
      <c r="P93" s="130"/>
      <c r="Q93" s="130"/>
      <c r="R93" s="130"/>
      <c r="S93" s="130"/>
      <c r="T93" s="130"/>
      <c r="U93" s="130"/>
      <c r="V93" s="130"/>
      <c r="W93" s="130"/>
    </row>
    <row r="94">
      <c r="A94" s="130"/>
      <c r="B94" s="130"/>
      <c r="C94" s="130"/>
      <c r="D94" s="130"/>
      <c r="E94" s="130"/>
      <c r="F94" s="130"/>
      <c r="G94" s="130"/>
      <c r="H94" s="130"/>
      <c r="I94" s="130"/>
      <c r="J94" s="130"/>
      <c r="K94" s="239"/>
      <c r="L94" s="239"/>
      <c r="M94" s="130"/>
      <c r="N94" s="130"/>
      <c r="O94" s="130"/>
      <c r="P94" s="130"/>
      <c r="Q94" s="130"/>
      <c r="R94" s="130"/>
      <c r="S94" s="130"/>
      <c r="T94" s="130"/>
      <c r="U94" s="130"/>
      <c r="V94" s="130"/>
      <c r="W94" s="130"/>
    </row>
    <row r="95">
      <c r="A95" s="130"/>
      <c r="B95" s="130"/>
      <c r="C95" s="130"/>
      <c r="D95" s="130"/>
      <c r="E95" s="130"/>
      <c r="F95" s="130"/>
      <c r="G95" s="130"/>
      <c r="H95" s="130"/>
      <c r="I95" s="130"/>
      <c r="J95" s="130"/>
      <c r="K95" s="239"/>
      <c r="L95" s="239"/>
      <c r="M95" s="130"/>
      <c r="N95" s="130"/>
      <c r="O95" s="130"/>
      <c r="P95" s="130"/>
      <c r="Q95" s="130"/>
      <c r="R95" s="130"/>
      <c r="S95" s="130"/>
      <c r="T95" s="130"/>
      <c r="U95" s="130"/>
      <c r="V95" s="130"/>
      <c r="W95" s="130"/>
    </row>
    <row r="96">
      <c r="A96" s="130"/>
      <c r="B96" s="130"/>
      <c r="C96" s="130"/>
      <c r="D96" s="130"/>
      <c r="E96" s="130"/>
      <c r="F96" s="130"/>
      <c r="G96" s="130"/>
      <c r="H96" s="130"/>
      <c r="I96" s="130"/>
      <c r="J96" s="130"/>
      <c r="K96" s="239"/>
      <c r="L96" s="239"/>
      <c r="M96" s="130"/>
      <c r="N96" s="130"/>
      <c r="O96" s="130"/>
      <c r="P96" s="130"/>
      <c r="Q96" s="130"/>
      <c r="R96" s="130"/>
      <c r="S96" s="130"/>
      <c r="T96" s="130"/>
      <c r="U96" s="130"/>
      <c r="V96" s="130"/>
      <c r="W96" s="130"/>
    </row>
    <row r="97">
      <c r="A97" s="130"/>
      <c r="B97" s="130"/>
      <c r="C97" s="130"/>
      <c r="D97" s="130"/>
      <c r="E97" s="130"/>
      <c r="F97" s="130"/>
      <c r="G97" s="130"/>
      <c r="H97" s="130"/>
      <c r="I97" s="130"/>
      <c r="J97" s="130"/>
      <c r="K97" s="239"/>
      <c r="L97" s="239"/>
      <c r="M97" s="130"/>
      <c r="N97" s="130"/>
      <c r="O97" s="130"/>
      <c r="P97" s="130"/>
      <c r="Q97" s="130"/>
      <c r="R97" s="130"/>
      <c r="S97" s="130"/>
      <c r="T97" s="130"/>
      <c r="U97" s="130"/>
      <c r="V97" s="130"/>
      <c r="W97" s="130"/>
    </row>
    <row r="98">
      <c r="A98" s="130"/>
      <c r="B98" s="130"/>
      <c r="C98" s="130"/>
      <c r="D98" s="130"/>
      <c r="E98" s="130"/>
      <c r="F98" s="130"/>
      <c r="G98" s="130"/>
      <c r="H98" s="130"/>
      <c r="I98" s="130"/>
      <c r="J98" s="130"/>
      <c r="K98" s="239"/>
      <c r="L98" s="239"/>
      <c r="M98" s="130"/>
      <c r="N98" s="130"/>
      <c r="O98" s="130"/>
      <c r="P98" s="130"/>
      <c r="Q98" s="130"/>
      <c r="R98" s="130"/>
      <c r="S98" s="130"/>
      <c r="T98" s="130"/>
      <c r="U98" s="130"/>
      <c r="V98" s="130"/>
      <c r="W98" s="130"/>
    </row>
    <row r="99">
      <c r="A99" s="130"/>
      <c r="B99" s="130"/>
      <c r="C99" s="130"/>
      <c r="D99" s="130"/>
      <c r="E99" s="130"/>
      <c r="F99" s="130"/>
      <c r="G99" s="130"/>
      <c r="H99" s="130"/>
      <c r="I99" s="130"/>
      <c r="J99" s="130"/>
      <c r="K99" s="239"/>
      <c r="L99" s="239"/>
      <c r="M99" s="130"/>
      <c r="N99" s="130"/>
      <c r="O99" s="130"/>
      <c r="P99" s="130"/>
      <c r="Q99" s="130"/>
      <c r="R99" s="130"/>
      <c r="S99" s="130"/>
      <c r="T99" s="130"/>
      <c r="U99" s="130"/>
      <c r="V99" s="130"/>
      <c r="W99" s="130"/>
    </row>
    <row r="100">
      <c r="A100" s="130"/>
      <c r="B100" s="130"/>
      <c r="C100" s="130"/>
      <c r="D100" s="130"/>
      <c r="E100" s="130"/>
      <c r="F100" s="130"/>
      <c r="G100" s="130"/>
      <c r="H100" s="130"/>
      <c r="I100" s="130"/>
      <c r="J100" s="130"/>
      <c r="K100" s="239"/>
      <c r="L100" s="239"/>
      <c r="M100" s="130"/>
      <c r="N100" s="130"/>
      <c r="O100" s="130"/>
      <c r="P100" s="130"/>
      <c r="Q100" s="130"/>
      <c r="R100" s="130"/>
      <c r="S100" s="130"/>
      <c r="T100" s="130"/>
      <c r="U100" s="130"/>
      <c r="V100" s="130"/>
      <c r="W100" s="130"/>
    </row>
    <row r="101">
      <c r="A101" s="130"/>
      <c r="B101" s="130"/>
      <c r="C101" s="130"/>
      <c r="D101" s="130"/>
      <c r="E101" s="130"/>
      <c r="F101" s="130"/>
      <c r="G101" s="130"/>
      <c r="H101" s="130"/>
      <c r="I101" s="130"/>
      <c r="J101" s="130"/>
      <c r="K101" s="239"/>
      <c r="L101" s="239"/>
      <c r="M101" s="130"/>
      <c r="N101" s="130"/>
      <c r="O101" s="130"/>
      <c r="P101" s="130"/>
      <c r="Q101" s="130"/>
      <c r="R101" s="130"/>
      <c r="S101" s="130"/>
      <c r="T101" s="130"/>
      <c r="U101" s="130"/>
      <c r="V101" s="130"/>
      <c r="W101" s="130"/>
    </row>
    <row r="102">
      <c r="A102" s="130"/>
      <c r="B102" s="130"/>
      <c r="C102" s="130"/>
      <c r="D102" s="130"/>
      <c r="E102" s="130"/>
      <c r="F102" s="130"/>
      <c r="G102" s="130"/>
      <c r="H102" s="130"/>
      <c r="I102" s="130"/>
      <c r="J102" s="130"/>
      <c r="K102" s="239"/>
      <c r="L102" s="239"/>
      <c r="M102" s="130"/>
      <c r="N102" s="130"/>
      <c r="O102" s="130"/>
      <c r="P102" s="130"/>
      <c r="Q102" s="130"/>
      <c r="R102" s="130"/>
      <c r="S102" s="130"/>
      <c r="T102" s="130"/>
      <c r="U102" s="130"/>
      <c r="V102" s="130"/>
      <c r="W102" s="130"/>
    </row>
    <row r="103">
      <c r="A103" s="130"/>
      <c r="B103" s="130"/>
      <c r="C103" s="130"/>
      <c r="D103" s="130"/>
      <c r="E103" s="130"/>
      <c r="F103" s="130"/>
      <c r="G103" s="130"/>
      <c r="H103" s="130"/>
      <c r="I103" s="130"/>
      <c r="J103" s="130"/>
      <c r="K103" s="239"/>
      <c r="L103" s="239"/>
      <c r="M103" s="130"/>
      <c r="N103" s="130"/>
      <c r="O103" s="130"/>
      <c r="P103" s="130"/>
      <c r="Q103" s="130"/>
      <c r="R103" s="130"/>
      <c r="S103" s="130"/>
      <c r="T103" s="130"/>
      <c r="U103" s="130"/>
      <c r="V103" s="130"/>
      <c r="W103" s="130"/>
    </row>
    <row r="104">
      <c r="A104" s="130"/>
      <c r="B104" s="130"/>
      <c r="C104" s="130"/>
      <c r="D104" s="130"/>
      <c r="E104" s="130"/>
      <c r="F104" s="130"/>
      <c r="G104" s="130"/>
      <c r="H104" s="130"/>
      <c r="I104" s="130"/>
      <c r="J104" s="130"/>
      <c r="K104" s="239"/>
      <c r="L104" s="239"/>
      <c r="M104" s="130"/>
      <c r="N104" s="130"/>
      <c r="O104" s="130"/>
      <c r="P104" s="130"/>
      <c r="Q104" s="130"/>
      <c r="R104" s="130"/>
      <c r="S104" s="130"/>
      <c r="T104" s="130"/>
      <c r="U104" s="130"/>
      <c r="V104" s="130"/>
      <c r="W104" s="130"/>
    </row>
    <row r="105">
      <c r="A105" s="130"/>
      <c r="B105" s="130"/>
      <c r="C105" s="130"/>
      <c r="D105" s="130"/>
      <c r="E105" s="130"/>
      <c r="F105" s="130"/>
      <c r="G105" s="130"/>
      <c r="H105" s="130"/>
      <c r="I105" s="130"/>
      <c r="J105" s="130"/>
      <c r="K105" s="239"/>
      <c r="L105" s="239"/>
      <c r="M105" s="130"/>
      <c r="N105" s="130"/>
      <c r="O105" s="130"/>
      <c r="P105" s="130"/>
      <c r="Q105" s="130"/>
      <c r="R105" s="130"/>
      <c r="S105" s="130"/>
      <c r="T105" s="130"/>
      <c r="U105" s="130"/>
      <c r="V105" s="130"/>
      <c r="W105" s="130"/>
    </row>
    <row r="106">
      <c r="A106" s="130"/>
      <c r="B106" s="130"/>
      <c r="C106" s="130"/>
      <c r="D106" s="130"/>
      <c r="E106" s="130"/>
      <c r="F106" s="130"/>
      <c r="G106" s="130"/>
      <c r="H106" s="130"/>
      <c r="I106" s="130"/>
      <c r="J106" s="130"/>
      <c r="K106" s="239"/>
      <c r="L106" s="239"/>
      <c r="M106" s="130"/>
      <c r="N106" s="130"/>
      <c r="O106" s="130"/>
      <c r="P106" s="130"/>
      <c r="Q106" s="130"/>
      <c r="R106" s="130"/>
      <c r="S106" s="130"/>
      <c r="T106" s="130"/>
      <c r="U106" s="130"/>
      <c r="V106" s="130"/>
      <c r="W106" s="130"/>
    </row>
    <row r="107">
      <c r="A107" s="130"/>
      <c r="B107" s="130"/>
      <c r="C107" s="130"/>
      <c r="D107" s="130"/>
      <c r="E107" s="130"/>
      <c r="F107" s="130"/>
      <c r="G107" s="130"/>
      <c r="H107" s="130"/>
      <c r="I107" s="130"/>
      <c r="J107" s="130"/>
      <c r="K107" s="239"/>
      <c r="L107" s="239"/>
      <c r="M107" s="130"/>
      <c r="N107" s="130"/>
      <c r="O107" s="130"/>
      <c r="P107" s="130"/>
      <c r="Q107" s="130"/>
      <c r="R107" s="130"/>
      <c r="S107" s="130"/>
      <c r="T107" s="130"/>
      <c r="U107" s="130"/>
      <c r="V107" s="130"/>
      <c r="W107" s="130"/>
    </row>
    <row r="108">
      <c r="A108" s="130"/>
      <c r="B108" s="130"/>
      <c r="C108" s="130"/>
      <c r="D108" s="130"/>
      <c r="E108" s="130"/>
      <c r="F108" s="130"/>
      <c r="G108" s="130"/>
      <c r="H108" s="130"/>
      <c r="I108" s="130"/>
      <c r="J108" s="130"/>
      <c r="K108" s="239"/>
      <c r="L108" s="239"/>
      <c r="M108" s="130"/>
      <c r="N108" s="130"/>
      <c r="O108" s="130"/>
      <c r="P108" s="130"/>
      <c r="Q108" s="130"/>
      <c r="R108" s="130"/>
      <c r="S108" s="130"/>
      <c r="T108" s="130"/>
      <c r="U108" s="130"/>
      <c r="V108" s="130"/>
      <c r="W108" s="130"/>
    </row>
    <row r="109">
      <c r="A109" s="130"/>
      <c r="B109" s="130"/>
      <c r="C109" s="130"/>
      <c r="D109" s="130"/>
      <c r="E109" s="130"/>
      <c r="F109" s="130"/>
      <c r="G109" s="130"/>
      <c r="H109" s="130"/>
      <c r="I109" s="130"/>
      <c r="J109" s="130"/>
      <c r="K109" s="239"/>
      <c r="L109" s="239"/>
      <c r="M109" s="130"/>
      <c r="N109" s="130"/>
      <c r="O109" s="130"/>
      <c r="P109" s="130"/>
      <c r="Q109" s="130"/>
      <c r="R109" s="130"/>
      <c r="S109" s="130"/>
      <c r="T109" s="130"/>
      <c r="U109" s="130"/>
      <c r="V109" s="130"/>
      <c r="W109" s="130"/>
    </row>
    <row r="110">
      <c r="A110" s="130"/>
      <c r="B110" s="130"/>
      <c r="C110" s="130"/>
      <c r="D110" s="130"/>
      <c r="E110" s="130"/>
      <c r="F110" s="130"/>
      <c r="G110" s="130"/>
      <c r="H110" s="130"/>
      <c r="I110" s="130"/>
      <c r="J110" s="130"/>
      <c r="K110" s="239"/>
      <c r="L110" s="239"/>
      <c r="M110" s="130"/>
      <c r="N110" s="130"/>
      <c r="O110" s="130"/>
      <c r="P110" s="130"/>
      <c r="Q110" s="130"/>
      <c r="R110" s="130"/>
      <c r="S110" s="130"/>
      <c r="T110" s="130"/>
      <c r="U110" s="130"/>
      <c r="V110" s="130"/>
      <c r="W110" s="130"/>
    </row>
    <row r="111">
      <c r="A111" s="130"/>
      <c r="B111" s="130"/>
      <c r="C111" s="130"/>
      <c r="D111" s="130"/>
      <c r="E111" s="130"/>
      <c r="F111" s="130"/>
      <c r="G111" s="130"/>
      <c r="H111" s="130"/>
      <c r="I111" s="130"/>
      <c r="J111" s="130"/>
      <c r="K111" s="239"/>
      <c r="L111" s="239"/>
      <c r="M111" s="130"/>
      <c r="N111" s="130"/>
      <c r="O111" s="130"/>
      <c r="P111" s="130"/>
      <c r="Q111" s="130"/>
      <c r="R111" s="130"/>
      <c r="S111" s="130"/>
      <c r="T111" s="130"/>
      <c r="U111" s="130"/>
      <c r="V111" s="130"/>
      <c r="W111" s="130"/>
    </row>
    <row r="112">
      <c r="A112" s="130"/>
      <c r="B112" s="130"/>
      <c r="C112" s="130"/>
      <c r="D112" s="130"/>
      <c r="E112" s="130"/>
      <c r="F112" s="130"/>
      <c r="G112" s="130"/>
      <c r="H112" s="130"/>
      <c r="I112" s="130"/>
      <c r="J112" s="130"/>
      <c r="K112" s="239"/>
      <c r="L112" s="239"/>
      <c r="M112" s="130"/>
      <c r="N112" s="130"/>
      <c r="O112" s="130"/>
      <c r="P112" s="130"/>
      <c r="Q112" s="130"/>
      <c r="R112" s="130"/>
      <c r="S112" s="130"/>
      <c r="T112" s="130"/>
      <c r="U112" s="130"/>
      <c r="V112" s="130"/>
      <c r="W112" s="130"/>
    </row>
    <row r="113">
      <c r="A113" s="130"/>
      <c r="B113" s="130"/>
      <c r="C113" s="130"/>
      <c r="D113" s="130"/>
      <c r="E113" s="130"/>
      <c r="F113" s="130"/>
      <c r="G113" s="130"/>
      <c r="H113" s="130"/>
      <c r="I113" s="130"/>
      <c r="J113" s="130"/>
      <c r="K113" s="239"/>
      <c r="L113" s="239"/>
      <c r="M113" s="130"/>
      <c r="N113" s="130"/>
      <c r="O113" s="130"/>
      <c r="P113" s="130"/>
      <c r="Q113" s="130"/>
      <c r="R113" s="130"/>
      <c r="S113" s="130"/>
      <c r="T113" s="130"/>
      <c r="U113" s="130"/>
      <c r="V113" s="130"/>
      <c r="W113" s="130"/>
    </row>
    <row r="114">
      <c r="A114" s="130"/>
      <c r="B114" s="130"/>
      <c r="C114" s="130"/>
      <c r="D114" s="130"/>
      <c r="E114" s="130"/>
      <c r="F114" s="130"/>
      <c r="G114" s="130"/>
      <c r="H114" s="130"/>
      <c r="I114" s="130"/>
      <c r="J114" s="130"/>
      <c r="K114" s="239"/>
      <c r="L114" s="239"/>
      <c r="M114" s="130"/>
      <c r="N114" s="130"/>
      <c r="O114" s="130"/>
      <c r="P114" s="130"/>
      <c r="Q114" s="130"/>
      <c r="R114" s="130"/>
      <c r="S114" s="130"/>
      <c r="T114" s="130"/>
      <c r="U114" s="130"/>
      <c r="V114" s="130"/>
      <c r="W114" s="130"/>
    </row>
    <row r="115">
      <c r="A115" s="130"/>
      <c r="B115" s="130"/>
      <c r="C115" s="130"/>
      <c r="D115" s="130"/>
      <c r="E115" s="130"/>
      <c r="F115" s="130"/>
      <c r="G115" s="130"/>
      <c r="H115" s="130"/>
      <c r="I115" s="130"/>
      <c r="J115" s="130"/>
      <c r="K115" s="239"/>
      <c r="L115" s="239"/>
      <c r="M115" s="130"/>
      <c r="N115" s="130"/>
      <c r="O115" s="130"/>
      <c r="P115" s="130"/>
      <c r="Q115" s="130"/>
      <c r="R115" s="130"/>
      <c r="S115" s="130"/>
      <c r="T115" s="130"/>
      <c r="U115" s="130"/>
      <c r="V115" s="130"/>
      <c r="W115" s="130"/>
    </row>
    <row r="116">
      <c r="A116" s="130"/>
      <c r="B116" s="130"/>
      <c r="C116" s="130"/>
      <c r="D116" s="130"/>
      <c r="E116" s="130"/>
      <c r="F116" s="130"/>
      <c r="G116" s="130"/>
      <c r="H116" s="130"/>
      <c r="I116" s="130"/>
      <c r="J116" s="130"/>
      <c r="K116" s="239"/>
      <c r="L116" s="239"/>
      <c r="M116" s="130"/>
      <c r="N116" s="130"/>
      <c r="O116" s="130"/>
      <c r="P116" s="130"/>
      <c r="Q116" s="130"/>
      <c r="R116" s="130"/>
      <c r="S116" s="130"/>
      <c r="T116" s="130"/>
      <c r="U116" s="130"/>
      <c r="V116" s="130"/>
      <c r="W116" s="130"/>
    </row>
    <row r="117">
      <c r="A117" s="130"/>
      <c r="B117" s="130"/>
      <c r="C117" s="130"/>
      <c r="D117" s="130"/>
      <c r="E117" s="130"/>
      <c r="F117" s="130"/>
      <c r="G117" s="130"/>
      <c r="H117" s="130"/>
      <c r="I117" s="130"/>
      <c r="J117" s="130"/>
      <c r="K117" s="239"/>
      <c r="L117" s="239"/>
      <c r="M117" s="130"/>
      <c r="N117" s="130"/>
      <c r="O117" s="130"/>
      <c r="P117" s="130"/>
      <c r="Q117" s="130"/>
      <c r="R117" s="130"/>
      <c r="S117" s="130"/>
      <c r="T117" s="130"/>
      <c r="U117" s="130"/>
      <c r="V117" s="130"/>
      <c r="W117" s="130"/>
    </row>
    <row r="118">
      <c r="A118" s="130"/>
      <c r="B118" s="130"/>
      <c r="C118" s="130"/>
      <c r="D118" s="130"/>
      <c r="E118" s="130"/>
      <c r="F118" s="130"/>
      <c r="G118" s="130"/>
      <c r="H118" s="130"/>
      <c r="I118" s="130"/>
      <c r="J118" s="130"/>
      <c r="K118" s="239"/>
      <c r="L118" s="239"/>
      <c r="M118" s="130"/>
      <c r="N118" s="130"/>
      <c r="O118" s="130"/>
      <c r="P118" s="130"/>
      <c r="Q118" s="130"/>
      <c r="R118" s="130"/>
      <c r="S118" s="130"/>
      <c r="T118" s="130"/>
      <c r="U118" s="130"/>
      <c r="V118" s="130"/>
      <c r="W118" s="130"/>
    </row>
    <row r="119">
      <c r="A119" s="130"/>
      <c r="B119" s="130"/>
      <c r="C119" s="130"/>
      <c r="D119" s="130"/>
      <c r="E119" s="130"/>
      <c r="F119" s="130"/>
      <c r="G119" s="130"/>
      <c r="H119" s="130"/>
      <c r="I119" s="130"/>
      <c r="J119" s="130"/>
      <c r="K119" s="239"/>
      <c r="L119" s="239"/>
      <c r="M119" s="130"/>
      <c r="N119" s="130"/>
      <c r="O119" s="130"/>
      <c r="P119" s="130"/>
      <c r="Q119" s="130"/>
      <c r="R119" s="130"/>
      <c r="S119" s="130"/>
      <c r="T119" s="130"/>
      <c r="U119" s="130"/>
      <c r="V119" s="130"/>
      <c r="W119" s="130"/>
    </row>
    <row r="120">
      <c r="A120" s="130"/>
      <c r="B120" s="130"/>
      <c r="C120" s="130"/>
      <c r="D120" s="130"/>
      <c r="E120" s="130"/>
      <c r="F120" s="130"/>
      <c r="G120" s="130"/>
      <c r="H120" s="130"/>
      <c r="I120" s="130"/>
      <c r="J120" s="130"/>
      <c r="K120" s="239"/>
      <c r="L120" s="239"/>
      <c r="M120" s="130"/>
      <c r="N120" s="130"/>
      <c r="O120" s="130"/>
      <c r="P120" s="130"/>
      <c r="Q120" s="130"/>
      <c r="R120" s="130"/>
      <c r="S120" s="130"/>
      <c r="T120" s="130"/>
      <c r="U120" s="130"/>
      <c r="V120" s="130"/>
      <c r="W120" s="130"/>
    </row>
    <row r="121">
      <c r="A121" s="130"/>
      <c r="B121" s="130"/>
      <c r="C121" s="130"/>
      <c r="D121" s="130"/>
      <c r="E121" s="130"/>
      <c r="F121" s="130"/>
      <c r="G121" s="130"/>
      <c r="H121" s="130"/>
      <c r="I121" s="130"/>
      <c r="J121" s="130"/>
      <c r="K121" s="239"/>
      <c r="L121" s="239"/>
      <c r="M121" s="130"/>
      <c r="N121" s="130"/>
      <c r="O121" s="130"/>
      <c r="P121" s="130"/>
      <c r="Q121" s="130"/>
      <c r="R121" s="130"/>
      <c r="S121" s="130"/>
      <c r="T121" s="130"/>
      <c r="U121" s="130"/>
      <c r="V121" s="130"/>
      <c r="W121" s="130"/>
    </row>
    <row r="122">
      <c r="A122" s="130"/>
      <c r="B122" s="130"/>
      <c r="C122" s="130"/>
      <c r="D122" s="130"/>
      <c r="E122" s="130"/>
      <c r="F122" s="130"/>
      <c r="G122" s="130"/>
      <c r="H122" s="130"/>
      <c r="I122" s="130"/>
      <c r="J122" s="130"/>
      <c r="K122" s="239"/>
      <c r="L122" s="239"/>
      <c r="M122" s="130"/>
      <c r="N122" s="130"/>
      <c r="O122" s="130"/>
      <c r="P122" s="130"/>
      <c r="Q122" s="130"/>
      <c r="R122" s="130"/>
      <c r="S122" s="130"/>
      <c r="T122" s="130"/>
      <c r="U122" s="130"/>
      <c r="V122" s="130"/>
      <c r="W122" s="130"/>
    </row>
    <row r="123">
      <c r="A123" s="130"/>
      <c r="B123" s="130"/>
      <c r="C123" s="130"/>
      <c r="D123" s="130"/>
      <c r="E123" s="130"/>
      <c r="F123" s="130"/>
      <c r="G123" s="130"/>
      <c r="H123" s="130"/>
      <c r="I123" s="130"/>
      <c r="J123" s="130"/>
      <c r="K123" s="239"/>
      <c r="L123" s="239"/>
      <c r="M123" s="130"/>
      <c r="N123" s="130"/>
      <c r="O123" s="130"/>
      <c r="P123" s="130"/>
      <c r="Q123" s="130"/>
      <c r="R123" s="130"/>
      <c r="S123" s="130"/>
      <c r="T123" s="130"/>
      <c r="U123" s="130"/>
      <c r="V123" s="130"/>
      <c r="W123" s="130"/>
    </row>
    <row r="124">
      <c r="A124" s="130"/>
      <c r="B124" s="130"/>
      <c r="C124" s="130"/>
      <c r="D124" s="130"/>
      <c r="E124" s="130"/>
      <c r="F124" s="130"/>
      <c r="G124" s="130"/>
      <c r="H124" s="130"/>
      <c r="I124" s="130"/>
      <c r="J124" s="130"/>
      <c r="K124" s="239"/>
      <c r="L124" s="239"/>
      <c r="M124" s="130"/>
      <c r="N124" s="130"/>
      <c r="O124" s="130"/>
      <c r="P124" s="130"/>
      <c r="Q124" s="130"/>
      <c r="R124" s="130"/>
      <c r="S124" s="130"/>
      <c r="T124" s="130"/>
      <c r="U124" s="130"/>
      <c r="V124" s="130"/>
      <c r="W124" s="130"/>
    </row>
    <row r="125">
      <c r="A125" s="130"/>
      <c r="B125" s="130"/>
      <c r="C125" s="130"/>
      <c r="D125" s="130"/>
      <c r="E125" s="130"/>
      <c r="F125" s="130"/>
      <c r="G125" s="130"/>
      <c r="H125" s="130"/>
      <c r="I125" s="130"/>
      <c r="J125" s="130"/>
      <c r="K125" s="239"/>
      <c r="L125" s="239"/>
      <c r="M125" s="130"/>
      <c r="N125" s="130"/>
      <c r="O125" s="130"/>
      <c r="P125" s="130"/>
      <c r="Q125" s="130"/>
      <c r="R125" s="130"/>
      <c r="S125" s="130"/>
      <c r="T125" s="130"/>
      <c r="U125" s="130"/>
      <c r="V125" s="130"/>
      <c r="W125" s="130"/>
    </row>
    <row r="126">
      <c r="A126" s="130"/>
      <c r="B126" s="130"/>
      <c r="C126" s="130"/>
      <c r="D126" s="130"/>
      <c r="E126" s="130"/>
      <c r="F126" s="130"/>
      <c r="G126" s="130"/>
      <c r="H126" s="130"/>
      <c r="I126" s="130"/>
      <c r="J126" s="130"/>
      <c r="K126" s="239"/>
      <c r="L126" s="239"/>
      <c r="M126" s="130"/>
      <c r="N126" s="130"/>
      <c r="O126" s="130"/>
      <c r="P126" s="130"/>
      <c r="Q126" s="130"/>
      <c r="R126" s="130"/>
      <c r="S126" s="130"/>
      <c r="T126" s="130"/>
      <c r="U126" s="130"/>
      <c r="V126" s="130"/>
      <c r="W126" s="130"/>
    </row>
    <row r="127">
      <c r="A127" s="130"/>
      <c r="B127" s="130"/>
      <c r="C127" s="130"/>
      <c r="D127" s="130"/>
      <c r="E127" s="130"/>
      <c r="F127" s="130"/>
      <c r="G127" s="130"/>
      <c r="H127" s="130"/>
      <c r="I127" s="130"/>
      <c r="J127" s="130"/>
      <c r="K127" s="239"/>
      <c r="L127" s="239"/>
      <c r="M127" s="130"/>
      <c r="N127" s="130"/>
      <c r="O127" s="130"/>
      <c r="P127" s="130"/>
      <c r="Q127" s="130"/>
      <c r="R127" s="130"/>
      <c r="S127" s="130"/>
      <c r="T127" s="130"/>
      <c r="U127" s="130"/>
      <c r="V127" s="130"/>
      <c r="W127" s="130"/>
    </row>
    <row r="128">
      <c r="A128" s="130"/>
      <c r="B128" s="130"/>
      <c r="C128" s="130"/>
      <c r="D128" s="130"/>
      <c r="E128" s="130"/>
      <c r="F128" s="130"/>
      <c r="G128" s="130"/>
      <c r="H128" s="130"/>
      <c r="I128" s="130"/>
      <c r="J128" s="130"/>
      <c r="K128" s="239"/>
      <c r="L128" s="239"/>
      <c r="M128" s="130"/>
      <c r="N128" s="130"/>
      <c r="O128" s="130"/>
      <c r="P128" s="130"/>
      <c r="Q128" s="130"/>
      <c r="R128" s="130"/>
      <c r="S128" s="130"/>
      <c r="T128" s="130"/>
      <c r="U128" s="130"/>
      <c r="V128" s="130"/>
      <c r="W128" s="130"/>
    </row>
    <row r="129">
      <c r="A129" s="130"/>
      <c r="B129" s="130"/>
      <c r="C129" s="130"/>
      <c r="D129" s="130"/>
      <c r="E129" s="130"/>
      <c r="F129" s="130"/>
      <c r="G129" s="130"/>
      <c r="H129" s="130"/>
      <c r="I129" s="130"/>
      <c r="J129" s="130"/>
      <c r="K129" s="239"/>
      <c r="L129" s="239"/>
      <c r="M129" s="130"/>
      <c r="N129" s="130"/>
      <c r="O129" s="130"/>
      <c r="P129" s="130"/>
      <c r="Q129" s="130"/>
      <c r="R129" s="130"/>
      <c r="S129" s="130"/>
      <c r="T129" s="130"/>
      <c r="U129" s="130"/>
      <c r="V129" s="130"/>
      <c r="W129" s="130"/>
    </row>
    <row r="130">
      <c r="A130" s="130"/>
      <c r="B130" s="130"/>
      <c r="C130" s="130"/>
      <c r="D130" s="130"/>
      <c r="E130" s="130"/>
      <c r="F130" s="130"/>
      <c r="G130" s="130"/>
      <c r="H130" s="130"/>
      <c r="I130" s="130"/>
      <c r="J130" s="130"/>
      <c r="K130" s="239"/>
      <c r="L130" s="239"/>
      <c r="M130" s="130"/>
      <c r="N130" s="130"/>
      <c r="O130" s="130"/>
      <c r="P130" s="130"/>
      <c r="Q130" s="130"/>
      <c r="R130" s="130"/>
      <c r="S130" s="130"/>
      <c r="T130" s="130"/>
      <c r="U130" s="130"/>
      <c r="V130" s="130"/>
      <c r="W130" s="130"/>
    </row>
    <row r="131">
      <c r="A131" s="130"/>
      <c r="B131" s="130"/>
      <c r="C131" s="130"/>
      <c r="D131" s="130"/>
      <c r="E131" s="130"/>
      <c r="F131" s="130"/>
      <c r="G131" s="130"/>
      <c r="H131" s="130"/>
      <c r="I131" s="130"/>
      <c r="J131" s="130"/>
      <c r="K131" s="239"/>
      <c r="L131" s="239"/>
      <c r="M131" s="130"/>
      <c r="N131" s="130"/>
      <c r="O131" s="130"/>
      <c r="P131" s="130"/>
      <c r="Q131" s="130"/>
      <c r="R131" s="130"/>
      <c r="S131" s="130"/>
      <c r="T131" s="130"/>
      <c r="U131" s="130"/>
      <c r="V131" s="130"/>
      <c r="W131" s="130"/>
    </row>
    <row r="132">
      <c r="A132" s="130"/>
      <c r="B132" s="130"/>
      <c r="C132" s="130"/>
      <c r="D132" s="130"/>
      <c r="E132" s="130"/>
      <c r="F132" s="130"/>
      <c r="G132" s="130"/>
      <c r="H132" s="130"/>
      <c r="I132" s="130"/>
      <c r="J132" s="130"/>
      <c r="K132" s="239"/>
      <c r="L132" s="239"/>
      <c r="M132" s="130"/>
      <c r="N132" s="130"/>
      <c r="O132" s="130"/>
      <c r="P132" s="130"/>
      <c r="Q132" s="130"/>
      <c r="R132" s="130"/>
      <c r="S132" s="130"/>
      <c r="T132" s="130"/>
      <c r="U132" s="130"/>
      <c r="V132" s="130"/>
      <c r="W132" s="130"/>
    </row>
    <row r="133">
      <c r="A133" s="130"/>
      <c r="B133" s="130"/>
      <c r="C133" s="130"/>
      <c r="D133" s="130"/>
      <c r="E133" s="130"/>
      <c r="F133" s="130"/>
      <c r="G133" s="130"/>
      <c r="H133" s="130"/>
      <c r="I133" s="130"/>
      <c r="J133" s="130"/>
      <c r="K133" s="239"/>
      <c r="L133" s="239"/>
      <c r="M133" s="130"/>
      <c r="N133" s="130"/>
      <c r="O133" s="130"/>
      <c r="P133" s="130"/>
      <c r="Q133" s="130"/>
      <c r="R133" s="130"/>
      <c r="S133" s="130"/>
      <c r="T133" s="130"/>
      <c r="U133" s="130"/>
      <c r="V133" s="130"/>
      <c r="W133" s="130"/>
    </row>
    <row r="134">
      <c r="A134" s="130"/>
      <c r="B134" s="130"/>
      <c r="C134" s="130"/>
      <c r="D134" s="130"/>
      <c r="E134" s="130"/>
      <c r="F134" s="130"/>
      <c r="G134" s="130"/>
      <c r="H134" s="130"/>
      <c r="I134" s="130"/>
      <c r="J134" s="130"/>
      <c r="K134" s="239"/>
      <c r="L134" s="239"/>
      <c r="M134" s="130"/>
      <c r="N134" s="130"/>
      <c r="O134" s="130"/>
      <c r="P134" s="130"/>
      <c r="Q134" s="130"/>
      <c r="R134" s="130"/>
      <c r="S134" s="130"/>
      <c r="T134" s="130"/>
      <c r="U134" s="130"/>
      <c r="V134" s="130"/>
      <c r="W134" s="130"/>
    </row>
    <row r="135">
      <c r="A135" s="130"/>
      <c r="B135" s="130"/>
      <c r="C135" s="130"/>
      <c r="D135" s="130"/>
      <c r="E135" s="130"/>
      <c r="F135" s="130"/>
      <c r="G135" s="130"/>
      <c r="H135" s="130"/>
      <c r="I135" s="130"/>
      <c r="J135" s="130"/>
      <c r="K135" s="239"/>
      <c r="L135" s="239"/>
      <c r="M135" s="130"/>
      <c r="N135" s="130"/>
      <c r="O135" s="130"/>
      <c r="P135" s="130"/>
      <c r="Q135" s="130"/>
      <c r="R135" s="130"/>
      <c r="S135" s="130"/>
      <c r="T135" s="130"/>
      <c r="U135" s="130"/>
      <c r="V135" s="130"/>
      <c r="W135" s="130"/>
    </row>
    <row r="136">
      <c r="A136" s="130"/>
      <c r="B136" s="130"/>
      <c r="C136" s="130"/>
      <c r="D136" s="130"/>
      <c r="E136" s="130"/>
      <c r="F136" s="130"/>
      <c r="G136" s="130"/>
      <c r="H136" s="130"/>
      <c r="I136" s="130"/>
      <c r="J136" s="130"/>
      <c r="K136" s="239"/>
      <c r="L136" s="239"/>
      <c r="M136" s="130"/>
      <c r="N136" s="130"/>
      <c r="O136" s="130"/>
      <c r="P136" s="130"/>
      <c r="Q136" s="130"/>
      <c r="R136" s="130"/>
      <c r="S136" s="130"/>
      <c r="T136" s="130"/>
      <c r="U136" s="130"/>
      <c r="V136" s="130"/>
      <c r="W136" s="130"/>
    </row>
    <row r="137">
      <c r="A137" s="130"/>
      <c r="B137" s="130"/>
      <c r="C137" s="130"/>
      <c r="D137" s="130"/>
      <c r="E137" s="130"/>
      <c r="F137" s="130"/>
      <c r="G137" s="130"/>
      <c r="H137" s="130"/>
      <c r="I137" s="130"/>
      <c r="J137" s="130"/>
      <c r="K137" s="239"/>
      <c r="L137" s="239"/>
      <c r="M137" s="130"/>
      <c r="N137" s="130"/>
      <c r="O137" s="130"/>
      <c r="P137" s="130"/>
      <c r="Q137" s="130"/>
      <c r="R137" s="130"/>
      <c r="S137" s="130"/>
      <c r="T137" s="130"/>
      <c r="U137" s="130"/>
      <c r="V137" s="130"/>
      <c r="W137" s="130"/>
    </row>
    <row r="138">
      <c r="A138" s="130"/>
      <c r="B138" s="130"/>
      <c r="C138" s="130"/>
      <c r="D138" s="130"/>
      <c r="E138" s="130"/>
      <c r="F138" s="130"/>
      <c r="G138" s="130"/>
      <c r="H138" s="130"/>
      <c r="I138" s="130"/>
      <c r="J138" s="130"/>
      <c r="K138" s="239"/>
      <c r="L138" s="239"/>
      <c r="M138" s="130"/>
      <c r="N138" s="130"/>
      <c r="O138" s="130"/>
      <c r="P138" s="130"/>
      <c r="Q138" s="130"/>
      <c r="R138" s="130"/>
      <c r="S138" s="130"/>
      <c r="T138" s="130"/>
      <c r="U138" s="130"/>
      <c r="V138" s="130"/>
      <c r="W138" s="130"/>
    </row>
    <row r="139">
      <c r="A139" s="130"/>
      <c r="B139" s="130"/>
      <c r="C139" s="130"/>
      <c r="D139" s="130"/>
      <c r="E139" s="130"/>
      <c r="F139" s="130"/>
      <c r="G139" s="130"/>
      <c r="H139" s="130"/>
      <c r="I139" s="130"/>
      <c r="J139" s="130"/>
      <c r="K139" s="239"/>
      <c r="L139" s="239"/>
      <c r="M139" s="130"/>
      <c r="N139" s="130"/>
      <c r="O139" s="130"/>
      <c r="P139" s="130"/>
      <c r="Q139" s="130"/>
      <c r="R139" s="130"/>
      <c r="S139" s="130"/>
      <c r="T139" s="130"/>
      <c r="U139" s="130"/>
      <c r="V139" s="130"/>
      <c r="W139" s="130"/>
    </row>
    <row r="140">
      <c r="A140" s="130"/>
      <c r="B140" s="130"/>
      <c r="C140" s="130"/>
      <c r="D140" s="130"/>
      <c r="E140" s="130"/>
      <c r="F140" s="130"/>
      <c r="G140" s="130"/>
      <c r="H140" s="130"/>
      <c r="I140" s="130"/>
      <c r="J140" s="130"/>
      <c r="K140" s="239"/>
      <c r="L140" s="239"/>
      <c r="M140" s="130"/>
      <c r="N140" s="130"/>
      <c r="O140" s="130"/>
      <c r="P140" s="130"/>
      <c r="Q140" s="130"/>
      <c r="R140" s="130"/>
      <c r="S140" s="130"/>
      <c r="T140" s="130"/>
      <c r="U140" s="130"/>
      <c r="V140" s="130"/>
      <c r="W140" s="130"/>
    </row>
    <row r="141">
      <c r="A141" s="130"/>
      <c r="B141" s="130"/>
      <c r="C141" s="130"/>
      <c r="D141" s="130"/>
      <c r="E141" s="130"/>
      <c r="F141" s="130"/>
      <c r="G141" s="130"/>
      <c r="H141" s="130"/>
      <c r="I141" s="130"/>
      <c r="J141" s="130"/>
      <c r="K141" s="239"/>
      <c r="L141" s="239"/>
      <c r="M141" s="130"/>
      <c r="N141" s="130"/>
      <c r="O141" s="130"/>
      <c r="P141" s="130"/>
      <c r="Q141" s="130"/>
      <c r="R141" s="130"/>
      <c r="S141" s="130"/>
      <c r="T141" s="130"/>
      <c r="U141" s="130"/>
      <c r="V141" s="130"/>
      <c r="W141" s="130"/>
    </row>
    <row r="142">
      <c r="A142" s="130"/>
      <c r="B142" s="130"/>
      <c r="C142" s="130"/>
      <c r="D142" s="130"/>
      <c r="E142" s="130"/>
      <c r="F142" s="130"/>
      <c r="G142" s="130"/>
      <c r="H142" s="130"/>
      <c r="I142" s="130"/>
      <c r="J142" s="130"/>
      <c r="K142" s="239"/>
      <c r="L142" s="239"/>
      <c r="M142" s="130"/>
      <c r="N142" s="130"/>
      <c r="O142" s="130"/>
      <c r="P142" s="130"/>
      <c r="Q142" s="130"/>
      <c r="R142" s="130"/>
      <c r="S142" s="130"/>
      <c r="T142" s="130"/>
      <c r="U142" s="130"/>
      <c r="V142" s="130"/>
      <c r="W142" s="130"/>
    </row>
    <row r="143">
      <c r="A143" s="130"/>
      <c r="B143" s="130"/>
      <c r="C143" s="130"/>
      <c r="D143" s="130"/>
      <c r="E143" s="130"/>
      <c r="F143" s="130"/>
      <c r="G143" s="130"/>
      <c r="H143" s="130"/>
      <c r="I143" s="130"/>
      <c r="J143" s="130"/>
      <c r="K143" s="239"/>
      <c r="L143" s="239"/>
      <c r="M143" s="130"/>
      <c r="N143" s="130"/>
      <c r="O143" s="130"/>
      <c r="P143" s="130"/>
      <c r="Q143" s="130"/>
      <c r="R143" s="130"/>
      <c r="S143" s="130"/>
      <c r="T143" s="130"/>
      <c r="U143" s="130"/>
      <c r="V143" s="130"/>
      <c r="W143" s="130"/>
    </row>
    <row r="144">
      <c r="A144" s="130"/>
      <c r="B144" s="130"/>
      <c r="C144" s="130"/>
      <c r="D144" s="130"/>
      <c r="E144" s="130"/>
      <c r="F144" s="130"/>
      <c r="G144" s="130"/>
      <c r="H144" s="130"/>
      <c r="I144" s="130"/>
      <c r="J144" s="130"/>
      <c r="K144" s="239"/>
      <c r="L144" s="239"/>
      <c r="M144" s="130"/>
      <c r="N144" s="130"/>
      <c r="O144" s="130"/>
      <c r="P144" s="130"/>
      <c r="Q144" s="130"/>
      <c r="R144" s="130"/>
      <c r="S144" s="130"/>
      <c r="T144" s="130"/>
      <c r="U144" s="130"/>
      <c r="V144" s="130"/>
      <c r="W144" s="130"/>
    </row>
    <row r="145">
      <c r="A145" s="130"/>
      <c r="B145" s="130"/>
      <c r="C145" s="130"/>
      <c r="D145" s="130"/>
      <c r="E145" s="130"/>
      <c r="F145" s="130"/>
      <c r="G145" s="130"/>
      <c r="H145" s="130"/>
      <c r="I145" s="130"/>
      <c r="J145" s="130"/>
      <c r="K145" s="239"/>
      <c r="L145" s="239"/>
      <c r="M145" s="130"/>
      <c r="N145" s="130"/>
      <c r="O145" s="130"/>
      <c r="P145" s="130"/>
      <c r="Q145" s="130"/>
      <c r="R145" s="130"/>
      <c r="S145" s="130"/>
      <c r="T145" s="130"/>
      <c r="U145" s="130"/>
      <c r="V145" s="130"/>
      <c r="W145" s="130"/>
    </row>
    <row r="146">
      <c r="A146" s="130"/>
      <c r="B146" s="130"/>
      <c r="C146" s="130"/>
      <c r="D146" s="130"/>
      <c r="E146" s="130"/>
      <c r="F146" s="130"/>
      <c r="G146" s="130"/>
      <c r="H146" s="130"/>
      <c r="I146" s="130"/>
      <c r="J146" s="130"/>
      <c r="K146" s="239"/>
      <c r="L146" s="239"/>
      <c r="M146" s="130"/>
      <c r="N146" s="130"/>
      <c r="O146" s="130"/>
      <c r="P146" s="130"/>
      <c r="Q146" s="130"/>
      <c r="R146" s="130"/>
      <c r="S146" s="130"/>
      <c r="T146" s="130"/>
      <c r="U146" s="130"/>
      <c r="V146" s="130"/>
      <c r="W146" s="130"/>
    </row>
    <row r="147">
      <c r="A147" s="130"/>
      <c r="B147" s="130"/>
      <c r="C147" s="130"/>
      <c r="D147" s="130"/>
      <c r="E147" s="130"/>
      <c r="F147" s="130"/>
      <c r="G147" s="130"/>
      <c r="H147" s="130"/>
      <c r="I147" s="130"/>
      <c r="J147" s="130"/>
      <c r="K147" s="239"/>
      <c r="L147" s="239"/>
      <c r="M147" s="130"/>
      <c r="N147" s="130"/>
      <c r="O147" s="130"/>
      <c r="P147" s="130"/>
      <c r="Q147" s="130"/>
      <c r="R147" s="130"/>
      <c r="S147" s="130"/>
      <c r="T147" s="130"/>
      <c r="U147" s="130"/>
      <c r="V147" s="130"/>
      <c r="W147" s="130"/>
    </row>
    <row r="148">
      <c r="A148" s="130"/>
      <c r="B148" s="130"/>
      <c r="C148" s="130"/>
      <c r="D148" s="130"/>
      <c r="E148" s="130"/>
      <c r="F148" s="130"/>
      <c r="G148" s="130"/>
      <c r="H148" s="130"/>
      <c r="I148" s="130"/>
      <c r="J148" s="130"/>
      <c r="K148" s="239"/>
      <c r="L148" s="239"/>
      <c r="M148" s="130"/>
      <c r="N148" s="130"/>
      <c r="O148" s="130"/>
      <c r="P148" s="130"/>
      <c r="Q148" s="130"/>
      <c r="R148" s="130"/>
      <c r="S148" s="130"/>
      <c r="T148" s="130"/>
      <c r="U148" s="130"/>
      <c r="V148" s="130"/>
      <c r="W148" s="130"/>
    </row>
    <row r="149">
      <c r="A149" s="130"/>
      <c r="B149" s="130"/>
      <c r="C149" s="130"/>
      <c r="D149" s="130"/>
      <c r="E149" s="130"/>
      <c r="F149" s="130"/>
      <c r="G149" s="130"/>
      <c r="H149" s="130"/>
      <c r="I149" s="130"/>
      <c r="J149" s="130"/>
      <c r="K149" s="239"/>
      <c r="L149" s="239"/>
      <c r="M149" s="130"/>
      <c r="N149" s="130"/>
      <c r="O149" s="130"/>
      <c r="P149" s="130"/>
      <c r="Q149" s="130"/>
      <c r="R149" s="130"/>
      <c r="S149" s="130"/>
      <c r="T149" s="130"/>
      <c r="U149" s="130"/>
      <c r="V149" s="130"/>
      <c r="W149" s="130"/>
    </row>
    <row r="150">
      <c r="A150" s="130"/>
      <c r="B150" s="130"/>
      <c r="C150" s="130"/>
      <c r="D150" s="130"/>
      <c r="E150" s="130"/>
      <c r="F150" s="130"/>
      <c r="G150" s="130"/>
      <c r="H150" s="130"/>
      <c r="I150" s="130"/>
      <c r="J150" s="130"/>
      <c r="K150" s="239"/>
      <c r="L150" s="239"/>
      <c r="M150" s="130"/>
      <c r="N150" s="130"/>
      <c r="O150" s="130"/>
      <c r="P150" s="130"/>
      <c r="Q150" s="130"/>
      <c r="R150" s="130"/>
      <c r="S150" s="130"/>
      <c r="T150" s="130"/>
      <c r="U150" s="130"/>
      <c r="V150" s="130"/>
      <c r="W150" s="130"/>
    </row>
    <row r="151">
      <c r="A151" s="130"/>
      <c r="B151" s="130"/>
      <c r="C151" s="130"/>
      <c r="D151" s="130"/>
      <c r="E151" s="130"/>
      <c r="F151" s="130"/>
      <c r="G151" s="130"/>
      <c r="H151" s="130"/>
      <c r="I151" s="130"/>
      <c r="J151" s="130"/>
      <c r="K151" s="239"/>
      <c r="L151" s="239"/>
      <c r="M151" s="130"/>
      <c r="N151" s="130"/>
      <c r="O151" s="130"/>
      <c r="P151" s="130"/>
      <c r="Q151" s="130"/>
      <c r="R151" s="130"/>
      <c r="S151" s="130"/>
      <c r="T151" s="130"/>
      <c r="U151" s="130"/>
      <c r="V151" s="130"/>
      <c r="W151" s="130"/>
    </row>
    <row r="152">
      <c r="A152" s="130"/>
      <c r="B152" s="130"/>
      <c r="C152" s="130"/>
      <c r="D152" s="130"/>
      <c r="E152" s="130"/>
      <c r="F152" s="130"/>
      <c r="G152" s="130"/>
      <c r="H152" s="130"/>
      <c r="I152" s="130"/>
      <c r="J152" s="130"/>
      <c r="K152" s="239"/>
      <c r="L152" s="239"/>
      <c r="M152" s="130"/>
      <c r="N152" s="130"/>
      <c r="O152" s="130"/>
      <c r="P152" s="130"/>
      <c r="Q152" s="130"/>
      <c r="R152" s="130"/>
      <c r="S152" s="130"/>
      <c r="T152" s="130"/>
      <c r="U152" s="130"/>
      <c r="V152" s="130"/>
      <c r="W152" s="130"/>
    </row>
    <row r="153">
      <c r="A153" s="130"/>
      <c r="B153" s="130"/>
      <c r="C153" s="130"/>
      <c r="D153" s="130"/>
      <c r="E153" s="130"/>
      <c r="F153" s="130"/>
      <c r="G153" s="130"/>
      <c r="H153" s="130"/>
      <c r="I153" s="130"/>
      <c r="J153" s="130"/>
      <c r="K153" s="239"/>
      <c r="L153" s="239"/>
      <c r="M153" s="130"/>
      <c r="N153" s="130"/>
      <c r="O153" s="130"/>
      <c r="P153" s="130"/>
      <c r="Q153" s="130"/>
      <c r="R153" s="130"/>
      <c r="S153" s="130"/>
      <c r="T153" s="130"/>
      <c r="U153" s="130"/>
      <c r="V153" s="130"/>
      <c r="W153" s="130"/>
    </row>
    <row r="154">
      <c r="A154" s="130"/>
      <c r="B154" s="130"/>
      <c r="C154" s="130"/>
      <c r="D154" s="130"/>
      <c r="E154" s="130"/>
      <c r="F154" s="130"/>
      <c r="G154" s="130"/>
      <c r="H154" s="130"/>
      <c r="I154" s="130"/>
      <c r="J154" s="130"/>
      <c r="K154" s="239"/>
      <c r="L154" s="239"/>
      <c r="M154" s="130"/>
      <c r="N154" s="130"/>
      <c r="O154" s="130"/>
      <c r="P154" s="130"/>
      <c r="Q154" s="130"/>
      <c r="R154" s="130"/>
      <c r="S154" s="130"/>
      <c r="T154" s="130"/>
      <c r="U154" s="130"/>
      <c r="V154" s="130"/>
      <c r="W154" s="130"/>
    </row>
    <row r="155">
      <c r="A155" s="130"/>
      <c r="B155" s="130"/>
      <c r="C155" s="130"/>
      <c r="D155" s="130"/>
      <c r="E155" s="130"/>
      <c r="F155" s="130"/>
      <c r="G155" s="130"/>
      <c r="H155" s="130"/>
      <c r="I155" s="130"/>
      <c r="J155" s="130"/>
      <c r="K155" s="239"/>
      <c r="L155" s="239"/>
      <c r="M155" s="130"/>
      <c r="N155" s="130"/>
      <c r="O155" s="130"/>
      <c r="P155" s="130"/>
      <c r="Q155" s="130"/>
      <c r="R155" s="130"/>
      <c r="S155" s="130"/>
      <c r="T155" s="130"/>
      <c r="U155" s="130"/>
      <c r="V155" s="130"/>
      <c r="W155" s="130"/>
    </row>
    <row r="156">
      <c r="A156" s="130"/>
      <c r="B156" s="130"/>
      <c r="C156" s="130"/>
      <c r="D156" s="130"/>
      <c r="E156" s="130"/>
      <c r="F156" s="130"/>
      <c r="G156" s="130"/>
      <c r="H156" s="130"/>
      <c r="I156" s="130"/>
      <c r="J156" s="130"/>
      <c r="K156" s="239"/>
      <c r="L156" s="239"/>
      <c r="M156" s="130"/>
      <c r="N156" s="130"/>
      <c r="O156" s="130"/>
      <c r="P156" s="130"/>
      <c r="Q156" s="130"/>
      <c r="R156" s="130"/>
      <c r="S156" s="130"/>
      <c r="T156" s="130"/>
      <c r="U156" s="130"/>
      <c r="V156" s="130"/>
      <c r="W156" s="130"/>
    </row>
    <row r="157">
      <c r="A157" s="130"/>
      <c r="B157" s="130"/>
      <c r="C157" s="130"/>
      <c r="D157" s="130"/>
      <c r="E157" s="130"/>
      <c r="F157" s="130"/>
      <c r="G157" s="130"/>
      <c r="H157" s="130"/>
      <c r="I157" s="130"/>
      <c r="J157" s="130"/>
      <c r="K157" s="239"/>
      <c r="L157" s="239"/>
      <c r="M157" s="130"/>
      <c r="N157" s="130"/>
      <c r="O157" s="130"/>
      <c r="P157" s="130"/>
      <c r="Q157" s="130"/>
      <c r="R157" s="130"/>
      <c r="S157" s="130"/>
      <c r="T157" s="130"/>
      <c r="U157" s="130"/>
      <c r="V157" s="130"/>
      <c r="W157" s="130"/>
    </row>
    <row r="158">
      <c r="A158" s="130"/>
      <c r="B158" s="130"/>
      <c r="C158" s="130"/>
      <c r="D158" s="130"/>
      <c r="E158" s="130"/>
      <c r="F158" s="130"/>
      <c r="G158" s="130"/>
      <c r="H158" s="130"/>
      <c r="I158" s="130"/>
      <c r="J158" s="130"/>
      <c r="K158" s="239"/>
      <c r="L158" s="239"/>
      <c r="M158" s="130"/>
      <c r="N158" s="130"/>
      <c r="O158" s="130"/>
      <c r="P158" s="130"/>
      <c r="Q158" s="130"/>
      <c r="R158" s="130"/>
      <c r="S158" s="130"/>
      <c r="T158" s="130"/>
      <c r="U158" s="130"/>
      <c r="V158" s="130"/>
      <c r="W158" s="130"/>
    </row>
    <row r="159">
      <c r="A159" s="130"/>
      <c r="B159" s="130"/>
      <c r="C159" s="130"/>
      <c r="D159" s="130"/>
      <c r="E159" s="130"/>
      <c r="F159" s="130"/>
      <c r="G159" s="130"/>
      <c r="H159" s="130"/>
      <c r="I159" s="130"/>
      <c r="J159" s="130"/>
      <c r="K159" s="239"/>
      <c r="L159" s="239"/>
      <c r="M159" s="130"/>
      <c r="N159" s="130"/>
      <c r="O159" s="130"/>
      <c r="P159" s="130"/>
      <c r="Q159" s="130"/>
      <c r="R159" s="130"/>
      <c r="S159" s="130"/>
      <c r="T159" s="130"/>
      <c r="U159" s="130"/>
      <c r="V159" s="130"/>
      <c r="W159" s="130"/>
    </row>
    <row r="160">
      <c r="A160" s="130"/>
      <c r="B160" s="130"/>
      <c r="C160" s="130"/>
      <c r="D160" s="130"/>
      <c r="E160" s="130"/>
      <c r="F160" s="130"/>
      <c r="G160" s="130"/>
      <c r="H160" s="130"/>
      <c r="I160" s="130"/>
      <c r="J160" s="130"/>
      <c r="K160" s="239"/>
      <c r="L160" s="239"/>
      <c r="M160" s="130"/>
      <c r="N160" s="130"/>
      <c r="O160" s="130"/>
      <c r="P160" s="130"/>
      <c r="Q160" s="130"/>
      <c r="R160" s="130"/>
      <c r="S160" s="130"/>
      <c r="T160" s="130"/>
      <c r="U160" s="130"/>
      <c r="V160" s="130"/>
      <c r="W160" s="130"/>
    </row>
    <row r="161">
      <c r="A161" s="130"/>
      <c r="B161" s="130"/>
      <c r="C161" s="130"/>
      <c r="D161" s="130"/>
      <c r="E161" s="130"/>
      <c r="F161" s="130"/>
      <c r="G161" s="130"/>
      <c r="H161" s="130"/>
      <c r="I161" s="130"/>
      <c r="J161" s="130"/>
      <c r="K161" s="239"/>
      <c r="L161" s="239"/>
      <c r="M161" s="130"/>
      <c r="N161" s="130"/>
      <c r="O161" s="130"/>
      <c r="P161" s="130"/>
      <c r="Q161" s="130"/>
      <c r="R161" s="130"/>
      <c r="S161" s="130"/>
      <c r="T161" s="130"/>
      <c r="U161" s="130"/>
      <c r="V161" s="130"/>
      <c r="W161" s="130"/>
    </row>
    <row r="162">
      <c r="A162" s="130"/>
      <c r="B162" s="130"/>
      <c r="C162" s="130"/>
      <c r="D162" s="130"/>
      <c r="E162" s="130"/>
      <c r="F162" s="130"/>
      <c r="G162" s="130"/>
      <c r="H162" s="130"/>
      <c r="I162" s="130"/>
      <c r="J162" s="130"/>
      <c r="K162" s="239"/>
      <c r="L162" s="239"/>
      <c r="M162" s="130"/>
      <c r="N162" s="130"/>
      <c r="O162" s="130"/>
      <c r="P162" s="130"/>
      <c r="Q162" s="130"/>
      <c r="R162" s="130"/>
      <c r="S162" s="130"/>
      <c r="T162" s="130"/>
      <c r="U162" s="130"/>
      <c r="V162" s="130"/>
      <c r="W162" s="130"/>
    </row>
    <row r="163">
      <c r="A163" s="130"/>
      <c r="B163" s="130"/>
      <c r="C163" s="130"/>
      <c r="D163" s="130"/>
      <c r="E163" s="130"/>
      <c r="F163" s="130"/>
      <c r="G163" s="130"/>
      <c r="H163" s="130"/>
      <c r="I163" s="130"/>
      <c r="J163" s="130"/>
      <c r="K163" s="239"/>
      <c r="L163" s="239"/>
      <c r="M163" s="130"/>
      <c r="N163" s="130"/>
      <c r="O163" s="130"/>
      <c r="P163" s="130"/>
      <c r="Q163" s="130"/>
      <c r="R163" s="130"/>
      <c r="S163" s="130"/>
      <c r="T163" s="130"/>
      <c r="U163" s="130"/>
      <c r="V163" s="130"/>
      <c r="W163" s="130"/>
    </row>
    <row r="164">
      <c r="A164" s="130"/>
      <c r="B164" s="130"/>
      <c r="C164" s="130"/>
      <c r="D164" s="130"/>
      <c r="E164" s="130"/>
      <c r="F164" s="130"/>
      <c r="G164" s="130"/>
      <c r="H164" s="130"/>
      <c r="I164" s="130"/>
      <c r="J164" s="130"/>
      <c r="K164" s="239"/>
      <c r="L164" s="239"/>
      <c r="M164" s="130"/>
      <c r="N164" s="130"/>
      <c r="O164" s="130"/>
      <c r="P164" s="130"/>
      <c r="Q164" s="130"/>
      <c r="R164" s="130"/>
      <c r="S164" s="130"/>
      <c r="T164" s="130"/>
      <c r="U164" s="130"/>
      <c r="V164" s="130"/>
      <c r="W164" s="130"/>
    </row>
    <row r="165">
      <c r="A165" s="130"/>
      <c r="B165" s="130"/>
      <c r="C165" s="130"/>
      <c r="D165" s="130"/>
      <c r="E165" s="130"/>
      <c r="F165" s="130"/>
      <c r="G165" s="130"/>
      <c r="H165" s="130"/>
      <c r="I165" s="130"/>
      <c r="J165" s="130"/>
      <c r="K165" s="239"/>
      <c r="L165" s="239"/>
      <c r="M165" s="130"/>
      <c r="N165" s="130"/>
      <c r="O165" s="130"/>
      <c r="P165" s="130"/>
      <c r="Q165" s="130"/>
      <c r="R165" s="130"/>
      <c r="S165" s="130"/>
      <c r="T165" s="130"/>
      <c r="U165" s="130"/>
      <c r="V165" s="130"/>
      <c r="W165" s="130"/>
    </row>
    <row r="166">
      <c r="A166" s="130"/>
      <c r="B166" s="130"/>
      <c r="C166" s="130"/>
      <c r="D166" s="130"/>
      <c r="E166" s="130"/>
      <c r="F166" s="130"/>
      <c r="G166" s="130"/>
      <c r="H166" s="130"/>
      <c r="I166" s="130"/>
      <c r="J166" s="130"/>
      <c r="K166" s="239"/>
      <c r="L166" s="239"/>
      <c r="M166" s="130"/>
      <c r="N166" s="130"/>
      <c r="O166" s="130"/>
      <c r="P166" s="130"/>
      <c r="Q166" s="130"/>
      <c r="R166" s="130"/>
      <c r="S166" s="130"/>
      <c r="T166" s="130"/>
      <c r="U166" s="130"/>
      <c r="V166" s="130"/>
      <c r="W166" s="130"/>
    </row>
    <row r="167">
      <c r="A167" s="130"/>
      <c r="B167" s="130"/>
      <c r="C167" s="130"/>
      <c r="D167" s="130"/>
      <c r="E167" s="130"/>
      <c r="F167" s="130"/>
      <c r="G167" s="130"/>
      <c r="H167" s="130"/>
      <c r="I167" s="130"/>
      <c r="J167" s="130"/>
      <c r="K167" s="239"/>
      <c r="L167" s="239"/>
      <c r="M167" s="130"/>
      <c r="N167" s="130"/>
      <c r="O167" s="130"/>
      <c r="P167" s="130"/>
      <c r="Q167" s="130"/>
      <c r="R167" s="130"/>
      <c r="S167" s="130"/>
      <c r="T167" s="130"/>
      <c r="U167" s="130"/>
      <c r="V167" s="130"/>
      <c r="W167" s="130"/>
    </row>
    <row r="168">
      <c r="A168" s="130"/>
      <c r="B168" s="130"/>
      <c r="C168" s="130"/>
      <c r="D168" s="130"/>
      <c r="E168" s="130"/>
      <c r="F168" s="130"/>
      <c r="G168" s="130"/>
      <c r="H168" s="130"/>
      <c r="I168" s="130"/>
      <c r="J168" s="130"/>
      <c r="K168" s="239"/>
      <c r="L168" s="239"/>
      <c r="M168" s="130"/>
      <c r="N168" s="130"/>
      <c r="O168" s="130"/>
      <c r="P168" s="130"/>
      <c r="Q168" s="130"/>
      <c r="R168" s="130"/>
      <c r="S168" s="130"/>
      <c r="T168" s="130"/>
      <c r="U168" s="130"/>
      <c r="V168" s="130"/>
      <c r="W168" s="130"/>
    </row>
    <row r="169">
      <c r="A169" s="130"/>
      <c r="B169" s="130"/>
      <c r="C169" s="130"/>
      <c r="D169" s="130"/>
      <c r="E169" s="130"/>
      <c r="F169" s="130"/>
      <c r="G169" s="130"/>
      <c r="H169" s="130"/>
      <c r="I169" s="130"/>
      <c r="J169" s="130"/>
      <c r="K169" s="239"/>
      <c r="L169" s="239"/>
      <c r="M169" s="130"/>
      <c r="N169" s="130"/>
      <c r="O169" s="130"/>
      <c r="P169" s="130"/>
      <c r="Q169" s="130"/>
      <c r="R169" s="130"/>
      <c r="S169" s="130"/>
      <c r="T169" s="130"/>
      <c r="U169" s="130"/>
      <c r="V169" s="130"/>
      <c r="W169" s="130"/>
    </row>
    <row r="170">
      <c r="A170" s="130"/>
      <c r="B170" s="130"/>
      <c r="C170" s="130"/>
      <c r="D170" s="130"/>
      <c r="E170" s="130"/>
      <c r="F170" s="130"/>
      <c r="G170" s="130"/>
      <c r="H170" s="130"/>
      <c r="I170" s="130"/>
      <c r="J170" s="130"/>
      <c r="K170" s="239"/>
      <c r="L170" s="239"/>
      <c r="M170" s="130"/>
      <c r="N170" s="130"/>
      <c r="O170" s="130"/>
      <c r="P170" s="130"/>
      <c r="Q170" s="130"/>
      <c r="R170" s="130"/>
      <c r="S170" s="130"/>
      <c r="T170" s="130"/>
      <c r="U170" s="130"/>
      <c r="V170" s="130"/>
      <c r="W170" s="130"/>
    </row>
    <row r="171">
      <c r="A171" s="130"/>
      <c r="B171" s="130"/>
      <c r="C171" s="130"/>
      <c r="D171" s="130"/>
      <c r="E171" s="130"/>
      <c r="F171" s="130"/>
      <c r="G171" s="130"/>
      <c r="H171" s="130"/>
      <c r="I171" s="130"/>
      <c r="J171" s="130"/>
      <c r="K171" s="239"/>
      <c r="L171" s="239"/>
      <c r="M171" s="130"/>
      <c r="N171" s="130"/>
      <c r="O171" s="130"/>
      <c r="P171" s="130"/>
      <c r="Q171" s="130"/>
      <c r="R171" s="130"/>
      <c r="S171" s="130"/>
      <c r="T171" s="130"/>
      <c r="U171" s="130"/>
      <c r="V171" s="130"/>
      <c r="W171" s="130"/>
    </row>
    <row r="172">
      <c r="A172" s="130"/>
      <c r="B172" s="130"/>
      <c r="C172" s="130"/>
      <c r="D172" s="130"/>
      <c r="E172" s="130"/>
      <c r="F172" s="130"/>
      <c r="G172" s="130"/>
      <c r="H172" s="130"/>
      <c r="I172" s="130"/>
      <c r="J172" s="130"/>
      <c r="K172" s="239"/>
      <c r="L172" s="239"/>
      <c r="M172" s="130"/>
      <c r="N172" s="130"/>
      <c r="O172" s="130"/>
      <c r="P172" s="130"/>
      <c r="Q172" s="130"/>
      <c r="R172" s="130"/>
      <c r="S172" s="130"/>
      <c r="T172" s="130"/>
      <c r="U172" s="130"/>
      <c r="V172" s="130"/>
      <c r="W172" s="130"/>
    </row>
    <row r="173">
      <c r="A173" s="130"/>
      <c r="B173" s="130"/>
      <c r="C173" s="130"/>
      <c r="D173" s="130"/>
      <c r="E173" s="130"/>
      <c r="F173" s="130"/>
      <c r="G173" s="130"/>
      <c r="H173" s="130"/>
      <c r="I173" s="130"/>
      <c r="J173" s="130"/>
      <c r="K173" s="239"/>
      <c r="L173" s="239"/>
      <c r="M173" s="130"/>
      <c r="N173" s="130"/>
      <c r="O173" s="130"/>
      <c r="P173" s="130"/>
      <c r="Q173" s="130"/>
      <c r="R173" s="130"/>
      <c r="S173" s="130"/>
      <c r="T173" s="130"/>
      <c r="U173" s="130"/>
      <c r="V173" s="130"/>
      <c r="W173" s="130"/>
    </row>
    <row r="174">
      <c r="A174" s="130"/>
      <c r="B174" s="130"/>
      <c r="C174" s="130"/>
      <c r="D174" s="130"/>
      <c r="E174" s="130"/>
      <c r="F174" s="130"/>
      <c r="G174" s="130"/>
      <c r="H174" s="130"/>
      <c r="I174" s="130"/>
      <c r="J174" s="130"/>
      <c r="K174" s="239"/>
      <c r="L174" s="239"/>
      <c r="M174" s="130"/>
      <c r="N174" s="130"/>
      <c r="O174" s="130"/>
      <c r="P174" s="130"/>
      <c r="Q174" s="130"/>
      <c r="R174" s="130"/>
      <c r="S174" s="130"/>
      <c r="T174" s="130"/>
      <c r="U174" s="130"/>
      <c r="V174" s="130"/>
      <c r="W174" s="130"/>
    </row>
    <row r="175">
      <c r="A175" s="130"/>
      <c r="B175" s="130"/>
      <c r="C175" s="130"/>
      <c r="D175" s="130"/>
      <c r="E175" s="130"/>
      <c r="F175" s="130"/>
      <c r="G175" s="130"/>
      <c r="H175" s="130"/>
      <c r="I175" s="130"/>
      <c r="J175" s="130"/>
      <c r="K175" s="239"/>
      <c r="L175" s="239"/>
      <c r="M175" s="130"/>
      <c r="N175" s="130"/>
      <c r="O175" s="130"/>
      <c r="P175" s="130"/>
      <c r="Q175" s="130"/>
      <c r="R175" s="130"/>
      <c r="S175" s="130"/>
      <c r="T175" s="130"/>
      <c r="U175" s="130"/>
      <c r="V175" s="130"/>
      <c r="W175" s="130"/>
    </row>
    <row r="176">
      <c r="A176" s="130"/>
      <c r="B176" s="130"/>
      <c r="C176" s="130"/>
      <c r="D176" s="130"/>
      <c r="E176" s="130"/>
      <c r="F176" s="130"/>
      <c r="G176" s="130"/>
      <c r="H176" s="130"/>
      <c r="I176" s="130"/>
      <c r="J176" s="130"/>
      <c r="K176" s="239"/>
      <c r="L176" s="239"/>
      <c r="M176" s="130"/>
      <c r="N176" s="130"/>
      <c r="O176" s="130"/>
      <c r="P176" s="130"/>
      <c r="Q176" s="130"/>
      <c r="R176" s="130"/>
      <c r="S176" s="130"/>
      <c r="T176" s="130"/>
      <c r="U176" s="130"/>
      <c r="V176" s="130"/>
      <c r="W176" s="130"/>
    </row>
    <row r="177">
      <c r="A177" s="130"/>
      <c r="B177" s="130"/>
      <c r="C177" s="130"/>
      <c r="D177" s="130"/>
      <c r="E177" s="130"/>
      <c r="F177" s="130"/>
      <c r="G177" s="130"/>
      <c r="H177" s="130"/>
      <c r="I177" s="130"/>
      <c r="J177" s="130"/>
      <c r="K177" s="239"/>
      <c r="L177" s="239"/>
      <c r="M177" s="130"/>
      <c r="N177" s="130"/>
      <c r="O177" s="130"/>
      <c r="P177" s="130"/>
      <c r="Q177" s="130"/>
      <c r="R177" s="130"/>
      <c r="S177" s="130"/>
      <c r="T177" s="130"/>
      <c r="U177" s="130"/>
      <c r="V177" s="130"/>
      <c r="W177" s="130"/>
    </row>
    <row r="178">
      <c r="A178" s="130"/>
      <c r="B178" s="130"/>
      <c r="C178" s="130"/>
      <c r="D178" s="130"/>
      <c r="E178" s="130"/>
      <c r="F178" s="130"/>
      <c r="G178" s="130"/>
      <c r="H178" s="130"/>
      <c r="I178" s="130"/>
      <c r="J178" s="130"/>
      <c r="K178" s="239"/>
      <c r="L178" s="239"/>
      <c r="M178" s="130"/>
      <c r="N178" s="130"/>
      <c r="O178" s="130"/>
      <c r="P178" s="130"/>
      <c r="Q178" s="130"/>
      <c r="R178" s="130"/>
      <c r="S178" s="130"/>
      <c r="T178" s="130"/>
      <c r="U178" s="130"/>
      <c r="V178" s="130"/>
      <c r="W178" s="130"/>
    </row>
    <row r="179">
      <c r="A179" s="130"/>
      <c r="B179" s="130"/>
      <c r="C179" s="130"/>
      <c r="D179" s="130"/>
      <c r="E179" s="130"/>
      <c r="F179" s="130"/>
      <c r="G179" s="130"/>
      <c r="H179" s="130"/>
      <c r="I179" s="130"/>
      <c r="J179" s="130"/>
      <c r="K179" s="239"/>
      <c r="L179" s="239"/>
      <c r="M179" s="130"/>
      <c r="N179" s="130"/>
      <c r="O179" s="130"/>
      <c r="P179" s="130"/>
      <c r="Q179" s="130"/>
      <c r="R179" s="130"/>
      <c r="S179" s="130"/>
      <c r="T179" s="130"/>
      <c r="U179" s="130"/>
      <c r="V179" s="130"/>
      <c r="W179" s="130"/>
    </row>
    <row r="180">
      <c r="A180" s="130"/>
      <c r="B180" s="130"/>
      <c r="C180" s="130"/>
      <c r="D180" s="130"/>
      <c r="E180" s="130"/>
      <c r="F180" s="130"/>
      <c r="G180" s="130"/>
      <c r="H180" s="130"/>
      <c r="I180" s="130"/>
      <c r="J180" s="130"/>
      <c r="K180" s="239"/>
      <c r="L180" s="239"/>
      <c r="M180" s="130"/>
      <c r="N180" s="130"/>
      <c r="O180" s="130"/>
      <c r="P180" s="130"/>
      <c r="Q180" s="130"/>
      <c r="R180" s="130"/>
      <c r="S180" s="130"/>
      <c r="T180" s="130"/>
      <c r="U180" s="130"/>
      <c r="V180" s="130"/>
      <c r="W180" s="130"/>
    </row>
    <row r="181">
      <c r="A181" s="130"/>
      <c r="B181" s="130"/>
      <c r="C181" s="130"/>
      <c r="D181" s="130"/>
      <c r="E181" s="130"/>
      <c r="F181" s="130"/>
      <c r="G181" s="130"/>
      <c r="H181" s="130"/>
      <c r="I181" s="130"/>
      <c r="J181" s="130"/>
      <c r="K181" s="239"/>
      <c r="L181" s="239"/>
      <c r="M181" s="130"/>
      <c r="N181" s="130"/>
      <c r="O181" s="130"/>
      <c r="P181" s="130"/>
      <c r="Q181" s="130"/>
      <c r="R181" s="130"/>
      <c r="S181" s="130"/>
      <c r="T181" s="130"/>
      <c r="U181" s="130"/>
      <c r="V181" s="130"/>
      <c r="W181" s="130"/>
    </row>
    <row r="182">
      <c r="A182" s="130"/>
      <c r="B182" s="130"/>
      <c r="C182" s="130"/>
      <c r="D182" s="130"/>
      <c r="E182" s="130"/>
      <c r="F182" s="130"/>
      <c r="G182" s="130"/>
      <c r="H182" s="130"/>
      <c r="I182" s="130"/>
      <c r="J182" s="130"/>
      <c r="K182" s="239"/>
      <c r="L182" s="239"/>
      <c r="M182" s="130"/>
      <c r="N182" s="130"/>
      <c r="O182" s="130"/>
      <c r="P182" s="130"/>
      <c r="Q182" s="130"/>
      <c r="R182" s="130"/>
      <c r="S182" s="130"/>
      <c r="T182" s="130"/>
      <c r="U182" s="130"/>
      <c r="V182" s="130"/>
      <c r="W182" s="130"/>
    </row>
    <row r="183">
      <c r="A183" s="130"/>
      <c r="B183" s="130"/>
      <c r="C183" s="130"/>
      <c r="D183" s="130"/>
      <c r="E183" s="130"/>
      <c r="F183" s="130"/>
      <c r="G183" s="130"/>
      <c r="H183" s="130"/>
      <c r="I183" s="130"/>
      <c r="J183" s="130"/>
      <c r="K183" s="239"/>
      <c r="L183" s="239"/>
      <c r="M183" s="130"/>
      <c r="N183" s="130"/>
      <c r="O183" s="130"/>
      <c r="P183" s="130"/>
      <c r="Q183" s="130"/>
      <c r="R183" s="130"/>
      <c r="S183" s="130"/>
      <c r="T183" s="130"/>
      <c r="U183" s="130"/>
      <c r="V183" s="130"/>
      <c r="W183" s="130"/>
    </row>
    <row r="184">
      <c r="A184" s="130"/>
      <c r="B184" s="130"/>
      <c r="C184" s="130"/>
      <c r="D184" s="130"/>
      <c r="E184" s="130"/>
      <c r="F184" s="130"/>
      <c r="G184" s="130"/>
      <c r="H184" s="130"/>
      <c r="I184" s="130"/>
      <c r="J184" s="130"/>
      <c r="K184" s="239"/>
      <c r="L184" s="239"/>
      <c r="M184" s="130"/>
      <c r="N184" s="130"/>
      <c r="O184" s="130"/>
      <c r="P184" s="130"/>
      <c r="Q184" s="130"/>
      <c r="R184" s="130"/>
      <c r="S184" s="130"/>
      <c r="T184" s="130"/>
      <c r="U184" s="130"/>
      <c r="V184" s="130"/>
      <c r="W184" s="130"/>
    </row>
    <row r="185">
      <c r="A185" s="130"/>
      <c r="B185" s="130"/>
      <c r="C185" s="130"/>
      <c r="D185" s="130"/>
      <c r="E185" s="130"/>
      <c r="F185" s="130"/>
      <c r="G185" s="130"/>
      <c r="H185" s="130"/>
      <c r="I185" s="130"/>
      <c r="J185" s="130"/>
      <c r="K185" s="239"/>
      <c r="L185" s="239"/>
      <c r="M185" s="130"/>
      <c r="N185" s="130"/>
      <c r="O185" s="130"/>
      <c r="P185" s="130"/>
      <c r="Q185" s="130"/>
      <c r="R185" s="130"/>
      <c r="S185" s="130"/>
      <c r="T185" s="130"/>
      <c r="U185" s="130"/>
      <c r="V185" s="130"/>
      <c r="W185" s="130"/>
    </row>
    <row r="186">
      <c r="A186" s="130"/>
      <c r="B186" s="130"/>
      <c r="C186" s="130"/>
      <c r="D186" s="130"/>
      <c r="E186" s="130"/>
      <c r="F186" s="130"/>
      <c r="G186" s="130"/>
      <c r="H186" s="130"/>
      <c r="I186" s="130"/>
      <c r="J186" s="130"/>
      <c r="K186" s="239"/>
      <c r="L186" s="239"/>
      <c r="M186" s="130"/>
      <c r="N186" s="130"/>
      <c r="O186" s="130"/>
      <c r="P186" s="130"/>
      <c r="Q186" s="130"/>
      <c r="R186" s="130"/>
      <c r="S186" s="130"/>
      <c r="T186" s="130"/>
      <c r="U186" s="130"/>
      <c r="V186" s="130"/>
      <c r="W186" s="130"/>
    </row>
    <row r="187">
      <c r="A187" s="130"/>
      <c r="B187" s="130"/>
      <c r="C187" s="130"/>
      <c r="D187" s="130"/>
      <c r="E187" s="130"/>
      <c r="F187" s="130"/>
      <c r="G187" s="130"/>
      <c r="H187" s="130"/>
      <c r="I187" s="130"/>
      <c r="J187" s="130"/>
      <c r="K187" s="239"/>
      <c r="L187" s="239"/>
      <c r="M187" s="130"/>
      <c r="N187" s="130"/>
      <c r="O187" s="130"/>
      <c r="P187" s="130"/>
      <c r="Q187" s="130"/>
      <c r="R187" s="130"/>
      <c r="S187" s="130"/>
      <c r="T187" s="130"/>
      <c r="U187" s="130"/>
      <c r="V187" s="130"/>
      <c r="W187" s="130"/>
    </row>
    <row r="188">
      <c r="A188" s="130"/>
      <c r="B188" s="130"/>
      <c r="C188" s="130"/>
      <c r="D188" s="130"/>
      <c r="E188" s="130"/>
      <c r="F188" s="130"/>
      <c r="G188" s="130"/>
      <c r="H188" s="130"/>
      <c r="I188" s="130"/>
      <c r="J188" s="130"/>
      <c r="K188" s="239"/>
      <c r="L188" s="239"/>
      <c r="M188" s="130"/>
      <c r="N188" s="130"/>
      <c r="O188" s="130"/>
      <c r="P188" s="130"/>
      <c r="Q188" s="130"/>
      <c r="R188" s="130"/>
      <c r="S188" s="130"/>
      <c r="T188" s="130"/>
      <c r="U188" s="130"/>
      <c r="V188" s="130"/>
      <c r="W188" s="130"/>
    </row>
    <row r="189">
      <c r="A189" s="130"/>
      <c r="B189" s="130"/>
      <c r="C189" s="130"/>
      <c r="D189" s="130"/>
      <c r="E189" s="130"/>
      <c r="F189" s="130"/>
      <c r="G189" s="130"/>
      <c r="H189" s="130"/>
      <c r="I189" s="130"/>
      <c r="J189" s="130"/>
      <c r="K189" s="239"/>
      <c r="L189" s="239"/>
      <c r="M189" s="130"/>
      <c r="N189" s="130"/>
      <c r="O189" s="130"/>
      <c r="P189" s="130"/>
      <c r="Q189" s="130"/>
      <c r="R189" s="130"/>
      <c r="S189" s="130"/>
      <c r="T189" s="130"/>
      <c r="U189" s="130"/>
      <c r="V189" s="130"/>
      <c r="W189" s="130"/>
    </row>
    <row r="190">
      <c r="A190" s="130"/>
      <c r="B190" s="130"/>
      <c r="C190" s="130"/>
      <c r="D190" s="130"/>
      <c r="E190" s="130"/>
      <c r="F190" s="130"/>
      <c r="G190" s="130"/>
      <c r="H190" s="130"/>
      <c r="I190" s="130"/>
      <c r="J190" s="130"/>
      <c r="K190" s="239"/>
      <c r="L190" s="239"/>
      <c r="M190" s="130"/>
      <c r="N190" s="130"/>
      <c r="O190" s="130"/>
      <c r="P190" s="130"/>
      <c r="Q190" s="130"/>
      <c r="R190" s="130"/>
      <c r="S190" s="130"/>
      <c r="T190" s="130"/>
      <c r="U190" s="130"/>
      <c r="V190" s="130"/>
      <c r="W190" s="130"/>
    </row>
    <row r="191">
      <c r="A191" s="130"/>
      <c r="B191" s="130"/>
      <c r="C191" s="130"/>
      <c r="D191" s="130"/>
      <c r="E191" s="130"/>
      <c r="F191" s="130"/>
      <c r="G191" s="130"/>
      <c r="H191" s="130"/>
      <c r="I191" s="130"/>
      <c r="J191" s="130"/>
      <c r="K191" s="239"/>
      <c r="L191" s="239"/>
      <c r="M191" s="130"/>
      <c r="N191" s="130"/>
      <c r="O191" s="130"/>
      <c r="P191" s="130"/>
      <c r="Q191" s="130"/>
      <c r="R191" s="130"/>
      <c r="S191" s="130"/>
      <c r="T191" s="130"/>
      <c r="U191" s="130"/>
      <c r="V191" s="130"/>
      <c r="W191" s="130"/>
    </row>
    <row r="192">
      <c r="A192" s="130"/>
      <c r="B192" s="130"/>
      <c r="C192" s="130"/>
      <c r="D192" s="130"/>
      <c r="E192" s="130"/>
      <c r="F192" s="130"/>
      <c r="G192" s="130"/>
      <c r="H192" s="130"/>
      <c r="I192" s="130"/>
      <c r="J192" s="130"/>
      <c r="K192" s="239"/>
      <c r="L192" s="239"/>
      <c r="M192" s="130"/>
      <c r="N192" s="130"/>
      <c r="O192" s="130"/>
      <c r="P192" s="130"/>
      <c r="Q192" s="130"/>
      <c r="R192" s="130"/>
      <c r="S192" s="130"/>
      <c r="T192" s="130"/>
      <c r="U192" s="130"/>
      <c r="V192" s="130"/>
      <c r="W192" s="130"/>
    </row>
    <row r="193">
      <c r="A193" s="130"/>
      <c r="B193" s="130"/>
      <c r="C193" s="130"/>
      <c r="D193" s="130"/>
      <c r="E193" s="130"/>
      <c r="F193" s="130"/>
      <c r="G193" s="130"/>
      <c r="H193" s="130"/>
      <c r="I193" s="130"/>
      <c r="J193" s="130"/>
      <c r="K193" s="239"/>
      <c r="L193" s="239"/>
      <c r="M193" s="130"/>
      <c r="N193" s="130"/>
      <c r="O193" s="130"/>
      <c r="P193" s="130"/>
      <c r="Q193" s="130"/>
      <c r="R193" s="130"/>
      <c r="S193" s="130"/>
      <c r="T193" s="130"/>
      <c r="U193" s="130"/>
      <c r="V193" s="130"/>
      <c r="W193" s="130"/>
    </row>
    <row r="194">
      <c r="A194" s="130"/>
      <c r="B194" s="130"/>
      <c r="C194" s="130"/>
      <c r="D194" s="130"/>
      <c r="E194" s="130"/>
      <c r="F194" s="130"/>
      <c r="G194" s="130"/>
      <c r="H194" s="130"/>
      <c r="I194" s="130"/>
      <c r="J194" s="130"/>
      <c r="K194" s="239"/>
      <c r="L194" s="239"/>
      <c r="M194" s="130"/>
      <c r="N194" s="130"/>
      <c r="O194" s="130"/>
      <c r="P194" s="130"/>
      <c r="Q194" s="130"/>
      <c r="R194" s="130"/>
      <c r="S194" s="130"/>
      <c r="T194" s="130"/>
      <c r="U194" s="130"/>
      <c r="V194" s="130"/>
      <c r="W194" s="130"/>
    </row>
    <row r="195">
      <c r="A195" s="130"/>
      <c r="B195" s="130"/>
      <c r="C195" s="130"/>
      <c r="D195" s="130"/>
      <c r="E195" s="130"/>
      <c r="F195" s="130"/>
      <c r="G195" s="130"/>
      <c r="H195" s="130"/>
      <c r="I195" s="130"/>
      <c r="J195" s="130"/>
      <c r="K195" s="239"/>
      <c r="L195" s="239"/>
      <c r="M195" s="130"/>
      <c r="N195" s="130"/>
      <c r="O195" s="130"/>
      <c r="P195" s="130"/>
      <c r="Q195" s="130"/>
      <c r="R195" s="130"/>
      <c r="S195" s="130"/>
      <c r="T195" s="130"/>
      <c r="U195" s="130"/>
      <c r="V195" s="130"/>
      <c r="W195" s="130"/>
    </row>
    <row r="196">
      <c r="A196" s="130"/>
      <c r="B196" s="130"/>
      <c r="C196" s="130"/>
      <c r="D196" s="130"/>
      <c r="E196" s="130"/>
      <c r="F196" s="130"/>
      <c r="G196" s="130"/>
      <c r="H196" s="130"/>
      <c r="I196" s="130"/>
      <c r="J196" s="130"/>
      <c r="K196" s="239"/>
      <c r="L196" s="239"/>
      <c r="M196" s="130"/>
      <c r="N196" s="130"/>
      <c r="O196" s="130"/>
      <c r="P196" s="130"/>
      <c r="Q196" s="130"/>
      <c r="R196" s="130"/>
      <c r="S196" s="130"/>
      <c r="T196" s="130"/>
      <c r="U196" s="130"/>
      <c r="V196" s="130"/>
      <c r="W196" s="130"/>
    </row>
    <row r="197">
      <c r="A197" s="130"/>
      <c r="B197" s="130"/>
      <c r="C197" s="130"/>
      <c r="D197" s="130"/>
      <c r="E197" s="130"/>
      <c r="F197" s="130"/>
      <c r="G197" s="130"/>
      <c r="H197" s="130"/>
      <c r="I197" s="130"/>
      <c r="J197" s="130"/>
      <c r="K197" s="239"/>
      <c r="L197" s="239"/>
      <c r="M197" s="130"/>
      <c r="N197" s="130"/>
      <c r="O197" s="130"/>
      <c r="P197" s="130"/>
      <c r="Q197" s="130"/>
      <c r="R197" s="130"/>
      <c r="S197" s="130"/>
      <c r="T197" s="130"/>
      <c r="U197" s="130"/>
      <c r="V197" s="130"/>
      <c r="W197" s="130"/>
    </row>
    <row r="198">
      <c r="A198" s="130"/>
      <c r="B198" s="130"/>
      <c r="C198" s="130"/>
      <c r="D198" s="130"/>
      <c r="E198" s="130"/>
      <c r="F198" s="130"/>
      <c r="G198" s="130"/>
      <c r="H198" s="130"/>
      <c r="I198" s="130"/>
      <c r="J198" s="130"/>
      <c r="K198" s="239"/>
      <c r="L198" s="239"/>
      <c r="M198" s="130"/>
      <c r="N198" s="130"/>
      <c r="O198" s="130"/>
      <c r="P198" s="130"/>
      <c r="Q198" s="130"/>
      <c r="R198" s="130"/>
      <c r="S198" s="130"/>
      <c r="T198" s="130"/>
      <c r="U198" s="130"/>
      <c r="V198" s="130"/>
      <c r="W198" s="130"/>
    </row>
    <row r="199">
      <c r="A199" s="130"/>
      <c r="B199" s="130"/>
      <c r="C199" s="130"/>
      <c r="D199" s="130"/>
      <c r="E199" s="130"/>
      <c r="F199" s="130"/>
      <c r="G199" s="130"/>
      <c r="H199" s="130"/>
      <c r="I199" s="130"/>
      <c r="J199" s="130"/>
      <c r="K199" s="239"/>
      <c r="L199" s="239"/>
      <c r="M199" s="130"/>
      <c r="N199" s="130"/>
      <c r="O199" s="130"/>
      <c r="P199" s="130"/>
      <c r="Q199" s="130"/>
      <c r="R199" s="130"/>
      <c r="S199" s="130"/>
      <c r="T199" s="130"/>
      <c r="U199" s="130"/>
      <c r="V199" s="130"/>
      <c r="W199" s="130"/>
    </row>
    <row r="200">
      <c r="A200" s="130"/>
      <c r="B200" s="130"/>
      <c r="C200" s="130"/>
      <c r="D200" s="130"/>
      <c r="E200" s="130"/>
      <c r="F200" s="130"/>
      <c r="G200" s="130"/>
      <c r="H200" s="130"/>
      <c r="I200" s="130"/>
      <c r="J200" s="130"/>
      <c r="K200" s="239"/>
      <c r="L200" s="239"/>
      <c r="M200" s="130"/>
      <c r="N200" s="130"/>
      <c r="O200" s="130"/>
      <c r="P200" s="130"/>
      <c r="Q200" s="130"/>
      <c r="R200" s="130"/>
      <c r="S200" s="130"/>
      <c r="T200" s="130"/>
      <c r="U200" s="130"/>
      <c r="V200" s="130"/>
      <c r="W200" s="130"/>
    </row>
    <row r="201">
      <c r="A201" s="130"/>
      <c r="B201" s="130"/>
      <c r="C201" s="130"/>
      <c r="D201" s="130"/>
      <c r="E201" s="130"/>
      <c r="F201" s="130"/>
      <c r="G201" s="130"/>
      <c r="H201" s="130"/>
      <c r="I201" s="130"/>
      <c r="J201" s="130"/>
      <c r="K201" s="239"/>
      <c r="L201" s="239"/>
      <c r="M201" s="130"/>
      <c r="N201" s="130"/>
      <c r="O201" s="130"/>
      <c r="P201" s="130"/>
      <c r="Q201" s="130"/>
      <c r="R201" s="130"/>
      <c r="S201" s="130"/>
      <c r="T201" s="130"/>
      <c r="U201" s="130"/>
      <c r="V201" s="130"/>
      <c r="W201" s="130"/>
    </row>
    <row r="202">
      <c r="A202" s="130"/>
      <c r="B202" s="130"/>
      <c r="C202" s="130"/>
      <c r="D202" s="130"/>
      <c r="E202" s="130"/>
      <c r="F202" s="130"/>
      <c r="G202" s="130"/>
      <c r="H202" s="130"/>
      <c r="I202" s="130"/>
      <c r="J202" s="130"/>
      <c r="K202" s="239"/>
      <c r="L202" s="239"/>
      <c r="M202" s="130"/>
      <c r="N202" s="130"/>
      <c r="O202" s="130"/>
      <c r="P202" s="130"/>
      <c r="Q202" s="130"/>
      <c r="R202" s="130"/>
      <c r="S202" s="130"/>
      <c r="T202" s="130"/>
      <c r="U202" s="130"/>
      <c r="V202" s="130"/>
      <c r="W202" s="130"/>
    </row>
    <row r="203">
      <c r="A203" s="130"/>
      <c r="B203" s="130"/>
      <c r="C203" s="130"/>
      <c r="D203" s="130"/>
      <c r="E203" s="130"/>
      <c r="F203" s="130"/>
      <c r="G203" s="130"/>
      <c r="H203" s="130"/>
      <c r="I203" s="130"/>
      <c r="J203" s="130"/>
      <c r="K203" s="239"/>
      <c r="L203" s="239"/>
      <c r="M203" s="130"/>
      <c r="N203" s="130"/>
      <c r="O203" s="130"/>
      <c r="P203" s="130"/>
      <c r="Q203" s="130"/>
      <c r="R203" s="130"/>
      <c r="S203" s="130"/>
      <c r="T203" s="130"/>
      <c r="U203" s="130"/>
      <c r="V203" s="130"/>
      <c r="W203" s="130"/>
    </row>
    <row r="204">
      <c r="A204" s="130"/>
      <c r="B204" s="130"/>
      <c r="C204" s="130"/>
      <c r="D204" s="130"/>
      <c r="E204" s="130"/>
      <c r="F204" s="130"/>
      <c r="G204" s="130"/>
      <c r="H204" s="130"/>
      <c r="I204" s="130"/>
      <c r="J204" s="130"/>
      <c r="K204" s="239"/>
      <c r="L204" s="239"/>
      <c r="M204" s="130"/>
      <c r="N204" s="130"/>
      <c r="O204" s="130"/>
      <c r="P204" s="130"/>
      <c r="Q204" s="130"/>
      <c r="R204" s="130"/>
      <c r="S204" s="130"/>
      <c r="T204" s="130"/>
      <c r="U204" s="130"/>
      <c r="V204" s="130"/>
      <c r="W204" s="130"/>
    </row>
    <row r="205">
      <c r="A205" s="130"/>
      <c r="B205" s="130"/>
      <c r="C205" s="130"/>
      <c r="D205" s="130"/>
      <c r="E205" s="130"/>
      <c r="F205" s="130"/>
      <c r="G205" s="130"/>
      <c r="H205" s="130"/>
      <c r="I205" s="130"/>
      <c r="J205" s="130"/>
      <c r="K205" s="239"/>
      <c r="L205" s="239"/>
      <c r="M205" s="130"/>
      <c r="N205" s="130"/>
      <c r="O205" s="130"/>
      <c r="P205" s="130"/>
      <c r="Q205" s="130"/>
      <c r="R205" s="130"/>
      <c r="S205" s="130"/>
      <c r="T205" s="130"/>
      <c r="U205" s="130"/>
      <c r="V205" s="130"/>
      <c r="W205" s="130"/>
    </row>
    <row r="206">
      <c r="A206" s="130"/>
      <c r="B206" s="130"/>
      <c r="C206" s="130"/>
      <c r="D206" s="130"/>
      <c r="E206" s="130"/>
      <c r="F206" s="130"/>
      <c r="G206" s="130"/>
      <c r="H206" s="130"/>
      <c r="I206" s="130"/>
      <c r="J206" s="130"/>
      <c r="K206" s="239"/>
      <c r="L206" s="239"/>
      <c r="M206" s="130"/>
      <c r="N206" s="130"/>
      <c r="O206" s="130"/>
      <c r="P206" s="130"/>
      <c r="Q206" s="130"/>
      <c r="R206" s="130"/>
      <c r="S206" s="130"/>
      <c r="T206" s="130"/>
      <c r="U206" s="130"/>
      <c r="V206" s="130"/>
      <c r="W206" s="130"/>
    </row>
    <row r="207">
      <c r="A207" s="130"/>
      <c r="B207" s="130"/>
      <c r="C207" s="130"/>
      <c r="D207" s="130"/>
      <c r="E207" s="130"/>
      <c r="F207" s="130"/>
      <c r="G207" s="130"/>
      <c r="H207" s="130"/>
      <c r="I207" s="130"/>
      <c r="J207" s="130"/>
      <c r="K207" s="239"/>
      <c r="L207" s="239"/>
      <c r="M207" s="130"/>
      <c r="N207" s="130"/>
      <c r="O207" s="130"/>
      <c r="P207" s="130"/>
      <c r="Q207" s="130"/>
      <c r="R207" s="130"/>
      <c r="S207" s="130"/>
      <c r="T207" s="130"/>
      <c r="U207" s="130"/>
      <c r="V207" s="130"/>
      <c r="W207" s="130"/>
    </row>
    <row r="208">
      <c r="A208" s="130"/>
      <c r="B208" s="130"/>
      <c r="C208" s="130"/>
      <c r="D208" s="130"/>
      <c r="E208" s="130"/>
      <c r="F208" s="130"/>
      <c r="G208" s="130"/>
      <c r="H208" s="130"/>
      <c r="I208" s="130"/>
      <c r="J208" s="130"/>
      <c r="K208" s="239"/>
      <c r="L208" s="239"/>
      <c r="M208" s="130"/>
      <c r="N208" s="130"/>
      <c r="O208" s="130"/>
      <c r="P208" s="130"/>
      <c r="Q208" s="130"/>
      <c r="R208" s="130"/>
      <c r="S208" s="130"/>
      <c r="T208" s="130"/>
      <c r="U208" s="130"/>
      <c r="V208" s="130"/>
      <c r="W208" s="130"/>
    </row>
    <row r="209">
      <c r="A209" s="130"/>
      <c r="B209" s="130"/>
      <c r="C209" s="130"/>
      <c r="D209" s="130"/>
      <c r="E209" s="130"/>
      <c r="F209" s="130"/>
      <c r="G209" s="130"/>
      <c r="H209" s="130"/>
      <c r="I209" s="130"/>
      <c r="J209" s="130"/>
      <c r="K209" s="239"/>
      <c r="L209" s="239"/>
      <c r="M209" s="130"/>
      <c r="N209" s="130"/>
      <c r="O209" s="130"/>
      <c r="P209" s="130"/>
      <c r="Q209" s="130"/>
      <c r="R209" s="130"/>
      <c r="S209" s="130"/>
      <c r="T209" s="130"/>
      <c r="U209" s="130"/>
      <c r="V209" s="130"/>
      <c r="W209" s="130"/>
    </row>
    <row r="210">
      <c r="A210" s="130"/>
      <c r="B210" s="130"/>
      <c r="C210" s="130"/>
      <c r="D210" s="130"/>
      <c r="E210" s="130"/>
      <c r="F210" s="130"/>
      <c r="G210" s="130"/>
      <c r="H210" s="130"/>
      <c r="I210" s="130"/>
      <c r="J210" s="130"/>
      <c r="K210" s="239"/>
      <c r="L210" s="239"/>
      <c r="M210" s="130"/>
      <c r="N210" s="130"/>
      <c r="O210" s="130"/>
      <c r="P210" s="130"/>
      <c r="Q210" s="130"/>
      <c r="R210" s="130"/>
      <c r="S210" s="130"/>
      <c r="T210" s="130"/>
      <c r="U210" s="130"/>
      <c r="V210" s="130"/>
      <c r="W210" s="130"/>
    </row>
    <row r="211">
      <c r="A211" s="130"/>
      <c r="B211" s="130"/>
      <c r="C211" s="130"/>
      <c r="D211" s="130"/>
      <c r="E211" s="130"/>
      <c r="F211" s="130"/>
      <c r="G211" s="130"/>
      <c r="H211" s="130"/>
      <c r="I211" s="130"/>
      <c r="J211" s="130"/>
      <c r="K211" s="239"/>
      <c r="L211" s="239"/>
      <c r="M211" s="130"/>
      <c r="N211" s="130"/>
      <c r="O211" s="130"/>
      <c r="P211" s="130"/>
      <c r="Q211" s="130"/>
      <c r="R211" s="130"/>
      <c r="S211" s="130"/>
      <c r="T211" s="130"/>
      <c r="U211" s="130"/>
      <c r="V211" s="130"/>
      <c r="W211" s="130"/>
    </row>
    <row r="212">
      <c r="A212" s="130"/>
      <c r="B212" s="130"/>
      <c r="C212" s="130"/>
      <c r="D212" s="130"/>
      <c r="E212" s="130"/>
      <c r="F212" s="130"/>
      <c r="G212" s="130"/>
      <c r="H212" s="130"/>
      <c r="I212" s="130"/>
      <c r="J212" s="130"/>
      <c r="K212" s="239"/>
      <c r="L212" s="239"/>
      <c r="M212" s="130"/>
      <c r="N212" s="130"/>
      <c r="O212" s="130"/>
      <c r="P212" s="130"/>
      <c r="Q212" s="130"/>
      <c r="R212" s="130"/>
      <c r="S212" s="130"/>
      <c r="T212" s="130"/>
      <c r="U212" s="130"/>
      <c r="V212" s="130"/>
      <c r="W212" s="130"/>
    </row>
    <row r="213">
      <c r="A213" s="130"/>
      <c r="B213" s="130"/>
      <c r="C213" s="130"/>
      <c r="D213" s="130"/>
      <c r="E213" s="130"/>
      <c r="F213" s="130"/>
      <c r="G213" s="130"/>
      <c r="H213" s="130"/>
      <c r="I213" s="130"/>
      <c r="J213" s="130"/>
      <c r="K213" s="239"/>
      <c r="L213" s="239"/>
      <c r="M213" s="130"/>
      <c r="N213" s="130"/>
      <c r="O213" s="130"/>
      <c r="P213" s="130"/>
      <c r="Q213" s="130"/>
      <c r="R213" s="130"/>
      <c r="S213" s="130"/>
      <c r="T213" s="130"/>
      <c r="U213" s="130"/>
      <c r="V213" s="130"/>
      <c r="W213" s="130"/>
    </row>
    <row r="214">
      <c r="A214" s="130"/>
      <c r="B214" s="130"/>
      <c r="C214" s="130"/>
      <c r="D214" s="130"/>
      <c r="E214" s="130"/>
      <c r="F214" s="130"/>
      <c r="G214" s="130"/>
      <c r="H214" s="130"/>
      <c r="I214" s="130"/>
      <c r="J214" s="130"/>
      <c r="K214" s="239"/>
      <c r="L214" s="239"/>
      <c r="M214" s="130"/>
      <c r="N214" s="130"/>
      <c r="O214" s="130"/>
      <c r="P214" s="130"/>
      <c r="Q214" s="130"/>
      <c r="R214" s="130"/>
      <c r="S214" s="130"/>
      <c r="T214" s="130"/>
      <c r="U214" s="130"/>
      <c r="V214" s="130"/>
      <c r="W214" s="130"/>
    </row>
    <row r="215">
      <c r="A215" s="130"/>
      <c r="B215" s="130"/>
      <c r="C215" s="130"/>
      <c r="D215" s="130"/>
      <c r="E215" s="130"/>
      <c r="F215" s="130"/>
      <c r="G215" s="130"/>
      <c r="H215" s="130"/>
      <c r="I215" s="130"/>
      <c r="J215" s="130"/>
      <c r="K215" s="239"/>
      <c r="L215" s="239"/>
      <c r="M215" s="130"/>
      <c r="N215" s="130"/>
      <c r="O215" s="130"/>
      <c r="P215" s="130"/>
      <c r="Q215" s="130"/>
      <c r="R215" s="130"/>
      <c r="S215" s="130"/>
      <c r="T215" s="130"/>
      <c r="U215" s="130"/>
      <c r="V215" s="130"/>
      <c r="W215" s="130"/>
    </row>
    <row r="216">
      <c r="A216" s="130"/>
      <c r="B216" s="130"/>
      <c r="C216" s="130"/>
      <c r="D216" s="130"/>
      <c r="E216" s="130"/>
      <c r="F216" s="130"/>
      <c r="G216" s="130"/>
      <c r="H216" s="130"/>
      <c r="I216" s="130"/>
      <c r="J216" s="130"/>
      <c r="K216" s="239"/>
      <c r="L216" s="239"/>
      <c r="M216" s="130"/>
      <c r="N216" s="130"/>
      <c r="O216" s="130"/>
      <c r="P216" s="130"/>
      <c r="Q216" s="130"/>
      <c r="R216" s="130"/>
      <c r="S216" s="130"/>
      <c r="T216" s="130"/>
      <c r="U216" s="130"/>
      <c r="V216" s="130"/>
      <c r="W216" s="130"/>
    </row>
    <row r="217">
      <c r="A217" s="130"/>
      <c r="B217" s="130"/>
      <c r="C217" s="130"/>
      <c r="D217" s="130"/>
      <c r="E217" s="130"/>
      <c r="F217" s="130"/>
      <c r="G217" s="130"/>
      <c r="H217" s="130"/>
      <c r="I217" s="130"/>
      <c r="J217" s="130"/>
      <c r="K217" s="239"/>
      <c r="L217" s="239"/>
      <c r="M217" s="130"/>
      <c r="N217" s="130"/>
      <c r="O217" s="130"/>
      <c r="P217" s="130"/>
      <c r="Q217" s="130"/>
      <c r="R217" s="130"/>
      <c r="S217" s="130"/>
      <c r="T217" s="130"/>
      <c r="U217" s="130"/>
      <c r="V217" s="130"/>
      <c r="W217" s="130"/>
    </row>
    <row r="218">
      <c r="A218" s="130"/>
      <c r="B218" s="130"/>
      <c r="C218" s="130"/>
      <c r="D218" s="130"/>
      <c r="E218" s="130"/>
      <c r="F218" s="130"/>
      <c r="G218" s="130"/>
      <c r="H218" s="130"/>
      <c r="I218" s="130"/>
      <c r="J218" s="130"/>
      <c r="K218" s="239"/>
      <c r="L218" s="239"/>
      <c r="M218" s="130"/>
      <c r="N218" s="130"/>
      <c r="O218" s="130"/>
      <c r="P218" s="130"/>
      <c r="Q218" s="130"/>
      <c r="R218" s="130"/>
      <c r="S218" s="130"/>
      <c r="T218" s="130"/>
      <c r="U218" s="130"/>
      <c r="V218" s="130"/>
      <c r="W218" s="130"/>
    </row>
    <row r="219">
      <c r="A219" s="130"/>
      <c r="B219" s="130"/>
      <c r="C219" s="130"/>
      <c r="D219" s="130"/>
      <c r="E219" s="130"/>
      <c r="F219" s="130"/>
      <c r="G219" s="130"/>
      <c r="H219" s="130"/>
      <c r="I219" s="130"/>
      <c r="J219" s="130"/>
      <c r="K219" s="239"/>
      <c r="L219" s="239"/>
      <c r="M219" s="130"/>
      <c r="N219" s="130"/>
      <c r="O219" s="130"/>
      <c r="P219" s="130"/>
      <c r="Q219" s="130"/>
      <c r="R219" s="130"/>
      <c r="S219" s="130"/>
      <c r="T219" s="130"/>
      <c r="U219" s="130"/>
      <c r="V219" s="130"/>
      <c r="W219" s="130"/>
    </row>
    <row r="220">
      <c r="A220" s="130"/>
      <c r="B220" s="130"/>
      <c r="C220" s="130"/>
      <c r="D220" s="130"/>
      <c r="E220" s="130"/>
      <c r="F220" s="130"/>
      <c r="G220" s="130"/>
      <c r="H220" s="130"/>
      <c r="I220" s="130"/>
      <c r="J220" s="130"/>
      <c r="K220" s="239"/>
      <c r="L220" s="239"/>
      <c r="M220" s="130"/>
      <c r="N220" s="130"/>
      <c r="O220" s="130"/>
      <c r="P220" s="130"/>
      <c r="Q220" s="130"/>
      <c r="R220" s="130"/>
      <c r="S220" s="130"/>
      <c r="T220" s="130"/>
      <c r="U220" s="130"/>
      <c r="V220" s="130"/>
      <c r="W220" s="130"/>
    </row>
    <row r="221">
      <c r="A221" s="130"/>
      <c r="B221" s="130"/>
      <c r="C221" s="130"/>
      <c r="D221" s="130"/>
      <c r="E221" s="130"/>
      <c r="F221" s="130"/>
      <c r="G221" s="130"/>
      <c r="H221" s="130"/>
      <c r="I221" s="130"/>
      <c r="J221" s="130"/>
      <c r="K221" s="239"/>
      <c r="L221" s="239"/>
      <c r="M221" s="130"/>
      <c r="N221" s="130"/>
      <c r="O221" s="130"/>
      <c r="P221" s="130"/>
      <c r="Q221" s="130"/>
      <c r="R221" s="130"/>
      <c r="S221" s="130"/>
      <c r="T221" s="130"/>
      <c r="U221" s="130"/>
      <c r="V221" s="130"/>
      <c r="W221" s="130"/>
    </row>
    <row r="222">
      <c r="A222" s="130"/>
      <c r="B222" s="130"/>
      <c r="C222" s="130"/>
      <c r="D222" s="130"/>
      <c r="E222" s="130"/>
      <c r="F222" s="130"/>
      <c r="G222" s="130"/>
      <c r="H222" s="130"/>
      <c r="I222" s="130"/>
      <c r="J222" s="130"/>
      <c r="K222" s="239"/>
      <c r="L222" s="239"/>
      <c r="M222" s="130"/>
      <c r="N222" s="130"/>
      <c r="O222" s="130"/>
      <c r="P222" s="130"/>
      <c r="Q222" s="130"/>
      <c r="R222" s="130"/>
      <c r="S222" s="130"/>
      <c r="T222" s="130"/>
      <c r="U222" s="130"/>
      <c r="V222" s="130"/>
      <c r="W222" s="130"/>
    </row>
    <row r="223">
      <c r="A223" s="130"/>
      <c r="B223" s="130"/>
      <c r="C223" s="130"/>
      <c r="D223" s="130"/>
      <c r="E223" s="130"/>
      <c r="F223" s="130"/>
      <c r="G223" s="130"/>
      <c r="H223" s="130"/>
      <c r="I223" s="130"/>
      <c r="J223" s="130"/>
      <c r="K223" s="239"/>
      <c r="L223" s="239"/>
      <c r="M223" s="130"/>
      <c r="N223" s="130"/>
      <c r="O223" s="130"/>
      <c r="P223" s="130"/>
      <c r="Q223" s="130"/>
      <c r="R223" s="130"/>
      <c r="S223" s="130"/>
      <c r="T223" s="130"/>
      <c r="U223" s="130"/>
      <c r="V223" s="130"/>
      <c r="W223" s="130"/>
    </row>
    <row r="224">
      <c r="A224" s="130"/>
      <c r="B224" s="130"/>
      <c r="C224" s="130"/>
      <c r="D224" s="130"/>
      <c r="E224" s="130"/>
      <c r="F224" s="130"/>
      <c r="G224" s="130"/>
      <c r="H224" s="130"/>
      <c r="I224" s="130"/>
      <c r="J224" s="130"/>
      <c r="K224" s="239"/>
      <c r="L224" s="239"/>
      <c r="M224" s="130"/>
      <c r="N224" s="130"/>
      <c r="O224" s="130"/>
      <c r="P224" s="130"/>
      <c r="Q224" s="130"/>
      <c r="R224" s="130"/>
      <c r="S224" s="130"/>
      <c r="T224" s="130"/>
      <c r="U224" s="130"/>
      <c r="V224" s="130"/>
      <c r="W224" s="130"/>
    </row>
    <row r="225">
      <c r="A225" s="130"/>
      <c r="B225" s="130"/>
      <c r="C225" s="130"/>
      <c r="D225" s="130"/>
      <c r="E225" s="130"/>
      <c r="F225" s="130"/>
      <c r="G225" s="130"/>
      <c r="H225" s="130"/>
      <c r="I225" s="130"/>
      <c r="J225" s="130"/>
      <c r="K225" s="239"/>
      <c r="L225" s="239"/>
      <c r="M225" s="130"/>
      <c r="N225" s="130"/>
      <c r="O225" s="130"/>
      <c r="P225" s="130"/>
      <c r="Q225" s="130"/>
      <c r="R225" s="130"/>
      <c r="S225" s="130"/>
      <c r="T225" s="130"/>
      <c r="U225" s="130"/>
      <c r="V225" s="130"/>
      <c r="W225" s="130"/>
    </row>
    <row r="226">
      <c r="A226" s="130"/>
      <c r="B226" s="130"/>
      <c r="C226" s="130"/>
      <c r="D226" s="130"/>
      <c r="E226" s="130"/>
      <c r="F226" s="130"/>
      <c r="G226" s="130"/>
      <c r="H226" s="130"/>
      <c r="I226" s="130"/>
      <c r="J226" s="130"/>
      <c r="K226" s="239"/>
      <c r="L226" s="239"/>
      <c r="M226" s="130"/>
      <c r="N226" s="130"/>
      <c r="O226" s="130"/>
      <c r="P226" s="130"/>
      <c r="Q226" s="130"/>
      <c r="R226" s="130"/>
      <c r="S226" s="130"/>
      <c r="T226" s="130"/>
      <c r="U226" s="130"/>
      <c r="V226" s="130"/>
      <c r="W226" s="130"/>
    </row>
    <row r="227">
      <c r="A227" s="130"/>
      <c r="B227" s="130"/>
      <c r="C227" s="130"/>
      <c r="D227" s="130"/>
      <c r="E227" s="130"/>
      <c r="F227" s="130"/>
      <c r="G227" s="130"/>
      <c r="H227" s="130"/>
      <c r="I227" s="130"/>
      <c r="J227" s="130"/>
      <c r="K227" s="239"/>
      <c r="L227" s="239"/>
      <c r="M227" s="130"/>
      <c r="N227" s="130"/>
      <c r="O227" s="130"/>
      <c r="P227" s="130"/>
      <c r="Q227" s="130"/>
      <c r="R227" s="130"/>
      <c r="S227" s="130"/>
      <c r="T227" s="130"/>
      <c r="U227" s="130"/>
      <c r="V227" s="130"/>
      <c r="W227" s="130"/>
    </row>
    <row r="228">
      <c r="A228" s="130"/>
      <c r="B228" s="130"/>
      <c r="C228" s="130"/>
      <c r="D228" s="130"/>
      <c r="E228" s="130"/>
      <c r="F228" s="130"/>
      <c r="G228" s="130"/>
      <c r="H228" s="130"/>
      <c r="I228" s="130"/>
      <c r="J228" s="130"/>
      <c r="K228" s="239"/>
      <c r="L228" s="239"/>
      <c r="M228" s="130"/>
      <c r="N228" s="130"/>
      <c r="O228" s="130"/>
      <c r="P228" s="130"/>
      <c r="Q228" s="130"/>
      <c r="R228" s="130"/>
      <c r="S228" s="130"/>
      <c r="T228" s="130"/>
      <c r="U228" s="130"/>
      <c r="V228" s="130"/>
      <c r="W228" s="130"/>
    </row>
    <row r="229">
      <c r="A229" s="130"/>
      <c r="B229" s="130"/>
      <c r="C229" s="130"/>
      <c r="D229" s="130"/>
      <c r="E229" s="130"/>
      <c r="F229" s="130"/>
      <c r="G229" s="130"/>
      <c r="H229" s="130"/>
      <c r="I229" s="130"/>
      <c r="J229" s="130"/>
      <c r="K229" s="239"/>
      <c r="L229" s="239"/>
      <c r="M229" s="130"/>
      <c r="N229" s="130"/>
      <c r="O229" s="130"/>
      <c r="P229" s="130"/>
      <c r="Q229" s="130"/>
      <c r="R229" s="130"/>
      <c r="S229" s="130"/>
      <c r="T229" s="130"/>
      <c r="U229" s="130"/>
      <c r="V229" s="130"/>
      <c r="W229" s="130"/>
    </row>
    <row r="230">
      <c r="A230" s="130"/>
      <c r="B230" s="130"/>
      <c r="C230" s="130"/>
      <c r="D230" s="130"/>
      <c r="E230" s="130"/>
      <c r="F230" s="130"/>
      <c r="G230" s="130"/>
      <c r="H230" s="130"/>
      <c r="I230" s="130"/>
      <c r="J230" s="130"/>
      <c r="K230" s="239"/>
      <c r="L230" s="239"/>
      <c r="M230" s="130"/>
      <c r="N230" s="130"/>
      <c r="O230" s="130"/>
      <c r="P230" s="130"/>
      <c r="Q230" s="130"/>
      <c r="R230" s="130"/>
      <c r="S230" s="130"/>
      <c r="T230" s="130"/>
      <c r="U230" s="130"/>
      <c r="V230" s="130"/>
      <c r="W230" s="130"/>
    </row>
    <row r="231">
      <c r="A231" s="130"/>
      <c r="B231" s="130"/>
      <c r="C231" s="130"/>
      <c r="D231" s="130"/>
      <c r="E231" s="130"/>
      <c r="F231" s="130"/>
      <c r="G231" s="130"/>
      <c r="H231" s="130"/>
      <c r="I231" s="130"/>
      <c r="J231" s="130"/>
      <c r="K231" s="239"/>
      <c r="L231" s="239"/>
      <c r="M231" s="130"/>
      <c r="N231" s="130"/>
      <c r="O231" s="130"/>
      <c r="P231" s="130"/>
      <c r="Q231" s="130"/>
      <c r="R231" s="130"/>
      <c r="S231" s="130"/>
      <c r="T231" s="130"/>
      <c r="U231" s="130"/>
      <c r="V231" s="130"/>
      <c r="W231" s="130"/>
    </row>
    <row r="232">
      <c r="A232" s="130"/>
      <c r="B232" s="130"/>
      <c r="C232" s="130"/>
      <c r="D232" s="130"/>
      <c r="E232" s="130"/>
      <c r="F232" s="130"/>
      <c r="G232" s="130"/>
      <c r="H232" s="130"/>
      <c r="I232" s="130"/>
      <c r="J232" s="130"/>
      <c r="K232" s="239"/>
      <c r="L232" s="239"/>
      <c r="M232" s="130"/>
      <c r="N232" s="130"/>
      <c r="O232" s="130"/>
      <c r="P232" s="130"/>
      <c r="Q232" s="130"/>
      <c r="R232" s="130"/>
      <c r="S232" s="130"/>
      <c r="T232" s="130"/>
      <c r="U232" s="130"/>
      <c r="V232" s="130"/>
      <c r="W232" s="130"/>
    </row>
    <row r="233">
      <c r="A233" s="130"/>
      <c r="B233" s="130"/>
      <c r="C233" s="130"/>
      <c r="D233" s="130"/>
      <c r="E233" s="130"/>
      <c r="F233" s="130"/>
      <c r="G233" s="130"/>
      <c r="H233" s="130"/>
      <c r="I233" s="130"/>
      <c r="J233" s="130"/>
      <c r="K233" s="239"/>
      <c r="L233" s="239"/>
      <c r="M233" s="130"/>
      <c r="N233" s="130"/>
      <c r="O233" s="130"/>
      <c r="P233" s="130"/>
      <c r="Q233" s="130"/>
      <c r="R233" s="130"/>
      <c r="S233" s="130"/>
      <c r="T233" s="130"/>
      <c r="U233" s="130"/>
      <c r="V233" s="130"/>
      <c r="W233" s="130"/>
    </row>
    <row r="234">
      <c r="A234" s="130"/>
      <c r="B234" s="130"/>
      <c r="C234" s="130"/>
      <c r="D234" s="130"/>
      <c r="E234" s="130"/>
      <c r="F234" s="130"/>
      <c r="G234" s="130"/>
      <c r="H234" s="130"/>
      <c r="I234" s="130"/>
      <c r="J234" s="130"/>
      <c r="K234" s="239"/>
      <c r="L234" s="239"/>
      <c r="M234" s="130"/>
      <c r="N234" s="130"/>
      <c r="O234" s="130"/>
      <c r="P234" s="130"/>
      <c r="Q234" s="130"/>
      <c r="R234" s="130"/>
      <c r="S234" s="130"/>
      <c r="T234" s="130"/>
      <c r="U234" s="130"/>
      <c r="V234" s="130"/>
      <c r="W234" s="130"/>
    </row>
    <row r="235">
      <c r="A235" s="130"/>
      <c r="B235" s="130"/>
      <c r="C235" s="130"/>
      <c r="D235" s="130"/>
      <c r="E235" s="130"/>
      <c r="F235" s="130"/>
      <c r="G235" s="130"/>
      <c r="H235" s="130"/>
      <c r="I235" s="130"/>
      <c r="J235" s="130"/>
      <c r="K235" s="239"/>
      <c r="L235" s="239"/>
      <c r="M235" s="130"/>
      <c r="N235" s="130"/>
      <c r="O235" s="130"/>
      <c r="P235" s="130"/>
      <c r="Q235" s="130"/>
      <c r="R235" s="130"/>
      <c r="S235" s="130"/>
      <c r="T235" s="130"/>
      <c r="U235" s="130"/>
      <c r="V235" s="130"/>
      <c r="W235" s="130"/>
    </row>
    <row r="236">
      <c r="A236" s="130"/>
      <c r="B236" s="130"/>
      <c r="C236" s="130"/>
      <c r="D236" s="130"/>
      <c r="E236" s="130"/>
      <c r="F236" s="130"/>
      <c r="G236" s="130"/>
      <c r="H236" s="130"/>
      <c r="I236" s="130"/>
      <c r="J236" s="130"/>
      <c r="K236" s="239"/>
      <c r="L236" s="239"/>
      <c r="M236" s="130"/>
      <c r="N236" s="130"/>
      <c r="O236" s="130"/>
      <c r="P236" s="130"/>
      <c r="Q236" s="130"/>
      <c r="R236" s="130"/>
      <c r="S236" s="130"/>
      <c r="T236" s="130"/>
      <c r="U236" s="130"/>
      <c r="V236" s="130"/>
      <c r="W236" s="130"/>
    </row>
    <row r="237">
      <c r="A237" s="130"/>
      <c r="B237" s="130"/>
      <c r="C237" s="130"/>
      <c r="D237" s="130"/>
      <c r="E237" s="130"/>
      <c r="F237" s="130"/>
      <c r="G237" s="130"/>
      <c r="H237" s="130"/>
      <c r="I237" s="130"/>
      <c r="J237" s="130"/>
      <c r="K237" s="239"/>
      <c r="L237" s="239"/>
      <c r="M237" s="130"/>
      <c r="N237" s="130"/>
      <c r="O237" s="130"/>
      <c r="P237" s="130"/>
      <c r="Q237" s="130"/>
      <c r="R237" s="130"/>
      <c r="S237" s="130"/>
      <c r="T237" s="130"/>
      <c r="U237" s="130"/>
      <c r="V237" s="130"/>
      <c r="W237" s="130"/>
    </row>
    <row r="238">
      <c r="A238" s="130"/>
      <c r="B238" s="130"/>
      <c r="C238" s="130"/>
      <c r="D238" s="130"/>
      <c r="E238" s="130"/>
      <c r="F238" s="130"/>
      <c r="G238" s="130"/>
      <c r="H238" s="130"/>
      <c r="I238" s="130"/>
      <c r="J238" s="130"/>
      <c r="K238" s="239"/>
      <c r="L238" s="239"/>
      <c r="M238" s="130"/>
      <c r="N238" s="130"/>
      <c r="O238" s="130"/>
      <c r="P238" s="130"/>
      <c r="Q238" s="130"/>
      <c r="R238" s="130"/>
      <c r="S238" s="130"/>
      <c r="T238" s="130"/>
      <c r="U238" s="130"/>
      <c r="V238" s="130"/>
      <c r="W238" s="130"/>
    </row>
    <row r="239">
      <c r="A239" s="130"/>
      <c r="B239" s="130"/>
      <c r="C239" s="130"/>
      <c r="D239" s="130"/>
      <c r="E239" s="130"/>
      <c r="F239" s="130"/>
      <c r="G239" s="130"/>
      <c r="H239" s="130"/>
      <c r="I239" s="130"/>
      <c r="J239" s="130"/>
      <c r="K239" s="239"/>
      <c r="L239" s="239"/>
      <c r="M239" s="130"/>
      <c r="N239" s="130"/>
      <c r="O239" s="130"/>
      <c r="P239" s="130"/>
      <c r="Q239" s="130"/>
      <c r="R239" s="130"/>
      <c r="S239" s="130"/>
      <c r="T239" s="130"/>
      <c r="U239" s="130"/>
      <c r="V239" s="130"/>
      <c r="W239" s="130"/>
    </row>
    <row r="240">
      <c r="A240" s="130"/>
      <c r="B240" s="130"/>
      <c r="C240" s="130"/>
      <c r="D240" s="130"/>
      <c r="E240" s="130"/>
      <c r="F240" s="130"/>
      <c r="G240" s="130"/>
      <c r="H240" s="130"/>
      <c r="I240" s="130"/>
      <c r="J240" s="130"/>
      <c r="K240" s="239"/>
      <c r="L240" s="239"/>
      <c r="M240" s="130"/>
      <c r="N240" s="130"/>
      <c r="O240" s="130"/>
      <c r="P240" s="130"/>
      <c r="Q240" s="130"/>
      <c r="R240" s="130"/>
      <c r="S240" s="130"/>
      <c r="T240" s="130"/>
      <c r="U240" s="130"/>
      <c r="V240" s="130"/>
      <c r="W240" s="130"/>
    </row>
    <row r="241">
      <c r="A241" s="130"/>
      <c r="B241" s="130"/>
      <c r="C241" s="130"/>
      <c r="D241" s="130"/>
      <c r="E241" s="130"/>
      <c r="F241" s="130"/>
      <c r="G241" s="130"/>
      <c r="H241" s="130"/>
      <c r="I241" s="130"/>
      <c r="J241" s="130"/>
      <c r="K241" s="239"/>
      <c r="L241" s="239"/>
      <c r="M241" s="130"/>
      <c r="N241" s="130"/>
      <c r="O241" s="130"/>
      <c r="P241" s="130"/>
      <c r="Q241" s="130"/>
      <c r="R241" s="130"/>
      <c r="S241" s="130"/>
      <c r="T241" s="130"/>
      <c r="U241" s="130"/>
      <c r="V241" s="130"/>
      <c r="W241" s="130"/>
    </row>
    <row r="242">
      <c r="A242" s="130"/>
      <c r="B242" s="130"/>
      <c r="C242" s="130"/>
      <c r="D242" s="130"/>
      <c r="E242" s="130"/>
      <c r="F242" s="130"/>
      <c r="G242" s="130"/>
      <c r="H242" s="130"/>
      <c r="I242" s="130"/>
      <c r="J242" s="130"/>
      <c r="K242" s="239"/>
      <c r="L242" s="239"/>
      <c r="M242" s="130"/>
      <c r="N242" s="130"/>
      <c r="O242" s="130"/>
      <c r="P242" s="130"/>
      <c r="Q242" s="130"/>
      <c r="R242" s="130"/>
      <c r="S242" s="130"/>
      <c r="T242" s="130"/>
      <c r="U242" s="130"/>
      <c r="V242" s="130"/>
      <c r="W242" s="130"/>
    </row>
    <row r="243">
      <c r="A243" s="130"/>
      <c r="B243" s="130"/>
      <c r="C243" s="130"/>
      <c r="D243" s="130"/>
      <c r="E243" s="130"/>
      <c r="F243" s="130"/>
      <c r="G243" s="130"/>
      <c r="H243" s="130"/>
      <c r="I243" s="130"/>
      <c r="J243" s="130"/>
      <c r="K243" s="239"/>
      <c r="L243" s="239"/>
      <c r="M243" s="130"/>
      <c r="N243" s="130"/>
      <c r="O243" s="130"/>
      <c r="P243" s="130"/>
      <c r="Q243" s="130"/>
      <c r="R243" s="130"/>
      <c r="S243" s="130"/>
      <c r="T243" s="130"/>
      <c r="U243" s="130"/>
      <c r="V243" s="130"/>
      <c r="W243" s="130"/>
    </row>
    <row r="244">
      <c r="A244" s="130"/>
      <c r="B244" s="130"/>
      <c r="C244" s="130"/>
      <c r="D244" s="130"/>
      <c r="E244" s="130"/>
      <c r="F244" s="130"/>
      <c r="G244" s="130"/>
      <c r="H244" s="130"/>
      <c r="I244" s="130"/>
      <c r="J244" s="130"/>
      <c r="K244" s="239"/>
      <c r="L244" s="239"/>
      <c r="M244" s="130"/>
      <c r="N244" s="130"/>
      <c r="O244" s="130"/>
      <c r="P244" s="130"/>
      <c r="Q244" s="130"/>
      <c r="R244" s="130"/>
      <c r="S244" s="130"/>
      <c r="T244" s="130"/>
      <c r="U244" s="130"/>
      <c r="V244" s="130"/>
      <c r="W244" s="130"/>
    </row>
    <row r="245">
      <c r="A245" s="130"/>
      <c r="B245" s="130"/>
      <c r="C245" s="130"/>
      <c r="D245" s="130"/>
      <c r="E245" s="130"/>
      <c r="F245" s="130"/>
      <c r="G245" s="130"/>
      <c r="H245" s="130"/>
      <c r="I245" s="130"/>
      <c r="J245" s="130"/>
      <c r="K245" s="239"/>
      <c r="L245" s="239"/>
      <c r="M245" s="130"/>
      <c r="N245" s="130"/>
      <c r="O245" s="130"/>
      <c r="P245" s="130"/>
      <c r="Q245" s="130"/>
      <c r="R245" s="130"/>
      <c r="S245" s="130"/>
      <c r="T245" s="130"/>
      <c r="U245" s="130"/>
      <c r="V245" s="130"/>
      <c r="W245" s="130"/>
    </row>
    <row r="246">
      <c r="A246" s="130"/>
      <c r="B246" s="130"/>
      <c r="C246" s="130"/>
      <c r="D246" s="130"/>
      <c r="E246" s="130"/>
      <c r="F246" s="130"/>
      <c r="G246" s="130"/>
      <c r="H246" s="130"/>
      <c r="I246" s="130"/>
      <c r="J246" s="130"/>
      <c r="K246" s="239"/>
      <c r="L246" s="239"/>
      <c r="M246" s="130"/>
      <c r="N246" s="130"/>
      <c r="O246" s="130"/>
      <c r="P246" s="130"/>
      <c r="Q246" s="130"/>
      <c r="R246" s="130"/>
      <c r="S246" s="130"/>
      <c r="T246" s="130"/>
      <c r="U246" s="130"/>
      <c r="V246" s="130"/>
      <c r="W246" s="130"/>
    </row>
    <row r="247">
      <c r="A247" s="130"/>
      <c r="B247" s="130"/>
      <c r="C247" s="130"/>
      <c r="D247" s="130"/>
      <c r="E247" s="130"/>
      <c r="F247" s="130"/>
      <c r="G247" s="130"/>
      <c r="H247" s="130"/>
      <c r="I247" s="130"/>
      <c r="J247" s="130"/>
      <c r="K247" s="239"/>
      <c r="L247" s="239"/>
      <c r="M247" s="130"/>
      <c r="N247" s="130"/>
      <c r="O247" s="130"/>
      <c r="P247" s="130"/>
      <c r="Q247" s="130"/>
      <c r="R247" s="130"/>
      <c r="S247" s="130"/>
      <c r="T247" s="130"/>
      <c r="U247" s="130"/>
      <c r="V247" s="130"/>
      <c r="W247" s="130"/>
    </row>
    <row r="248">
      <c r="A248" s="130"/>
      <c r="B248" s="130"/>
      <c r="C248" s="130"/>
      <c r="D248" s="130"/>
      <c r="E248" s="130"/>
      <c r="F248" s="130"/>
      <c r="G248" s="130"/>
      <c r="H248" s="130"/>
      <c r="I248" s="130"/>
      <c r="J248" s="130"/>
      <c r="K248" s="239"/>
      <c r="L248" s="239"/>
      <c r="M248" s="130"/>
      <c r="N248" s="130"/>
      <c r="O248" s="130"/>
      <c r="P248" s="130"/>
      <c r="Q248" s="130"/>
      <c r="R248" s="130"/>
      <c r="S248" s="130"/>
      <c r="T248" s="130"/>
      <c r="U248" s="130"/>
      <c r="V248" s="130"/>
      <c r="W248" s="130"/>
    </row>
    <row r="249">
      <c r="A249" s="130"/>
      <c r="B249" s="130"/>
      <c r="C249" s="130"/>
      <c r="D249" s="130"/>
      <c r="E249" s="130"/>
      <c r="F249" s="130"/>
      <c r="G249" s="130"/>
      <c r="H249" s="130"/>
      <c r="I249" s="130"/>
      <c r="J249" s="130"/>
      <c r="K249" s="239"/>
      <c r="L249" s="239"/>
      <c r="M249" s="130"/>
      <c r="N249" s="130"/>
      <c r="O249" s="130"/>
      <c r="P249" s="130"/>
      <c r="Q249" s="130"/>
      <c r="R249" s="130"/>
      <c r="S249" s="130"/>
      <c r="T249" s="130"/>
      <c r="U249" s="130"/>
      <c r="V249" s="130"/>
      <c r="W249" s="130"/>
    </row>
    <row r="250">
      <c r="A250" s="130"/>
      <c r="B250" s="130"/>
      <c r="C250" s="130"/>
      <c r="D250" s="130"/>
      <c r="E250" s="130"/>
      <c r="F250" s="130"/>
      <c r="G250" s="130"/>
      <c r="H250" s="130"/>
      <c r="I250" s="130"/>
      <c r="J250" s="130"/>
      <c r="K250" s="239"/>
      <c r="L250" s="239"/>
      <c r="M250" s="130"/>
      <c r="N250" s="130"/>
      <c r="O250" s="130"/>
      <c r="P250" s="130"/>
      <c r="Q250" s="130"/>
      <c r="R250" s="130"/>
      <c r="S250" s="130"/>
      <c r="T250" s="130"/>
      <c r="U250" s="130"/>
      <c r="V250" s="130"/>
      <c r="W250" s="130"/>
    </row>
    <row r="251">
      <c r="A251" s="130"/>
      <c r="B251" s="130"/>
      <c r="C251" s="130"/>
      <c r="D251" s="130"/>
      <c r="E251" s="130"/>
      <c r="F251" s="130"/>
      <c r="G251" s="130"/>
      <c r="H251" s="130"/>
      <c r="I251" s="130"/>
      <c r="J251" s="130"/>
      <c r="K251" s="239"/>
      <c r="L251" s="239"/>
      <c r="M251" s="130"/>
      <c r="N251" s="130"/>
      <c r="O251" s="130"/>
      <c r="P251" s="130"/>
      <c r="Q251" s="130"/>
      <c r="R251" s="130"/>
      <c r="S251" s="130"/>
      <c r="T251" s="130"/>
      <c r="U251" s="130"/>
      <c r="V251" s="130"/>
      <c r="W251" s="130"/>
    </row>
    <row r="252">
      <c r="A252" s="130"/>
      <c r="B252" s="130"/>
      <c r="C252" s="130"/>
      <c r="D252" s="130"/>
      <c r="E252" s="130"/>
      <c r="F252" s="130"/>
      <c r="G252" s="130"/>
      <c r="H252" s="130"/>
      <c r="I252" s="130"/>
      <c r="J252" s="130"/>
      <c r="K252" s="239"/>
      <c r="L252" s="239"/>
      <c r="M252" s="130"/>
      <c r="N252" s="130"/>
      <c r="O252" s="130"/>
      <c r="P252" s="130"/>
      <c r="Q252" s="130"/>
      <c r="R252" s="130"/>
      <c r="S252" s="130"/>
      <c r="T252" s="130"/>
      <c r="U252" s="130"/>
      <c r="V252" s="130"/>
      <c r="W252" s="130"/>
    </row>
    <row r="253">
      <c r="A253" s="130"/>
      <c r="B253" s="130"/>
      <c r="C253" s="130"/>
      <c r="D253" s="130"/>
      <c r="E253" s="130"/>
      <c r="F253" s="130"/>
      <c r="G253" s="130"/>
      <c r="H253" s="130"/>
      <c r="I253" s="130"/>
      <c r="J253" s="130"/>
      <c r="K253" s="239"/>
      <c r="L253" s="239"/>
      <c r="M253" s="130"/>
      <c r="N253" s="130"/>
      <c r="O253" s="130"/>
      <c r="P253" s="130"/>
      <c r="Q253" s="130"/>
      <c r="R253" s="130"/>
      <c r="S253" s="130"/>
      <c r="T253" s="130"/>
      <c r="U253" s="130"/>
      <c r="V253" s="130"/>
      <c r="W253" s="130"/>
    </row>
    <row r="254">
      <c r="A254" s="130"/>
      <c r="B254" s="130"/>
      <c r="C254" s="130"/>
      <c r="D254" s="130"/>
      <c r="E254" s="130"/>
      <c r="F254" s="130"/>
      <c r="G254" s="130"/>
      <c r="H254" s="130"/>
      <c r="I254" s="130"/>
      <c r="J254" s="130"/>
      <c r="K254" s="239"/>
      <c r="L254" s="239"/>
      <c r="M254" s="130"/>
      <c r="N254" s="130"/>
      <c r="O254" s="130"/>
      <c r="P254" s="130"/>
      <c r="Q254" s="130"/>
      <c r="R254" s="130"/>
      <c r="S254" s="130"/>
      <c r="T254" s="130"/>
      <c r="U254" s="130"/>
      <c r="V254" s="130"/>
      <c r="W254" s="130"/>
    </row>
    <row r="255">
      <c r="A255" s="130"/>
      <c r="B255" s="130"/>
      <c r="C255" s="130"/>
      <c r="D255" s="130"/>
      <c r="E255" s="130"/>
      <c r="F255" s="130"/>
      <c r="G255" s="130"/>
      <c r="H255" s="130"/>
      <c r="I255" s="130"/>
      <c r="J255" s="130"/>
      <c r="K255" s="239"/>
      <c r="L255" s="239"/>
      <c r="M255" s="130"/>
      <c r="N255" s="130"/>
      <c r="O255" s="130"/>
      <c r="P255" s="130"/>
      <c r="Q255" s="130"/>
      <c r="R255" s="130"/>
      <c r="S255" s="130"/>
      <c r="T255" s="130"/>
      <c r="U255" s="130"/>
      <c r="V255" s="130"/>
      <c r="W255" s="130"/>
    </row>
    <row r="256">
      <c r="A256" s="130"/>
      <c r="B256" s="130"/>
      <c r="C256" s="130"/>
      <c r="D256" s="130"/>
      <c r="E256" s="130"/>
      <c r="F256" s="130"/>
      <c r="G256" s="130"/>
      <c r="H256" s="130"/>
      <c r="I256" s="130"/>
      <c r="J256" s="130"/>
      <c r="K256" s="239"/>
      <c r="L256" s="239"/>
      <c r="M256" s="130"/>
      <c r="N256" s="130"/>
      <c r="O256" s="130"/>
      <c r="P256" s="130"/>
      <c r="Q256" s="130"/>
      <c r="R256" s="130"/>
      <c r="S256" s="130"/>
      <c r="T256" s="130"/>
      <c r="U256" s="130"/>
      <c r="V256" s="130"/>
      <c r="W256" s="130"/>
    </row>
    <row r="257">
      <c r="A257" s="130"/>
      <c r="B257" s="130"/>
      <c r="C257" s="130"/>
      <c r="D257" s="130"/>
      <c r="E257" s="130"/>
      <c r="F257" s="130"/>
      <c r="G257" s="130"/>
      <c r="H257" s="130"/>
      <c r="I257" s="130"/>
      <c r="J257" s="130"/>
      <c r="K257" s="239"/>
      <c r="L257" s="239"/>
      <c r="M257" s="130"/>
      <c r="N257" s="130"/>
      <c r="O257" s="130"/>
      <c r="P257" s="130"/>
      <c r="Q257" s="130"/>
      <c r="R257" s="130"/>
      <c r="S257" s="130"/>
      <c r="T257" s="130"/>
      <c r="U257" s="130"/>
      <c r="V257" s="130"/>
      <c r="W257" s="130"/>
    </row>
    <row r="258">
      <c r="A258" s="130"/>
      <c r="B258" s="130"/>
      <c r="C258" s="130"/>
      <c r="D258" s="130"/>
      <c r="E258" s="130"/>
      <c r="F258" s="130"/>
      <c r="G258" s="130"/>
      <c r="H258" s="130"/>
      <c r="I258" s="130"/>
      <c r="J258" s="130"/>
      <c r="K258" s="239"/>
      <c r="L258" s="239"/>
      <c r="M258" s="130"/>
      <c r="N258" s="130"/>
      <c r="O258" s="130"/>
      <c r="P258" s="130"/>
      <c r="Q258" s="130"/>
      <c r="R258" s="130"/>
      <c r="S258" s="130"/>
      <c r="T258" s="130"/>
      <c r="U258" s="130"/>
      <c r="V258" s="130"/>
      <c r="W258" s="130"/>
    </row>
    <row r="259">
      <c r="A259" s="130"/>
      <c r="B259" s="130"/>
      <c r="C259" s="130"/>
      <c r="D259" s="130"/>
      <c r="E259" s="130"/>
      <c r="F259" s="130"/>
      <c r="G259" s="130"/>
      <c r="H259" s="130"/>
      <c r="I259" s="130"/>
      <c r="J259" s="130"/>
      <c r="K259" s="239"/>
      <c r="L259" s="239"/>
      <c r="M259" s="130"/>
      <c r="N259" s="130"/>
      <c r="O259" s="130"/>
      <c r="P259" s="130"/>
      <c r="Q259" s="130"/>
      <c r="R259" s="130"/>
      <c r="S259" s="130"/>
      <c r="T259" s="130"/>
      <c r="U259" s="130"/>
      <c r="V259" s="130"/>
      <c r="W259" s="130"/>
    </row>
    <row r="260">
      <c r="A260" s="130"/>
      <c r="B260" s="130"/>
      <c r="C260" s="130"/>
      <c r="D260" s="130"/>
      <c r="E260" s="130"/>
      <c r="F260" s="130"/>
      <c r="G260" s="130"/>
      <c r="H260" s="130"/>
      <c r="I260" s="130"/>
      <c r="J260" s="130"/>
      <c r="K260" s="239"/>
      <c r="L260" s="239"/>
      <c r="M260" s="130"/>
      <c r="N260" s="130"/>
      <c r="O260" s="130"/>
      <c r="P260" s="130"/>
      <c r="Q260" s="130"/>
      <c r="R260" s="130"/>
      <c r="S260" s="130"/>
      <c r="T260" s="130"/>
      <c r="U260" s="130"/>
      <c r="V260" s="130"/>
      <c r="W260" s="130"/>
    </row>
    <row r="261">
      <c r="A261" s="130"/>
      <c r="B261" s="130"/>
      <c r="C261" s="130"/>
      <c r="D261" s="130"/>
      <c r="E261" s="130"/>
      <c r="F261" s="130"/>
      <c r="G261" s="130"/>
      <c r="H261" s="130"/>
      <c r="I261" s="130"/>
      <c r="J261" s="130"/>
      <c r="K261" s="239"/>
      <c r="L261" s="239"/>
      <c r="M261" s="130"/>
      <c r="N261" s="130"/>
      <c r="O261" s="130"/>
      <c r="P261" s="130"/>
      <c r="Q261" s="130"/>
      <c r="R261" s="130"/>
      <c r="S261" s="130"/>
      <c r="T261" s="130"/>
      <c r="U261" s="130"/>
      <c r="V261" s="130"/>
      <c r="W261" s="130"/>
    </row>
    <row r="262">
      <c r="A262" s="130"/>
      <c r="B262" s="130"/>
      <c r="C262" s="130"/>
      <c r="D262" s="130"/>
      <c r="E262" s="130"/>
      <c r="F262" s="130"/>
      <c r="G262" s="130"/>
      <c r="H262" s="130"/>
      <c r="I262" s="130"/>
      <c r="J262" s="130"/>
      <c r="K262" s="239"/>
      <c r="L262" s="239"/>
      <c r="M262" s="130"/>
      <c r="N262" s="130"/>
      <c r="O262" s="130"/>
      <c r="P262" s="130"/>
      <c r="Q262" s="130"/>
      <c r="R262" s="130"/>
      <c r="S262" s="130"/>
      <c r="T262" s="130"/>
      <c r="U262" s="130"/>
      <c r="V262" s="130"/>
      <c r="W262" s="130"/>
    </row>
    <row r="263">
      <c r="A263" s="130"/>
      <c r="B263" s="130"/>
      <c r="C263" s="130"/>
      <c r="D263" s="130"/>
      <c r="E263" s="130"/>
      <c r="F263" s="130"/>
      <c r="G263" s="130"/>
      <c r="H263" s="130"/>
      <c r="I263" s="130"/>
      <c r="J263" s="130"/>
      <c r="K263" s="239"/>
      <c r="L263" s="239"/>
      <c r="M263" s="130"/>
      <c r="N263" s="130"/>
      <c r="O263" s="130"/>
      <c r="P263" s="130"/>
      <c r="Q263" s="130"/>
      <c r="R263" s="130"/>
      <c r="S263" s="130"/>
      <c r="T263" s="130"/>
      <c r="U263" s="130"/>
      <c r="V263" s="130"/>
      <c r="W263" s="130"/>
    </row>
    <row r="264">
      <c r="A264" s="130"/>
      <c r="B264" s="130"/>
      <c r="C264" s="130"/>
      <c r="D264" s="130"/>
      <c r="E264" s="130"/>
      <c r="F264" s="130"/>
      <c r="G264" s="130"/>
      <c r="H264" s="130"/>
      <c r="I264" s="130"/>
      <c r="J264" s="130"/>
      <c r="K264" s="239"/>
      <c r="L264" s="239"/>
      <c r="M264" s="130"/>
      <c r="N264" s="130"/>
      <c r="O264" s="130"/>
      <c r="P264" s="130"/>
      <c r="Q264" s="130"/>
      <c r="R264" s="130"/>
      <c r="S264" s="130"/>
      <c r="T264" s="130"/>
      <c r="U264" s="130"/>
      <c r="V264" s="130"/>
      <c r="W264" s="130"/>
    </row>
    <row r="265">
      <c r="A265" s="130"/>
      <c r="B265" s="130"/>
      <c r="C265" s="130"/>
      <c r="D265" s="130"/>
      <c r="E265" s="130"/>
      <c r="F265" s="130"/>
      <c r="G265" s="130"/>
      <c r="H265" s="130"/>
      <c r="I265" s="130"/>
      <c r="J265" s="130"/>
      <c r="K265" s="239"/>
      <c r="L265" s="239"/>
      <c r="M265" s="130"/>
      <c r="N265" s="130"/>
      <c r="O265" s="130"/>
      <c r="P265" s="130"/>
      <c r="Q265" s="130"/>
      <c r="R265" s="130"/>
      <c r="S265" s="130"/>
      <c r="T265" s="130"/>
      <c r="U265" s="130"/>
      <c r="V265" s="130"/>
      <c r="W265" s="130"/>
    </row>
    <row r="266">
      <c r="A266" s="130"/>
      <c r="B266" s="130"/>
      <c r="C266" s="130"/>
      <c r="D266" s="130"/>
      <c r="E266" s="130"/>
      <c r="F266" s="130"/>
      <c r="G266" s="130"/>
      <c r="H266" s="130"/>
      <c r="I266" s="130"/>
      <c r="J266" s="130"/>
      <c r="K266" s="239"/>
      <c r="L266" s="239"/>
      <c r="M266" s="130"/>
      <c r="N266" s="130"/>
      <c r="O266" s="130"/>
      <c r="P266" s="130"/>
      <c r="Q266" s="130"/>
      <c r="R266" s="130"/>
      <c r="S266" s="130"/>
      <c r="T266" s="130"/>
      <c r="U266" s="130"/>
      <c r="V266" s="130"/>
      <c r="W266" s="130"/>
    </row>
    <row r="267">
      <c r="A267" s="130"/>
      <c r="B267" s="130"/>
      <c r="C267" s="130"/>
      <c r="D267" s="130"/>
      <c r="E267" s="130"/>
      <c r="F267" s="130"/>
      <c r="G267" s="130"/>
      <c r="H267" s="130"/>
      <c r="I267" s="130"/>
      <c r="J267" s="130"/>
      <c r="K267" s="239"/>
      <c r="L267" s="239"/>
      <c r="M267" s="130"/>
      <c r="N267" s="130"/>
      <c r="O267" s="130"/>
      <c r="P267" s="130"/>
      <c r="Q267" s="130"/>
      <c r="R267" s="130"/>
      <c r="S267" s="130"/>
      <c r="T267" s="130"/>
      <c r="U267" s="130"/>
      <c r="V267" s="130"/>
      <c r="W267" s="130"/>
    </row>
    <row r="268">
      <c r="A268" s="130"/>
      <c r="B268" s="130"/>
      <c r="C268" s="130"/>
      <c r="D268" s="130"/>
      <c r="E268" s="130"/>
      <c r="F268" s="130"/>
      <c r="G268" s="130"/>
      <c r="H268" s="130"/>
      <c r="I268" s="130"/>
      <c r="J268" s="130"/>
      <c r="K268" s="239"/>
      <c r="L268" s="239"/>
      <c r="M268" s="130"/>
      <c r="N268" s="130"/>
      <c r="O268" s="130"/>
      <c r="P268" s="130"/>
      <c r="Q268" s="130"/>
      <c r="R268" s="130"/>
      <c r="S268" s="130"/>
      <c r="T268" s="130"/>
      <c r="U268" s="130"/>
      <c r="V268" s="130"/>
      <c r="W268" s="130"/>
    </row>
    <row r="269">
      <c r="A269" s="130"/>
      <c r="B269" s="130"/>
      <c r="C269" s="130"/>
      <c r="D269" s="130"/>
      <c r="E269" s="130"/>
      <c r="F269" s="130"/>
      <c r="G269" s="130"/>
      <c r="H269" s="130"/>
      <c r="I269" s="130"/>
      <c r="J269" s="130"/>
      <c r="K269" s="239"/>
      <c r="L269" s="239"/>
      <c r="M269" s="130"/>
      <c r="N269" s="130"/>
      <c r="O269" s="130"/>
      <c r="P269" s="130"/>
      <c r="Q269" s="130"/>
      <c r="R269" s="130"/>
      <c r="S269" s="130"/>
      <c r="T269" s="130"/>
      <c r="U269" s="130"/>
      <c r="V269" s="130"/>
      <c r="W269" s="130"/>
    </row>
    <row r="270">
      <c r="A270" s="130"/>
      <c r="B270" s="130"/>
      <c r="C270" s="130"/>
      <c r="D270" s="130"/>
      <c r="E270" s="130"/>
      <c r="F270" s="130"/>
      <c r="G270" s="130"/>
      <c r="H270" s="130"/>
      <c r="I270" s="130"/>
      <c r="J270" s="130"/>
      <c r="K270" s="239"/>
      <c r="L270" s="239"/>
      <c r="M270" s="130"/>
      <c r="N270" s="130"/>
      <c r="O270" s="130"/>
      <c r="P270" s="130"/>
      <c r="Q270" s="130"/>
      <c r="R270" s="130"/>
      <c r="S270" s="130"/>
      <c r="T270" s="130"/>
      <c r="U270" s="130"/>
      <c r="V270" s="130"/>
      <c r="W270" s="130"/>
    </row>
    <row r="271">
      <c r="A271" s="130"/>
      <c r="B271" s="130"/>
      <c r="C271" s="130"/>
      <c r="D271" s="130"/>
      <c r="E271" s="130"/>
      <c r="F271" s="130"/>
      <c r="G271" s="130"/>
      <c r="H271" s="130"/>
      <c r="I271" s="130"/>
      <c r="J271" s="130"/>
      <c r="K271" s="239"/>
      <c r="L271" s="239"/>
      <c r="M271" s="130"/>
      <c r="N271" s="130"/>
      <c r="O271" s="130"/>
      <c r="P271" s="130"/>
      <c r="Q271" s="130"/>
      <c r="R271" s="130"/>
      <c r="S271" s="130"/>
      <c r="T271" s="130"/>
      <c r="U271" s="130"/>
      <c r="V271" s="130"/>
      <c r="W271" s="130"/>
    </row>
    <row r="272">
      <c r="A272" s="130"/>
      <c r="B272" s="130"/>
      <c r="C272" s="130"/>
      <c r="D272" s="130"/>
      <c r="E272" s="130"/>
      <c r="F272" s="130"/>
      <c r="G272" s="130"/>
      <c r="H272" s="130"/>
      <c r="I272" s="130"/>
      <c r="J272" s="130"/>
      <c r="K272" s="239"/>
      <c r="L272" s="239"/>
      <c r="M272" s="130"/>
      <c r="N272" s="130"/>
      <c r="O272" s="130"/>
      <c r="P272" s="130"/>
      <c r="Q272" s="130"/>
      <c r="R272" s="130"/>
      <c r="S272" s="130"/>
      <c r="T272" s="130"/>
      <c r="U272" s="130"/>
      <c r="V272" s="130"/>
      <c r="W272" s="130"/>
    </row>
    <row r="273">
      <c r="A273" s="130"/>
      <c r="B273" s="130"/>
      <c r="C273" s="130"/>
      <c r="D273" s="130"/>
      <c r="E273" s="130"/>
      <c r="F273" s="130"/>
      <c r="G273" s="130"/>
      <c r="H273" s="130"/>
      <c r="I273" s="130"/>
      <c r="J273" s="130"/>
      <c r="K273" s="239"/>
      <c r="L273" s="239"/>
      <c r="M273" s="130"/>
      <c r="N273" s="130"/>
      <c r="O273" s="130"/>
      <c r="P273" s="130"/>
      <c r="Q273" s="130"/>
      <c r="R273" s="130"/>
      <c r="S273" s="130"/>
      <c r="T273" s="130"/>
      <c r="U273" s="130"/>
      <c r="V273" s="130"/>
      <c r="W273" s="130"/>
    </row>
    <row r="274">
      <c r="A274" s="130"/>
      <c r="B274" s="130"/>
      <c r="C274" s="130"/>
      <c r="D274" s="130"/>
      <c r="E274" s="130"/>
      <c r="F274" s="130"/>
      <c r="G274" s="130"/>
      <c r="H274" s="130"/>
      <c r="I274" s="130"/>
      <c r="J274" s="130"/>
      <c r="K274" s="239"/>
      <c r="L274" s="239"/>
      <c r="M274" s="130"/>
      <c r="N274" s="130"/>
      <c r="O274" s="130"/>
      <c r="P274" s="130"/>
      <c r="Q274" s="130"/>
      <c r="R274" s="130"/>
      <c r="S274" s="130"/>
      <c r="T274" s="130"/>
      <c r="U274" s="130"/>
      <c r="V274" s="130"/>
      <c r="W274" s="130"/>
    </row>
    <row r="275">
      <c r="A275" s="130"/>
      <c r="B275" s="130"/>
      <c r="C275" s="130"/>
      <c r="D275" s="130"/>
      <c r="E275" s="130"/>
      <c r="F275" s="130"/>
      <c r="G275" s="130"/>
      <c r="H275" s="130"/>
      <c r="I275" s="130"/>
      <c r="J275" s="130"/>
      <c r="K275" s="239"/>
      <c r="L275" s="239"/>
      <c r="M275" s="130"/>
      <c r="N275" s="130"/>
      <c r="O275" s="130"/>
      <c r="P275" s="130"/>
      <c r="Q275" s="130"/>
      <c r="R275" s="130"/>
      <c r="S275" s="130"/>
      <c r="T275" s="130"/>
      <c r="U275" s="130"/>
      <c r="V275" s="130"/>
      <c r="W275" s="130"/>
    </row>
    <row r="276">
      <c r="A276" s="130"/>
      <c r="B276" s="130"/>
      <c r="C276" s="130"/>
      <c r="D276" s="130"/>
      <c r="E276" s="130"/>
      <c r="F276" s="130"/>
      <c r="G276" s="130"/>
      <c r="H276" s="130"/>
      <c r="I276" s="130"/>
      <c r="J276" s="130"/>
      <c r="K276" s="239"/>
      <c r="L276" s="239"/>
      <c r="M276" s="130"/>
      <c r="N276" s="130"/>
      <c r="O276" s="130"/>
      <c r="P276" s="130"/>
      <c r="Q276" s="130"/>
      <c r="R276" s="130"/>
      <c r="S276" s="130"/>
      <c r="T276" s="130"/>
      <c r="U276" s="130"/>
      <c r="V276" s="130"/>
      <c r="W276" s="130"/>
    </row>
    <row r="277">
      <c r="A277" s="130"/>
      <c r="B277" s="130"/>
      <c r="C277" s="130"/>
      <c r="D277" s="130"/>
      <c r="E277" s="130"/>
      <c r="F277" s="130"/>
      <c r="G277" s="130"/>
      <c r="H277" s="130"/>
      <c r="I277" s="130"/>
      <c r="J277" s="130"/>
      <c r="K277" s="239"/>
      <c r="L277" s="239"/>
      <c r="M277" s="130"/>
      <c r="N277" s="130"/>
      <c r="O277" s="130"/>
      <c r="P277" s="130"/>
      <c r="Q277" s="130"/>
      <c r="R277" s="130"/>
      <c r="S277" s="130"/>
      <c r="T277" s="130"/>
      <c r="U277" s="130"/>
      <c r="V277" s="130"/>
      <c r="W277" s="130"/>
    </row>
    <row r="278">
      <c r="A278" s="130"/>
      <c r="B278" s="130"/>
      <c r="C278" s="130"/>
      <c r="D278" s="130"/>
      <c r="E278" s="130"/>
      <c r="F278" s="130"/>
      <c r="G278" s="130"/>
      <c r="H278" s="130"/>
      <c r="I278" s="130"/>
      <c r="J278" s="130"/>
      <c r="K278" s="239"/>
      <c r="L278" s="239"/>
      <c r="M278" s="130"/>
      <c r="N278" s="130"/>
      <c r="O278" s="130"/>
      <c r="P278" s="130"/>
      <c r="Q278" s="130"/>
      <c r="R278" s="130"/>
      <c r="S278" s="130"/>
      <c r="T278" s="130"/>
      <c r="U278" s="130"/>
      <c r="V278" s="130"/>
      <c r="W278" s="130"/>
    </row>
    <row r="279">
      <c r="A279" s="130"/>
      <c r="B279" s="130"/>
      <c r="C279" s="130"/>
      <c r="D279" s="130"/>
      <c r="E279" s="130"/>
      <c r="F279" s="130"/>
      <c r="G279" s="130"/>
      <c r="H279" s="130"/>
      <c r="I279" s="130"/>
      <c r="J279" s="130"/>
      <c r="K279" s="239"/>
      <c r="L279" s="239"/>
      <c r="M279" s="130"/>
      <c r="N279" s="130"/>
      <c r="O279" s="130"/>
      <c r="P279" s="130"/>
      <c r="Q279" s="130"/>
      <c r="R279" s="130"/>
      <c r="S279" s="130"/>
      <c r="T279" s="130"/>
      <c r="U279" s="130"/>
      <c r="V279" s="130"/>
      <c r="W279" s="130"/>
    </row>
    <row r="280">
      <c r="A280" s="130"/>
      <c r="B280" s="130"/>
      <c r="C280" s="130"/>
      <c r="D280" s="130"/>
      <c r="E280" s="130"/>
      <c r="F280" s="130"/>
      <c r="G280" s="130"/>
      <c r="H280" s="130"/>
      <c r="I280" s="130"/>
      <c r="J280" s="130"/>
      <c r="K280" s="239"/>
      <c r="L280" s="239"/>
      <c r="M280" s="130"/>
      <c r="N280" s="130"/>
      <c r="O280" s="130"/>
      <c r="P280" s="130"/>
      <c r="Q280" s="130"/>
      <c r="R280" s="130"/>
      <c r="S280" s="130"/>
      <c r="T280" s="130"/>
      <c r="U280" s="130"/>
      <c r="V280" s="130"/>
      <c r="W280" s="130"/>
    </row>
    <row r="281">
      <c r="A281" s="130"/>
      <c r="B281" s="130"/>
      <c r="C281" s="130"/>
      <c r="D281" s="130"/>
      <c r="E281" s="130"/>
      <c r="F281" s="130"/>
      <c r="G281" s="130"/>
      <c r="H281" s="130"/>
      <c r="I281" s="130"/>
      <c r="J281" s="130"/>
      <c r="K281" s="239"/>
      <c r="L281" s="239"/>
      <c r="M281" s="130"/>
      <c r="N281" s="130"/>
      <c r="O281" s="130"/>
      <c r="P281" s="130"/>
      <c r="Q281" s="130"/>
      <c r="R281" s="130"/>
      <c r="S281" s="130"/>
      <c r="T281" s="130"/>
      <c r="U281" s="130"/>
      <c r="V281" s="130"/>
      <c r="W281" s="130"/>
    </row>
    <row r="282">
      <c r="A282" s="130"/>
      <c r="B282" s="130"/>
      <c r="C282" s="130"/>
      <c r="D282" s="130"/>
      <c r="E282" s="130"/>
      <c r="F282" s="130"/>
      <c r="G282" s="130"/>
      <c r="H282" s="130"/>
      <c r="I282" s="130"/>
      <c r="J282" s="130"/>
      <c r="K282" s="239"/>
      <c r="L282" s="239"/>
      <c r="M282" s="130"/>
      <c r="N282" s="130"/>
      <c r="O282" s="130"/>
      <c r="P282" s="130"/>
      <c r="Q282" s="130"/>
      <c r="R282" s="130"/>
      <c r="S282" s="130"/>
      <c r="T282" s="130"/>
      <c r="U282" s="130"/>
      <c r="V282" s="130"/>
      <c r="W282" s="130"/>
    </row>
    <row r="283">
      <c r="A283" s="130"/>
      <c r="B283" s="130"/>
      <c r="C283" s="130"/>
      <c r="D283" s="130"/>
      <c r="E283" s="130"/>
      <c r="F283" s="130"/>
      <c r="G283" s="130"/>
      <c r="H283" s="130"/>
      <c r="I283" s="130"/>
      <c r="J283" s="130"/>
      <c r="K283" s="239"/>
      <c r="L283" s="239"/>
      <c r="M283" s="130"/>
      <c r="N283" s="130"/>
      <c r="O283" s="130"/>
      <c r="P283" s="130"/>
      <c r="Q283" s="130"/>
      <c r="R283" s="130"/>
      <c r="S283" s="130"/>
      <c r="T283" s="130"/>
      <c r="U283" s="130"/>
      <c r="V283" s="130"/>
      <c r="W283" s="130"/>
    </row>
    <row r="284">
      <c r="A284" s="130"/>
      <c r="B284" s="130"/>
      <c r="C284" s="130"/>
      <c r="D284" s="130"/>
      <c r="E284" s="130"/>
      <c r="F284" s="130"/>
      <c r="G284" s="130"/>
      <c r="H284" s="130"/>
      <c r="I284" s="130"/>
      <c r="J284" s="130"/>
      <c r="K284" s="239"/>
      <c r="L284" s="239"/>
      <c r="M284" s="130"/>
      <c r="N284" s="130"/>
      <c r="O284" s="130"/>
      <c r="P284" s="130"/>
      <c r="Q284" s="130"/>
      <c r="R284" s="130"/>
      <c r="S284" s="130"/>
      <c r="T284" s="130"/>
      <c r="U284" s="130"/>
      <c r="V284" s="130"/>
      <c r="W284" s="130"/>
    </row>
    <row r="285">
      <c r="A285" s="130"/>
      <c r="B285" s="130"/>
      <c r="C285" s="130"/>
      <c r="D285" s="130"/>
      <c r="E285" s="130"/>
      <c r="F285" s="130"/>
      <c r="G285" s="130"/>
      <c r="H285" s="130"/>
      <c r="I285" s="130"/>
      <c r="J285" s="130"/>
      <c r="K285" s="239"/>
      <c r="L285" s="239"/>
      <c r="M285" s="130"/>
      <c r="N285" s="130"/>
      <c r="O285" s="130"/>
      <c r="P285" s="130"/>
      <c r="Q285" s="130"/>
      <c r="R285" s="130"/>
      <c r="S285" s="130"/>
      <c r="T285" s="130"/>
      <c r="U285" s="130"/>
      <c r="V285" s="130"/>
      <c r="W285" s="130"/>
    </row>
    <row r="286">
      <c r="A286" s="130"/>
      <c r="B286" s="130"/>
      <c r="C286" s="130"/>
      <c r="D286" s="130"/>
      <c r="E286" s="130"/>
      <c r="F286" s="130"/>
      <c r="G286" s="130"/>
      <c r="H286" s="130"/>
      <c r="I286" s="130"/>
      <c r="J286" s="130"/>
      <c r="K286" s="239"/>
      <c r="L286" s="239"/>
      <c r="M286" s="130"/>
      <c r="N286" s="130"/>
      <c r="O286" s="130"/>
      <c r="P286" s="130"/>
      <c r="Q286" s="130"/>
      <c r="R286" s="130"/>
      <c r="S286" s="130"/>
      <c r="T286" s="130"/>
      <c r="U286" s="130"/>
      <c r="V286" s="130"/>
      <c r="W286" s="130"/>
    </row>
    <row r="287">
      <c r="A287" s="130"/>
      <c r="B287" s="130"/>
      <c r="C287" s="130"/>
      <c r="D287" s="130"/>
      <c r="E287" s="130"/>
      <c r="F287" s="130"/>
      <c r="G287" s="130"/>
      <c r="H287" s="130"/>
      <c r="I287" s="130"/>
      <c r="J287" s="130"/>
      <c r="K287" s="239"/>
      <c r="L287" s="239"/>
      <c r="M287" s="130"/>
      <c r="N287" s="130"/>
      <c r="O287" s="130"/>
      <c r="P287" s="130"/>
      <c r="Q287" s="130"/>
      <c r="R287" s="130"/>
      <c r="S287" s="130"/>
      <c r="T287" s="130"/>
      <c r="U287" s="130"/>
      <c r="V287" s="130"/>
      <c r="W287" s="130"/>
    </row>
    <row r="288">
      <c r="A288" s="130"/>
      <c r="B288" s="130"/>
      <c r="C288" s="130"/>
      <c r="D288" s="130"/>
      <c r="E288" s="130"/>
      <c r="F288" s="130"/>
      <c r="G288" s="130"/>
      <c r="H288" s="130"/>
      <c r="I288" s="130"/>
      <c r="J288" s="130"/>
      <c r="K288" s="239"/>
      <c r="L288" s="239"/>
      <c r="M288" s="130"/>
      <c r="N288" s="130"/>
      <c r="O288" s="130"/>
      <c r="P288" s="130"/>
      <c r="Q288" s="130"/>
      <c r="R288" s="130"/>
      <c r="S288" s="130"/>
      <c r="T288" s="130"/>
      <c r="U288" s="130"/>
      <c r="V288" s="130"/>
      <c r="W288" s="130"/>
    </row>
    <row r="289">
      <c r="A289" s="130"/>
      <c r="B289" s="130"/>
      <c r="C289" s="130"/>
      <c r="D289" s="130"/>
      <c r="E289" s="130"/>
      <c r="F289" s="130"/>
      <c r="G289" s="130"/>
      <c r="H289" s="130"/>
      <c r="I289" s="130"/>
      <c r="J289" s="130"/>
      <c r="K289" s="239"/>
      <c r="L289" s="239"/>
      <c r="M289" s="130"/>
      <c r="N289" s="130"/>
      <c r="O289" s="130"/>
      <c r="P289" s="130"/>
      <c r="Q289" s="130"/>
      <c r="R289" s="130"/>
      <c r="S289" s="130"/>
      <c r="T289" s="130"/>
      <c r="U289" s="130"/>
      <c r="V289" s="130"/>
      <c r="W289" s="130"/>
    </row>
    <row r="290">
      <c r="A290" s="130"/>
      <c r="B290" s="130"/>
      <c r="C290" s="130"/>
      <c r="D290" s="130"/>
      <c r="E290" s="130"/>
      <c r="F290" s="130"/>
      <c r="G290" s="130"/>
      <c r="H290" s="130"/>
      <c r="I290" s="130"/>
      <c r="J290" s="130"/>
      <c r="K290" s="239"/>
      <c r="L290" s="239"/>
      <c r="M290" s="130"/>
      <c r="N290" s="130"/>
      <c r="O290" s="130"/>
      <c r="P290" s="130"/>
      <c r="Q290" s="130"/>
      <c r="R290" s="130"/>
      <c r="S290" s="130"/>
      <c r="T290" s="130"/>
      <c r="U290" s="130"/>
      <c r="V290" s="130"/>
      <c r="W290" s="130"/>
    </row>
    <row r="291">
      <c r="A291" s="130"/>
      <c r="B291" s="130"/>
      <c r="C291" s="130"/>
      <c r="D291" s="130"/>
      <c r="E291" s="130"/>
      <c r="F291" s="130"/>
      <c r="G291" s="130"/>
      <c r="H291" s="130"/>
      <c r="I291" s="130"/>
      <c r="J291" s="130"/>
      <c r="K291" s="239"/>
      <c r="L291" s="239"/>
      <c r="M291" s="130"/>
      <c r="N291" s="130"/>
      <c r="O291" s="130"/>
      <c r="P291" s="130"/>
      <c r="Q291" s="130"/>
      <c r="R291" s="130"/>
      <c r="S291" s="130"/>
      <c r="T291" s="130"/>
      <c r="U291" s="130"/>
      <c r="V291" s="130"/>
      <c r="W291" s="130"/>
    </row>
    <row r="292">
      <c r="A292" s="130"/>
      <c r="B292" s="130"/>
      <c r="C292" s="130"/>
      <c r="D292" s="130"/>
      <c r="E292" s="130"/>
      <c r="F292" s="130"/>
      <c r="G292" s="130"/>
      <c r="H292" s="130"/>
      <c r="I292" s="130"/>
      <c r="J292" s="130"/>
      <c r="K292" s="239"/>
      <c r="L292" s="239"/>
      <c r="M292" s="130"/>
      <c r="N292" s="130"/>
      <c r="O292" s="130"/>
      <c r="P292" s="130"/>
      <c r="Q292" s="130"/>
      <c r="R292" s="130"/>
      <c r="S292" s="130"/>
      <c r="T292" s="130"/>
      <c r="U292" s="130"/>
      <c r="V292" s="130"/>
      <c r="W292" s="130"/>
    </row>
    <row r="293">
      <c r="A293" s="130"/>
      <c r="B293" s="130"/>
      <c r="C293" s="130"/>
      <c r="D293" s="130"/>
      <c r="E293" s="130"/>
      <c r="F293" s="130"/>
      <c r="G293" s="130"/>
      <c r="H293" s="130"/>
      <c r="I293" s="130"/>
      <c r="J293" s="130"/>
      <c r="K293" s="239"/>
      <c r="L293" s="239"/>
      <c r="M293" s="130"/>
      <c r="N293" s="130"/>
      <c r="O293" s="130"/>
      <c r="P293" s="130"/>
      <c r="Q293" s="130"/>
      <c r="R293" s="130"/>
      <c r="S293" s="130"/>
      <c r="T293" s="130"/>
      <c r="U293" s="130"/>
      <c r="V293" s="130"/>
      <c r="W293" s="130"/>
    </row>
    <row r="294">
      <c r="A294" s="130"/>
      <c r="B294" s="130"/>
      <c r="C294" s="130"/>
      <c r="D294" s="130"/>
      <c r="E294" s="130"/>
      <c r="F294" s="130"/>
      <c r="G294" s="130"/>
      <c r="H294" s="130"/>
      <c r="I294" s="130"/>
      <c r="J294" s="130"/>
      <c r="K294" s="239"/>
      <c r="L294" s="239"/>
      <c r="M294" s="130"/>
      <c r="N294" s="130"/>
      <c r="O294" s="130"/>
      <c r="P294" s="130"/>
      <c r="Q294" s="130"/>
      <c r="R294" s="130"/>
      <c r="S294" s="130"/>
      <c r="T294" s="130"/>
      <c r="U294" s="130"/>
      <c r="V294" s="130"/>
      <c r="W294" s="130"/>
    </row>
    <row r="295">
      <c r="A295" s="130"/>
      <c r="B295" s="130"/>
      <c r="C295" s="130"/>
      <c r="D295" s="130"/>
      <c r="E295" s="130"/>
      <c r="F295" s="130"/>
      <c r="G295" s="130"/>
      <c r="H295" s="130"/>
      <c r="I295" s="130"/>
      <c r="J295" s="130"/>
      <c r="K295" s="239"/>
      <c r="L295" s="239"/>
      <c r="M295" s="130"/>
      <c r="N295" s="130"/>
      <c r="O295" s="130"/>
      <c r="P295" s="130"/>
      <c r="Q295" s="130"/>
      <c r="R295" s="130"/>
      <c r="S295" s="130"/>
      <c r="T295" s="130"/>
      <c r="U295" s="130"/>
      <c r="V295" s="130"/>
      <c r="W295" s="130"/>
    </row>
    <row r="296">
      <c r="A296" s="130"/>
      <c r="B296" s="130"/>
      <c r="C296" s="130"/>
      <c r="D296" s="130"/>
      <c r="E296" s="130"/>
      <c r="F296" s="130"/>
      <c r="G296" s="130"/>
      <c r="H296" s="130"/>
      <c r="I296" s="130"/>
      <c r="J296" s="130"/>
      <c r="K296" s="239"/>
      <c r="L296" s="239"/>
      <c r="M296" s="130"/>
      <c r="N296" s="130"/>
      <c r="O296" s="130"/>
      <c r="P296" s="130"/>
      <c r="Q296" s="130"/>
      <c r="R296" s="130"/>
      <c r="S296" s="130"/>
      <c r="T296" s="130"/>
      <c r="U296" s="130"/>
      <c r="V296" s="130"/>
      <c r="W296" s="130"/>
    </row>
    <row r="297">
      <c r="A297" s="130"/>
      <c r="B297" s="130"/>
      <c r="C297" s="130"/>
      <c r="D297" s="130"/>
      <c r="E297" s="130"/>
      <c r="F297" s="130"/>
      <c r="G297" s="130"/>
      <c r="H297" s="130"/>
      <c r="I297" s="130"/>
      <c r="J297" s="130"/>
      <c r="K297" s="239"/>
      <c r="L297" s="239"/>
      <c r="M297" s="130"/>
      <c r="N297" s="130"/>
      <c r="O297" s="130"/>
      <c r="P297" s="130"/>
      <c r="Q297" s="130"/>
      <c r="R297" s="130"/>
      <c r="S297" s="130"/>
      <c r="T297" s="130"/>
      <c r="U297" s="130"/>
      <c r="V297" s="130"/>
      <c r="W297" s="130"/>
    </row>
    <row r="298">
      <c r="A298" s="130"/>
      <c r="B298" s="130"/>
      <c r="C298" s="130"/>
      <c r="D298" s="130"/>
      <c r="E298" s="130"/>
      <c r="F298" s="130"/>
      <c r="G298" s="130"/>
      <c r="H298" s="130"/>
      <c r="I298" s="130"/>
      <c r="J298" s="130"/>
      <c r="K298" s="239"/>
      <c r="L298" s="239"/>
      <c r="M298" s="130"/>
      <c r="N298" s="130"/>
      <c r="O298" s="130"/>
      <c r="P298" s="130"/>
      <c r="Q298" s="130"/>
      <c r="R298" s="130"/>
      <c r="S298" s="130"/>
      <c r="T298" s="130"/>
      <c r="U298" s="130"/>
      <c r="V298" s="130"/>
      <c r="W298" s="130"/>
    </row>
    <row r="299">
      <c r="A299" s="130"/>
      <c r="B299" s="130"/>
      <c r="C299" s="130"/>
      <c r="D299" s="130"/>
      <c r="E299" s="130"/>
      <c r="F299" s="130"/>
      <c r="G299" s="130"/>
      <c r="H299" s="130"/>
      <c r="I299" s="130"/>
      <c r="J299" s="130"/>
      <c r="K299" s="239"/>
      <c r="L299" s="239"/>
      <c r="M299" s="130"/>
      <c r="N299" s="130"/>
      <c r="O299" s="130"/>
      <c r="P299" s="130"/>
      <c r="Q299" s="130"/>
      <c r="R299" s="130"/>
      <c r="S299" s="130"/>
      <c r="T299" s="130"/>
      <c r="U299" s="130"/>
      <c r="V299" s="130"/>
      <c r="W299" s="130"/>
    </row>
    <row r="300">
      <c r="A300" s="130"/>
      <c r="B300" s="130"/>
      <c r="C300" s="130"/>
      <c r="D300" s="130"/>
      <c r="E300" s="130"/>
      <c r="F300" s="130"/>
      <c r="G300" s="130"/>
      <c r="H300" s="130"/>
      <c r="I300" s="130"/>
      <c r="J300" s="130"/>
      <c r="K300" s="239"/>
      <c r="L300" s="239"/>
      <c r="M300" s="130"/>
      <c r="N300" s="130"/>
      <c r="O300" s="130"/>
      <c r="P300" s="130"/>
      <c r="Q300" s="130"/>
      <c r="R300" s="130"/>
      <c r="S300" s="130"/>
      <c r="T300" s="130"/>
      <c r="U300" s="130"/>
      <c r="V300" s="130"/>
      <c r="W300" s="130"/>
    </row>
    <row r="301">
      <c r="A301" s="130"/>
      <c r="B301" s="130"/>
      <c r="C301" s="130"/>
      <c r="D301" s="130"/>
      <c r="E301" s="130"/>
      <c r="F301" s="130"/>
      <c r="G301" s="130"/>
      <c r="H301" s="130"/>
      <c r="I301" s="130"/>
      <c r="J301" s="130"/>
      <c r="K301" s="239"/>
      <c r="L301" s="239"/>
      <c r="M301" s="130"/>
      <c r="N301" s="130"/>
      <c r="O301" s="130"/>
      <c r="P301" s="130"/>
      <c r="Q301" s="130"/>
      <c r="R301" s="130"/>
      <c r="S301" s="130"/>
      <c r="T301" s="130"/>
      <c r="U301" s="130"/>
      <c r="V301" s="130"/>
      <c r="W301" s="130"/>
    </row>
    <row r="302">
      <c r="A302" s="130"/>
      <c r="B302" s="130"/>
      <c r="C302" s="130"/>
      <c r="D302" s="130"/>
      <c r="E302" s="130"/>
      <c r="F302" s="130"/>
      <c r="G302" s="130"/>
      <c r="H302" s="130"/>
      <c r="I302" s="130"/>
      <c r="J302" s="130"/>
      <c r="K302" s="239"/>
      <c r="L302" s="239"/>
      <c r="M302" s="130"/>
      <c r="N302" s="130"/>
      <c r="O302" s="130"/>
      <c r="P302" s="130"/>
      <c r="Q302" s="130"/>
      <c r="R302" s="130"/>
      <c r="S302" s="130"/>
      <c r="T302" s="130"/>
      <c r="U302" s="130"/>
      <c r="V302" s="130"/>
      <c r="W302" s="130"/>
    </row>
    <row r="303">
      <c r="A303" s="130"/>
      <c r="B303" s="130"/>
      <c r="C303" s="130"/>
      <c r="D303" s="130"/>
      <c r="E303" s="130"/>
      <c r="F303" s="130"/>
      <c r="G303" s="130"/>
      <c r="H303" s="130"/>
      <c r="I303" s="130"/>
      <c r="J303" s="130"/>
      <c r="K303" s="239"/>
      <c r="L303" s="239"/>
      <c r="M303" s="130"/>
      <c r="N303" s="130"/>
      <c r="O303" s="130"/>
      <c r="P303" s="130"/>
      <c r="Q303" s="130"/>
      <c r="R303" s="130"/>
      <c r="S303" s="130"/>
      <c r="T303" s="130"/>
      <c r="U303" s="130"/>
      <c r="V303" s="130"/>
      <c r="W303" s="130"/>
    </row>
    <row r="304">
      <c r="A304" s="130"/>
      <c r="B304" s="130"/>
      <c r="C304" s="130"/>
      <c r="D304" s="130"/>
      <c r="E304" s="130"/>
      <c r="F304" s="130"/>
      <c r="G304" s="130"/>
      <c r="H304" s="130"/>
      <c r="I304" s="130"/>
      <c r="J304" s="130"/>
      <c r="K304" s="239"/>
      <c r="L304" s="239"/>
      <c r="M304" s="130"/>
      <c r="N304" s="130"/>
      <c r="O304" s="130"/>
      <c r="P304" s="130"/>
      <c r="Q304" s="130"/>
      <c r="R304" s="130"/>
      <c r="S304" s="130"/>
      <c r="T304" s="130"/>
      <c r="U304" s="130"/>
      <c r="V304" s="130"/>
      <c r="W304" s="130"/>
    </row>
    <row r="305">
      <c r="A305" s="130"/>
      <c r="B305" s="130"/>
      <c r="C305" s="130"/>
      <c r="D305" s="130"/>
      <c r="E305" s="130"/>
      <c r="F305" s="130"/>
      <c r="G305" s="130"/>
      <c r="H305" s="130"/>
      <c r="I305" s="130"/>
      <c r="J305" s="130"/>
      <c r="K305" s="239"/>
      <c r="L305" s="239"/>
      <c r="M305" s="130"/>
      <c r="N305" s="130"/>
      <c r="O305" s="130"/>
      <c r="P305" s="130"/>
      <c r="Q305" s="130"/>
      <c r="R305" s="130"/>
      <c r="S305" s="130"/>
      <c r="T305" s="130"/>
      <c r="U305" s="130"/>
      <c r="V305" s="130"/>
      <c r="W305" s="130"/>
    </row>
    <row r="306">
      <c r="A306" s="130"/>
      <c r="B306" s="130"/>
      <c r="C306" s="130"/>
      <c r="D306" s="130"/>
      <c r="E306" s="130"/>
      <c r="F306" s="130"/>
      <c r="G306" s="130"/>
      <c r="H306" s="130"/>
      <c r="I306" s="130"/>
      <c r="J306" s="130"/>
      <c r="K306" s="239"/>
      <c r="L306" s="239"/>
      <c r="M306" s="130"/>
      <c r="N306" s="130"/>
      <c r="O306" s="130"/>
      <c r="P306" s="130"/>
      <c r="Q306" s="130"/>
      <c r="R306" s="130"/>
      <c r="S306" s="130"/>
      <c r="T306" s="130"/>
      <c r="U306" s="130"/>
      <c r="V306" s="130"/>
      <c r="W306" s="130"/>
    </row>
    <row r="307">
      <c r="A307" s="130"/>
      <c r="B307" s="130"/>
      <c r="C307" s="130"/>
      <c r="D307" s="130"/>
      <c r="E307" s="130"/>
      <c r="F307" s="130"/>
      <c r="G307" s="130"/>
      <c r="H307" s="130"/>
      <c r="I307" s="130"/>
      <c r="J307" s="130"/>
      <c r="K307" s="239"/>
      <c r="L307" s="239"/>
      <c r="M307" s="130"/>
      <c r="N307" s="130"/>
      <c r="O307" s="130"/>
      <c r="P307" s="130"/>
      <c r="Q307" s="130"/>
      <c r="R307" s="130"/>
      <c r="S307" s="130"/>
      <c r="T307" s="130"/>
      <c r="U307" s="130"/>
      <c r="V307" s="130"/>
      <c r="W307" s="130"/>
    </row>
    <row r="308">
      <c r="A308" s="130"/>
      <c r="B308" s="130"/>
      <c r="C308" s="130"/>
      <c r="D308" s="130"/>
      <c r="E308" s="130"/>
      <c r="F308" s="130"/>
      <c r="G308" s="130"/>
      <c r="H308" s="130"/>
      <c r="I308" s="130"/>
      <c r="J308" s="130"/>
      <c r="K308" s="239"/>
      <c r="L308" s="239"/>
      <c r="M308" s="130"/>
      <c r="N308" s="130"/>
      <c r="O308" s="130"/>
      <c r="P308" s="130"/>
      <c r="Q308" s="130"/>
      <c r="R308" s="130"/>
      <c r="S308" s="130"/>
      <c r="T308" s="130"/>
      <c r="U308" s="130"/>
      <c r="V308" s="130"/>
      <c r="W308" s="130"/>
    </row>
    <row r="309">
      <c r="A309" s="130"/>
      <c r="B309" s="130"/>
      <c r="C309" s="130"/>
      <c r="D309" s="130"/>
      <c r="E309" s="130"/>
      <c r="F309" s="130"/>
      <c r="G309" s="130"/>
      <c r="H309" s="130"/>
      <c r="I309" s="130"/>
      <c r="J309" s="130"/>
      <c r="K309" s="239"/>
      <c r="L309" s="239"/>
      <c r="M309" s="130"/>
      <c r="N309" s="130"/>
      <c r="O309" s="130"/>
      <c r="P309" s="130"/>
      <c r="Q309" s="130"/>
      <c r="R309" s="130"/>
      <c r="S309" s="130"/>
      <c r="T309" s="130"/>
      <c r="U309" s="130"/>
      <c r="V309" s="130"/>
      <c r="W309" s="130"/>
    </row>
    <row r="310">
      <c r="A310" s="130"/>
      <c r="B310" s="130"/>
      <c r="C310" s="130"/>
      <c r="D310" s="130"/>
      <c r="E310" s="130"/>
      <c r="F310" s="130"/>
      <c r="G310" s="130"/>
      <c r="H310" s="130"/>
      <c r="I310" s="130"/>
      <c r="J310" s="130"/>
      <c r="K310" s="239"/>
      <c r="L310" s="239"/>
      <c r="M310" s="130"/>
      <c r="N310" s="130"/>
      <c r="O310" s="130"/>
      <c r="P310" s="130"/>
      <c r="Q310" s="130"/>
      <c r="R310" s="130"/>
      <c r="S310" s="130"/>
      <c r="T310" s="130"/>
      <c r="U310" s="130"/>
      <c r="V310" s="130"/>
      <c r="W310" s="130"/>
    </row>
    <row r="311">
      <c r="A311" s="130"/>
      <c r="B311" s="130"/>
      <c r="C311" s="130"/>
      <c r="D311" s="130"/>
      <c r="E311" s="130"/>
      <c r="F311" s="130"/>
      <c r="G311" s="130"/>
      <c r="H311" s="130"/>
      <c r="I311" s="130"/>
      <c r="J311" s="130"/>
      <c r="K311" s="239"/>
      <c r="L311" s="239"/>
      <c r="M311" s="130"/>
      <c r="N311" s="130"/>
      <c r="O311" s="130"/>
      <c r="P311" s="130"/>
      <c r="Q311" s="130"/>
      <c r="R311" s="130"/>
      <c r="S311" s="130"/>
      <c r="T311" s="130"/>
      <c r="U311" s="130"/>
      <c r="V311" s="130"/>
      <c r="W311" s="130"/>
    </row>
    <row r="312">
      <c r="A312" s="130"/>
      <c r="B312" s="130"/>
      <c r="C312" s="130"/>
      <c r="D312" s="130"/>
      <c r="E312" s="130"/>
      <c r="F312" s="130"/>
      <c r="G312" s="130"/>
      <c r="H312" s="130"/>
      <c r="I312" s="130"/>
      <c r="J312" s="130"/>
      <c r="K312" s="239"/>
      <c r="L312" s="239"/>
      <c r="M312" s="130"/>
      <c r="N312" s="130"/>
      <c r="O312" s="130"/>
      <c r="P312" s="130"/>
      <c r="Q312" s="130"/>
      <c r="R312" s="130"/>
      <c r="S312" s="130"/>
      <c r="T312" s="130"/>
      <c r="U312" s="130"/>
      <c r="V312" s="130"/>
      <c r="W312" s="130"/>
    </row>
    <row r="313">
      <c r="A313" s="130"/>
      <c r="B313" s="130"/>
      <c r="C313" s="130"/>
      <c r="D313" s="130"/>
      <c r="E313" s="130"/>
      <c r="F313" s="130"/>
      <c r="G313" s="130"/>
      <c r="H313" s="130"/>
      <c r="I313" s="130"/>
      <c r="J313" s="130"/>
      <c r="K313" s="239"/>
      <c r="L313" s="239"/>
      <c r="M313" s="130"/>
      <c r="N313" s="130"/>
      <c r="O313" s="130"/>
      <c r="P313" s="130"/>
      <c r="Q313" s="130"/>
      <c r="R313" s="130"/>
      <c r="S313" s="130"/>
      <c r="T313" s="130"/>
      <c r="U313" s="130"/>
      <c r="V313" s="130"/>
      <c r="W313" s="130"/>
    </row>
    <row r="314">
      <c r="A314" s="130"/>
      <c r="B314" s="130"/>
      <c r="C314" s="130"/>
      <c r="D314" s="130"/>
      <c r="E314" s="130"/>
      <c r="F314" s="130"/>
      <c r="G314" s="130"/>
      <c r="H314" s="130"/>
      <c r="I314" s="130"/>
      <c r="J314" s="130"/>
      <c r="K314" s="239"/>
      <c r="L314" s="239"/>
      <c r="M314" s="130"/>
      <c r="N314" s="130"/>
      <c r="O314" s="130"/>
      <c r="P314" s="130"/>
      <c r="Q314" s="130"/>
      <c r="R314" s="130"/>
      <c r="S314" s="130"/>
      <c r="T314" s="130"/>
      <c r="U314" s="130"/>
      <c r="V314" s="130"/>
      <c r="W314" s="130"/>
    </row>
    <row r="315">
      <c r="A315" s="130"/>
      <c r="B315" s="130"/>
      <c r="C315" s="130"/>
      <c r="D315" s="130"/>
      <c r="E315" s="130"/>
      <c r="F315" s="130"/>
      <c r="G315" s="130"/>
      <c r="H315" s="130"/>
      <c r="I315" s="130"/>
      <c r="J315" s="130"/>
      <c r="K315" s="239"/>
      <c r="L315" s="239"/>
      <c r="M315" s="130"/>
      <c r="N315" s="130"/>
      <c r="O315" s="130"/>
      <c r="P315" s="130"/>
      <c r="Q315" s="130"/>
      <c r="R315" s="130"/>
      <c r="S315" s="130"/>
      <c r="T315" s="130"/>
      <c r="U315" s="130"/>
      <c r="V315" s="130"/>
      <c r="W315" s="130"/>
    </row>
    <row r="316">
      <c r="A316" s="130"/>
      <c r="B316" s="130"/>
      <c r="C316" s="130"/>
      <c r="D316" s="130"/>
      <c r="E316" s="130"/>
      <c r="F316" s="130"/>
      <c r="G316" s="130"/>
      <c r="H316" s="130"/>
      <c r="I316" s="130"/>
      <c r="J316" s="130"/>
      <c r="K316" s="239"/>
      <c r="L316" s="239"/>
      <c r="M316" s="130"/>
      <c r="N316" s="130"/>
      <c r="O316" s="130"/>
      <c r="P316" s="130"/>
      <c r="Q316" s="130"/>
      <c r="R316" s="130"/>
      <c r="S316" s="130"/>
      <c r="T316" s="130"/>
      <c r="U316" s="130"/>
      <c r="V316" s="130"/>
      <c r="W316" s="130"/>
    </row>
    <row r="317">
      <c r="A317" s="130"/>
      <c r="B317" s="130"/>
      <c r="C317" s="130"/>
      <c r="D317" s="130"/>
      <c r="E317" s="130"/>
      <c r="F317" s="130"/>
      <c r="G317" s="130"/>
      <c r="H317" s="130"/>
      <c r="I317" s="130"/>
      <c r="J317" s="130"/>
      <c r="K317" s="239"/>
      <c r="L317" s="239"/>
      <c r="M317" s="130"/>
      <c r="N317" s="130"/>
      <c r="O317" s="130"/>
      <c r="P317" s="130"/>
      <c r="Q317" s="130"/>
      <c r="R317" s="130"/>
      <c r="S317" s="130"/>
      <c r="T317" s="130"/>
      <c r="U317" s="130"/>
      <c r="V317" s="130"/>
      <c r="W317" s="130"/>
    </row>
    <row r="318">
      <c r="A318" s="130"/>
      <c r="B318" s="130"/>
      <c r="C318" s="130"/>
      <c r="D318" s="130"/>
      <c r="E318" s="130"/>
      <c r="F318" s="130"/>
      <c r="G318" s="130"/>
      <c r="H318" s="130"/>
      <c r="I318" s="130"/>
      <c r="J318" s="130"/>
      <c r="K318" s="239"/>
      <c r="L318" s="239"/>
      <c r="M318" s="130"/>
      <c r="N318" s="130"/>
      <c r="O318" s="130"/>
      <c r="P318" s="130"/>
      <c r="Q318" s="130"/>
      <c r="R318" s="130"/>
      <c r="S318" s="130"/>
      <c r="T318" s="130"/>
      <c r="U318" s="130"/>
      <c r="V318" s="130"/>
      <c r="W318" s="130"/>
    </row>
    <row r="319">
      <c r="A319" s="130"/>
      <c r="B319" s="130"/>
      <c r="C319" s="130"/>
      <c r="D319" s="130"/>
      <c r="E319" s="130"/>
      <c r="F319" s="130"/>
      <c r="G319" s="130"/>
      <c r="H319" s="130"/>
      <c r="I319" s="130"/>
      <c r="J319" s="130"/>
      <c r="K319" s="239"/>
      <c r="L319" s="239"/>
      <c r="M319" s="130"/>
      <c r="N319" s="130"/>
      <c r="O319" s="130"/>
      <c r="P319" s="130"/>
      <c r="Q319" s="130"/>
      <c r="R319" s="130"/>
      <c r="S319" s="130"/>
      <c r="T319" s="130"/>
      <c r="U319" s="130"/>
      <c r="V319" s="130"/>
      <c r="W319" s="130"/>
    </row>
    <row r="320">
      <c r="A320" s="130"/>
      <c r="B320" s="130"/>
      <c r="C320" s="130"/>
      <c r="D320" s="130"/>
      <c r="E320" s="130"/>
      <c r="F320" s="130"/>
      <c r="G320" s="130"/>
      <c r="H320" s="130"/>
      <c r="I320" s="130"/>
      <c r="J320" s="130"/>
      <c r="K320" s="239"/>
      <c r="L320" s="239"/>
      <c r="M320" s="130"/>
      <c r="N320" s="130"/>
      <c r="O320" s="130"/>
      <c r="P320" s="130"/>
      <c r="Q320" s="130"/>
      <c r="R320" s="130"/>
      <c r="S320" s="130"/>
      <c r="T320" s="130"/>
      <c r="U320" s="130"/>
      <c r="V320" s="130"/>
      <c r="W320" s="130"/>
    </row>
    <row r="321">
      <c r="A321" s="130"/>
      <c r="B321" s="130"/>
      <c r="C321" s="130"/>
      <c r="D321" s="130"/>
      <c r="E321" s="130"/>
      <c r="F321" s="130"/>
      <c r="G321" s="130"/>
      <c r="H321" s="130"/>
      <c r="I321" s="130"/>
      <c r="J321" s="130"/>
      <c r="K321" s="239"/>
      <c r="L321" s="239"/>
      <c r="M321" s="130"/>
      <c r="N321" s="130"/>
      <c r="O321" s="130"/>
      <c r="P321" s="130"/>
      <c r="Q321" s="130"/>
      <c r="R321" s="130"/>
      <c r="S321" s="130"/>
      <c r="T321" s="130"/>
      <c r="U321" s="130"/>
      <c r="V321" s="130"/>
      <c r="W321" s="130"/>
    </row>
    <row r="322">
      <c r="A322" s="130"/>
      <c r="B322" s="130"/>
      <c r="C322" s="130"/>
      <c r="D322" s="130"/>
      <c r="E322" s="130"/>
      <c r="F322" s="130"/>
      <c r="G322" s="130"/>
      <c r="H322" s="130"/>
      <c r="I322" s="130"/>
      <c r="J322" s="130"/>
      <c r="K322" s="239"/>
      <c r="L322" s="239"/>
      <c r="M322" s="130"/>
      <c r="N322" s="130"/>
      <c r="O322" s="130"/>
      <c r="P322" s="130"/>
      <c r="Q322" s="130"/>
      <c r="R322" s="130"/>
      <c r="S322" s="130"/>
      <c r="T322" s="130"/>
      <c r="U322" s="130"/>
      <c r="V322" s="130"/>
      <c r="W322" s="130"/>
    </row>
    <row r="323">
      <c r="A323" s="130"/>
      <c r="B323" s="130"/>
      <c r="C323" s="130"/>
      <c r="D323" s="130"/>
      <c r="E323" s="130"/>
      <c r="F323" s="130"/>
      <c r="G323" s="130"/>
      <c r="H323" s="130"/>
      <c r="I323" s="130"/>
      <c r="J323" s="130"/>
      <c r="K323" s="239"/>
      <c r="L323" s="239"/>
      <c r="M323" s="130"/>
      <c r="N323" s="130"/>
      <c r="O323" s="130"/>
      <c r="P323" s="130"/>
      <c r="Q323" s="130"/>
      <c r="R323" s="130"/>
      <c r="S323" s="130"/>
      <c r="T323" s="130"/>
      <c r="U323" s="130"/>
      <c r="V323" s="130"/>
      <c r="W323" s="130"/>
    </row>
    <row r="324">
      <c r="A324" s="130"/>
      <c r="B324" s="130"/>
      <c r="C324" s="130"/>
      <c r="D324" s="130"/>
      <c r="E324" s="130"/>
      <c r="F324" s="130"/>
      <c r="G324" s="130"/>
      <c r="H324" s="130"/>
      <c r="I324" s="130"/>
      <c r="J324" s="130"/>
      <c r="K324" s="239"/>
      <c r="L324" s="239"/>
      <c r="M324" s="130"/>
      <c r="N324" s="130"/>
      <c r="O324" s="130"/>
      <c r="P324" s="130"/>
      <c r="Q324" s="130"/>
      <c r="R324" s="130"/>
      <c r="S324" s="130"/>
      <c r="T324" s="130"/>
      <c r="U324" s="130"/>
      <c r="V324" s="130"/>
      <c r="W324" s="130"/>
    </row>
    <row r="325">
      <c r="A325" s="130"/>
      <c r="B325" s="130"/>
      <c r="C325" s="130"/>
      <c r="D325" s="130"/>
      <c r="E325" s="130"/>
      <c r="F325" s="130"/>
      <c r="G325" s="130"/>
      <c r="H325" s="130"/>
      <c r="I325" s="130"/>
      <c r="J325" s="130"/>
      <c r="K325" s="239"/>
      <c r="L325" s="239"/>
      <c r="M325" s="130"/>
      <c r="N325" s="130"/>
      <c r="O325" s="130"/>
      <c r="P325" s="130"/>
      <c r="Q325" s="130"/>
      <c r="R325" s="130"/>
      <c r="S325" s="130"/>
      <c r="T325" s="130"/>
      <c r="U325" s="130"/>
      <c r="V325" s="130"/>
      <c r="W325" s="130"/>
    </row>
    <row r="326">
      <c r="A326" s="130"/>
      <c r="B326" s="130"/>
      <c r="C326" s="130"/>
      <c r="D326" s="130"/>
      <c r="E326" s="130"/>
      <c r="F326" s="130"/>
      <c r="G326" s="130"/>
      <c r="H326" s="130"/>
      <c r="I326" s="130"/>
      <c r="J326" s="130"/>
      <c r="K326" s="239"/>
      <c r="L326" s="239"/>
      <c r="M326" s="130"/>
      <c r="N326" s="130"/>
      <c r="O326" s="130"/>
      <c r="P326" s="130"/>
      <c r="Q326" s="130"/>
      <c r="R326" s="130"/>
      <c r="S326" s="130"/>
      <c r="T326" s="130"/>
      <c r="U326" s="130"/>
      <c r="V326" s="130"/>
      <c r="W326" s="130"/>
    </row>
    <row r="327">
      <c r="A327" s="130"/>
      <c r="B327" s="130"/>
      <c r="C327" s="130"/>
      <c r="D327" s="130"/>
      <c r="E327" s="130"/>
      <c r="F327" s="130"/>
      <c r="G327" s="130"/>
      <c r="H327" s="130"/>
      <c r="I327" s="130"/>
      <c r="J327" s="130"/>
      <c r="K327" s="239"/>
      <c r="L327" s="239"/>
      <c r="M327" s="130"/>
      <c r="N327" s="130"/>
      <c r="O327" s="130"/>
      <c r="P327" s="130"/>
      <c r="Q327" s="130"/>
      <c r="R327" s="130"/>
      <c r="S327" s="130"/>
      <c r="T327" s="130"/>
      <c r="U327" s="130"/>
      <c r="V327" s="130"/>
      <c r="W327" s="130"/>
    </row>
    <row r="328">
      <c r="A328" s="130"/>
      <c r="B328" s="130"/>
      <c r="C328" s="130"/>
      <c r="D328" s="130"/>
      <c r="E328" s="130"/>
      <c r="F328" s="130"/>
      <c r="G328" s="130"/>
      <c r="H328" s="130"/>
      <c r="I328" s="130"/>
      <c r="J328" s="130"/>
      <c r="K328" s="239"/>
      <c r="L328" s="239"/>
      <c r="M328" s="130"/>
      <c r="N328" s="130"/>
      <c r="O328" s="130"/>
      <c r="P328" s="130"/>
      <c r="Q328" s="130"/>
      <c r="R328" s="130"/>
      <c r="S328" s="130"/>
      <c r="T328" s="130"/>
      <c r="U328" s="130"/>
      <c r="V328" s="130"/>
      <c r="W328" s="130"/>
    </row>
    <row r="329">
      <c r="A329" s="130"/>
      <c r="B329" s="130"/>
      <c r="C329" s="130"/>
      <c r="D329" s="130"/>
      <c r="E329" s="130"/>
      <c r="F329" s="130"/>
      <c r="G329" s="130"/>
      <c r="H329" s="130"/>
      <c r="I329" s="130"/>
      <c r="J329" s="130"/>
      <c r="K329" s="239"/>
      <c r="L329" s="239"/>
      <c r="M329" s="130"/>
      <c r="N329" s="130"/>
      <c r="O329" s="130"/>
      <c r="P329" s="130"/>
      <c r="Q329" s="130"/>
      <c r="R329" s="130"/>
      <c r="S329" s="130"/>
      <c r="T329" s="130"/>
      <c r="U329" s="130"/>
      <c r="V329" s="130"/>
      <c r="W329" s="130"/>
    </row>
    <row r="330">
      <c r="A330" s="130"/>
      <c r="B330" s="130"/>
      <c r="C330" s="130"/>
      <c r="D330" s="130"/>
      <c r="E330" s="130"/>
      <c r="F330" s="130"/>
      <c r="G330" s="130"/>
      <c r="H330" s="130"/>
      <c r="I330" s="130"/>
      <c r="J330" s="130"/>
      <c r="K330" s="239"/>
      <c r="L330" s="239"/>
      <c r="M330" s="130"/>
      <c r="N330" s="130"/>
      <c r="O330" s="130"/>
      <c r="P330" s="130"/>
      <c r="Q330" s="130"/>
      <c r="R330" s="130"/>
      <c r="S330" s="130"/>
      <c r="T330" s="130"/>
      <c r="U330" s="130"/>
      <c r="V330" s="130"/>
      <c r="W330" s="130"/>
    </row>
    <row r="331">
      <c r="A331" s="130"/>
      <c r="B331" s="130"/>
      <c r="C331" s="130"/>
      <c r="D331" s="130"/>
      <c r="E331" s="130"/>
      <c r="F331" s="130"/>
      <c r="G331" s="130"/>
      <c r="H331" s="130"/>
      <c r="I331" s="130"/>
      <c r="J331" s="130"/>
      <c r="K331" s="239"/>
      <c r="L331" s="239"/>
      <c r="M331" s="130"/>
      <c r="N331" s="130"/>
      <c r="O331" s="130"/>
      <c r="P331" s="130"/>
      <c r="Q331" s="130"/>
      <c r="R331" s="130"/>
      <c r="S331" s="130"/>
      <c r="T331" s="130"/>
      <c r="U331" s="130"/>
      <c r="V331" s="130"/>
      <c r="W331" s="130"/>
    </row>
    <row r="332">
      <c r="A332" s="130"/>
      <c r="B332" s="130"/>
      <c r="C332" s="130"/>
      <c r="D332" s="130"/>
      <c r="E332" s="130"/>
      <c r="F332" s="130"/>
      <c r="G332" s="130"/>
      <c r="H332" s="130"/>
      <c r="I332" s="130"/>
      <c r="J332" s="130"/>
      <c r="K332" s="239"/>
      <c r="L332" s="239"/>
      <c r="M332" s="130"/>
      <c r="N332" s="130"/>
      <c r="O332" s="130"/>
      <c r="P332" s="130"/>
      <c r="Q332" s="130"/>
      <c r="R332" s="130"/>
      <c r="S332" s="130"/>
      <c r="T332" s="130"/>
      <c r="U332" s="130"/>
      <c r="V332" s="130"/>
      <c r="W332" s="130"/>
    </row>
    <row r="333">
      <c r="A333" s="130"/>
      <c r="B333" s="130"/>
      <c r="C333" s="130"/>
      <c r="D333" s="130"/>
      <c r="E333" s="130"/>
      <c r="F333" s="130"/>
      <c r="G333" s="130"/>
      <c r="H333" s="130"/>
      <c r="I333" s="130"/>
      <c r="J333" s="130"/>
      <c r="K333" s="239"/>
      <c r="L333" s="239"/>
      <c r="M333" s="130"/>
      <c r="N333" s="130"/>
      <c r="O333" s="130"/>
      <c r="P333" s="130"/>
      <c r="Q333" s="130"/>
      <c r="R333" s="130"/>
      <c r="S333" s="130"/>
      <c r="T333" s="130"/>
      <c r="U333" s="130"/>
      <c r="V333" s="130"/>
      <c r="W333" s="130"/>
    </row>
    <row r="334">
      <c r="A334" s="130"/>
      <c r="B334" s="130"/>
      <c r="C334" s="130"/>
      <c r="D334" s="130"/>
      <c r="E334" s="130"/>
      <c r="F334" s="130"/>
      <c r="G334" s="130"/>
      <c r="H334" s="130"/>
      <c r="I334" s="130"/>
      <c r="J334" s="130"/>
      <c r="K334" s="239"/>
      <c r="L334" s="239"/>
      <c r="M334" s="130"/>
      <c r="N334" s="130"/>
      <c r="O334" s="130"/>
      <c r="P334" s="130"/>
      <c r="Q334" s="130"/>
      <c r="R334" s="130"/>
      <c r="S334" s="130"/>
      <c r="T334" s="130"/>
      <c r="U334" s="130"/>
      <c r="V334" s="130"/>
      <c r="W334" s="130"/>
    </row>
    <row r="335">
      <c r="A335" s="130"/>
      <c r="B335" s="130"/>
      <c r="C335" s="130"/>
      <c r="D335" s="130"/>
      <c r="E335" s="130"/>
      <c r="F335" s="130"/>
      <c r="G335" s="130"/>
      <c r="H335" s="130"/>
      <c r="I335" s="130"/>
      <c r="J335" s="130"/>
      <c r="K335" s="239"/>
      <c r="L335" s="239"/>
      <c r="M335" s="130"/>
      <c r="N335" s="130"/>
      <c r="O335" s="130"/>
      <c r="P335" s="130"/>
      <c r="Q335" s="130"/>
      <c r="R335" s="130"/>
      <c r="S335" s="130"/>
      <c r="T335" s="130"/>
      <c r="U335" s="130"/>
      <c r="V335" s="130"/>
      <c r="W335" s="130"/>
    </row>
    <row r="336">
      <c r="A336" s="130"/>
      <c r="B336" s="130"/>
      <c r="C336" s="130"/>
      <c r="D336" s="130"/>
      <c r="E336" s="130"/>
      <c r="F336" s="130"/>
      <c r="G336" s="130"/>
      <c r="H336" s="130"/>
      <c r="I336" s="130"/>
      <c r="J336" s="130"/>
      <c r="K336" s="239"/>
      <c r="L336" s="239"/>
      <c r="M336" s="130"/>
      <c r="N336" s="130"/>
      <c r="O336" s="130"/>
      <c r="P336" s="130"/>
      <c r="Q336" s="130"/>
      <c r="R336" s="130"/>
      <c r="S336" s="130"/>
      <c r="T336" s="130"/>
      <c r="U336" s="130"/>
      <c r="V336" s="130"/>
      <c r="W336" s="130"/>
    </row>
    <row r="337">
      <c r="A337" s="130"/>
      <c r="B337" s="130"/>
      <c r="C337" s="130"/>
      <c r="D337" s="130"/>
      <c r="E337" s="130"/>
      <c r="F337" s="130"/>
      <c r="G337" s="130"/>
      <c r="H337" s="130"/>
      <c r="I337" s="130"/>
      <c r="J337" s="130"/>
      <c r="K337" s="239"/>
      <c r="L337" s="239"/>
      <c r="M337" s="130"/>
      <c r="N337" s="130"/>
      <c r="O337" s="130"/>
      <c r="P337" s="130"/>
      <c r="Q337" s="130"/>
      <c r="R337" s="130"/>
      <c r="S337" s="130"/>
      <c r="T337" s="130"/>
      <c r="U337" s="130"/>
      <c r="V337" s="130"/>
      <c r="W337" s="130"/>
    </row>
    <row r="338">
      <c r="A338" s="130"/>
      <c r="B338" s="130"/>
      <c r="C338" s="130"/>
      <c r="D338" s="130"/>
      <c r="E338" s="130"/>
      <c r="F338" s="130"/>
      <c r="G338" s="130"/>
      <c r="H338" s="130"/>
      <c r="I338" s="130"/>
      <c r="J338" s="130"/>
      <c r="K338" s="239"/>
      <c r="L338" s="239"/>
      <c r="M338" s="130"/>
      <c r="N338" s="130"/>
      <c r="O338" s="130"/>
      <c r="P338" s="130"/>
      <c r="Q338" s="130"/>
      <c r="R338" s="130"/>
      <c r="S338" s="130"/>
      <c r="T338" s="130"/>
      <c r="U338" s="130"/>
      <c r="V338" s="130"/>
      <c r="W338" s="130"/>
    </row>
    <row r="339">
      <c r="A339" s="130"/>
      <c r="B339" s="130"/>
      <c r="C339" s="130"/>
      <c r="D339" s="130"/>
      <c r="E339" s="130"/>
      <c r="F339" s="130"/>
      <c r="G339" s="130"/>
      <c r="H339" s="130"/>
      <c r="I339" s="130"/>
      <c r="J339" s="130"/>
      <c r="K339" s="239"/>
      <c r="L339" s="239"/>
      <c r="M339" s="130"/>
      <c r="N339" s="130"/>
      <c r="O339" s="130"/>
      <c r="P339" s="130"/>
      <c r="Q339" s="130"/>
      <c r="R339" s="130"/>
      <c r="S339" s="130"/>
      <c r="T339" s="130"/>
      <c r="U339" s="130"/>
      <c r="V339" s="130"/>
      <c r="W339" s="130"/>
    </row>
    <row r="340">
      <c r="A340" s="130"/>
      <c r="B340" s="130"/>
      <c r="C340" s="130"/>
      <c r="D340" s="130"/>
      <c r="E340" s="130"/>
      <c r="F340" s="130"/>
      <c r="G340" s="130"/>
      <c r="H340" s="130"/>
      <c r="I340" s="130"/>
      <c r="J340" s="130"/>
      <c r="K340" s="239"/>
      <c r="L340" s="239"/>
      <c r="M340" s="130"/>
      <c r="N340" s="130"/>
      <c r="O340" s="130"/>
      <c r="P340" s="130"/>
      <c r="Q340" s="130"/>
      <c r="R340" s="130"/>
      <c r="S340" s="130"/>
      <c r="T340" s="130"/>
      <c r="U340" s="130"/>
      <c r="V340" s="130"/>
      <c r="W340" s="130"/>
    </row>
    <row r="341">
      <c r="A341" s="130"/>
      <c r="B341" s="130"/>
      <c r="C341" s="130"/>
      <c r="D341" s="130"/>
      <c r="E341" s="130"/>
      <c r="F341" s="130"/>
      <c r="G341" s="130"/>
      <c r="H341" s="130"/>
      <c r="I341" s="130"/>
      <c r="J341" s="130"/>
      <c r="K341" s="239"/>
      <c r="L341" s="239"/>
      <c r="M341" s="130"/>
      <c r="N341" s="130"/>
      <c r="O341" s="130"/>
      <c r="P341" s="130"/>
      <c r="Q341" s="130"/>
      <c r="R341" s="130"/>
      <c r="S341" s="130"/>
      <c r="T341" s="130"/>
      <c r="U341" s="130"/>
      <c r="V341" s="130"/>
      <c r="W341" s="130"/>
    </row>
    <row r="342">
      <c r="A342" s="130"/>
      <c r="B342" s="130"/>
      <c r="C342" s="130"/>
      <c r="D342" s="130"/>
      <c r="E342" s="130"/>
      <c r="F342" s="130"/>
      <c r="G342" s="130"/>
      <c r="H342" s="130"/>
      <c r="I342" s="130"/>
      <c r="J342" s="130"/>
      <c r="K342" s="239"/>
      <c r="L342" s="239"/>
      <c r="M342" s="130"/>
      <c r="N342" s="130"/>
      <c r="O342" s="130"/>
      <c r="P342" s="130"/>
      <c r="Q342" s="130"/>
      <c r="R342" s="130"/>
      <c r="S342" s="130"/>
      <c r="T342" s="130"/>
      <c r="U342" s="130"/>
      <c r="V342" s="130"/>
      <c r="W342" s="130"/>
    </row>
    <row r="343">
      <c r="A343" s="130"/>
      <c r="B343" s="130"/>
      <c r="C343" s="130"/>
      <c r="D343" s="130"/>
      <c r="E343" s="130"/>
      <c r="F343" s="130"/>
      <c r="G343" s="130"/>
      <c r="H343" s="130"/>
      <c r="I343" s="130"/>
      <c r="J343" s="130"/>
      <c r="K343" s="239"/>
      <c r="L343" s="239"/>
      <c r="M343" s="130"/>
      <c r="N343" s="130"/>
      <c r="O343" s="130"/>
      <c r="P343" s="130"/>
      <c r="Q343" s="130"/>
      <c r="R343" s="130"/>
      <c r="S343" s="130"/>
      <c r="T343" s="130"/>
      <c r="U343" s="130"/>
      <c r="V343" s="130"/>
      <c r="W343" s="130"/>
    </row>
    <row r="344">
      <c r="A344" s="130"/>
      <c r="B344" s="130"/>
      <c r="C344" s="130"/>
      <c r="D344" s="130"/>
      <c r="E344" s="130"/>
      <c r="F344" s="130"/>
      <c r="G344" s="130"/>
      <c r="H344" s="130"/>
      <c r="I344" s="130"/>
      <c r="J344" s="130"/>
      <c r="K344" s="239"/>
      <c r="L344" s="239"/>
      <c r="M344" s="130"/>
      <c r="N344" s="130"/>
      <c r="O344" s="130"/>
      <c r="P344" s="130"/>
      <c r="Q344" s="130"/>
      <c r="R344" s="130"/>
      <c r="S344" s="130"/>
      <c r="T344" s="130"/>
      <c r="U344" s="130"/>
      <c r="V344" s="130"/>
      <c r="W344" s="130"/>
    </row>
    <row r="345">
      <c r="A345" s="130"/>
      <c r="B345" s="130"/>
      <c r="C345" s="130"/>
      <c r="D345" s="130"/>
      <c r="E345" s="130"/>
      <c r="F345" s="130"/>
      <c r="G345" s="130"/>
      <c r="H345" s="130"/>
      <c r="I345" s="130"/>
      <c r="J345" s="130"/>
      <c r="K345" s="239"/>
      <c r="L345" s="239"/>
      <c r="M345" s="130"/>
      <c r="N345" s="130"/>
      <c r="O345" s="130"/>
      <c r="P345" s="130"/>
      <c r="Q345" s="130"/>
      <c r="R345" s="130"/>
      <c r="S345" s="130"/>
      <c r="T345" s="130"/>
      <c r="U345" s="130"/>
      <c r="V345" s="130"/>
      <c r="W345" s="130"/>
    </row>
    <row r="346">
      <c r="A346" s="130"/>
      <c r="B346" s="130"/>
      <c r="C346" s="130"/>
      <c r="D346" s="130"/>
      <c r="E346" s="130"/>
      <c r="F346" s="130"/>
      <c r="G346" s="130"/>
      <c r="H346" s="130"/>
      <c r="I346" s="130"/>
      <c r="J346" s="130"/>
      <c r="K346" s="239"/>
      <c r="L346" s="239"/>
      <c r="M346" s="130"/>
      <c r="N346" s="130"/>
      <c r="O346" s="130"/>
      <c r="P346" s="130"/>
      <c r="Q346" s="130"/>
      <c r="R346" s="130"/>
      <c r="S346" s="130"/>
      <c r="T346" s="130"/>
      <c r="U346" s="130"/>
      <c r="V346" s="130"/>
      <c r="W346" s="130"/>
    </row>
    <row r="347">
      <c r="A347" s="130"/>
      <c r="B347" s="130"/>
      <c r="C347" s="130"/>
      <c r="D347" s="130"/>
      <c r="E347" s="130"/>
      <c r="F347" s="130"/>
      <c r="G347" s="130"/>
      <c r="H347" s="130"/>
      <c r="I347" s="130"/>
      <c r="J347" s="130"/>
      <c r="K347" s="239"/>
      <c r="L347" s="239"/>
      <c r="M347" s="130"/>
      <c r="N347" s="130"/>
      <c r="O347" s="130"/>
      <c r="P347" s="130"/>
      <c r="Q347" s="130"/>
      <c r="R347" s="130"/>
      <c r="S347" s="130"/>
      <c r="T347" s="130"/>
      <c r="U347" s="130"/>
      <c r="V347" s="130"/>
      <c r="W347" s="130"/>
    </row>
    <row r="348">
      <c r="A348" s="130"/>
      <c r="B348" s="130"/>
      <c r="C348" s="130"/>
      <c r="D348" s="130"/>
      <c r="E348" s="130"/>
      <c r="F348" s="130"/>
      <c r="G348" s="130"/>
      <c r="H348" s="130"/>
      <c r="I348" s="130"/>
      <c r="J348" s="130"/>
      <c r="K348" s="239"/>
      <c r="L348" s="239"/>
      <c r="M348" s="130"/>
      <c r="N348" s="130"/>
      <c r="O348" s="130"/>
      <c r="P348" s="130"/>
      <c r="Q348" s="130"/>
      <c r="R348" s="130"/>
      <c r="S348" s="130"/>
      <c r="T348" s="130"/>
      <c r="U348" s="130"/>
      <c r="V348" s="130"/>
      <c r="W348" s="130"/>
    </row>
    <row r="349">
      <c r="A349" s="130"/>
      <c r="B349" s="130"/>
      <c r="C349" s="130"/>
      <c r="D349" s="130"/>
      <c r="E349" s="130"/>
      <c r="F349" s="130"/>
      <c r="G349" s="130"/>
      <c r="H349" s="130"/>
      <c r="I349" s="130"/>
      <c r="J349" s="130"/>
      <c r="K349" s="239"/>
      <c r="L349" s="239"/>
      <c r="M349" s="130"/>
      <c r="N349" s="130"/>
      <c r="O349" s="130"/>
      <c r="P349" s="130"/>
      <c r="Q349" s="130"/>
      <c r="R349" s="130"/>
      <c r="S349" s="130"/>
      <c r="T349" s="130"/>
      <c r="U349" s="130"/>
      <c r="V349" s="130"/>
      <c r="W349" s="130"/>
    </row>
    <row r="350">
      <c r="A350" s="130"/>
      <c r="B350" s="130"/>
      <c r="C350" s="130"/>
      <c r="D350" s="130"/>
      <c r="E350" s="130"/>
      <c r="F350" s="130"/>
      <c r="G350" s="130"/>
      <c r="H350" s="130"/>
      <c r="I350" s="130"/>
      <c r="J350" s="130"/>
      <c r="K350" s="239"/>
      <c r="L350" s="239"/>
      <c r="M350" s="130"/>
      <c r="N350" s="130"/>
      <c r="O350" s="130"/>
      <c r="P350" s="130"/>
      <c r="Q350" s="130"/>
      <c r="R350" s="130"/>
      <c r="S350" s="130"/>
      <c r="T350" s="130"/>
      <c r="U350" s="130"/>
      <c r="V350" s="130"/>
      <c r="W350" s="130"/>
    </row>
    <row r="351">
      <c r="A351" s="130"/>
      <c r="B351" s="130"/>
      <c r="C351" s="130"/>
      <c r="D351" s="130"/>
      <c r="E351" s="130"/>
      <c r="F351" s="130"/>
      <c r="G351" s="130"/>
      <c r="H351" s="130"/>
      <c r="I351" s="130"/>
      <c r="J351" s="130"/>
      <c r="K351" s="239"/>
      <c r="L351" s="239"/>
      <c r="M351" s="130"/>
      <c r="N351" s="130"/>
      <c r="O351" s="130"/>
      <c r="P351" s="130"/>
      <c r="Q351" s="130"/>
      <c r="R351" s="130"/>
      <c r="S351" s="130"/>
      <c r="T351" s="130"/>
      <c r="U351" s="130"/>
      <c r="V351" s="130"/>
      <c r="W351" s="130"/>
    </row>
    <row r="352">
      <c r="A352" s="130"/>
      <c r="B352" s="130"/>
      <c r="C352" s="130"/>
      <c r="D352" s="130"/>
      <c r="E352" s="130"/>
      <c r="F352" s="130"/>
      <c r="G352" s="130"/>
      <c r="H352" s="130"/>
      <c r="I352" s="130"/>
      <c r="J352" s="130"/>
      <c r="K352" s="239"/>
      <c r="L352" s="239"/>
      <c r="M352" s="130"/>
      <c r="N352" s="130"/>
      <c r="O352" s="130"/>
      <c r="P352" s="130"/>
      <c r="Q352" s="130"/>
      <c r="R352" s="130"/>
      <c r="S352" s="130"/>
      <c r="T352" s="130"/>
      <c r="U352" s="130"/>
      <c r="V352" s="130"/>
      <c r="W352" s="130"/>
    </row>
    <row r="353">
      <c r="A353" s="130"/>
      <c r="B353" s="130"/>
      <c r="C353" s="130"/>
      <c r="D353" s="130"/>
      <c r="E353" s="130"/>
      <c r="F353" s="130"/>
      <c r="G353" s="130"/>
      <c r="H353" s="130"/>
      <c r="I353" s="130"/>
      <c r="J353" s="130"/>
      <c r="K353" s="239"/>
      <c r="L353" s="239"/>
      <c r="M353" s="130"/>
      <c r="N353" s="130"/>
      <c r="O353" s="130"/>
      <c r="P353" s="130"/>
      <c r="Q353" s="130"/>
      <c r="R353" s="130"/>
      <c r="S353" s="130"/>
      <c r="T353" s="130"/>
      <c r="U353" s="130"/>
      <c r="V353" s="130"/>
      <c r="W353" s="130"/>
    </row>
    <row r="354">
      <c r="A354" s="130"/>
      <c r="B354" s="130"/>
      <c r="C354" s="130"/>
      <c r="D354" s="130"/>
      <c r="E354" s="130"/>
      <c r="F354" s="130"/>
      <c r="G354" s="130"/>
      <c r="H354" s="130"/>
      <c r="I354" s="130"/>
      <c r="J354" s="130"/>
      <c r="K354" s="239"/>
      <c r="L354" s="239"/>
      <c r="M354" s="130"/>
      <c r="N354" s="130"/>
      <c r="O354" s="130"/>
      <c r="P354" s="130"/>
      <c r="Q354" s="130"/>
      <c r="R354" s="130"/>
      <c r="S354" s="130"/>
      <c r="T354" s="130"/>
      <c r="U354" s="130"/>
      <c r="V354" s="130"/>
      <c r="W354" s="130"/>
    </row>
    <row r="355">
      <c r="A355" s="130"/>
      <c r="B355" s="130"/>
      <c r="C355" s="130"/>
      <c r="D355" s="130"/>
      <c r="E355" s="130"/>
      <c r="F355" s="130"/>
      <c r="G355" s="130"/>
      <c r="H355" s="130"/>
      <c r="I355" s="130"/>
      <c r="J355" s="130"/>
      <c r="K355" s="239"/>
      <c r="L355" s="239"/>
      <c r="M355" s="130"/>
      <c r="N355" s="130"/>
      <c r="O355" s="130"/>
      <c r="P355" s="130"/>
      <c r="Q355" s="130"/>
      <c r="R355" s="130"/>
      <c r="S355" s="130"/>
      <c r="T355" s="130"/>
      <c r="U355" s="130"/>
      <c r="V355" s="130"/>
      <c r="W355" s="130"/>
    </row>
    <row r="356">
      <c r="A356" s="130"/>
      <c r="B356" s="130"/>
      <c r="C356" s="130"/>
      <c r="D356" s="130"/>
      <c r="E356" s="130"/>
      <c r="F356" s="130"/>
      <c r="G356" s="130"/>
      <c r="H356" s="130"/>
      <c r="I356" s="130"/>
      <c r="J356" s="130"/>
      <c r="K356" s="239"/>
      <c r="L356" s="239"/>
      <c r="M356" s="130"/>
      <c r="N356" s="130"/>
      <c r="O356" s="130"/>
      <c r="P356" s="130"/>
      <c r="Q356" s="130"/>
      <c r="R356" s="130"/>
      <c r="S356" s="130"/>
      <c r="T356" s="130"/>
      <c r="U356" s="130"/>
      <c r="V356" s="130"/>
      <c r="W356" s="130"/>
    </row>
    <row r="357">
      <c r="A357" s="130"/>
      <c r="B357" s="130"/>
      <c r="C357" s="130"/>
      <c r="D357" s="130"/>
      <c r="E357" s="130"/>
      <c r="F357" s="130"/>
      <c r="G357" s="130"/>
      <c r="H357" s="130"/>
      <c r="I357" s="130"/>
      <c r="J357" s="130"/>
      <c r="K357" s="239"/>
      <c r="L357" s="239"/>
      <c r="M357" s="130"/>
      <c r="N357" s="130"/>
      <c r="O357" s="130"/>
      <c r="P357" s="130"/>
      <c r="Q357" s="130"/>
      <c r="R357" s="130"/>
      <c r="S357" s="130"/>
      <c r="T357" s="130"/>
      <c r="U357" s="130"/>
      <c r="V357" s="130"/>
      <c r="W357" s="130"/>
    </row>
    <row r="358">
      <c r="A358" s="130"/>
      <c r="B358" s="130"/>
      <c r="C358" s="130"/>
      <c r="D358" s="130"/>
      <c r="E358" s="130"/>
      <c r="F358" s="130"/>
      <c r="G358" s="130"/>
      <c r="H358" s="130"/>
      <c r="I358" s="130"/>
      <c r="J358" s="130"/>
      <c r="K358" s="239"/>
      <c r="L358" s="239"/>
      <c r="M358" s="130"/>
      <c r="N358" s="130"/>
      <c r="O358" s="130"/>
      <c r="P358" s="130"/>
      <c r="Q358" s="130"/>
      <c r="R358" s="130"/>
      <c r="S358" s="130"/>
      <c r="T358" s="130"/>
      <c r="U358" s="130"/>
      <c r="V358" s="130"/>
      <c r="W358" s="130"/>
    </row>
    <row r="359">
      <c r="A359" s="130"/>
      <c r="B359" s="130"/>
      <c r="C359" s="130"/>
      <c r="D359" s="130"/>
      <c r="E359" s="130"/>
      <c r="F359" s="130"/>
      <c r="G359" s="130"/>
      <c r="H359" s="130"/>
      <c r="I359" s="130"/>
      <c r="J359" s="130"/>
      <c r="K359" s="239"/>
      <c r="L359" s="239"/>
      <c r="M359" s="130"/>
      <c r="N359" s="130"/>
      <c r="O359" s="130"/>
      <c r="P359" s="130"/>
      <c r="Q359" s="130"/>
      <c r="R359" s="130"/>
      <c r="S359" s="130"/>
      <c r="T359" s="130"/>
      <c r="U359" s="130"/>
      <c r="V359" s="130"/>
      <c r="W359" s="130"/>
    </row>
    <row r="360">
      <c r="A360" s="130"/>
      <c r="B360" s="130"/>
      <c r="C360" s="130"/>
      <c r="D360" s="130"/>
      <c r="E360" s="130"/>
      <c r="F360" s="130"/>
      <c r="G360" s="130"/>
      <c r="H360" s="130"/>
      <c r="I360" s="130"/>
      <c r="J360" s="130"/>
      <c r="K360" s="239"/>
      <c r="L360" s="239"/>
      <c r="M360" s="130"/>
      <c r="N360" s="130"/>
      <c r="O360" s="130"/>
      <c r="P360" s="130"/>
      <c r="Q360" s="130"/>
      <c r="R360" s="130"/>
      <c r="S360" s="130"/>
      <c r="T360" s="130"/>
      <c r="U360" s="130"/>
      <c r="V360" s="130"/>
      <c r="W360" s="130"/>
    </row>
    <row r="361">
      <c r="A361" s="130"/>
      <c r="B361" s="130"/>
      <c r="C361" s="130"/>
      <c r="D361" s="130"/>
      <c r="E361" s="130"/>
      <c r="F361" s="130"/>
      <c r="G361" s="130"/>
      <c r="H361" s="130"/>
      <c r="I361" s="130"/>
      <c r="J361" s="130"/>
      <c r="K361" s="239"/>
      <c r="L361" s="239"/>
      <c r="M361" s="130"/>
      <c r="N361" s="130"/>
      <c r="O361" s="130"/>
      <c r="P361" s="130"/>
      <c r="Q361" s="130"/>
      <c r="R361" s="130"/>
      <c r="S361" s="130"/>
      <c r="T361" s="130"/>
      <c r="U361" s="130"/>
      <c r="V361" s="130"/>
      <c r="W361" s="130"/>
    </row>
    <row r="362">
      <c r="A362" s="130"/>
      <c r="B362" s="130"/>
      <c r="C362" s="130"/>
      <c r="D362" s="130"/>
      <c r="E362" s="130"/>
      <c r="F362" s="130"/>
      <c r="G362" s="130"/>
      <c r="H362" s="130"/>
      <c r="I362" s="130"/>
      <c r="J362" s="130"/>
      <c r="K362" s="239"/>
      <c r="L362" s="239"/>
      <c r="M362" s="130"/>
      <c r="N362" s="130"/>
      <c r="O362" s="130"/>
      <c r="P362" s="130"/>
      <c r="Q362" s="130"/>
      <c r="R362" s="130"/>
      <c r="S362" s="130"/>
      <c r="T362" s="130"/>
      <c r="U362" s="130"/>
      <c r="V362" s="130"/>
      <c r="W362" s="130"/>
    </row>
    <row r="363">
      <c r="A363" s="130"/>
      <c r="B363" s="130"/>
      <c r="C363" s="130"/>
      <c r="D363" s="130"/>
      <c r="E363" s="130"/>
      <c r="F363" s="130"/>
      <c r="G363" s="130"/>
      <c r="H363" s="130"/>
      <c r="I363" s="130"/>
      <c r="J363" s="130"/>
      <c r="K363" s="239"/>
      <c r="L363" s="239"/>
      <c r="M363" s="130"/>
      <c r="N363" s="130"/>
      <c r="O363" s="130"/>
      <c r="P363" s="130"/>
      <c r="Q363" s="130"/>
      <c r="R363" s="130"/>
      <c r="S363" s="130"/>
      <c r="T363" s="130"/>
      <c r="U363" s="130"/>
      <c r="V363" s="130"/>
      <c r="W363" s="130"/>
    </row>
    <row r="364">
      <c r="A364" s="130"/>
      <c r="B364" s="130"/>
      <c r="C364" s="130"/>
      <c r="D364" s="130"/>
      <c r="E364" s="130"/>
      <c r="F364" s="130"/>
      <c r="G364" s="130"/>
      <c r="H364" s="130"/>
      <c r="I364" s="130"/>
      <c r="J364" s="130"/>
      <c r="K364" s="239"/>
      <c r="L364" s="239"/>
      <c r="M364" s="130"/>
      <c r="N364" s="130"/>
      <c r="O364" s="130"/>
      <c r="P364" s="130"/>
      <c r="Q364" s="130"/>
      <c r="R364" s="130"/>
      <c r="S364" s="130"/>
      <c r="T364" s="130"/>
      <c r="U364" s="130"/>
      <c r="V364" s="130"/>
      <c r="W364" s="130"/>
    </row>
    <row r="365">
      <c r="A365" s="130"/>
      <c r="B365" s="130"/>
      <c r="C365" s="130"/>
      <c r="D365" s="130"/>
      <c r="E365" s="130"/>
      <c r="F365" s="130"/>
      <c r="G365" s="130"/>
      <c r="H365" s="130"/>
      <c r="I365" s="130"/>
      <c r="J365" s="130"/>
      <c r="K365" s="239"/>
      <c r="L365" s="239"/>
      <c r="M365" s="130"/>
      <c r="N365" s="130"/>
      <c r="O365" s="130"/>
      <c r="P365" s="130"/>
      <c r="Q365" s="130"/>
      <c r="R365" s="130"/>
      <c r="S365" s="130"/>
      <c r="T365" s="130"/>
      <c r="U365" s="130"/>
      <c r="V365" s="130"/>
      <c r="W365" s="130"/>
    </row>
    <row r="366">
      <c r="A366" s="130"/>
      <c r="B366" s="130"/>
      <c r="C366" s="130"/>
      <c r="D366" s="130"/>
      <c r="E366" s="130"/>
      <c r="F366" s="130"/>
      <c r="G366" s="130"/>
      <c r="H366" s="130"/>
      <c r="I366" s="130"/>
      <c r="J366" s="130"/>
      <c r="K366" s="239"/>
      <c r="L366" s="239"/>
      <c r="M366" s="130"/>
      <c r="N366" s="130"/>
      <c r="O366" s="130"/>
      <c r="P366" s="130"/>
      <c r="Q366" s="130"/>
      <c r="R366" s="130"/>
      <c r="S366" s="130"/>
      <c r="T366" s="130"/>
      <c r="U366" s="130"/>
      <c r="V366" s="130"/>
      <c r="W366" s="130"/>
    </row>
    <row r="367">
      <c r="A367" s="130"/>
      <c r="B367" s="130"/>
      <c r="C367" s="130"/>
      <c r="D367" s="130"/>
      <c r="E367" s="130"/>
      <c r="F367" s="130"/>
      <c r="G367" s="130"/>
      <c r="H367" s="130"/>
      <c r="I367" s="130"/>
      <c r="J367" s="130"/>
      <c r="K367" s="239"/>
      <c r="L367" s="239"/>
      <c r="M367" s="130"/>
      <c r="N367" s="130"/>
      <c r="O367" s="130"/>
      <c r="P367" s="130"/>
      <c r="Q367" s="130"/>
      <c r="R367" s="130"/>
      <c r="S367" s="130"/>
      <c r="T367" s="130"/>
      <c r="U367" s="130"/>
      <c r="V367" s="130"/>
      <c r="W367" s="130"/>
    </row>
    <row r="368">
      <c r="A368" s="130"/>
      <c r="B368" s="130"/>
      <c r="C368" s="130"/>
      <c r="D368" s="130"/>
      <c r="E368" s="130"/>
      <c r="F368" s="130"/>
      <c r="G368" s="130"/>
      <c r="H368" s="130"/>
      <c r="I368" s="130"/>
      <c r="J368" s="130"/>
      <c r="K368" s="239"/>
      <c r="L368" s="239"/>
      <c r="M368" s="130"/>
      <c r="N368" s="130"/>
      <c r="O368" s="130"/>
      <c r="P368" s="130"/>
      <c r="Q368" s="130"/>
      <c r="R368" s="130"/>
      <c r="S368" s="130"/>
      <c r="T368" s="130"/>
      <c r="U368" s="130"/>
      <c r="V368" s="130"/>
      <c r="W368" s="130"/>
    </row>
    <row r="369">
      <c r="A369" s="130"/>
      <c r="B369" s="130"/>
      <c r="C369" s="130"/>
      <c r="D369" s="130"/>
      <c r="E369" s="130"/>
      <c r="F369" s="130"/>
      <c r="G369" s="130"/>
      <c r="H369" s="130"/>
      <c r="I369" s="130"/>
      <c r="J369" s="130"/>
      <c r="K369" s="239"/>
      <c r="L369" s="239"/>
      <c r="M369" s="130"/>
      <c r="N369" s="130"/>
      <c r="O369" s="130"/>
      <c r="P369" s="130"/>
      <c r="Q369" s="130"/>
      <c r="R369" s="130"/>
      <c r="S369" s="130"/>
      <c r="T369" s="130"/>
      <c r="U369" s="130"/>
      <c r="V369" s="130"/>
      <c r="W369" s="130"/>
    </row>
    <row r="370">
      <c r="A370" s="130"/>
      <c r="B370" s="130"/>
      <c r="C370" s="130"/>
      <c r="D370" s="130"/>
      <c r="E370" s="130"/>
      <c r="F370" s="130"/>
      <c r="G370" s="130"/>
      <c r="H370" s="130"/>
      <c r="I370" s="130"/>
      <c r="J370" s="130"/>
      <c r="K370" s="239"/>
      <c r="L370" s="239"/>
      <c r="M370" s="130"/>
      <c r="N370" s="130"/>
      <c r="O370" s="130"/>
      <c r="P370" s="130"/>
      <c r="Q370" s="130"/>
      <c r="R370" s="130"/>
      <c r="S370" s="130"/>
      <c r="T370" s="130"/>
      <c r="U370" s="130"/>
      <c r="V370" s="130"/>
      <c r="W370" s="130"/>
    </row>
    <row r="371">
      <c r="A371" s="130"/>
      <c r="B371" s="130"/>
      <c r="C371" s="130"/>
      <c r="D371" s="130"/>
      <c r="E371" s="130"/>
      <c r="F371" s="130"/>
      <c r="G371" s="130"/>
      <c r="H371" s="130"/>
      <c r="I371" s="130"/>
      <c r="J371" s="130"/>
      <c r="K371" s="239"/>
      <c r="L371" s="239"/>
      <c r="M371" s="130"/>
      <c r="N371" s="130"/>
      <c r="O371" s="130"/>
      <c r="P371" s="130"/>
      <c r="Q371" s="130"/>
      <c r="R371" s="130"/>
      <c r="S371" s="130"/>
      <c r="T371" s="130"/>
      <c r="U371" s="130"/>
      <c r="V371" s="130"/>
      <c r="W371" s="130"/>
    </row>
    <row r="372">
      <c r="A372" s="130"/>
      <c r="B372" s="130"/>
      <c r="C372" s="130"/>
      <c r="D372" s="130"/>
      <c r="E372" s="130"/>
      <c r="F372" s="130"/>
      <c r="G372" s="130"/>
      <c r="H372" s="130"/>
      <c r="I372" s="130"/>
      <c r="J372" s="130"/>
      <c r="K372" s="239"/>
      <c r="L372" s="239"/>
      <c r="M372" s="130"/>
      <c r="N372" s="130"/>
      <c r="O372" s="130"/>
      <c r="P372" s="130"/>
      <c r="Q372" s="130"/>
      <c r="R372" s="130"/>
      <c r="S372" s="130"/>
      <c r="T372" s="130"/>
      <c r="U372" s="130"/>
      <c r="V372" s="130"/>
      <c r="W372" s="130"/>
    </row>
    <row r="373">
      <c r="A373" s="130"/>
      <c r="B373" s="130"/>
      <c r="C373" s="130"/>
      <c r="D373" s="130"/>
      <c r="E373" s="130"/>
      <c r="F373" s="130"/>
      <c r="G373" s="130"/>
      <c r="H373" s="130"/>
      <c r="I373" s="130"/>
      <c r="J373" s="130"/>
      <c r="K373" s="239"/>
      <c r="L373" s="239"/>
      <c r="M373" s="130"/>
      <c r="N373" s="130"/>
      <c r="O373" s="130"/>
      <c r="P373" s="130"/>
      <c r="Q373" s="130"/>
      <c r="R373" s="130"/>
      <c r="S373" s="130"/>
      <c r="T373" s="130"/>
      <c r="U373" s="130"/>
      <c r="V373" s="130"/>
      <c r="W373" s="130"/>
    </row>
    <row r="374">
      <c r="A374" s="130"/>
      <c r="B374" s="130"/>
      <c r="C374" s="130"/>
      <c r="D374" s="130"/>
      <c r="E374" s="130"/>
      <c r="F374" s="130"/>
      <c r="G374" s="130"/>
      <c r="H374" s="130"/>
      <c r="I374" s="130"/>
      <c r="J374" s="130"/>
      <c r="K374" s="239"/>
      <c r="L374" s="239"/>
      <c r="M374" s="130"/>
      <c r="N374" s="130"/>
      <c r="O374" s="130"/>
      <c r="P374" s="130"/>
      <c r="Q374" s="130"/>
      <c r="R374" s="130"/>
      <c r="S374" s="130"/>
      <c r="T374" s="130"/>
      <c r="U374" s="130"/>
      <c r="V374" s="130"/>
      <c r="W374" s="130"/>
    </row>
    <row r="375">
      <c r="A375" s="130"/>
      <c r="B375" s="130"/>
      <c r="C375" s="130"/>
      <c r="D375" s="130"/>
      <c r="E375" s="130"/>
      <c r="F375" s="130"/>
      <c r="G375" s="130"/>
      <c r="H375" s="130"/>
      <c r="I375" s="130"/>
      <c r="J375" s="130"/>
      <c r="K375" s="239"/>
      <c r="L375" s="239"/>
      <c r="M375" s="130"/>
      <c r="N375" s="130"/>
      <c r="O375" s="130"/>
      <c r="P375" s="130"/>
      <c r="Q375" s="130"/>
      <c r="R375" s="130"/>
      <c r="S375" s="130"/>
      <c r="T375" s="130"/>
      <c r="U375" s="130"/>
      <c r="V375" s="130"/>
      <c r="W375" s="130"/>
    </row>
    <row r="376">
      <c r="A376" s="130"/>
      <c r="B376" s="130"/>
      <c r="C376" s="130"/>
      <c r="D376" s="130"/>
      <c r="E376" s="130"/>
      <c r="F376" s="130"/>
      <c r="G376" s="130"/>
      <c r="H376" s="130"/>
      <c r="I376" s="130"/>
      <c r="J376" s="130"/>
      <c r="K376" s="239"/>
      <c r="L376" s="239"/>
      <c r="M376" s="130"/>
      <c r="N376" s="130"/>
      <c r="O376" s="130"/>
      <c r="P376" s="130"/>
      <c r="Q376" s="130"/>
      <c r="R376" s="130"/>
      <c r="S376" s="130"/>
      <c r="T376" s="130"/>
      <c r="U376" s="130"/>
      <c r="V376" s="130"/>
      <c r="W376" s="130"/>
    </row>
    <row r="377">
      <c r="A377" s="130"/>
      <c r="B377" s="130"/>
      <c r="C377" s="130"/>
      <c r="D377" s="130"/>
      <c r="E377" s="130"/>
      <c r="F377" s="130"/>
      <c r="G377" s="130"/>
      <c r="H377" s="130"/>
      <c r="I377" s="130"/>
      <c r="J377" s="130"/>
      <c r="K377" s="239"/>
      <c r="L377" s="239"/>
      <c r="M377" s="130"/>
      <c r="N377" s="130"/>
      <c r="O377" s="130"/>
      <c r="P377" s="130"/>
      <c r="Q377" s="130"/>
      <c r="R377" s="130"/>
      <c r="S377" s="130"/>
      <c r="T377" s="130"/>
      <c r="U377" s="130"/>
      <c r="V377" s="130"/>
      <c r="W377" s="130"/>
    </row>
    <row r="378">
      <c r="A378" s="130"/>
      <c r="B378" s="130"/>
      <c r="C378" s="130"/>
      <c r="D378" s="130"/>
      <c r="E378" s="130"/>
      <c r="F378" s="130"/>
      <c r="G378" s="130"/>
      <c r="H378" s="130"/>
      <c r="I378" s="130"/>
      <c r="J378" s="130"/>
      <c r="K378" s="239"/>
      <c r="L378" s="239"/>
      <c r="M378" s="130"/>
      <c r="N378" s="130"/>
      <c r="O378" s="130"/>
      <c r="P378" s="130"/>
      <c r="Q378" s="130"/>
      <c r="R378" s="130"/>
      <c r="S378" s="130"/>
      <c r="T378" s="130"/>
      <c r="U378" s="130"/>
      <c r="V378" s="130"/>
      <c r="W378" s="130"/>
    </row>
    <row r="379">
      <c r="A379" s="130"/>
      <c r="B379" s="130"/>
      <c r="C379" s="130"/>
      <c r="D379" s="130"/>
      <c r="E379" s="130"/>
      <c r="F379" s="130"/>
      <c r="G379" s="130"/>
      <c r="H379" s="130"/>
      <c r="I379" s="130"/>
      <c r="J379" s="130"/>
      <c r="K379" s="239"/>
      <c r="L379" s="239"/>
      <c r="M379" s="130"/>
      <c r="N379" s="130"/>
      <c r="O379" s="130"/>
      <c r="P379" s="130"/>
      <c r="Q379" s="130"/>
      <c r="R379" s="130"/>
      <c r="S379" s="130"/>
      <c r="T379" s="130"/>
      <c r="U379" s="130"/>
      <c r="V379" s="130"/>
      <c r="W379" s="130"/>
    </row>
    <row r="380">
      <c r="A380" s="130"/>
      <c r="B380" s="130"/>
      <c r="C380" s="130"/>
      <c r="D380" s="130"/>
      <c r="E380" s="130"/>
      <c r="F380" s="130"/>
      <c r="G380" s="130"/>
      <c r="H380" s="130"/>
      <c r="I380" s="130"/>
      <c r="J380" s="130"/>
      <c r="K380" s="239"/>
      <c r="L380" s="239"/>
      <c r="M380" s="130"/>
      <c r="N380" s="130"/>
      <c r="O380" s="130"/>
      <c r="P380" s="130"/>
      <c r="Q380" s="130"/>
      <c r="R380" s="130"/>
      <c r="S380" s="130"/>
      <c r="T380" s="130"/>
      <c r="U380" s="130"/>
      <c r="V380" s="130"/>
      <c r="W380" s="130"/>
    </row>
    <row r="381">
      <c r="A381" s="130"/>
      <c r="B381" s="130"/>
      <c r="C381" s="130"/>
      <c r="D381" s="130"/>
      <c r="E381" s="130"/>
      <c r="F381" s="130"/>
      <c r="G381" s="130"/>
      <c r="H381" s="130"/>
      <c r="I381" s="130"/>
      <c r="J381" s="130"/>
      <c r="K381" s="239"/>
      <c r="L381" s="239"/>
      <c r="M381" s="130"/>
      <c r="N381" s="130"/>
      <c r="O381" s="130"/>
      <c r="P381" s="130"/>
      <c r="Q381" s="130"/>
      <c r="R381" s="130"/>
      <c r="S381" s="130"/>
      <c r="T381" s="130"/>
      <c r="U381" s="130"/>
      <c r="V381" s="130"/>
      <c r="W381" s="130"/>
    </row>
    <row r="382">
      <c r="A382" s="130"/>
      <c r="B382" s="130"/>
      <c r="C382" s="130"/>
      <c r="D382" s="130"/>
      <c r="E382" s="130"/>
      <c r="F382" s="130"/>
      <c r="G382" s="130"/>
      <c r="H382" s="130"/>
      <c r="I382" s="130"/>
      <c r="J382" s="130"/>
      <c r="K382" s="239"/>
      <c r="L382" s="239"/>
      <c r="M382" s="130"/>
      <c r="N382" s="130"/>
      <c r="O382" s="130"/>
      <c r="P382" s="130"/>
      <c r="Q382" s="130"/>
      <c r="R382" s="130"/>
      <c r="S382" s="130"/>
      <c r="T382" s="130"/>
      <c r="U382" s="130"/>
      <c r="V382" s="130"/>
      <c r="W382" s="130"/>
    </row>
    <row r="383">
      <c r="A383" s="130"/>
      <c r="B383" s="130"/>
      <c r="C383" s="130"/>
      <c r="D383" s="130"/>
      <c r="E383" s="130"/>
      <c r="F383" s="130"/>
      <c r="G383" s="130"/>
      <c r="H383" s="130"/>
      <c r="I383" s="130"/>
      <c r="J383" s="130"/>
      <c r="K383" s="239"/>
      <c r="L383" s="239"/>
      <c r="M383" s="130"/>
      <c r="N383" s="130"/>
      <c r="O383" s="130"/>
      <c r="P383" s="130"/>
      <c r="Q383" s="130"/>
      <c r="R383" s="130"/>
      <c r="S383" s="130"/>
      <c r="T383" s="130"/>
      <c r="U383" s="130"/>
      <c r="V383" s="130"/>
      <c r="W383" s="130"/>
    </row>
    <row r="384">
      <c r="A384" s="130"/>
      <c r="B384" s="130"/>
      <c r="C384" s="130"/>
      <c r="D384" s="130"/>
      <c r="E384" s="130"/>
      <c r="F384" s="130"/>
      <c r="G384" s="130"/>
      <c r="H384" s="130"/>
      <c r="I384" s="130"/>
      <c r="J384" s="130"/>
      <c r="K384" s="239"/>
      <c r="L384" s="239"/>
      <c r="M384" s="130"/>
      <c r="N384" s="130"/>
      <c r="O384" s="130"/>
      <c r="P384" s="130"/>
      <c r="Q384" s="130"/>
      <c r="R384" s="130"/>
      <c r="S384" s="130"/>
      <c r="T384" s="130"/>
      <c r="U384" s="130"/>
      <c r="V384" s="130"/>
      <c r="W384" s="130"/>
    </row>
    <row r="385">
      <c r="A385" s="130"/>
      <c r="B385" s="130"/>
      <c r="C385" s="130"/>
      <c r="D385" s="130"/>
      <c r="E385" s="130"/>
      <c r="F385" s="130"/>
      <c r="G385" s="130"/>
      <c r="H385" s="130"/>
      <c r="I385" s="130"/>
      <c r="J385" s="130"/>
      <c r="K385" s="239"/>
      <c r="L385" s="239"/>
      <c r="M385" s="130"/>
      <c r="N385" s="130"/>
      <c r="O385" s="130"/>
      <c r="P385" s="130"/>
      <c r="Q385" s="130"/>
      <c r="R385" s="130"/>
      <c r="S385" s="130"/>
      <c r="T385" s="130"/>
      <c r="U385" s="130"/>
      <c r="V385" s="130"/>
      <c r="W385" s="130"/>
    </row>
    <row r="386">
      <c r="A386" s="130"/>
      <c r="B386" s="130"/>
      <c r="C386" s="130"/>
      <c r="D386" s="130"/>
      <c r="E386" s="130"/>
      <c r="F386" s="130"/>
      <c r="G386" s="130"/>
      <c r="H386" s="130"/>
      <c r="I386" s="130"/>
      <c r="J386" s="130"/>
      <c r="K386" s="239"/>
      <c r="L386" s="239"/>
      <c r="M386" s="130"/>
      <c r="N386" s="130"/>
      <c r="O386" s="130"/>
      <c r="P386" s="130"/>
      <c r="Q386" s="130"/>
      <c r="R386" s="130"/>
      <c r="S386" s="130"/>
      <c r="T386" s="130"/>
      <c r="U386" s="130"/>
      <c r="V386" s="130"/>
      <c r="W386" s="130"/>
    </row>
    <row r="387">
      <c r="A387" s="130"/>
      <c r="B387" s="130"/>
      <c r="C387" s="130"/>
      <c r="D387" s="130"/>
      <c r="E387" s="130"/>
      <c r="F387" s="130"/>
      <c r="G387" s="130"/>
      <c r="H387" s="130"/>
      <c r="I387" s="130"/>
      <c r="J387" s="130"/>
      <c r="K387" s="239"/>
      <c r="L387" s="239"/>
      <c r="M387" s="130"/>
      <c r="N387" s="130"/>
      <c r="O387" s="130"/>
      <c r="P387" s="130"/>
      <c r="Q387" s="130"/>
      <c r="R387" s="130"/>
      <c r="S387" s="130"/>
      <c r="T387" s="130"/>
      <c r="U387" s="130"/>
      <c r="V387" s="130"/>
      <c r="W387" s="130"/>
    </row>
    <row r="388">
      <c r="A388" s="130"/>
      <c r="B388" s="130"/>
      <c r="C388" s="130"/>
      <c r="D388" s="130"/>
      <c r="E388" s="130"/>
      <c r="F388" s="130"/>
      <c r="G388" s="130"/>
      <c r="H388" s="130"/>
      <c r="I388" s="130"/>
      <c r="J388" s="130"/>
      <c r="K388" s="239"/>
      <c r="L388" s="239"/>
      <c r="M388" s="130"/>
      <c r="N388" s="130"/>
      <c r="O388" s="130"/>
      <c r="P388" s="130"/>
      <c r="Q388" s="130"/>
      <c r="R388" s="130"/>
      <c r="S388" s="130"/>
      <c r="T388" s="130"/>
      <c r="U388" s="130"/>
      <c r="V388" s="130"/>
      <c r="W388" s="130"/>
    </row>
    <row r="389">
      <c r="A389" s="130"/>
      <c r="B389" s="130"/>
      <c r="C389" s="130"/>
      <c r="D389" s="130"/>
      <c r="E389" s="130"/>
      <c r="F389" s="130"/>
      <c r="G389" s="130"/>
      <c r="H389" s="130"/>
      <c r="I389" s="130"/>
      <c r="J389" s="130"/>
      <c r="K389" s="239"/>
      <c r="L389" s="239"/>
      <c r="M389" s="130"/>
      <c r="N389" s="130"/>
      <c r="O389" s="130"/>
      <c r="P389" s="130"/>
      <c r="Q389" s="130"/>
      <c r="R389" s="130"/>
      <c r="S389" s="130"/>
      <c r="T389" s="130"/>
      <c r="U389" s="130"/>
      <c r="V389" s="130"/>
      <c r="W389" s="130"/>
    </row>
    <row r="390">
      <c r="A390" s="130"/>
      <c r="B390" s="130"/>
      <c r="C390" s="130"/>
      <c r="D390" s="130"/>
      <c r="E390" s="130"/>
      <c r="F390" s="130"/>
      <c r="G390" s="130"/>
      <c r="H390" s="130"/>
      <c r="I390" s="130"/>
      <c r="J390" s="130"/>
      <c r="K390" s="239"/>
      <c r="L390" s="239"/>
      <c r="M390" s="130"/>
      <c r="N390" s="130"/>
      <c r="O390" s="130"/>
      <c r="P390" s="130"/>
      <c r="Q390" s="130"/>
      <c r="R390" s="130"/>
      <c r="S390" s="130"/>
      <c r="T390" s="130"/>
      <c r="U390" s="130"/>
      <c r="V390" s="130"/>
      <c r="W390" s="130"/>
    </row>
    <row r="391">
      <c r="A391" s="130"/>
      <c r="B391" s="130"/>
      <c r="C391" s="130"/>
      <c r="D391" s="130"/>
      <c r="E391" s="130"/>
      <c r="F391" s="130"/>
      <c r="G391" s="130"/>
      <c r="H391" s="130"/>
      <c r="I391" s="130"/>
      <c r="J391" s="130"/>
      <c r="K391" s="239"/>
      <c r="L391" s="239"/>
      <c r="M391" s="130"/>
      <c r="N391" s="130"/>
      <c r="O391" s="130"/>
      <c r="P391" s="130"/>
      <c r="Q391" s="130"/>
      <c r="R391" s="130"/>
      <c r="S391" s="130"/>
      <c r="T391" s="130"/>
      <c r="U391" s="130"/>
      <c r="V391" s="130"/>
      <c r="W391" s="130"/>
    </row>
    <row r="392">
      <c r="A392" s="130"/>
      <c r="B392" s="130"/>
      <c r="C392" s="130"/>
      <c r="D392" s="130"/>
      <c r="E392" s="130"/>
      <c r="F392" s="130"/>
      <c r="G392" s="130"/>
      <c r="H392" s="130"/>
      <c r="I392" s="130"/>
      <c r="J392" s="130"/>
      <c r="K392" s="239"/>
      <c r="L392" s="239"/>
      <c r="M392" s="130"/>
      <c r="N392" s="130"/>
      <c r="O392" s="130"/>
      <c r="P392" s="130"/>
      <c r="Q392" s="130"/>
      <c r="R392" s="130"/>
      <c r="S392" s="130"/>
      <c r="T392" s="130"/>
      <c r="U392" s="130"/>
      <c r="V392" s="130"/>
      <c r="W392" s="130"/>
    </row>
    <row r="393">
      <c r="A393" s="130"/>
      <c r="B393" s="130"/>
      <c r="C393" s="130"/>
      <c r="D393" s="130"/>
      <c r="E393" s="130"/>
      <c r="F393" s="130"/>
      <c r="G393" s="130"/>
      <c r="H393" s="130"/>
      <c r="I393" s="130"/>
      <c r="J393" s="130"/>
      <c r="K393" s="239"/>
      <c r="L393" s="239"/>
      <c r="M393" s="130"/>
      <c r="N393" s="130"/>
      <c r="O393" s="130"/>
      <c r="P393" s="130"/>
      <c r="Q393" s="130"/>
      <c r="R393" s="130"/>
      <c r="S393" s="130"/>
      <c r="T393" s="130"/>
      <c r="U393" s="130"/>
      <c r="V393" s="130"/>
      <c r="W393" s="130"/>
    </row>
    <row r="394">
      <c r="A394" s="130"/>
      <c r="B394" s="130"/>
      <c r="C394" s="130"/>
      <c r="D394" s="130"/>
      <c r="E394" s="130"/>
      <c r="F394" s="130"/>
      <c r="G394" s="130"/>
      <c r="H394" s="130"/>
      <c r="I394" s="130"/>
      <c r="J394" s="130"/>
      <c r="K394" s="239"/>
      <c r="L394" s="239"/>
      <c r="M394" s="130"/>
      <c r="N394" s="130"/>
      <c r="O394" s="130"/>
      <c r="P394" s="130"/>
      <c r="Q394" s="130"/>
      <c r="R394" s="130"/>
      <c r="S394" s="130"/>
      <c r="T394" s="130"/>
      <c r="U394" s="130"/>
      <c r="V394" s="130"/>
      <c r="W394" s="130"/>
    </row>
    <row r="395">
      <c r="A395" s="130"/>
      <c r="B395" s="130"/>
      <c r="C395" s="130"/>
      <c r="D395" s="130"/>
      <c r="E395" s="130"/>
      <c r="F395" s="130"/>
      <c r="G395" s="130"/>
      <c r="H395" s="130"/>
      <c r="I395" s="130"/>
      <c r="J395" s="130"/>
      <c r="K395" s="239"/>
      <c r="L395" s="239"/>
      <c r="M395" s="130"/>
      <c r="N395" s="130"/>
      <c r="O395" s="130"/>
      <c r="P395" s="130"/>
      <c r="Q395" s="130"/>
      <c r="R395" s="130"/>
      <c r="S395" s="130"/>
      <c r="T395" s="130"/>
      <c r="U395" s="130"/>
      <c r="V395" s="130"/>
      <c r="W395" s="130"/>
    </row>
    <row r="396">
      <c r="A396" s="130"/>
      <c r="B396" s="130"/>
      <c r="C396" s="130"/>
      <c r="D396" s="130"/>
      <c r="E396" s="130"/>
      <c r="F396" s="130"/>
      <c r="G396" s="130"/>
      <c r="H396" s="130"/>
      <c r="I396" s="130"/>
      <c r="J396" s="130"/>
      <c r="K396" s="239"/>
      <c r="L396" s="239"/>
      <c r="M396" s="130"/>
      <c r="N396" s="130"/>
      <c r="O396" s="130"/>
      <c r="P396" s="130"/>
      <c r="Q396" s="130"/>
      <c r="R396" s="130"/>
      <c r="S396" s="130"/>
      <c r="T396" s="130"/>
      <c r="U396" s="130"/>
      <c r="V396" s="130"/>
      <c r="W396" s="130"/>
    </row>
    <row r="397">
      <c r="A397" s="130"/>
      <c r="B397" s="130"/>
      <c r="C397" s="130"/>
      <c r="D397" s="130"/>
      <c r="E397" s="130"/>
      <c r="F397" s="130"/>
      <c r="G397" s="130"/>
      <c r="H397" s="130"/>
      <c r="I397" s="130"/>
      <c r="J397" s="130"/>
      <c r="K397" s="239"/>
      <c r="L397" s="239"/>
      <c r="M397" s="130"/>
      <c r="N397" s="130"/>
      <c r="O397" s="130"/>
      <c r="P397" s="130"/>
      <c r="Q397" s="130"/>
      <c r="R397" s="130"/>
      <c r="S397" s="130"/>
      <c r="T397" s="130"/>
      <c r="U397" s="130"/>
      <c r="V397" s="130"/>
      <c r="W397" s="130"/>
    </row>
    <row r="398">
      <c r="A398" s="130"/>
      <c r="B398" s="130"/>
      <c r="C398" s="130"/>
      <c r="D398" s="130"/>
      <c r="E398" s="130"/>
      <c r="F398" s="130"/>
      <c r="G398" s="130"/>
      <c r="H398" s="130"/>
      <c r="I398" s="130"/>
      <c r="J398" s="130"/>
      <c r="K398" s="239"/>
      <c r="L398" s="239"/>
      <c r="M398" s="130"/>
      <c r="N398" s="130"/>
      <c r="O398" s="130"/>
      <c r="P398" s="130"/>
      <c r="Q398" s="130"/>
      <c r="R398" s="130"/>
      <c r="S398" s="130"/>
      <c r="T398" s="130"/>
      <c r="U398" s="130"/>
      <c r="V398" s="130"/>
      <c r="W398" s="130"/>
    </row>
    <row r="399">
      <c r="A399" s="130"/>
      <c r="B399" s="130"/>
      <c r="C399" s="130"/>
      <c r="D399" s="130"/>
      <c r="E399" s="130"/>
      <c r="F399" s="130"/>
      <c r="G399" s="130"/>
      <c r="H399" s="130"/>
      <c r="I399" s="130"/>
      <c r="J399" s="130"/>
      <c r="K399" s="239"/>
      <c r="L399" s="239"/>
      <c r="M399" s="130"/>
      <c r="N399" s="130"/>
      <c r="O399" s="130"/>
      <c r="P399" s="130"/>
      <c r="Q399" s="130"/>
      <c r="R399" s="130"/>
      <c r="S399" s="130"/>
      <c r="T399" s="130"/>
      <c r="U399" s="130"/>
      <c r="V399" s="130"/>
      <c r="W399" s="130"/>
    </row>
    <row r="400">
      <c r="A400" s="130"/>
      <c r="B400" s="130"/>
      <c r="C400" s="130"/>
      <c r="D400" s="130"/>
      <c r="E400" s="130"/>
      <c r="F400" s="130"/>
      <c r="G400" s="130"/>
      <c r="H400" s="130"/>
      <c r="I400" s="130"/>
      <c r="J400" s="130"/>
      <c r="K400" s="239"/>
      <c r="L400" s="239"/>
      <c r="M400" s="130"/>
      <c r="N400" s="130"/>
      <c r="O400" s="130"/>
      <c r="P400" s="130"/>
      <c r="Q400" s="130"/>
      <c r="R400" s="130"/>
      <c r="S400" s="130"/>
      <c r="T400" s="130"/>
      <c r="U400" s="130"/>
      <c r="V400" s="130"/>
      <c r="W400" s="130"/>
    </row>
    <row r="401">
      <c r="A401" s="130"/>
      <c r="B401" s="130"/>
      <c r="C401" s="130"/>
      <c r="D401" s="130"/>
      <c r="E401" s="130"/>
      <c r="F401" s="130"/>
      <c r="G401" s="130"/>
      <c r="H401" s="130"/>
      <c r="I401" s="130"/>
      <c r="J401" s="130"/>
      <c r="K401" s="239"/>
      <c r="L401" s="239"/>
      <c r="M401" s="130"/>
      <c r="N401" s="130"/>
      <c r="O401" s="130"/>
      <c r="P401" s="130"/>
      <c r="Q401" s="130"/>
      <c r="R401" s="130"/>
      <c r="S401" s="130"/>
      <c r="T401" s="130"/>
      <c r="U401" s="130"/>
      <c r="V401" s="130"/>
      <c r="W401" s="130"/>
    </row>
    <row r="402">
      <c r="A402" s="130"/>
      <c r="B402" s="130"/>
      <c r="C402" s="130"/>
      <c r="D402" s="130"/>
      <c r="E402" s="130"/>
      <c r="F402" s="130"/>
      <c r="G402" s="130"/>
      <c r="H402" s="130"/>
      <c r="I402" s="130"/>
      <c r="J402" s="130"/>
      <c r="K402" s="239"/>
      <c r="L402" s="239"/>
      <c r="M402" s="130"/>
      <c r="N402" s="130"/>
      <c r="O402" s="130"/>
      <c r="P402" s="130"/>
      <c r="Q402" s="130"/>
      <c r="R402" s="130"/>
      <c r="S402" s="130"/>
      <c r="T402" s="130"/>
      <c r="U402" s="130"/>
      <c r="V402" s="130"/>
      <c r="W402" s="130"/>
    </row>
    <row r="403">
      <c r="A403" s="130"/>
      <c r="B403" s="130"/>
      <c r="C403" s="130"/>
      <c r="D403" s="130"/>
      <c r="E403" s="130"/>
      <c r="F403" s="130"/>
      <c r="G403" s="130"/>
      <c r="H403" s="130"/>
      <c r="I403" s="130"/>
      <c r="J403" s="130"/>
      <c r="K403" s="239"/>
      <c r="L403" s="239"/>
      <c r="M403" s="130"/>
      <c r="N403" s="130"/>
      <c r="O403" s="130"/>
      <c r="P403" s="130"/>
      <c r="Q403" s="130"/>
      <c r="R403" s="130"/>
      <c r="S403" s="130"/>
      <c r="T403" s="130"/>
      <c r="U403" s="130"/>
      <c r="V403" s="130"/>
      <c r="W403" s="130"/>
    </row>
    <row r="404">
      <c r="A404" s="130"/>
      <c r="B404" s="130"/>
      <c r="C404" s="130"/>
      <c r="D404" s="130"/>
      <c r="E404" s="130"/>
      <c r="F404" s="130"/>
      <c r="G404" s="130"/>
      <c r="H404" s="130"/>
      <c r="I404" s="130"/>
      <c r="J404" s="130"/>
      <c r="K404" s="239"/>
      <c r="L404" s="239"/>
      <c r="M404" s="130"/>
      <c r="N404" s="130"/>
      <c r="O404" s="130"/>
      <c r="P404" s="130"/>
      <c r="Q404" s="130"/>
      <c r="R404" s="130"/>
      <c r="S404" s="130"/>
      <c r="T404" s="130"/>
      <c r="U404" s="130"/>
      <c r="V404" s="130"/>
      <c r="W404" s="130"/>
    </row>
    <row r="405">
      <c r="A405" s="130"/>
      <c r="B405" s="130"/>
      <c r="C405" s="130"/>
      <c r="D405" s="130"/>
      <c r="E405" s="130"/>
      <c r="F405" s="130"/>
      <c r="G405" s="130"/>
      <c r="H405" s="130"/>
      <c r="I405" s="130"/>
      <c r="J405" s="130"/>
      <c r="K405" s="239"/>
      <c r="L405" s="239"/>
      <c r="M405" s="130"/>
      <c r="N405" s="130"/>
      <c r="O405" s="130"/>
      <c r="P405" s="130"/>
      <c r="Q405" s="130"/>
      <c r="R405" s="130"/>
      <c r="S405" s="130"/>
      <c r="T405" s="130"/>
      <c r="U405" s="130"/>
      <c r="V405" s="130"/>
      <c r="W405" s="130"/>
    </row>
    <row r="406">
      <c r="A406" s="130"/>
      <c r="B406" s="130"/>
      <c r="C406" s="130"/>
      <c r="D406" s="130"/>
      <c r="E406" s="130"/>
      <c r="F406" s="130"/>
      <c r="G406" s="130"/>
      <c r="H406" s="130"/>
      <c r="I406" s="130"/>
      <c r="J406" s="130"/>
      <c r="K406" s="239"/>
      <c r="L406" s="239"/>
      <c r="M406" s="130"/>
      <c r="N406" s="130"/>
      <c r="O406" s="130"/>
      <c r="P406" s="130"/>
      <c r="Q406" s="130"/>
      <c r="R406" s="130"/>
      <c r="S406" s="130"/>
      <c r="T406" s="130"/>
      <c r="U406" s="130"/>
      <c r="V406" s="130"/>
      <c r="W406" s="130"/>
    </row>
    <row r="407">
      <c r="A407" s="130"/>
      <c r="B407" s="130"/>
      <c r="C407" s="130"/>
      <c r="D407" s="130"/>
      <c r="E407" s="130"/>
      <c r="F407" s="130"/>
      <c r="G407" s="130"/>
      <c r="H407" s="130"/>
      <c r="I407" s="130"/>
      <c r="J407" s="130"/>
      <c r="K407" s="239"/>
      <c r="L407" s="239"/>
      <c r="M407" s="130"/>
      <c r="N407" s="130"/>
      <c r="O407" s="130"/>
      <c r="P407" s="130"/>
      <c r="Q407" s="130"/>
      <c r="R407" s="130"/>
      <c r="S407" s="130"/>
      <c r="T407" s="130"/>
      <c r="U407" s="130"/>
      <c r="V407" s="130"/>
      <c r="W407" s="130"/>
    </row>
    <row r="408">
      <c r="A408" s="130"/>
      <c r="B408" s="130"/>
      <c r="C408" s="130"/>
      <c r="D408" s="130"/>
      <c r="E408" s="130"/>
      <c r="F408" s="130"/>
      <c r="G408" s="130"/>
      <c r="H408" s="130"/>
      <c r="I408" s="130"/>
      <c r="J408" s="130"/>
      <c r="K408" s="239"/>
      <c r="L408" s="239"/>
      <c r="M408" s="130"/>
      <c r="N408" s="130"/>
      <c r="O408" s="130"/>
      <c r="P408" s="130"/>
      <c r="Q408" s="130"/>
      <c r="R408" s="130"/>
      <c r="S408" s="130"/>
      <c r="T408" s="130"/>
      <c r="U408" s="130"/>
      <c r="V408" s="130"/>
      <c r="W408" s="130"/>
    </row>
    <row r="409">
      <c r="A409" s="130"/>
      <c r="B409" s="130"/>
      <c r="C409" s="130"/>
      <c r="D409" s="130"/>
      <c r="E409" s="130"/>
      <c r="F409" s="130"/>
      <c r="G409" s="130"/>
      <c r="H409" s="130"/>
      <c r="I409" s="130"/>
      <c r="J409" s="130"/>
      <c r="K409" s="239"/>
      <c r="L409" s="239"/>
      <c r="M409" s="130"/>
      <c r="N409" s="130"/>
      <c r="O409" s="130"/>
      <c r="P409" s="130"/>
      <c r="Q409" s="130"/>
      <c r="R409" s="130"/>
      <c r="S409" s="130"/>
      <c r="T409" s="130"/>
      <c r="U409" s="130"/>
      <c r="V409" s="130"/>
      <c r="W409" s="130"/>
    </row>
    <row r="410">
      <c r="A410" s="130"/>
      <c r="B410" s="130"/>
      <c r="C410" s="130"/>
      <c r="D410" s="130"/>
      <c r="E410" s="130"/>
      <c r="F410" s="130"/>
      <c r="G410" s="130"/>
      <c r="H410" s="130"/>
      <c r="I410" s="130"/>
      <c r="J410" s="130"/>
      <c r="K410" s="239"/>
      <c r="L410" s="239"/>
      <c r="M410" s="130"/>
      <c r="N410" s="130"/>
      <c r="O410" s="130"/>
      <c r="P410" s="130"/>
      <c r="Q410" s="130"/>
      <c r="R410" s="130"/>
      <c r="S410" s="130"/>
      <c r="T410" s="130"/>
      <c r="U410" s="130"/>
      <c r="V410" s="130"/>
      <c r="W410" s="130"/>
    </row>
    <row r="411">
      <c r="A411" s="130"/>
      <c r="B411" s="130"/>
      <c r="C411" s="130"/>
      <c r="D411" s="130"/>
      <c r="E411" s="130"/>
      <c r="F411" s="130"/>
      <c r="G411" s="130"/>
      <c r="H411" s="130"/>
      <c r="I411" s="130"/>
      <c r="J411" s="130"/>
      <c r="K411" s="239"/>
      <c r="L411" s="239"/>
      <c r="M411" s="130"/>
      <c r="N411" s="130"/>
      <c r="O411" s="130"/>
      <c r="P411" s="130"/>
      <c r="Q411" s="130"/>
      <c r="R411" s="130"/>
      <c r="S411" s="130"/>
      <c r="T411" s="130"/>
      <c r="U411" s="130"/>
      <c r="V411" s="130"/>
      <c r="W411" s="130"/>
    </row>
    <row r="412">
      <c r="A412" s="130"/>
      <c r="B412" s="130"/>
      <c r="C412" s="130"/>
      <c r="D412" s="130"/>
      <c r="E412" s="130"/>
      <c r="F412" s="130"/>
      <c r="G412" s="130"/>
      <c r="H412" s="130"/>
      <c r="I412" s="130"/>
      <c r="J412" s="130"/>
      <c r="K412" s="239"/>
      <c r="L412" s="239"/>
      <c r="M412" s="130"/>
      <c r="N412" s="130"/>
      <c r="O412" s="130"/>
      <c r="P412" s="130"/>
      <c r="Q412" s="130"/>
      <c r="R412" s="130"/>
      <c r="S412" s="130"/>
      <c r="T412" s="130"/>
      <c r="U412" s="130"/>
      <c r="V412" s="130"/>
      <c r="W412" s="130"/>
    </row>
    <row r="413">
      <c r="A413" s="130"/>
      <c r="B413" s="130"/>
      <c r="C413" s="130"/>
      <c r="D413" s="130"/>
      <c r="E413" s="130"/>
      <c r="F413" s="130"/>
      <c r="G413" s="130"/>
      <c r="H413" s="130"/>
      <c r="I413" s="130"/>
      <c r="J413" s="130"/>
      <c r="K413" s="239"/>
      <c r="L413" s="239"/>
      <c r="M413" s="130"/>
      <c r="N413" s="130"/>
      <c r="O413" s="130"/>
      <c r="P413" s="130"/>
      <c r="Q413" s="130"/>
      <c r="R413" s="130"/>
      <c r="S413" s="130"/>
      <c r="T413" s="130"/>
      <c r="U413" s="130"/>
      <c r="V413" s="130"/>
      <c r="W413" s="130"/>
    </row>
    <row r="414">
      <c r="A414" s="130"/>
      <c r="B414" s="130"/>
      <c r="C414" s="130"/>
      <c r="D414" s="130"/>
      <c r="E414" s="130"/>
      <c r="F414" s="130"/>
      <c r="G414" s="130"/>
      <c r="H414" s="130"/>
      <c r="I414" s="130"/>
      <c r="J414" s="130"/>
      <c r="K414" s="239"/>
      <c r="L414" s="239"/>
      <c r="M414" s="130"/>
      <c r="N414" s="130"/>
      <c r="O414" s="130"/>
      <c r="P414" s="130"/>
      <c r="Q414" s="130"/>
      <c r="R414" s="130"/>
      <c r="S414" s="130"/>
      <c r="T414" s="130"/>
      <c r="U414" s="130"/>
      <c r="V414" s="130"/>
      <c r="W414" s="130"/>
    </row>
    <row r="415">
      <c r="A415" s="130"/>
      <c r="B415" s="130"/>
      <c r="C415" s="130"/>
      <c r="D415" s="130"/>
      <c r="E415" s="130"/>
      <c r="F415" s="130"/>
      <c r="G415" s="130"/>
      <c r="H415" s="130"/>
      <c r="I415" s="130"/>
      <c r="J415" s="130"/>
      <c r="K415" s="239"/>
      <c r="L415" s="239"/>
      <c r="M415" s="130"/>
      <c r="N415" s="130"/>
      <c r="O415" s="130"/>
      <c r="P415" s="130"/>
      <c r="Q415" s="130"/>
      <c r="R415" s="130"/>
      <c r="S415" s="130"/>
      <c r="T415" s="130"/>
      <c r="U415" s="130"/>
      <c r="V415" s="130"/>
      <c r="W415" s="130"/>
    </row>
    <row r="416">
      <c r="A416" s="130"/>
      <c r="B416" s="130"/>
      <c r="C416" s="130"/>
      <c r="D416" s="130"/>
      <c r="E416" s="130"/>
      <c r="F416" s="130"/>
      <c r="G416" s="130"/>
      <c r="H416" s="130"/>
      <c r="I416" s="130"/>
      <c r="J416" s="130"/>
      <c r="K416" s="239"/>
      <c r="L416" s="239"/>
      <c r="M416" s="130"/>
      <c r="N416" s="130"/>
      <c r="O416" s="130"/>
      <c r="P416" s="130"/>
      <c r="Q416" s="130"/>
      <c r="R416" s="130"/>
      <c r="S416" s="130"/>
      <c r="T416" s="130"/>
      <c r="U416" s="130"/>
      <c r="V416" s="130"/>
      <c r="W416" s="130"/>
    </row>
    <row r="417">
      <c r="A417" s="130"/>
      <c r="B417" s="130"/>
      <c r="C417" s="130"/>
      <c r="D417" s="130"/>
      <c r="E417" s="130"/>
      <c r="F417" s="130"/>
      <c r="G417" s="130"/>
      <c r="H417" s="130"/>
      <c r="I417" s="130"/>
      <c r="J417" s="130"/>
      <c r="K417" s="239"/>
      <c r="L417" s="239"/>
      <c r="M417" s="130"/>
      <c r="N417" s="130"/>
      <c r="O417" s="130"/>
      <c r="P417" s="130"/>
      <c r="Q417" s="130"/>
      <c r="R417" s="130"/>
      <c r="S417" s="130"/>
      <c r="T417" s="130"/>
      <c r="U417" s="130"/>
      <c r="V417" s="130"/>
      <c r="W417" s="130"/>
    </row>
    <row r="418">
      <c r="A418" s="130"/>
      <c r="B418" s="130"/>
      <c r="C418" s="130"/>
      <c r="D418" s="130"/>
      <c r="E418" s="130"/>
      <c r="F418" s="130"/>
      <c r="G418" s="130"/>
      <c r="H418" s="130"/>
      <c r="I418" s="130"/>
      <c r="J418" s="130"/>
      <c r="K418" s="239"/>
      <c r="L418" s="239"/>
      <c r="M418" s="130"/>
      <c r="N418" s="130"/>
      <c r="O418" s="130"/>
      <c r="P418" s="130"/>
      <c r="Q418" s="130"/>
      <c r="R418" s="130"/>
      <c r="S418" s="130"/>
      <c r="T418" s="130"/>
      <c r="U418" s="130"/>
      <c r="V418" s="130"/>
      <c r="W418" s="130"/>
    </row>
    <row r="419">
      <c r="A419" s="130"/>
      <c r="B419" s="130"/>
      <c r="C419" s="130"/>
      <c r="D419" s="130"/>
      <c r="E419" s="130"/>
      <c r="F419" s="130"/>
      <c r="G419" s="130"/>
      <c r="H419" s="130"/>
      <c r="I419" s="130"/>
      <c r="J419" s="130"/>
      <c r="K419" s="239"/>
      <c r="L419" s="239"/>
      <c r="M419" s="130"/>
      <c r="N419" s="130"/>
      <c r="O419" s="130"/>
      <c r="P419" s="130"/>
      <c r="Q419" s="130"/>
      <c r="R419" s="130"/>
      <c r="S419" s="130"/>
      <c r="T419" s="130"/>
      <c r="U419" s="130"/>
      <c r="V419" s="130"/>
      <c r="W419" s="130"/>
    </row>
    <row r="420">
      <c r="A420" s="130"/>
      <c r="B420" s="130"/>
      <c r="C420" s="130"/>
      <c r="D420" s="130"/>
      <c r="E420" s="130"/>
      <c r="F420" s="130"/>
      <c r="G420" s="130"/>
      <c r="H420" s="130"/>
      <c r="I420" s="130"/>
      <c r="J420" s="130"/>
      <c r="K420" s="239"/>
      <c r="L420" s="239"/>
      <c r="M420" s="130"/>
      <c r="N420" s="130"/>
      <c r="O420" s="130"/>
      <c r="P420" s="130"/>
      <c r="Q420" s="130"/>
      <c r="R420" s="130"/>
      <c r="S420" s="130"/>
      <c r="T420" s="130"/>
      <c r="U420" s="130"/>
      <c r="V420" s="130"/>
      <c r="W420" s="130"/>
    </row>
    <row r="421">
      <c r="A421" s="130"/>
      <c r="B421" s="130"/>
      <c r="C421" s="130"/>
      <c r="D421" s="130"/>
      <c r="E421" s="130"/>
      <c r="F421" s="130"/>
      <c r="G421" s="130"/>
      <c r="H421" s="130"/>
      <c r="I421" s="130"/>
      <c r="J421" s="130"/>
      <c r="K421" s="239"/>
      <c r="L421" s="239"/>
      <c r="M421" s="130"/>
      <c r="N421" s="130"/>
      <c r="O421" s="130"/>
      <c r="P421" s="130"/>
      <c r="Q421" s="130"/>
      <c r="R421" s="130"/>
      <c r="S421" s="130"/>
      <c r="T421" s="130"/>
      <c r="U421" s="130"/>
      <c r="V421" s="130"/>
      <c r="W421" s="130"/>
    </row>
    <row r="422">
      <c r="A422" s="130"/>
      <c r="B422" s="130"/>
      <c r="C422" s="130"/>
      <c r="D422" s="130"/>
      <c r="E422" s="130"/>
      <c r="F422" s="130"/>
      <c r="G422" s="130"/>
      <c r="H422" s="130"/>
      <c r="I422" s="130"/>
      <c r="J422" s="130"/>
      <c r="K422" s="239"/>
      <c r="L422" s="239"/>
      <c r="M422" s="130"/>
      <c r="N422" s="130"/>
      <c r="O422" s="130"/>
      <c r="P422" s="130"/>
      <c r="Q422" s="130"/>
      <c r="R422" s="130"/>
      <c r="S422" s="130"/>
      <c r="T422" s="130"/>
      <c r="U422" s="130"/>
      <c r="V422" s="130"/>
      <c r="W422" s="130"/>
    </row>
    <row r="423">
      <c r="A423" s="130"/>
      <c r="B423" s="130"/>
      <c r="C423" s="130"/>
      <c r="D423" s="130"/>
      <c r="E423" s="130"/>
      <c r="F423" s="130"/>
      <c r="G423" s="130"/>
      <c r="H423" s="130"/>
      <c r="I423" s="130"/>
      <c r="J423" s="130"/>
      <c r="K423" s="239"/>
      <c r="L423" s="239"/>
      <c r="M423" s="130"/>
      <c r="N423" s="130"/>
      <c r="O423" s="130"/>
      <c r="P423" s="130"/>
      <c r="Q423" s="130"/>
      <c r="R423" s="130"/>
      <c r="S423" s="130"/>
      <c r="T423" s="130"/>
      <c r="U423" s="130"/>
      <c r="V423" s="130"/>
      <c r="W423" s="130"/>
    </row>
    <row r="424">
      <c r="A424" s="130"/>
      <c r="B424" s="130"/>
      <c r="C424" s="130"/>
      <c r="D424" s="130"/>
      <c r="E424" s="130"/>
      <c r="F424" s="130"/>
      <c r="G424" s="130"/>
      <c r="H424" s="130"/>
      <c r="I424" s="130"/>
      <c r="J424" s="130"/>
      <c r="K424" s="239"/>
      <c r="L424" s="239"/>
      <c r="M424" s="130"/>
      <c r="N424" s="130"/>
      <c r="O424" s="130"/>
      <c r="P424" s="130"/>
      <c r="Q424" s="130"/>
      <c r="R424" s="130"/>
      <c r="S424" s="130"/>
      <c r="T424" s="130"/>
      <c r="U424" s="130"/>
      <c r="V424" s="130"/>
      <c r="W424" s="130"/>
    </row>
    <row r="425">
      <c r="A425" s="130"/>
      <c r="B425" s="130"/>
      <c r="C425" s="130"/>
      <c r="D425" s="130"/>
      <c r="E425" s="130"/>
      <c r="F425" s="130"/>
      <c r="G425" s="130"/>
      <c r="H425" s="130"/>
      <c r="I425" s="130"/>
      <c r="J425" s="130"/>
      <c r="K425" s="239"/>
      <c r="L425" s="239"/>
      <c r="M425" s="130"/>
      <c r="N425" s="130"/>
      <c r="O425" s="130"/>
      <c r="P425" s="130"/>
      <c r="Q425" s="130"/>
      <c r="R425" s="130"/>
      <c r="S425" s="130"/>
      <c r="T425" s="130"/>
      <c r="U425" s="130"/>
      <c r="V425" s="130"/>
      <c r="W425" s="130"/>
    </row>
    <row r="426">
      <c r="A426" s="130"/>
      <c r="B426" s="130"/>
      <c r="C426" s="130"/>
      <c r="D426" s="130"/>
      <c r="E426" s="130"/>
      <c r="F426" s="130"/>
      <c r="G426" s="130"/>
      <c r="H426" s="130"/>
      <c r="I426" s="130"/>
      <c r="J426" s="130"/>
      <c r="K426" s="239"/>
      <c r="L426" s="239"/>
      <c r="M426" s="130"/>
      <c r="N426" s="130"/>
      <c r="O426" s="130"/>
      <c r="P426" s="130"/>
      <c r="Q426" s="130"/>
      <c r="R426" s="130"/>
      <c r="S426" s="130"/>
      <c r="T426" s="130"/>
      <c r="U426" s="130"/>
      <c r="V426" s="130"/>
      <c r="W426" s="130"/>
    </row>
    <row r="427">
      <c r="A427" s="130"/>
      <c r="B427" s="130"/>
      <c r="C427" s="130"/>
      <c r="D427" s="130"/>
      <c r="E427" s="130"/>
      <c r="F427" s="130"/>
      <c r="G427" s="130"/>
      <c r="H427" s="130"/>
      <c r="I427" s="130"/>
      <c r="J427" s="130"/>
      <c r="K427" s="239"/>
      <c r="L427" s="239"/>
      <c r="M427" s="130"/>
      <c r="N427" s="130"/>
      <c r="O427" s="130"/>
      <c r="P427" s="130"/>
      <c r="Q427" s="130"/>
      <c r="R427" s="130"/>
      <c r="S427" s="130"/>
      <c r="T427" s="130"/>
      <c r="U427" s="130"/>
      <c r="V427" s="130"/>
      <c r="W427" s="130"/>
    </row>
    <row r="428">
      <c r="A428" s="130"/>
      <c r="B428" s="130"/>
      <c r="C428" s="130"/>
      <c r="D428" s="130"/>
      <c r="E428" s="130"/>
      <c r="F428" s="130"/>
      <c r="G428" s="130"/>
      <c r="H428" s="130"/>
      <c r="I428" s="130"/>
      <c r="J428" s="130"/>
      <c r="K428" s="239"/>
      <c r="L428" s="239"/>
      <c r="M428" s="130"/>
      <c r="N428" s="130"/>
      <c r="O428" s="130"/>
      <c r="P428" s="130"/>
      <c r="Q428" s="130"/>
      <c r="R428" s="130"/>
      <c r="S428" s="130"/>
      <c r="T428" s="130"/>
      <c r="U428" s="130"/>
      <c r="V428" s="130"/>
      <c r="W428" s="130"/>
    </row>
    <row r="429">
      <c r="A429" s="130"/>
      <c r="B429" s="130"/>
      <c r="C429" s="130"/>
      <c r="D429" s="130"/>
      <c r="E429" s="130"/>
      <c r="F429" s="130"/>
      <c r="G429" s="130"/>
      <c r="H429" s="130"/>
      <c r="I429" s="130"/>
      <c r="J429" s="130"/>
      <c r="K429" s="239"/>
      <c r="L429" s="239"/>
      <c r="M429" s="130"/>
      <c r="N429" s="130"/>
      <c r="O429" s="130"/>
      <c r="P429" s="130"/>
      <c r="Q429" s="130"/>
      <c r="R429" s="130"/>
      <c r="S429" s="130"/>
      <c r="T429" s="130"/>
      <c r="U429" s="130"/>
      <c r="V429" s="130"/>
      <c r="W429" s="130"/>
    </row>
    <row r="430">
      <c r="A430" s="130"/>
      <c r="B430" s="130"/>
      <c r="C430" s="130"/>
      <c r="D430" s="130"/>
      <c r="E430" s="130"/>
      <c r="F430" s="130"/>
      <c r="G430" s="130"/>
      <c r="H430" s="130"/>
      <c r="I430" s="130"/>
      <c r="J430" s="130"/>
      <c r="K430" s="239"/>
      <c r="L430" s="239"/>
      <c r="M430" s="130"/>
      <c r="N430" s="130"/>
      <c r="O430" s="130"/>
      <c r="P430" s="130"/>
      <c r="Q430" s="130"/>
      <c r="R430" s="130"/>
      <c r="S430" s="130"/>
      <c r="T430" s="130"/>
      <c r="U430" s="130"/>
      <c r="V430" s="130"/>
      <c r="W430" s="130"/>
    </row>
    <row r="431">
      <c r="A431" s="130"/>
      <c r="B431" s="130"/>
      <c r="C431" s="130"/>
      <c r="D431" s="130"/>
      <c r="E431" s="130"/>
      <c r="F431" s="130"/>
      <c r="G431" s="130"/>
      <c r="H431" s="130"/>
      <c r="I431" s="130"/>
      <c r="J431" s="130"/>
      <c r="K431" s="239"/>
      <c r="L431" s="239"/>
      <c r="M431" s="130"/>
      <c r="N431" s="130"/>
      <c r="O431" s="130"/>
      <c r="P431" s="130"/>
      <c r="Q431" s="130"/>
      <c r="R431" s="130"/>
      <c r="S431" s="130"/>
      <c r="T431" s="130"/>
      <c r="U431" s="130"/>
      <c r="V431" s="130"/>
      <c r="W431" s="130"/>
    </row>
    <row r="432">
      <c r="A432" s="130"/>
      <c r="B432" s="130"/>
      <c r="C432" s="130"/>
      <c r="D432" s="130"/>
      <c r="E432" s="130"/>
      <c r="F432" s="130"/>
      <c r="G432" s="130"/>
      <c r="H432" s="130"/>
      <c r="I432" s="130"/>
      <c r="J432" s="130"/>
      <c r="K432" s="239"/>
      <c r="L432" s="239"/>
      <c r="M432" s="130"/>
      <c r="N432" s="130"/>
      <c r="O432" s="130"/>
      <c r="P432" s="130"/>
      <c r="Q432" s="130"/>
      <c r="R432" s="130"/>
      <c r="S432" s="130"/>
      <c r="T432" s="130"/>
      <c r="U432" s="130"/>
      <c r="V432" s="130"/>
      <c r="W432" s="130"/>
    </row>
    <row r="433">
      <c r="A433" s="130"/>
      <c r="B433" s="130"/>
      <c r="C433" s="130"/>
      <c r="D433" s="130"/>
      <c r="E433" s="130"/>
      <c r="F433" s="130"/>
      <c r="G433" s="130"/>
      <c r="H433" s="130"/>
      <c r="I433" s="130"/>
      <c r="J433" s="130"/>
      <c r="K433" s="239"/>
      <c r="L433" s="239"/>
      <c r="M433" s="130"/>
      <c r="N433" s="130"/>
      <c r="O433" s="130"/>
      <c r="P433" s="130"/>
      <c r="Q433" s="130"/>
      <c r="R433" s="130"/>
      <c r="S433" s="130"/>
      <c r="T433" s="130"/>
      <c r="U433" s="130"/>
      <c r="V433" s="130"/>
      <c r="W433" s="130"/>
    </row>
    <row r="434">
      <c r="A434" s="130"/>
      <c r="B434" s="130"/>
      <c r="C434" s="130"/>
      <c r="D434" s="130"/>
      <c r="E434" s="130"/>
      <c r="F434" s="130"/>
      <c r="G434" s="130"/>
      <c r="H434" s="130"/>
      <c r="I434" s="130"/>
      <c r="J434" s="130"/>
      <c r="K434" s="239"/>
      <c r="L434" s="239"/>
      <c r="M434" s="130"/>
      <c r="N434" s="130"/>
      <c r="O434" s="130"/>
      <c r="P434" s="130"/>
      <c r="Q434" s="130"/>
      <c r="R434" s="130"/>
      <c r="S434" s="130"/>
      <c r="T434" s="130"/>
      <c r="U434" s="130"/>
      <c r="V434" s="130"/>
      <c r="W434" s="130"/>
    </row>
    <row r="435">
      <c r="A435" s="130"/>
      <c r="B435" s="130"/>
      <c r="C435" s="130"/>
      <c r="D435" s="130"/>
      <c r="E435" s="130"/>
      <c r="F435" s="130"/>
      <c r="G435" s="130"/>
      <c r="H435" s="130"/>
      <c r="I435" s="130"/>
      <c r="J435" s="130"/>
      <c r="K435" s="239"/>
      <c r="L435" s="239"/>
      <c r="M435" s="130"/>
      <c r="N435" s="130"/>
      <c r="O435" s="130"/>
      <c r="P435" s="130"/>
      <c r="Q435" s="130"/>
      <c r="R435" s="130"/>
      <c r="S435" s="130"/>
      <c r="T435" s="130"/>
      <c r="U435" s="130"/>
      <c r="V435" s="130"/>
      <c r="W435" s="130"/>
    </row>
    <row r="436">
      <c r="A436" s="130"/>
      <c r="B436" s="130"/>
      <c r="C436" s="130"/>
      <c r="D436" s="130"/>
      <c r="E436" s="130"/>
      <c r="F436" s="130"/>
      <c r="G436" s="130"/>
      <c r="H436" s="130"/>
      <c r="I436" s="130"/>
      <c r="J436" s="130"/>
      <c r="K436" s="239"/>
      <c r="L436" s="239"/>
      <c r="M436" s="130"/>
      <c r="N436" s="130"/>
      <c r="O436" s="130"/>
      <c r="P436" s="130"/>
      <c r="Q436" s="130"/>
      <c r="R436" s="130"/>
      <c r="S436" s="130"/>
      <c r="T436" s="130"/>
      <c r="U436" s="130"/>
      <c r="V436" s="130"/>
      <c r="W436" s="130"/>
    </row>
    <row r="437">
      <c r="A437" s="130"/>
      <c r="B437" s="130"/>
      <c r="C437" s="130"/>
      <c r="D437" s="130"/>
      <c r="E437" s="130"/>
      <c r="F437" s="130"/>
      <c r="G437" s="130"/>
      <c r="H437" s="130"/>
      <c r="I437" s="130"/>
      <c r="J437" s="130"/>
      <c r="K437" s="239"/>
      <c r="L437" s="239"/>
      <c r="M437" s="130"/>
      <c r="N437" s="130"/>
      <c r="O437" s="130"/>
      <c r="P437" s="130"/>
      <c r="Q437" s="130"/>
      <c r="R437" s="130"/>
      <c r="S437" s="130"/>
      <c r="T437" s="130"/>
      <c r="U437" s="130"/>
      <c r="V437" s="130"/>
      <c r="W437" s="130"/>
    </row>
    <row r="438">
      <c r="A438" s="130"/>
      <c r="B438" s="130"/>
      <c r="C438" s="130"/>
      <c r="D438" s="130"/>
      <c r="E438" s="130"/>
      <c r="F438" s="130"/>
      <c r="G438" s="130"/>
      <c r="H438" s="130"/>
      <c r="I438" s="130"/>
      <c r="J438" s="130"/>
      <c r="K438" s="239"/>
      <c r="L438" s="239"/>
      <c r="M438" s="130"/>
      <c r="N438" s="130"/>
      <c r="O438" s="130"/>
      <c r="P438" s="130"/>
      <c r="Q438" s="130"/>
      <c r="R438" s="130"/>
      <c r="S438" s="130"/>
      <c r="T438" s="130"/>
      <c r="U438" s="130"/>
      <c r="V438" s="130"/>
      <c r="W438" s="130"/>
    </row>
    <row r="439">
      <c r="A439" s="130"/>
      <c r="B439" s="130"/>
      <c r="C439" s="130"/>
      <c r="D439" s="130"/>
      <c r="E439" s="130"/>
      <c r="F439" s="130"/>
      <c r="G439" s="130"/>
      <c r="H439" s="130"/>
      <c r="I439" s="130"/>
      <c r="J439" s="130"/>
      <c r="K439" s="239"/>
      <c r="L439" s="239"/>
      <c r="M439" s="130"/>
      <c r="N439" s="130"/>
      <c r="O439" s="130"/>
      <c r="P439" s="130"/>
      <c r="Q439" s="130"/>
      <c r="R439" s="130"/>
      <c r="S439" s="130"/>
      <c r="T439" s="130"/>
      <c r="U439" s="130"/>
      <c r="V439" s="130"/>
      <c r="W439" s="130"/>
    </row>
    <row r="440">
      <c r="A440" s="130"/>
      <c r="B440" s="130"/>
      <c r="C440" s="130"/>
      <c r="D440" s="130"/>
      <c r="E440" s="130"/>
      <c r="F440" s="130"/>
      <c r="G440" s="130"/>
      <c r="H440" s="130"/>
      <c r="I440" s="130"/>
      <c r="J440" s="130"/>
      <c r="K440" s="239"/>
      <c r="L440" s="239"/>
      <c r="M440" s="130"/>
      <c r="N440" s="130"/>
      <c r="O440" s="130"/>
      <c r="P440" s="130"/>
      <c r="Q440" s="130"/>
      <c r="R440" s="130"/>
      <c r="S440" s="130"/>
      <c r="T440" s="130"/>
      <c r="U440" s="130"/>
      <c r="V440" s="130"/>
      <c r="W440" s="130"/>
    </row>
    <row r="441">
      <c r="A441" s="130"/>
      <c r="B441" s="130"/>
      <c r="C441" s="130"/>
      <c r="D441" s="130"/>
      <c r="E441" s="130"/>
      <c r="F441" s="130"/>
      <c r="G441" s="130"/>
      <c r="H441" s="130"/>
      <c r="I441" s="130"/>
      <c r="J441" s="130"/>
      <c r="K441" s="239"/>
      <c r="L441" s="239"/>
      <c r="M441" s="130"/>
      <c r="N441" s="130"/>
      <c r="O441" s="130"/>
      <c r="P441" s="130"/>
      <c r="Q441" s="130"/>
      <c r="R441" s="130"/>
      <c r="S441" s="130"/>
      <c r="T441" s="130"/>
      <c r="U441" s="130"/>
      <c r="V441" s="130"/>
      <c r="W441" s="130"/>
    </row>
    <row r="442">
      <c r="A442" s="130"/>
      <c r="B442" s="130"/>
      <c r="C442" s="130"/>
      <c r="D442" s="130"/>
      <c r="E442" s="130"/>
      <c r="F442" s="130"/>
      <c r="G442" s="130"/>
      <c r="H442" s="130"/>
      <c r="I442" s="130"/>
      <c r="J442" s="130"/>
      <c r="K442" s="239"/>
      <c r="L442" s="239"/>
      <c r="M442" s="130"/>
      <c r="N442" s="130"/>
      <c r="O442" s="130"/>
      <c r="P442" s="130"/>
      <c r="Q442" s="130"/>
      <c r="R442" s="130"/>
      <c r="S442" s="130"/>
      <c r="T442" s="130"/>
      <c r="U442" s="130"/>
      <c r="V442" s="130"/>
      <c r="W442" s="130"/>
    </row>
    <row r="443">
      <c r="A443" s="130"/>
      <c r="B443" s="130"/>
      <c r="C443" s="130"/>
      <c r="D443" s="130"/>
      <c r="E443" s="130"/>
      <c r="F443" s="130"/>
      <c r="G443" s="130"/>
      <c r="H443" s="130"/>
      <c r="I443" s="130"/>
      <c r="J443" s="130"/>
      <c r="K443" s="239"/>
      <c r="L443" s="239"/>
      <c r="M443" s="130"/>
      <c r="N443" s="130"/>
      <c r="O443" s="130"/>
      <c r="P443" s="130"/>
      <c r="Q443" s="130"/>
      <c r="R443" s="130"/>
      <c r="S443" s="130"/>
      <c r="T443" s="130"/>
      <c r="U443" s="130"/>
      <c r="V443" s="130"/>
      <c r="W443" s="130"/>
    </row>
    <row r="444">
      <c r="A444" s="130"/>
      <c r="B444" s="130"/>
      <c r="C444" s="130"/>
      <c r="D444" s="130"/>
      <c r="E444" s="130"/>
      <c r="F444" s="130"/>
      <c r="G444" s="130"/>
      <c r="H444" s="130"/>
      <c r="I444" s="130"/>
      <c r="J444" s="130"/>
      <c r="K444" s="239"/>
      <c r="L444" s="239"/>
      <c r="M444" s="130"/>
      <c r="N444" s="130"/>
      <c r="O444" s="130"/>
      <c r="P444" s="130"/>
      <c r="Q444" s="130"/>
      <c r="R444" s="130"/>
      <c r="S444" s="130"/>
      <c r="T444" s="130"/>
      <c r="U444" s="130"/>
      <c r="V444" s="130"/>
      <c r="W444" s="130"/>
    </row>
    <row r="445">
      <c r="A445" s="130"/>
      <c r="B445" s="130"/>
      <c r="C445" s="130"/>
      <c r="D445" s="130"/>
      <c r="E445" s="130"/>
      <c r="F445" s="130"/>
      <c r="G445" s="130"/>
      <c r="H445" s="130"/>
      <c r="I445" s="130"/>
      <c r="J445" s="130"/>
      <c r="K445" s="239"/>
      <c r="L445" s="239"/>
      <c r="M445" s="130"/>
      <c r="N445" s="130"/>
      <c r="O445" s="130"/>
      <c r="P445" s="130"/>
      <c r="Q445" s="130"/>
      <c r="R445" s="130"/>
      <c r="S445" s="130"/>
      <c r="T445" s="130"/>
      <c r="U445" s="130"/>
      <c r="V445" s="130"/>
      <c r="W445" s="130"/>
    </row>
    <row r="446">
      <c r="A446" s="130"/>
      <c r="B446" s="130"/>
      <c r="C446" s="130"/>
      <c r="D446" s="130"/>
      <c r="E446" s="130"/>
      <c r="F446" s="130"/>
      <c r="G446" s="130"/>
      <c r="H446" s="130"/>
      <c r="I446" s="130"/>
      <c r="J446" s="130"/>
      <c r="K446" s="239"/>
      <c r="L446" s="239"/>
      <c r="M446" s="130"/>
      <c r="N446" s="130"/>
      <c r="O446" s="130"/>
      <c r="P446" s="130"/>
      <c r="Q446" s="130"/>
      <c r="R446" s="130"/>
      <c r="S446" s="130"/>
      <c r="T446" s="130"/>
      <c r="U446" s="130"/>
      <c r="V446" s="130"/>
      <c r="W446" s="130"/>
    </row>
    <row r="447">
      <c r="A447" s="130"/>
      <c r="B447" s="130"/>
      <c r="C447" s="130"/>
      <c r="D447" s="130"/>
      <c r="E447" s="130"/>
      <c r="F447" s="130"/>
      <c r="G447" s="130"/>
      <c r="H447" s="130"/>
      <c r="I447" s="130"/>
      <c r="J447" s="130"/>
      <c r="K447" s="239"/>
      <c r="L447" s="239"/>
      <c r="M447" s="130"/>
      <c r="N447" s="130"/>
      <c r="O447" s="130"/>
      <c r="P447" s="130"/>
      <c r="Q447" s="130"/>
      <c r="R447" s="130"/>
      <c r="S447" s="130"/>
      <c r="T447" s="130"/>
      <c r="U447" s="130"/>
      <c r="V447" s="130"/>
      <c r="W447" s="130"/>
    </row>
    <row r="448">
      <c r="A448" s="130"/>
      <c r="B448" s="130"/>
      <c r="C448" s="130"/>
      <c r="D448" s="130"/>
      <c r="E448" s="130"/>
      <c r="F448" s="130"/>
      <c r="G448" s="130"/>
      <c r="H448" s="130"/>
      <c r="I448" s="130"/>
      <c r="J448" s="130"/>
      <c r="K448" s="239"/>
      <c r="L448" s="239"/>
      <c r="M448" s="130"/>
      <c r="N448" s="130"/>
      <c r="O448" s="130"/>
      <c r="P448" s="130"/>
      <c r="Q448" s="130"/>
      <c r="R448" s="130"/>
      <c r="S448" s="130"/>
      <c r="T448" s="130"/>
      <c r="U448" s="130"/>
      <c r="V448" s="130"/>
      <c r="W448" s="130"/>
    </row>
    <row r="449">
      <c r="A449" s="130"/>
      <c r="B449" s="130"/>
      <c r="C449" s="130"/>
      <c r="D449" s="130"/>
      <c r="E449" s="130"/>
      <c r="F449" s="130"/>
      <c r="G449" s="130"/>
      <c r="H449" s="130"/>
      <c r="I449" s="130"/>
      <c r="J449" s="130"/>
      <c r="K449" s="239"/>
      <c r="L449" s="239"/>
      <c r="M449" s="130"/>
      <c r="N449" s="130"/>
      <c r="O449" s="130"/>
      <c r="P449" s="130"/>
      <c r="Q449" s="130"/>
      <c r="R449" s="130"/>
      <c r="S449" s="130"/>
      <c r="T449" s="130"/>
      <c r="U449" s="130"/>
      <c r="V449" s="130"/>
      <c r="W449" s="130"/>
    </row>
    <row r="450">
      <c r="A450" s="130"/>
      <c r="B450" s="130"/>
      <c r="C450" s="130"/>
      <c r="D450" s="130"/>
      <c r="E450" s="130"/>
      <c r="F450" s="130"/>
      <c r="G450" s="130"/>
      <c r="H450" s="130"/>
      <c r="I450" s="130"/>
      <c r="J450" s="130"/>
      <c r="K450" s="239"/>
      <c r="L450" s="239"/>
      <c r="M450" s="130"/>
      <c r="N450" s="130"/>
      <c r="O450" s="130"/>
      <c r="P450" s="130"/>
      <c r="Q450" s="130"/>
      <c r="R450" s="130"/>
      <c r="S450" s="130"/>
      <c r="T450" s="130"/>
      <c r="U450" s="130"/>
      <c r="V450" s="130"/>
      <c r="W450" s="130"/>
    </row>
    <row r="451">
      <c r="A451" s="130"/>
      <c r="B451" s="130"/>
      <c r="C451" s="130"/>
      <c r="D451" s="130"/>
      <c r="E451" s="130"/>
      <c r="F451" s="130"/>
      <c r="G451" s="130"/>
      <c r="H451" s="130"/>
      <c r="I451" s="130"/>
      <c r="J451" s="130"/>
      <c r="K451" s="239"/>
      <c r="L451" s="239"/>
      <c r="M451" s="130"/>
      <c r="N451" s="130"/>
      <c r="O451" s="130"/>
      <c r="P451" s="130"/>
      <c r="Q451" s="130"/>
      <c r="R451" s="130"/>
      <c r="S451" s="130"/>
      <c r="T451" s="130"/>
      <c r="U451" s="130"/>
      <c r="V451" s="130"/>
      <c r="W451" s="130"/>
    </row>
    <row r="452">
      <c r="A452" s="130"/>
      <c r="B452" s="130"/>
      <c r="C452" s="130"/>
      <c r="D452" s="130"/>
      <c r="E452" s="130"/>
      <c r="F452" s="130"/>
      <c r="G452" s="130"/>
      <c r="H452" s="130"/>
      <c r="I452" s="130"/>
      <c r="J452" s="130"/>
      <c r="K452" s="239"/>
      <c r="L452" s="239"/>
      <c r="M452" s="130"/>
      <c r="N452" s="130"/>
      <c r="O452" s="130"/>
      <c r="P452" s="130"/>
      <c r="Q452" s="130"/>
      <c r="R452" s="130"/>
      <c r="S452" s="130"/>
      <c r="T452" s="130"/>
      <c r="U452" s="130"/>
      <c r="V452" s="130"/>
      <c r="W452" s="130"/>
    </row>
    <row r="453">
      <c r="A453" s="130"/>
      <c r="B453" s="130"/>
      <c r="C453" s="130"/>
      <c r="D453" s="130"/>
      <c r="E453" s="130"/>
      <c r="F453" s="130"/>
      <c r="G453" s="130"/>
      <c r="H453" s="130"/>
      <c r="I453" s="130"/>
      <c r="J453" s="130"/>
      <c r="K453" s="239"/>
      <c r="L453" s="239"/>
      <c r="M453" s="130"/>
      <c r="N453" s="130"/>
      <c r="O453" s="130"/>
      <c r="P453" s="130"/>
      <c r="Q453" s="130"/>
      <c r="R453" s="130"/>
      <c r="S453" s="130"/>
      <c r="T453" s="130"/>
      <c r="U453" s="130"/>
      <c r="V453" s="130"/>
      <c r="W453" s="130"/>
    </row>
    <row r="454">
      <c r="A454" s="130"/>
      <c r="B454" s="130"/>
      <c r="C454" s="130"/>
      <c r="D454" s="130"/>
      <c r="E454" s="130"/>
      <c r="F454" s="130"/>
      <c r="G454" s="130"/>
      <c r="H454" s="130"/>
      <c r="I454" s="130"/>
      <c r="J454" s="130"/>
      <c r="K454" s="239"/>
      <c r="L454" s="239"/>
      <c r="M454" s="130"/>
      <c r="N454" s="130"/>
      <c r="O454" s="130"/>
      <c r="P454" s="130"/>
      <c r="Q454" s="130"/>
      <c r="R454" s="130"/>
      <c r="S454" s="130"/>
      <c r="T454" s="130"/>
      <c r="U454" s="130"/>
      <c r="V454" s="130"/>
      <c r="W454" s="130"/>
    </row>
    <row r="455">
      <c r="A455" s="130"/>
      <c r="B455" s="130"/>
      <c r="C455" s="130"/>
      <c r="D455" s="130"/>
      <c r="E455" s="130"/>
      <c r="F455" s="130"/>
      <c r="G455" s="130"/>
      <c r="H455" s="130"/>
      <c r="I455" s="130"/>
      <c r="J455" s="130"/>
      <c r="K455" s="239"/>
      <c r="L455" s="239"/>
      <c r="M455" s="130"/>
      <c r="N455" s="130"/>
      <c r="O455" s="130"/>
      <c r="P455" s="130"/>
      <c r="Q455" s="130"/>
      <c r="R455" s="130"/>
      <c r="S455" s="130"/>
      <c r="T455" s="130"/>
      <c r="U455" s="130"/>
      <c r="V455" s="130"/>
      <c r="W455" s="130"/>
    </row>
    <row r="456">
      <c r="A456" s="130"/>
      <c r="B456" s="130"/>
      <c r="C456" s="130"/>
      <c r="D456" s="130"/>
      <c r="E456" s="130"/>
      <c r="F456" s="130"/>
      <c r="G456" s="130"/>
      <c r="H456" s="130"/>
      <c r="I456" s="130"/>
      <c r="J456" s="130"/>
      <c r="K456" s="239"/>
      <c r="L456" s="239"/>
      <c r="M456" s="130"/>
      <c r="N456" s="130"/>
      <c r="O456" s="130"/>
      <c r="P456" s="130"/>
      <c r="Q456" s="130"/>
      <c r="R456" s="130"/>
      <c r="S456" s="130"/>
      <c r="T456" s="130"/>
      <c r="U456" s="130"/>
      <c r="V456" s="130"/>
      <c r="W456" s="130"/>
    </row>
    <row r="457">
      <c r="A457" s="130"/>
      <c r="B457" s="130"/>
      <c r="C457" s="130"/>
      <c r="D457" s="130"/>
      <c r="E457" s="130"/>
      <c r="F457" s="130"/>
      <c r="G457" s="130"/>
      <c r="H457" s="130"/>
      <c r="I457" s="130"/>
      <c r="J457" s="130"/>
      <c r="K457" s="239"/>
      <c r="L457" s="239"/>
      <c r="M457" s="130"/>
      <c r="N457" s="130"/>
      <c r="O457" s="130"/>
      <c r="P457" s="130"/>
      <c r="Q457" s="130"/>
      <c r="R457" s="130"/>
      <c r="S457" s="130"/>
      <c r="T457" s="130"/>
      <c r="U457" s="130"/>
      <c r="V457" s="130"/>
      <c r="W457" s="130"/>
    </row>
    <row r="458">
      <c r="A458" s="130"/>
      <c r="B458" s="130"/>
      <c r="C458" s="130"/>
      <c r="D458" s="130"/>
      <c r="E458" s="130"/>
      <c r="F458" s="130"/>
      <c r="G458" s="130"/>
      <c r="H458" s="130"/>
      <c r="I458" s="130"/>
      <c r="J458" s="130"/>
      <c r="K458" s="239"/>
      <c r="L458" s="239"/>
      <c r="M458" s="130"/>
      <c r="N458" s="130"/>
      <c r="O458" s="130"/>
      <c r="P458" s="130"/>
      <c r="Q458" s="130"/>
      <c r="R458" s="130"/>
      <c r="S458" s="130"/>
      <c r="T458" s="130"/>
      <c r="U458" s="130"/>
      <c r="V458" s="130"/>
      <c r="W458" s="130"/>
    </row>
    <row r="459">
      <c r="A459" s="130"/>
      <c r="B459" s="130"/>
      <c r="C459" s="130"/>
      <c r="D459" s="130"/>
      <c r="E459" s="130"/>
      <c r="F459" s="130"/>
      <c r="G459" s="130"/>
      <c r="H459" s="130"/>
      <c r="I459" s="130"/>
      <c r="J459" s="130"/>
      <c r="K459" s="239"/>
      <c r="L459" s="239"/>
      <c r="M459" s="130"/>
      <c r="N459" s="130"/>
      <c r="O459" s="130"/>
      <c r="P459" s="130"/>
      <c r="Q459" s="130"/>
      <c r="R459" s="130"/>
      <c r="S459" s="130"/>
      <c r="T459" s="130"/>
      <c r="U459" s="130"/>
      <c r="V459" s="130"/>
      <c r="W459" s="130"/>
    </row>
    <row r="460">
      <c r="A460" s="130"/>
      <c r="B460" s="130"/>
      <c r="C460" s="130"/>
      <c r="D460" s="130"/>
      <c r="E460" s="130"/>
      <c r="F460" s="130"/>
      <c r="G460" s="130"/>
      <c r="H460" s="130"/>
      <c r="I460" s="130"/>
      <c r="J460" s="130"/>
      <c r="K460" s="239"/>
      <c r="L460" s="239"/>
      <c r="M460" s="130"/>
      <c r="N460" s="130"/>
      <c r="O460" s="130"/>
      <c r="P460" s="130"/>
      <c r="Q460" s="130"/>
      <c r="R460" s="130"/>
      <c r="S460" s="130"/>
      <c r="T460" s="130"/>
      <c r="U460" s="130"/>
      <c r="V460" s="130"/>
      <c r="W460" s="130"/>
    </row>
    <row r="461">
      <c r="A461" s="130"/>
      <c r="B461" s="130"/>
      <c r="C461" s="130"/>
      <c r="D461" s="130"/>
      <c r="E461" s="130"/>
      <c r="F461" s="130"/>
      <c r="G461" s="130"/>
      <c r="H461" s="130"/>
      <c r="I461" s="130"/>
      <c r="J461" s="130"/>
      <c r="K461" s="239"/>
      <c r="L461" s="239"/>
      <c r="M461" s="130"/>
      <c r="N461" s="130"/>
      <c r="O461" s="130"/>
      <c r="P461" s="130"/>
      <c r="Q461" s="130"/>
      <c r="R461" s="130"/>
      <c r="S461" s="130"/>
      <c r="T461" s="130"/>
      <c r="U461" s="130"/>
      <c r="V461" s="130"/>
      <c r="W461" s="130"/>
    </row>
    <row r="462">
      <c r="A462" s="130"/>
      <c r="B462" s="130"/>
      <c r="C462" s="130"/>
      <c r="D462" s="130"/>
      <c r="E462" s="130"/>
      <c r="F462" s="130"/>
      <c r="G462" s="130"/>
      <c r="H462" s="130"/>
      <c r="I462" s="130"/>
      <c r="J462" s="130"/>
      <c r="K462" s="239"/>
      <c r="L462" s="239"/>
      <c r="M462" s="130"/>
      <c r="N462" s="130"/>
      <c r="O462" s="130"/>
      <c r="P462" s="130"/>
      <c r="Q462" s="130"/>
      <c r="R462" s="130"/>
      <c r="S462" s="130"/>
      <c r="T462" s="130"/>
      <c r="U462" s="130"/>
      <c r="V462" s="130"/>
      <c r="W462" s="130"/>
    </row>
    <row r="463">
      <c r="A463" s="130"/>
      <c r="B463" s="130"/>
      <c r="C463" s="130"/>
      <c r="D463" s="130"/>
      <c r="E463" s="130"/>
      <c r="F463" s="130"/>
      <c r="G463" s="130"/>
      <c r="H463" s="130"/>
      <c r="I463" s="130"/>
      <c r="J463" s="130"/>
      <c r="K463" s="239"/>
      <c r="L463" s="239"/>
      <c r="M463" s="130"/>
      <c r="N463" s="130"/>
      <c r="O463" s="130"/>
      <c r="P463" s="130"/>
      <c r="Q463" s="130"/>
      <c r="R463" s="130"/>
      <c r="S463" s="130"/>
      <c r="T463" s="130"/>
      <c r="U463" s="130"/>
      <c r="V463" s="130"/>
      <c r="W463" s="130"/>
    </row>
    <row r="464">
      <c r="A464" s="130"/>
      <c r="B464" s="130"/>
      <c r="C464" s="130"/>
      <c r="D464" s="130"/>
      <c r="E464" s="130"/>
      <c r="F464" s="130"/>
      <c r="G464" s="130"/>
      <c r="H464" s="130"/>
      <c r="I464" s="130"/>
      <c r="J464" s="130"/>
      <c r="K464" s="239"/>
      <c r="L464" s="239"/>
      <c r="M464" s="130"/>
      <c r="N464" s="130"/>
      <c r="O464" s="130"/>
      <c r="P464" s="130"/>
      <c r="Q464" s="130"/>
      <c r="R464" s="130"/>
      <c r="S464" s="130"/>
      <c r="T464" s="130"/>
      <c r="U464" s="130"/>
      <c r="V464" s="130"/>
      <c r="W464" s="130"/>
    </row>
    <row r="465">
      <c r="A465" s="130"/>
      <c r="B465" s="130"/>
      <c r="C465" s="130"/>
      <c r="D465" s="130"/>
      <c r="E465" s="130"/>
      <c r="F465" s="130"/>
      <c r="G465" s="130"/>
      <c r="H465" s="130"/>
      <c r="I465" s="130"/>
      <c r="J465" s="130"/>
      <c r="K465" s="239"/>
      <c r="L465" s="239"/>
      <c r="M465" s="130"/>
      <c r="N465" s="130"/>
      <c r="O465" s="130"/>
      <c r="P465" s="130"/>
      <c r="Q465" s="130"/>
      <c r="R465" s="130"/>
      <c r="S465" s="130"/>
      <c r="T465" s="130"/>
      <c r="U465" s="130"/>
      <c r="V465" s="130"/>
      <c r="W465" s="130"/>
    </row>
    <row r="466">
      <c r="A466" s="130"/>
      <c r="B466" s="130"/>
      <c r="C466" s="130"/>
      <c r="D466" s="130"/>
      <c r="E466" s="130"/>
      <c r="F466" s="130"/>
      <c r="G466" s="130"/>
      <c r="H466" s="130"/>
      <c r="I466" s="130"/>
      <c r="J466" s="130"/>
      <c r="K466" s="239"/>
      <c r="L466" s="239"/>
      <c r="M466" s="130"/>
      <c r="N466" s="130"/>
      <c r="O466" s="130"/>
      <c r="P466" s="130"/>
      <c r="Q466" s="130"/>
      <c r="R466" s="130"/>
      <c r="S466" s="130"/>
      <c r="T466" s="130"/>
      <c r="U466" s="130"/>
      <c r="V466" s="130"/>
      <c r="W466" s="130"/>
    </row>
    <row r="467">
      <c r="A467" s="130"/>
      <c r="B467" s="130"/>
      <c r="C467" s="130"/>
      <c r="D467" s="130"/>
      <c r="E467" s="130"/>
      <c r="F467" s="130"/>
      <c r="G467" s="130"/>
      <c r="H467" s="130"/>
      <c r="I467" s="130"/>
      <c r="J467" s="130"/>
      <c r="K467" s="239"/>
      <c r="L467" s="239"/>
      <c r="M467" s="130"/>
      <c r="N467" s="130"/>
      <c r="O467" s="130"/>
      <c r="P467" s="130"/>
      <c r="Q467" s="130"/>
      <c r="R467" s="130"/>
      <c r="S467" s="130"/>
      <c r="T467" s="130"/>
      <c r="U467" s="130"/>
      <c r="V467" s="130"/>
      <c r="W467" s="130"/>
    </row>
    <row r="468">
      <c r="A468" s="130"/>
      <c r="B468" s="130"/>
      <c r="C468" s="130"/>
      <c r="D468" s="130"/>
      <c r="E468" s="130"/>
      <c r="F468" s="130"/>
      <c r="G468" s="130"/>
      <c r="H468" s="130"/>
      <c r="I468" s="130"/>
      <c r="J468" s="130"/>
      <c r="K468" s="239"/>
      <c r="L468" s="239"/>
      <c r="M468" s="130"/>
      <c r="N468" s="130"/>
      <c r="O468" s="130"/>
      <c r="P468" s="130"/>
      <c r="Q468" s="130"/>
      <c r="R468" s="130"/>
      <c r="S468" s="130"/>
      <c r="T468" s="130"/>
      <c r="U468" s="130"/>
      <c r="V468" s="130"/>
      <c r="W468" s="130"/>
    </row>
    <row r="469">
      <c r="A469" s="130"/>
      <c r="B469" s="130"/>
      <c r="C469" s="130"/>
      <c r="D469" s="130"/>
      <c r="E469" s="130"/>
      <c r="F469" s="130"/>
      <c r="G469" s="130"/>
      <c r="H469" s="130"/>
      <c r="I469" s="130"/>
      <c r="J469" s="130"/>
      <c r="K469" s="239"/>
      <c r="L469" s="239"/>
      <c r="M469" s="130"/>
      <c r="N469" s="130"/>
      <c r="O469" s="130"/>
      <c r="P469" s="130"/>
      <c r="Q469" s="130"/>
      <c r="R469" s="130"/>
      <c r="S469" s="130"/>
      <c r="T469" s="130"/>
      <c r="U469" s="130"/>
      <c r="V469" s="130"/>
      <c r="W469" s="130"/>
    </row>
    <row r="470">
      <c r="A470" s="130"/>
      <c r="B470" s="130"/>
      <c r="C470" s="130"/>
      <c r="D470" s="130"/>
      <c r="E470" s="130"/>
      <c r="F470" s="130"/>
      <c r="G470" s="130"/>
      <c r="H470" s="130"/>
      <c r="I470" s="130"/>
      <c r="J470" s="130"/>
      <c r="K470" s="239"/>
      <c r="L470" s="239"/>
      <c r="M470" s="130"/>
      <c r="N470" s="130"/>
      <c r="O470" s="130"/>
      <c r="P470" s="130"/>
      <c r="Q470" s="130"/>
      <c r="R470" s="130"/>
      <c r="S470" s="130"/>
      <c r="T470" s="130"/>
      <c r="U470" s="130"/>
      <c r="V470" s="130"/>
      <c r="W470" s="130"/>
    </row>
    <row r="471">
      <c r="A471" s="130"/>
      <c r="B471" s="130"/>
      <c r="C471" s="130"/>
      <c r="D471" s="130"/>
      <c r="E471" s="130"/>
      <c r="F471" s="130"/>
      <c r="G471" s="130"/>
      <c r="H471" s="130"/>
      <c r="I471" s="130"/>
      <c r="J471" s="130"/>
      <c r="K471" s="239"/>
      <c r="L471" s="239"/>
      <c r="M471" s="130"/>
      <c r="N471" s="130"/>
      <c r="O471" s="130"/>
      <c r="P471" s="130"/>
      <c r="Q471" s="130"/>
      <c r="R471" s="130"/>
      <c r="S471" s="130"/>
      <c r="T471" s="130"/>
      <c r="U471" s="130"/>
      <c r="V471" s="130"/>
      <c r="W471" s="130"/>
    </row>
    <row r="472">
      <c r="A472" s="130"/>
      <c r="B472" s="130"/>
      <c r="C472" s="130"/>
      <c r="D472" s="130"/>
      <c r="E472" s="130"/>
      <c r="F472" s="130"/>
      <c r="G472" s="130"/>
      <c r="H472" s="130"/>
      <c r="I472" s="130"/>
      <c r="J472" s="130"/>
      <c r="K472" s="239"/>
      <c r="L472" s="239"/>
      <c r="M472" s="130"/>
      <c r="N472" s="130"/>
      <c r="O472" s="130"/>
      <c r="P472" s="130"/>
      <c r="Q472" s="130"/>
      <c r="R472" s="130"/>
      <c r="S472" s="130"/>
      <c r="T472" s="130"/>
      <c r="U472" s="130"/>
      <c r="V472" s="130"/>
      <c r="W472" s="130"/>
    </row>
    <row r="473">
      <c r="A473" s="130"/>
      <c r="B473" s="130"/>
      <c r="C473" s="130"/>
      <c r="D473" s="130"/>
      <c r="E473" s="130"/>
      <c r="F473" s="130"/>
      <c r="G473" s="130"/>
      <c r="H473" s="130"/>
      <c r="I473" s="130"/>
      <c r="J473" s="130"/>
      <c r="K473" s="239"/>
      <c r="L473" s="239"/>
      <c r="M473" s="130"/>
      <c r="N473" s="130"/>
      <c r="O473" s="130"/>
      <c r="P473" s="130"/>
      <c r="Q473" s="130"/>
      <c r="R473" s="130"/>
      <c r="S473" s="130"/>
      <c r="T473" s="130"/>
      <c r="U473" s="130"/>
      <c r="V473" s="130"/>
      <c r="W473" s="130"/>
    </row>
    <row r="474">
      <c r="A474" s="130"/>
      <c r="B474" s="130"/>
      <c r="C474" s="130"/>
      <c r="D474" s="130"/>
      <c r="E474" s="130"/>
      <c r="F474" s="130"/>
      <c r="G474" s="130"/>
      <c r="H474" s="130"/>
      <c r="I474" s="130"/>
      <c r="J474" s="130"/>
      <c r="K474" s="239"/>
      <c r="L474" s="239"/>
      <c r="M474" s="130"/>
      <c r="N474" s="130"/>
      <c r="O474" s="130"/>
      <c r="P474" s="130"/>
      <c r="Q474" s="130"/>
      <c r="R474" s="130"/>
      <c r="S474" s="130"/>
      <c r="T474" s="130"/>
      <c r="U474" s="130"/>
      <c r="V474" s="130"/>
      <c r="W474" s="130"/>
    </row>
    <row r="475">
      <c r="A475" s="130"/>
      <c r="B475" s="130"/>
      <c r="C475" s="130"/>
      <c r="D475" s="130"/>
      <c r="E475" s="130"/>
      <c r="F475" s="130"/>
      <c r="G475" s="130"/>
      <c r="H475" s="130"/>
      <c r="I475" s="130"/>
      <c r="J475" s="130"/>
      <c r="K475" s="239"/>
      <c r="L475" s="239"/>
      <c r="M475" s="130"/>
      <c r="N475" s="130"/>
      <c r="O475" s="130"/>
      <c r="P475" s="130"/>
      <c r="Q475" s="130"/>
      <c r="R475" s="130"/>
      <c r="S475" s="130"/>
      <c r="T475" s="130"/>
      <c r="U475" s="130"/>
      <c r="V475" s="130"/>
      <c r="W475" s="130"/>
    </row>
    <row r="476">
      <c r="A476" s="130"/>
      <c r="B476" s="130"/>
      <c r="C476" s="130"/>
      <c r="D476" s="130"/>
      <c r="E476" s="130"/>
      <c r="F476" s="130"/>
      <c r="G476" s="130"/>
      <c r="H476" s="130"/>
      <c r="I476" s="130"/>
      <c r="J476" s="130"/>
      <c r="K476" s="239"/>
      <c r="L476" s="239"/>
      <c r="M476" s="130"/>
      <c r="N476" s="130"/>
      <c r="O476" s="130"/>
      <c r="P476" s="130"/>
      <c r="Q476" s="130"/>
      <c r="R476" s="130"/>
      <c r="S476" s="130"/>
      <c r="T476" s="130"/>
      <c r="U476" s="130"/>
      <c r="V476" s="130"/>
      <c r="W476" s="130"/>
    </row>
    <row r="477">
      <c r="A477" s="130"/>
      <c r="B477" s="130"/>
      <c r="C477" s="130"/>
      <c r="D477" s="130"/>
      <c r="E477" s="130"/>
      <c r="F477" s="130"/>
      <c r="G477" s="130"/>
      <c r="H477" s="130"/>
      <c r="I477" s="130"/>
      <c r="J477" s="130"/>
      <c r="K477" s="239"/>
      <c r="L477" s="239"/>
      <c r="M477" s="130"/>
      <c r="N477" s="130"/>
      <c r="O477" s="130"/>
      <c r="P477" s="130"/>
      <c r="Q477" s="130"/>
      <c r="R477" s="130"/>
      <c r="S477" s="130"/>
      <c r="T477" s="130"/>
      <c r="U477" s="130"/>
      <c r="V477" s="130"/>
      <c r="W477" s="130"/>
    </row>
    <row r="478">
      <c r="A478" s="130"/>
      <c r="B478" s="130"/>
      <c r="C478" s="130"/>
      <c r="D478" s="130"/>
      <c r="E478" s="130"/>
      <c r="F478" s="130"/>
      <c r="G478" s="130"/>
      <c r="H478" s="130"/>
      <c r="I478" s="130"/>
      <c r="J478" s="130"/>
      <c r="K478" s="239"/>
      <c r="L478" s="239"/>
      <c r="M478" s="130"/>
      <c r="N478" s="130"/>
      <c r="O478" s="130"/>
      <c r="P478" s="130"/>
      <c r="Q478" s="130"/>
      <c r="R478" s="130"/>
      <c r="S478" s="130"/>
      <c r="T478" s="130"/>
      <c r="U478" s="130"/>
      <c r="V478" s="130"/>
      <c r="W478" s="130"/>
    </row>
    <row r="479">
      <c r="A479" s="130"/>
      <c r="B479" s="130"/>
      <c r="C479" s="130"/>
      <c r="D479" s="130"/>
      <c r="E479" s="130"/>
      <c r="F479" s="130"/>
      <c r="G479" s="130"/>
      <c r="H479" s="130"/>
      <c r="I479" s="130"/>
      <c r="J479" s="130"/>
      <c r="K479" s="239"/>
      <c r="L479" s="239"/>
      <c r="M479" s="130"/>
      <c r="N479" s="130"/>
      <c r="O479" s="130"/>
      <c r="P479" s="130"/>
      <c r="Q479" s="130"/>
      <c r="R479" s="130"/>
      <c r="S479" s="130"/>
      <c r="T479" s="130"/>
      <c r="U479" s="130"/>
      <c r="V479" s="130"/>
      <c r="W479" s="130"/>
    </row>
    <row r="480">
      <c r="A480" s="130"/>
      <c r="B480" s="130"/>
      <c r="C480" s="130"/>
      <c r="D480" s="130"/>
      <c r="E480" s="130"/>
      <c r="F480" s="130"/>
      <c r="G480" s="130"/>
      <c r="H480" s="130"/>
      <c r="I480" s="130"/>
      <c r="J480" s="130"/>
      <c r="K480" s="239"/>
      <c r="L480" s="239"/>
      <c r="M480" s="130"/>
      <c r="N480" s="130"/>
      <c r="O480" s="130"/>
      <c r="P480" s="130"/>
      <c r="Q480" s="130"/>
      <c r="R480" s="130"/>
      <c r="S480" s="130"/>
      <c r="T480" s="130"/>
      <c r="U480" s="130"/>
      <c r="V480" s="130"/>
      <c r="W480" s="130"/>
    </row>
    <row r="481">
      <c r="A481" s="130"/>
      <c r="B481" s="130"/>
      <c r="C481" s="130"/>
      <c r="D481" s="130"/>
      <c r="E481" s="130"/>
      <c r="F481" s="130"/>
      <c r="G481" s="130"/>
      <c r="H481" s="130"/>
      <c r="I481" s="130"/>
      <c r="J481" s="130"/>
      <c r="K481" s="239"/>
      <c r="L481" s="239"/>
      <c r="M481" s="130"/>
      <c r="N481" s="130"/>
      <c r="O481" s="130"/>
      <c r="P481" s="130"/>
      <c r="Q481" s="130"/>
      <c r="R481" s="130"/>
      <c r="S481" s="130"/>
      <c r="T481" s="130"/>
      <c r="U481" s="130"/>
      <c r="V481" s="130"/>
      <c r="W481" s="130"/>
    </row>
    <row r="482">
      <c r="A482" s="130"/>
      <c r="B482" s="130"/>
      <c r="C482" s="130"/>
      <c r="D482" s="130"/>
      <c r="E482" s="130"/>
      <c r="F482" s="130"/>
      <c r="G482" s="130"/>
      <c r="H482" s="130"/>
      <c r="I482" s="130"/>
      <c r="J482" s="130"/>
      <c r="K482" s="239"/>
      <c r="L482" s="239"/>
      <c r="M482" s="130"/>
      <c r="N482" s="130"/>
      <c r="O482" s="130"/>
      <c r="P482" s="130"/>
      <c r="Q482" s="130"/>
      <c r="R482" s="130"/>
      <c r="S482" s="130"/>
      <c r="T482" s="130"/>
      <c r="U482" s="130"/>
      <c r="V482" s="130"/>
      <c r="W482" s="130"/>
    </row>
    <row r="483">
      <c r="A483" s="130"/>
      <c r="B483" s="130"/>
      <c r="C483" s="130"/>
      <c r="D483" s="130"/>
      <c r="E483" s="130"/>
      <c r="F483" s="130"/>
      <c r="G483" s="130"/>
      <c r="H483" s="130"/>
      <c r="I483" s="130"/>
      <c r="J483" s="130"/>
      <c r="K483" s="239"/>
      <c r="L483" s="239"/>
      <c r="M483" s="130"/>
      <c r="N483" s="130"/>
      <c r="O483" s="130"/>
      <c r="P483" s="130"/>
      <c r="Q483" s="130"/>
      <c r="R483" s="130"/>
      <c r="S483" s="130"/>
      <c r="T483" s="130"/>
      <c r="U483" s="130"/>
      <c r="V483" s="130"/>
      <c r="W483" s="130"/>
    </row>
    <row r="484">
      <c r="A484" s="130"/>
      <c r="B484" s="130"/>
      <c r="C484" s="130"/>
      <c r="D484" s="130"/>
      <c r="E484" s="130"/>
      <c r="F484" s="130"/>
      <c r="G484" s="130"/>
      <c r="H484" s="130"/>
      <c r="I484" s="130"/>
      <c r="J484" s="130"/>
      <c r="K484" s="239"/>
      <c r="L484" s="239"/>
      <c r="M484" s="130"/>
      <c r="N484" s="130"/>
      <c r="O484" s="130"/>
      <c r="P484" s="130"/>
      <c r="Q484" s="130"/>
      <c r="R484" s="130"/>
      <c r="S484" s="130"/>
      <c r="T484" s="130"/>
      <c r="U484" s="130"/>
      <c r="V484" s="130"/>
      <c r="W484" s="130"/>
    </row>
    <row r="485">
      <c r="A485" s="130"/>
      <c r="B485" s="130"/>
      <c r="C485" s="130"/>
      <c r="D485" s="130"/>
      <c r="E485" s="130"/>
      <c r="F485" s="130"/>
      <c r="G485" s="130"/>
      <c r="H485" s="130"/>
      <c r="I485" s="130"/>
      <c r="J485" s="130"/>
      <c r="K485" s="239"/>
      <c r="L485" s="239"/>
      <c r="M485" s="130"/>
      <c r="N485" s="130"/>
      <c r="O485" s="130"/>
      <c r="P485" s="130"/>
      <c r="Q485" s="130"/>
      <c r="R485" s="130"/>
      <c r="S485" s="130"/>
      <c r="T485" s="130"/>
      <c r="U485" s="130"/>
      <c r="V485" s="130"/>
      <c r="W485" s="130"/>
    </row>
    <row r="486">
      <c r="A486" s="130"/>
      <c r="B486" s="130"/>
      <c r="C486" s="130"/>
      <c r="D486" s="130"/>
      <c r="E486" s="130"/>
      <c r="F486" s="130"/>
      <c r="G486" s="130"/>
      <c r="H486" s="130"/>
      <c r="I486" s="130"/>
      <c r="J486" s="130"/>
      <c r="K486" s="239"/>
      <c r="L486" s="239"/>
      <c r="M486" s="130"/>
      <c r="N486" s="130"/>
      <c r="O486" s="130"/>
      <c r="P486" s="130"/>
      <c r="Q486" s="130"/>
      <c r="R486" s="130"/>
      <c r="S486" s="130"/>
      <c r="T486" s="130"/>
      <c r="U486" s="130"/>
      <c r="V486" s="130"/>
      <c r="W486" s="130"/>
    </row>
    <row r="487">
      <c r="A487" s="130"/>
      <c r="B487" s="130"/>
      <c r="C487" s="130"/>
      <c r="D487" s="130"/>
      <c r="E487" s="130"/>
      <c r="F487" s="130"/>
      <c r="G487" s="130"/>
      <c r="H487" s="130"/>
      <c r="I487" s="130"/>
      <c r="J487" s="130"/>
      <c r="K487" s="239"/>
      <c r="L487" s="239"/>
      <c r="M487" s="130"/>
      <c r="N487" s="130"/>
      <c r="O487" s="130"/>
      <c r="P487" s="130"/>
      <c r="Q487" s="130"/>
      <c r="R487" s="130"/>
      <c r="S487" s="130"/>
      <c r="T487" s="130"/>
      <c r="U487" s="130"/>
      <c r="V487" s="130"/>
      <c r="W487" s="130"/>
    </row>
    <row r="488">
      <c r="A488" s="130"/>
      <c r="B488" s="130"/>
      <c r="C488" s="130"/>
      <c r="D488" s="130"/>
      <c r="E488" s="130"/>
      <c r="F488" s="130"/>
      <c r="G488" s="130"/>
      <c r="H488" s="130"/>
      <c r="I488" s="130"/>
      <c r="J488" s="130"/>
      <c r="K488" s="239"/>
      <c r="L488" s="239"/>
      <c r="M488" s="130"/>
      <c r="N488" s="130"/>
      <c r="O488" s="130"/>
      <c r="P488" s="130"/>
      <c r="Q488" s="130"/>
      <c r="R488" s="130"/>
      <c r="S488" s="130"/>
      <c r="T488" s="130"/>
      <c r="U488" s="130"/>
      <c r="V488" s="130"/>
      <c r="W488" s="130"/>
    </row>
    <row r="489">
      <c r="A489" s="130"/>
      <c r="B489" s="130"/>
      <c r="C489" s="130"/>
      <c r="D489" s="130"/>
      <c r="E489" s="130"/>
      <c r="F489" s="130"/>
      <c r="G489" s="130"/>
      <c r="H489" s="130"/>
      <c r="I489" s="130"/>
      <c r="J489" s="130"/>
      <c r="K489" s="239"/>
      <c r="L489" s="239"/>
      <c r="M489" s="130"/>
      <c r="N489" s="130"/>
      <c r="O489" s="130"/>
      <c r="P489" s="130"/>
      <c r="Q489" s="130"/>
      <c r="R489" s="130"/>
      <c r="S489" s="130"/>
      <c r="T489" s="130"/>
      <c r="U489" s="130"/>
      <c r="V489" s="130"/>
      <c r="W489" s="130"/>
    </row>
    <row r="490">
      <c r="A490" s="130"/>
      <c r="B490" s="130"/>
      <c r="C490" s="130"/>
      <c r="D490" s="130"/>
      <c r="E490" s="130"/>
      <c r="F490" s="130"/>
      <c r="G490" s="130"/>
      <c r="H490" s="130"/>
      <c r="I490" s="130"/>
      <c r="J490" s="130"/>
      <c r="K490" s="239"/>
      <c r="L490" s="239"/>
      <c r="M490" s="130"/>
      <c r="N490" s="130"/>
      <c r="O490" s="130"/>
      <c r="P490" s="130"/>
      <c r="Q490" s="130"/>
      <c r="R490" s="130"/>
      <c r="S490" s="130"/>
      <c r="T490" s="130"/>
      <c r="U490" s="130"/>
      <c r="V490" s="130"/>
      <c r="W490" s="130"/>
    </row>
    <row r="491">
      <c r="A491" s="130"/>
      <c r="B491" s="130"/>
      <c r="C491" s="130"/>
      <c r="D491" s="130"/>
      <c r="E491" s="130"/>
      <c r="F491" s="130"/>
      <c r="G491" s="130"/>
      <c r="H491" s="130"/>
      <c r="I491" s="130"/>
      <c r="J491" s="130"/>
      <c r="K491" s="239"/>
      <c r="L491" s="239"/>
      <c r="M491" s="130"/>
      <c r="N491" s="130"/>
      <c r="O491" s="130"/>
      <c r="P491" s="130"/>
      <c r="Q491" s="130"/>
      <c r="R491" s="130"/>
      <c r="S491" s="130"/>
      <c r="T491" s="130"/>
      <c r="U491" s="130"/>
      <c r="V491" s="130"/>
      <c r="W491" s="130"/>
    </row>
    <row r="492">
      <c r="A492" s="130"/>
      <c r="B492" s="130"/>
      <c r="C492" s="130"/>
      <c r="D492" s="130"/>
      <c r="E492" s="130"/>
      <c r="F492" s="130"/>
      <c r="G492" s="130"/>
      <c r="H492" s="130"/>
      <c r="I492" s="130"/>
      <c r="J492" s="130"/>
      <c r="K492" s="239"/>
      <c r="L492" s="239"/>
      <c r="M492" s="130"/>
      <c r="N492" s="130"/>
      <c r="O492" s="130"/>
      <c r="P492" s="130"/>
      <c r="Q492" s="130"/>
      <c r="R492" s="130"/>
      <c r="S492" s="130"/>
      <c r="T492" s="130"/>
      <c r="U492" s="130"/>
      <c r="V492" s="130"/>
      <c r="W492" s="130"/>
    </row>
    <row r="493">
      <c r="A493" s="130"/>
      <c r="B493" s="130"/>
      <c r="C493" s="130"/>
      <c r="D493" s="130"/>
      <c r="E493" s="130"/>
      <c r="F493" s="130"/>
      <c r="G493" s="130"/>
      <c r="H493" s="130"/>
      <c r="I493" s="130"/>
      <c r="J493" s="130"/>
      <c r="K493" s="239"/>
      <c r="L493" s="239"/>
      <c r="M493" s="130"/>
      <c r="N493" s="130"/>
      <c r="O493" s="130"/>
      <c r="P493" s="130"/>
      <c r="Q493" s="130"/>
      <c r="R493" s="130"/>
      <c r="S493" s="130"/>
      <c r="T493" s="130"/>
      <c r="U493" s="130"/>
      <c r="V493" s="130"/>
      <c r="W493" s="130"/>
    </row>
    <row r="494">
      <c r="A494" s="130"/>
      <c r="B494" s="130"/>
      <c r="C494" s="130"/>
      <c r="D494" s="130"/>
      <c r="E494" s="130"/>
      <c r="F494" s="130"/>
      <c r="G494" s="130"/>
      <c r="H494" s="130"/>
      <c r="I494" s="130"/>
      <c r="J494" s="130"/>
      <c r="K494" s="239"/>
      <c r="L494" s="239"/>
      <c r="M494" s="130"/>
      <c r="N494" s="130"/>
      <c r="O494" s="130"/>
      <c r="P494" s="130"/>
      <c r="Q494" s="130"/>
      <c r="R494" s="130"/>
      <c r="S494" s="130"/>
      <c r="T494" s="130"/>
      <c r="U494" s="130"/>
      <c r="V494" s="130"/>
      <c r="W494" s="130"/>
    </row>
    <row r="495">
      <c r="A495" s="130"/>
      <c r="B495" s="130"/>
      <c r="C495" s="130"/>
      <c r="D495" s="130"/>
      <c r="E495" s="130"/>
      <c r="F495" s="130"/>
      <c r="G495" s="130"/>
      <c r="H495" s="130"/>
      <c r="I495" s="130"/>
      <c r="J495" s="130"/>
      <c r="K495" s="239"/>
      <c r="L495" s="239"/>
      <c r="M495" s="130"/>
      <c r="N495" s="130"/>
      <c r="O495" s="130"/>
      <c r="P495" s="130"/>
      <c r="Q495" s="130"/>
      <c r="R495" s="130"/>
      <c r="S495" s="130"/>
      <c r="T495" s="130"/>
      <c r="U495" s="130"/>
      <c r="V495" s="130"/>
      <c r="W495" s="130"/>
    </row>
    <row r="496">
      <c r="A496" s="130"/>
      <c r="B496" s="130"/>
      <c r="C496" s="130"/>
      <c r="D496" s="130"/>
      <c r="E496" s="130"/>
      <c r="F496" s="130"/>
      <c r="G496" s="130"/>
      <c r="H496" s="130"/>
      <c r="I496" s="130"/>
      <c r="J496" s="130"/>
      <c r="K496" s="239"/>
      <c r="L496" s="239"/>
      <c r="M496" s="130"/>
      <c r="N496" s="130"/>
      <c r="O496" s="130"/>
      <c r="P496" s="130"/>
      <c r="Q496" s="130"/>
      <c r="R496" s="130"/>
      <c r="S496" s="130"/>
      <c r="T496" s="130"/>
      <c r="U496" s="130"/>
      <c r="V496" s="130"/>
      <c r="W496" s="130"/>
    </row>
    <row r="497">
      <c r="A497" s="130"/>
      <c r="B497" s="130"/>
      <c r="C497" s="130"/>
      <c r="D497" s="130"/>
      <c r="E497" s="130"/>
      <c r="F497" s="130"/>
      <c r="G497" s="130"/>
      <c r="H497" s="130"/>
      <c r="I497" s="130"/>
      <c r="J497" s="130"/>
      <c r="K497" s="239"/>
      <c r="L497" s="239"/>
      <c r="M497" s="130"/>
      <c r="N497" s="130"/>
      <c r="O497" s="130"/>
      <c r="P497" s="130"/>
      <c r="Q497" s="130"/>
      <c r="R497" s="130"/>
      <c r="S497" s="130"/>
      <c r="T497" s="130"/>
      <c r="U497" s="130"/>
      <c r="V497" s="130"/>
      <c r="W497" s="130"/>
    </row>
    <row r="498">
      <c r="A498" s="130"/>
      <c r="B498" s="130"/>
      <c r="C498" s="130"/>
      <c r="D498" s="130"/>
      <c r="E498" s="130"/>
      <c r="F498" s="130"/>
      <c r="G498" s="130"/>
      <c r="H498" s="130"/>
      <c r="I498" s="130"/>
      <c r="J498" s="130"/>
      <c r="K498" s="239"/>
      <c r="L498" s="239"/>
      <c r="M498" s="130"/>
      <c r="N498" s="130"/>
      <c r="O498" s="130"/>
      <c r="P498" s="130"/>
      <c r="Q498" s="130"/>
      <c r="R498" s="130"/>
      <c r="S498" s="130"/>
      <c r="T498" s="130"/>
      <c r="U498" s="130"/>
      <c r="V498" s="130"/>
      <c r="W498" s="130"/>
    </row>
    <row r="499">
      <c r="A499" s="130"/>
      <c r="B499" s="130"/>
      <c r="C499" s="130"/>
      <c r="D499" s="130"/>
      <c r="E499" s="130"/>
      <c r="F499" s="130"/>
      <c r="G499" s="130"/>
      <c r="H499" s="130"/>
      <c r="I499" s="130"/>
      <c r="J499" s="130"/>
      <c r="K499" s="239"/>
      <c r="L499" s="239"/>
      <c r="M499" s="130"/>
      <c r="N499" s="130"/>
      <c r="O499" s="130"/>
      <c r="P499" s="130"/>
      <c r="Q499" s="130"/>
      <c r="R499" s="130"/>
      <c r="S499" s="130"/>
      <c r="T499" s="130"/>
      <c r="U499" s="130"/>
      <c r="V499" s="130"/>
      <c r="W499" s="130"/>
    </row>
    <row r="500">
      <c r="A500" s="130"/>
      <c r="B500" s="130"/>
      <c r="C500" s="130"/>
      <c r="D500" s="130"/>
      <c r="E500" s="130"/>
      <c r="F500" s="130"/>
      <c r="G500" s="130"/>
      <c r="H500" s="130"/>
      <c r="I500" s="130"/>
      <c r="J500" s="130"/>
      <c r="K500" s="239"/>
      <c r="L500" s="239"/>
      <c r="M500" s="130"/>
      <c r="N500" s="130"/>
      <c r="O500" s="130"/>
      <c r="P500" s="130"/>
      <c r="Q500" s="130"/>
      <c r="R500" s="130"/>
      <c r="S500" s="130"/>
      <c r="T500" s="130"/>
      <c r="U500" s="130"/>
      <c r="V500" s="130"/>
      <c r="W500" s="130"/>
    </row>
    <row r="501">
      <c r="A501" s="130"/>
      <c r="B501" s="130"/>
      <c r="C501" s="130"/>
      <c r="D501" s="130"/>
      <c r="E501" s="130"/>
      <c r="F501" s="130"/>
      <c r="G501" s="130"/>
      <c r="H501" s="130"/>
      <c r="I501" s="130"/>
      <c r="J501" s="130"/>
      <c r="K501" s="239"/>
      <c r="L501" s="239"/>
      <c r="M501" s="130"/>
      <c r="N501" s="130"/>
      <c r="O501" s="130"/>
      <c r="P501" s="130"/>
      <c r="Q501" s="130"/>
      <c r="R501" s="130"/>
      <c r="S501" s="130"/>
      <c r="T501" s="130"/>
      <c r="U501" s="130"/>
      <c r="V501" s="130"/>
      <c r="W501" s="130"/>
    </row>
    <row r="502">
      <c r="A502" s="130"/>
      <c r="B502" s="130"/>
      <c r="C502" s="130"/>
      <c r="D502" s="130"/>
      <c r="E502" s="130"/>
      <c r="F502" s="130"/>
      <c r="G502" s="130"/>
      <c r="H502" s="130"/>
      <c r="I502" s="130"/>
      <c r="J502" s="130"/>
      <c r="K502" s="239"/>
      <c r="L502" s="239"/>
      <c r="M502" s="130"/>
      <c r="N502" s="130"/>
      <c r="O502" s="130"/>
      <c r="P502" s="130"/>
      <c r="Q502" s="130"/>
      <c r="R502" s="130"/>
      <c r="S502" s="130"/>
      <c r="T502" s="130"/>
      <c r="U502" s="130"/>
      <c r="V502" s="130"/>
      <c r="W502" s="130"/>
    </row>
    <row r="503">
      <c r="A503" s="130"/>
      <c r="B503" s="130"/>
      <c r="C503" s="130"/>
      <c r="D503" s="130"/>
      <c r="E503" s="130"/>
      <c r="F503" s="130"/>
      <c r="G503" s="130"/>
      <c r="H503" s="130"/>
      <c r="I503" s="130"/>
      <c r="J503" s="130"/>
      <c r="K503" s="239"/>
      <c r="L503" s="239"/>
      <c r="M503" s="130"/>
      <c r="N503" s="130"/>
      <c r="O503" s="130"/>
      <c r="P503" s="130"/>
      <c r="Q503" s="130"/>
      <c r="R503" s="130"/>
      <c r="S503" s="130"/>
      <c r="T503" s="130"/>
      <c r="U503" s="130"/>
      <c r="V503" s="130"/>
      <c r="W503" s="130"/>
    </row>
    <row r="504">
      <c r="A504" s="130"/>
      <c r="B504" s="130"/>
      <c r="C504" s="130"/>
      <c r="D504" s="130"/>
      <c r="E504" s="130"/>
      <c r="F504" s="130"/>
      <c r="G504" s="130"/>
      <c r="H504" s="130"/>
      <c r="I504" s="130"/>
      <c r="J504" s="130"/>
      <c r="K504" s="239"/>
      <c r="L504" s="239"/>
      <c r="M504" s="130"/>
      <c r="N504" s="130"/>
      <c r="O504" s="130"/>
      <c r="P504" s="130"/>
      <c r="Q504" s="130"/>
      <c r="R504" s="130"/>
      <c r="S504" s="130"/>
      <c r="T504" s="130"/>
      <c r="U504" s="130"/>
      <c r="V504" s="130"/>
      <c r="W504" s="130"/>
    </row>
    <row r="505">
      <c r="A505" s="130"/>
      <c r="B505" s="130"/>
      <c r="C505" s="130"/>
      <c r="D505" s="130"/>
      <c r="E505" s="130"/>
      <c r="F505" s="130"/>
      <c r="G505" s="130"/>
      <c r="H505" s="130"/>
      <c r="I505" s="130"/>
      <c r="J505" s="130"/>
      <c r="K505" s="239"/>
      <c r="L505" s="239"/>
      <c r="M505" s="130"/>
      <c r="N505" s="130"/>
      <c r="O505" s="130"/>
      <c r="P505" s="130"/>
      <c r="Q505" s="130"/>
      <c r="R505" s="130"/>
      <c r="S505" s="130"/>
      <c r="T505" s="130"/>
      <c r="U505" s="130"/>
      <c r="V505" s="130"/>
      <c r="W505" s="130"/>
    </row>
    <row r="506">
      <c r="A506" s="130"/>
      <c r="B506" s="130"/>
      <c r="C506" s="130"/>
      <c r="D506" s="130"/>
      <c r="E506" s="130"/>
      <c r="F506" s="130"/>
      <c r="G506" s="130"/>
      <c r="H506" s="130"/>
      <c r="I506" s="130"/>
      <c r="J506" s="130"/>
      <c r="K506" s="239"/>
      <c r="L506" s="239"/>
      <c r="M506" s="130"/>
      <c r="N506" s="130"/>
      <c r="O506" s="130"/>
      <c r="P506" s="130"/>
      <c r="Q506" s="130"/>
      <c r="R506" s="130"/>
      <c r="S506" s="130"/>
      <c r="T506" s="130"/>
      <c r="U506" s="130"/>
      <c r="V506" s="130"/>
      <c r="W506" s="130"/>
    </row>
    <row r="507">
      <c r="A507" s="130"/>
      <c r="B507" s="130"/>
      <c r="C507" s="130"/>
      <c r="D507" s="130"/>
      <c r="E507" s="130"/>
      <c r="F507" s="130"/>
      <c r="G507" s="130"/>
      <c r="H507" s="130"/>
      <c r="I507" s="130"/>
      <c r="J507" s="130"/>
      <c r="K507" s="239"/>
      <c r="L507" s="239"/>
      <c r="M507" s="130"/>
      <c r="N507" s="130"/>
      <c r="O507" s="130"/>
      <c r="P507" s="130"/>
      <c r="Q507" s="130"/>
      <c r="R507" s="130"/>
      <c r="S507" s="130"/>
      <c r="T507" s="130"/>
      <c r="U507" s="130"/>
      <c r="V507" s="130"/>
      <c r="W507" s="130"/>
    </row>
    <row r="508">
      <c r="A508" s="130"/>
      <c r="B508" s="130"/>
      <c r="C508" s="130"/>
      <c r="D508" s="130"/>
      <c r="E508" s="130"/>
      <c r="F508" s="130"/>
      <c r="G508" s="130"/>
      <c r="H508" s="130"/>
      <c r="I508" s="130"/>
      <c r="J508" s="130"/>
      <c r="K508" s="239"/>
      <c r="L508" s="239"/>
      <c r="M508" s="130"/>
      <c r="N508" s="130"/>
      <c r="O508" s="130"/>
      <c r="P508" s="130"/>
      <c r="Q508" s="130"/>
      <c r="R508" s="130"/>
      <c r="S508" s="130"/>
      <c r="T508" s="130"/>
      <c r="U508" s="130"/>
      <c r="V508" s="130"/>
      <c r="W508" s="130"/>
    </row>
    <row r="509">
      <c r="A509" s="130"/>
      <c r="B509" s="130"/>
      <c r="C509" s="130"/>
      <c r="D509" s="130"/>
      <c r="E509" s="130"/>
      <c r="F509" s="130"/>
      <c r="G509" s="130"/>
      <c r="H509" s="130"/>
      <c r="I509" s="130"/>
      <c r="J509" s="130"/>
      <c r="K509" s="239"/>
      <c r="L509" s="239"/>
      <c r="M509" s="130"/>
      <c r="N509" s="130"/>
      <c r="O509" s="130"/>
      <c r="P509" s="130"/>
      <c r="Q509" s="130"/>
      <c r="R509" s="130"/>
      <c r="S509" s="130"/>
      <c r="T509" s="130"/>
      <c r="U509" s="130"/>
      <c r="V509" s="130"/>
      <c r="W509" s="130"/>
    </row>
    <row r="510">
      <c r="A510" s="130"/>
      <c r="B510" s="130"/>
      <c r="C510" s="130"/>
      <c r="D510" s="130"/>
      <c r="E510" s="130"/>
      <c r="F510" s="130"/>
      <c r="G510" s="130"/>
      <c r="H510" s="130"/>
      <c r="I510" s="130"/>
      <c r="J510" s="130"/>
      <c r="K510" s="239"/>
      <c r="L510" s="239"/>
      <c r="M510" s="130"/>
      <c r="N510" s="130"/>
      <c r="O510" s="130"/>
      <c r="P510" s="130"/>
      <c r="Q510" s="130"/>
      <c r="R510" s="130"/>
      <c r="S510" s="130"/>
      <c r="T510" s="130"/>
      <c r="U510" s="130"/>
      <c r="V510" s="130"/>
      <c r="W510" s="130"/>
    </row>
    <row r="511">
      <c r="A511" s="130"/>
      <c r="B511" s="130"/>
      <c r="C511" s="130"/>
      <c r="D511" s="130"/>
      <c r="E511" s="130"/>
      <c r="F511" s="130"/>
      <c r="G511" s="130"/>
      <c r="H511" s="130"/>
      <c r="I511" s="130"/>
      <c r="J511" s="130"/>
      <c r="K511" s="239"/>
      <c r="L511" s="239"/>
      <c r="M511" s="130"/>
      <c r="N511" s="130"/>
      <c r="O511" s="130"/>
      <c r="P511" s="130"/>
      <c r="Q511" s="130"/>
      <c r="R511" s="130"/>
      <c r="S511" s="130"/>
      <c r="T511" s="130"/>
      <c r="U511" s="130"/>
      <c r="V511" s="130"/>
      <c r="W511" s="130"/>
    </row>
    <row r="512">
      <c r="A512" s="130"/>
      <c r="B512" s="130"/>
      <c r="C512" s="130"/>
      <c r="D512" s="130"/>
      <c r="E512" s="130"/>
      <c r="F512" s="130"/>
      <c r="G512" s="130"/>
      <c r="H512" s="130"/>
      <c r="I512" s="130"/>
      <c r="J512" s="130"/>
      <c r="K512" s="239"/>
      <c r="L512" s="239"/>
      <c r="M512" s="130"/>
      <c r="N512" s="130"/>
      <c r="O512" s="130"/>
      <c r="P512" s="130"/>
      <c r="Q512" s="130"/>
      <c r="R512" s="130"/>
      <c r="S512" s="130"/>
      <c r="T512" s="130"/>
      <c r="U512" s="130"/>
      <c r="V512" s="130"/>
      <c r="W512" s="130"/>
    </row>
    <row r="513">
      <c r="A513" s="130"/>
      <c r="B513" s="130"/>
      <c r="C513" s="130"/>
      <c r="D513" s="130"/>
      <c r="E513" s="130"/>
      <c r="F513" s="130"/>
      <c r="G513" s="130"/>
      <c r="H513" s="130"/>
      <c r="I513" s="130"/>
      <c r="J513" s="130"/>
      <c r="K513" s="239"/>
      <c r="L513" s="239"/>
      <c r="M513" s="130"/>
      <c r="N513" s="130"/>
      <c r="O513" s="130"/>
      <c r="P513" s="130"/>
      <c r="Q513" s="130"/>
      <c r="R513" s="130"/>
      <c r="S513" s="130"/>
      <c r="T513" s="130"/>
      <c r="U513" s="130"/>
      <c r="V513" s="130"/>
      <c r="W513" s="130"/>
    </row>
    <row r="514">
      <c r="A514" s="130"/>
      <c r="B514" s="130"/>
      <c r="C514" s="130"/>
      <c r="D514" s="130"/>
      <c r="E514" s="130"/>
      <c r="F514" s="130"/>
      <c r="G514" s="130"/>
      <c r="H514" s="130"/>
      <c r="I514" s="130"/>
      <c r="J514" s="130"/>
      <c r="K514" s="239"/>
      <c r="L514" s="239"/>
      <c r="M514" s="130"/>
      <c r="N514" s="130"/>
      <c r="O514" s="130"/>
      <c r="P514" s="130"/>
      <c r="Q514" s="130"/>
      <c r="R514" s="130"/>
      <c r="S514" s="130"/>
      <c r="T514" s="130"/>
      <c r="U514" s="130"/>
      <c r="V514" s="130"/>
      <c r="W514" s="130"/>
    </row>
    <row r="515">
      <c r="A515" s="130"/>
      <c r="B515" s="130"/>
      <c r="C515" s="130"/>
      <c r="D515" s="130"/>
      <c r="E515" s="130"/>
      <c r="F515" s="130"/>
      <c r="G515" s="130"/>
      <c r="H515" s="130"/>
      <c r="I515" s="130"/>
      <c r="J515" s="130"/>
      <c r="K515" s="239"/>
      <c r="L515" s="239"/>
      <c r="M515" s="130"/>
      <c r="N515" s="130"/>
      <c r="O515" s="130"/>
      <c r="P515" s="130"/>
      <c r="Q515" s="130"/>
      <c r="R515" s="130"/>
      <c r="S515" s="130"/>
      <c r="T515" s="130"/>
      <c r="U515" s="130"/>
      <c r="V515" s="130"/>
      <c r="W515" s="130"/>
    </row>
    <row r="516">
      <c r="A516" s="130"/>
      <c r="B516" s="130"/>
      <c r="C516" s="130"/>
      <c r="D516" s="130"/>
      <c r="E516" s="130"/>
      <c r="F516" s="130"/>
      <c r="G516" s="130"/>
      <c r="H516" s="130"/>
      <c r="I516" s="130"/>
      <c r="J516" s="130"/>
      <c r="K516" s="239"/>
      <c r="L516" s="239"/>
      <c r="M516" s="130"/>
      <c r="N516" s="130"/>
      <c r="O516" s="130"/>
      <c r="P516" s="130"/>
      <c r="Q516" s="130"/>
      <c r="R516" s="130"/>
      <c r="S516" s="130"/>
      <c r="T516" s="130"/>
      <c r="U516" s="130"/>
      <c r="V516" s="130"/>
      <c r="W516" s="130"/>
    </row>
    <row r="517">
      <c r="A517" s="130"/>
      <c r="B517" s="130"/>
      <c r="C517" s="130"/>
      <c r="D517" s="130"/>
      <c r="E517" s="130"/>
      <c r="F517" s="130"/>
      <c r="G517" s="130"/>
      <c r="H517" s="130"/>
      <c r="I517" s="130"/>
      <c r="J517" s="130"/>
      <c r="K517" s="239"/>
      <c r="L517" s="239"/>
      <c r="M517" s="130"/>
      <c r="N517" s="130"/>
      <c r="O517" s="130"/>
      <c r="P517" s="130"/>
      <c r="Q517" s="130"/>
      <c r="R517" s="130"/>
      <c r="S517" s="130"/>
      <c r="T517" s="130"/>
      <c r="U517" s="130"/>
      <c r="V517" s="130"/>
      <c r="W517" s="130"/>
    </row>
    <row r="518">
      <c r="A518" s="130"/>
      <c r="B518" s="130"/>
      <c r="C518" s="130"/>
      <c r="D518" s="130"/>
      <c r="E518" s="130"/>
      <c r="F518" s="130"/>
      <c r="G518" s="130"/>
      <c r="H518" s="130"/>
      <c r="I518" s="130"/>
      <c r="J518" s="130"/>
      <c r="K518" s="239"/>
      <c r="L518" s="239"/>
      <c r="M518" s="130"/>
      <c r="N518" s="130"/>
      <c r="O518" s="130"/>
      <c r="P518" s="130"/>
      <c r="Q518" s="130"/>
      <c r="R518" s="130"/>
      <c r="S518" s="130"/>
      <c r="T518" s="130"/>
      <c r="U518" s="130"/>
      <c r="V518" s="130"/>
      <c r="W518" s="130"/>
    </row>
    <row r="519">
      <c r="A519" s="130"/>
      <c r="B519" s="130"/>
      <c r="C519" s="130"/>
      <c r="D519" s="130"/>
      <c r="E519" s="130"/>
      <c r="F519" s="130"/>
      <c r="G519" s="130"/>
      <c r="H519" s="130"/>
      <c r="I519" s="130"/>
      <c r="J519" s="130"/>
      <c r="K519" s="239"/>
      <c r="L519" s="239"/>
      <c r="M519" s="130"/>
      <c r="N519" s="130"/>
      <c r="O519" s="130"/>
      <c r="P519" s="130"/>
      <c r="Q519" s="130"/>
      <c r="R519" s="130"/>
      <c r="S519" s="130"/>
      <c r="T519" s="130"/>
      <c r="U519" s="130"/>
      <c r="V519" s="130"/>
      <c r="W519" s="130"/>
    </row>
    <row r="520">
      <c r="A520" s="130"/>
      <c r="B520" s="130"/>
      <c r="C520" s="130"/>
      <c r="D520" s="130"/>
      <c r="E520" s="130"/>
      <c r="F520" s="130"/>
      <c r="G520" s="130"/>
      <c r="H520" s="130"/>
      <c r="I520" s="130"/>
      <c r="J520" s="130"/>
      <c r="K520" s="239"/>
      <c r="L520" s="239"/>
      <c r="M520" s="130"/>
      <c r="N520" s="130"/>
      <c r="O520" s="130"/>
      <c r="P520" s="130"/>
      <c r="Q520" s="130"/>
      <c r="R520" s="130"/>
      <c r="S520" s="130"/>
      <c r="T520" s="130"/>
      <c r="U520" s="130"/>
      <c r="V520" s="130"/>
      <c r="W520" s="130"/>
    </row>
    <row r="521">
      <c r="A521" s="130"/>
      <c r="B521" s="130"/>
      <c r="C521" s="130"/>
      <c r="D521" s="130"/>
      <c r="E521" s="130"/>
      <c r="F521" s="130"/>
      <c r="G521" s="130"/>
      <c r="H521" s="130"/>
      <c r="I521" s="130"/>
      <c r="J521" s="130"/>
      <c r="K521" s="239"/>
      <c r="L521" s="239"/>
      <c r="M521" s="130"/>
      <c r="N521" s="130"/>
      <c r="O521" s="130"/>
      <c r="P521" s="130"/>
      <c r="Q521" s="130"/>
      <c r="R521" s="130"/>
      <c r="S521" s="130"/>
      <c r="T521" s="130"/>
      <c r="U521" s="130"/>
      <c r="V521" s="130"/>
      <c r="W521" s="130"/>
    </row>
    <row r="522">
      <c r="A522" s="130"/>
      <c r="B522" s="130"/>
      <c r="C522" s="130"/>
      <c r="D522" s="130"/>
      <c r="E522" s="130"/>
      <c r="F522" s="130"/>
      <c r="G522" s="130"/>
      <c r="H522" s="130"/>
      <c r="I522" s="130"/>
      <c r="J522" s="130"/>
      <c r="K522" s="239"/>
      <c r="L522" s="239"/>
      <c r="M522" s="130"/>
      <c r="N522" s="130"/>
      <c r="O522" s="130"/>
      <c r="P522" s="130"/>
      <c r="Q522" s="130"/>
      <c r="R522" s="130"/>
      <c r="S522" s="130"/>
      <c r="T522" s="130"/>
      <c r="U522" s="130"/>
      <c r="V522" s="130"/>
      <c r="W522" s="130"/>
    </row>
    <row r="523">
      <c r="A523" s="130"/>
      <c r="B523" s="130"/>
      <c r="C523" s="130"/>
      <c r="D523" s="130"/>
      <c r="E523" s="130"/>
      <c r="F523" s="130"/>
      <c r="G523" s="130"/>
      <c r="H523" s="130"/>
      <c r="I523" s="130"/>
      <c r="J523" s="130"/>
      <c r="K523" s="239"/>
      <c r="L523" s="239"/>
      <c r="M523" s="130"/>
      <c r="N523" s="130"/>
      <c r="O523" s="130"/>
      <c r="P523" s="130"/>
      <c r="Q523" s="130"/>
      <c r="R523" s="130"/>
      <c r="S523" s="130"/>
      <c r="T523" s="130"/>
      <c r="U523" s="130"/>
      <c r="V523" s="130"/>
      <c r="W523" s="130"/>
    </row>
    <row r="524">
      <c r="A524" s="130"/>
      <c r="B524" s="130"/>
      <c r="C524" s="130"/>
      <c r="D524" s="130"/>
      <c r="E524" s="130"/>
      <c r="F524" s="130"/>
      <c r="G524" s="130"/>
      <c r="H524" s="130"/>
      <c r="I524" s="130"/>
      <c r="J524" s="130"/>
      <c r="K524" s="239"/>
      <c r="L524" s="239"/>
      <c r="M524" s="130"/>
      <c r="N524" s="130"/>
      <c r="O524" s="130"/>
      <c r="P524" s="130"/>
      <c r="Q524" s="130"/>
      <c r="R524" s="130"/>
      <c r="S524" s="130"/>
      <c r="T524" s="130"/>
      <c r="U524" s="130"/>
      <c r="V524" s="130"/>
      <c r="W524" s="130"/>
    </row>
    <row r="525">
      <c r="A525" s="130"/>
      <c r="B525" s="130"/>
      <c r="C525" s="130"/>
      <c r="D525" s="130"/>
      <c r="E525" s="130"/>
      <c r="F525" s="130"/>
      <c r="G525" s="130"/>
      <c r="H525" s="130"/>
      <c r="I525" s="130"/>
      <c r="J525" s="130"/>
      <c r="K525" s="239"/>
      <c r="L525" s="239"/>
      <c r="M525" s="130"/>
      <c r="N525" s="130"/>
      <c r="O525" s="130"/>
      <c r="P525" s="130"/>
      <c r="Q525" s="130"/>
      <c r="R525" s="130"/>
      <c r="S525" s="130"/>
      <c r="T525" s="130"/>
      <c r="U525" s="130"/>
      <c r="V525" s="130"/>
      <c r="W525" s="130"/>
    </row>
    <row r="526">
      <c r="A526" s="130"/>
      <c r="B526" s="130"/>
      <c r="C526" s="130"/>
      <c r="D526" s="130"/>
      <c r="E526" s="130"/>
      <c r="F526" s="130"/>
      <c r="G526" s="130"/>
      <c r="H526" s="130"/>
      <c r="I526" s="130"/>
      <c r="J526" s="130"/>
      <c r="K526" s="239"/>
      <c r="L526" s="239"/>
      <c r="M526" s="130"/>
      <c r="N526" s="130"/>
      <c r="O526" s="130"/>
      <c r="P526" s="130"/>
      <c r="Q526" s="130"/>
      <c r="R526" s="130"/>
      <c r="S526" s="130"/>
      <c r="T526" s="130"/>
      <c r="U526" s="130"/>
      <c r="V526" s="130"/>
      <c r="W526" s="130"/>
    </row>
    <row r="527">
      <c r="A527" s="130"/>
      <c r="B527" s="130"/>
      <c r="C527" s="130"/>
      <c r="D527" s="130"/>
      <c r="E527" s="130"/>
      <c r="F527" s="130"/>
      <c r="G527" s="130"/>
      <c r="H527" s="130"/>
      <c r="I527" s="130"/>
      <c r="J527" s="130"/>
      <c r="K527" s="239"/>
      <c r="L527" s="239"/>
      <c r="M527" s="130"/>
      <c r="N527" s="130"/>
      <c r="O527" s="130"/>
      <c r="P527" s="130"/>
      <c r="Q527" s="130"/>
      <c r="R527" s="130"/>
      <c r="S527" s="130"/>
      <c r="T527" s="130"/>
      <c r="U527" s="130"/>
      <c r="V527" s="130"/>
      <c r="W527" s="130"/>
    </row>
    <row r="528">
      <c r="A528" s="130"/>
      <c r="B528" s="130"/>
      <c r="C528" s="130"/>
      <c r="D528" s="130"/>
      <c r="E528" s="130"/>
      <c r="F528" s="130"/>
      <c r="G528" s="130"/>
      <c r="H528" s="130"/>
      <c r="I528" s="130"/>
      <c r="J528" s="130"/>
      <c r="K528" s="239"/>
      <c r="L528" s="239"/>
      <c r="M528" s="130"/>
      <c r="N528" s="130"/>
      <c r="O528" s="130"/>
      <c r="P528" s="130"/>
      <c r="Q528" s="130"/>
      <c r="R528" s="130"/>
      <c r="S528" s="130"/>
      <c r="T528" s="130"/>
      <c r="U528" s="130"/>
      <c r="V528" s="130"/>
      <c r="W528" s="130"/>
    </row>
    <row r="529">
      <c r="A529" s="130"/>
      <c r="B529" s="130"/>
      <c r="C529" s="130"/>
      <c r="D529" s="130"/>
      <c r="E529" s="130"/>
      <c r="F529" s="130"/>
      <c r="G529" s="130"/>
      <c r="H529" s="130"/>
      <c r="I529" s="130"/>
      <c r="J529" s="130"/>
      <c r="K529" s="239"/>
      <c r="L529" s="239"/>
      <c r="M529" s="130"/>
      <c r="N529" s="130"/>
      <c r="O529" s="130"/>
      <c r="P529" s="130"/>
      <c r="Q529" s="130"/>
      <c r="R529" s="130"/>
      <c r="S529" s="130"/>
      <c r="T529" s="130"/>
      <c r="U529" s="130"/>
      <c r="V529" s="130"/>
      <c r="W529" s="130"/>
    </row>
    <row r="530">
      <c r="A530" s="130"/>
      <c r="B530" s="130"/>
      <c r="C530" s="130"/>
      <c r="D530" s="130"/>
      <c r="E530" s="130"/>
      <c r="F530" s="130"/>
      <c r="G530" s="130"/>
      <c r="H530" s="130"/>
      <c r="I530" s="130"/>
      <c r="J530" s="130"/>
      <c r="K530" s="239"/>
      <c r="L530" s="239"/>
      <c r="M530" s="130"/>
      <c r="N530" s="130"/>
      <c r="O530" s="130"/>
      <c r="P530" s="130"/>
      <c r="Q530" s="130"/>
      <c r="R530" s="130"/>
      <c r="S530" s="130"/>
      <c r="T530" s="130"/>
      <c r="U530" s="130"/>
      <c r="V530" s="130"/>
      <c r="W530" s="130"/>
    </row>
    <row r="531">
      <c r="A531" s="130"/>
      <c r="B531" s="130"/>
      <c r="C531" s="130"/>
      <c r="D531" s="130"/>
      <c r="E531" s="130"/>
      <c r="F531" s="130"/>
      <c r="G531" s="130"/>
      <c r="H531" s="130"/>
      <c r="I531" s="130"/>
      <c r="J531" s="130"/>
      <c r="K531" s="239"/>
      <c r="L531" s="239"/>
      <c r="M531" s="130"/>
      <c r="N531" s="130"/>
      <c r="O531" s="130"/>
      <c r="P531" s="130"/>
      <c r="Q531" s="130"/>
      <c r="R531" s="130"/>
      <c r="S531" s="130"/>
      <c r="T531" s="130"/>
      <c r="U531" s="130"/>
      <c r="V531" s="130"/>
      <c r="W531" s="130"/>
    </row>
    <row r="532">
      <c r="A532" s="130"/>
      <c r="B532" s="130"/>
      <c r="C532" s="130"/>
      <c r="D532" s="130"/>
      <c r="E532" s="130"/>
      <c r="F532" s="130"/>
      <c r="G532" s="130"/>
      <c r="H532" s="130"/>
      <c r="I532" s="130"/>
      <c r="J532" s="130"/>
      <c r="K532" s="239"/>
      <c r="L532" s="239"/>
      <c r="M532" s="130"/>
      <c r="N532" s="130"/>
      <c r="O532" s="130"/>
      <c r="P532" s="130"/>
      <c r="Q532" s="130"/>
      <c r="R532" s="130"/>
      <c r="S532" s="130"/>
      <c r="T532" s="130"/>
      <c r="U532" s="130"/>
      <c r="V532" s="130"/>
      <c r="W532" s="130"/>
    </row>
    <row r="533">
      <c r="A533" s="130"/>
      <c r="B533" s="130"/>
      <c r="C533" s="130"/>
      <c r="D533" s="130"/>
      <c r="E533" s="130"/>
      <c r="F533" s="130"/>
      <c r="G533" s="130"/>
      <c r="H533" s="130"/>
      <c r="I533" s="130"/>
      <c r="J533" s="130"/>
      <c r="K533" s="239"/>
      <c r="L533" s="239"/>
      <c r="M533" s="130"/>
      <c r="N533" s="130"/>
      <c r="O533" s="130"/>
      <c r="P533" s="130"/>
      <c r="Q533" s="130"/>
      <c r="R533" s="130"/>
      <c r="S533" s="130"/>
      <c r="T533" s="130"/>
      <c r="U533" s="130"/>
      <c r="V533" s="130"/>
      <c r="W533" s="130"/>
    </row>
    <row r="534">
      <c r="A534" s="130"/>
      <c r="B534" s="130"/>
      <c r="C534" s="130"/>
      <c r="D534" s="130"/>
      <c r="E534" s="130"/>
      <c r="F534" s="130"/>
      <c r="G534" s="130"/>
      <c r="H534" s="130"/>
      <c r="I534" s="130"/>
      <c r="J534" s="130"/>
      <c r="K534" s="239"/>
      <c r="L534" s="239"/>
      <c r="M534" s="130"/>
      <c r="N534" s="130"/>
      <c r="O534" s="130"/>
      <c r="P534" s="130"/>
      <c r="Q534" s="130"/>
      <c r="R534" s="130"/>
      <c r="S534" s="130"/>
      <c r="T534" s="130"/>
      <c r="U534" s="130"/>
      <c r="V534" s="130"/>
      <c r="W534" s="130"/>
    </row>
    <row r="535">
      <c r="A535" s="130"/>
      <c r="B535" s="130"/>
      <c r="C535" s="130"/>
      <c r="D535" s="130"/>
      <c r="E535" s="130"/>
      <c r="F535" s="130"/>
      <c r="G535" s="130"/>
      <c r="H535" s="130"/>
      <c r="I535" s="130"/>
      <c r="J535" s="130"/>
      <c r="K535" s="239"/>
      <c r="L535" s="239"/>
      <c r="M535" s="130"/>
      <c r="N535" s="130"/>
      <c r="O535" s="130"/>
      <c r="P535" s="130"/>
      <c r="Q535" s="130"/>
      <c r="R535" s="130"/>
      <c r="S535" s="130"/>
      <c r="T535" s="130"/>
      <c r="U535" s="130"/>
      <c r="V535" s="130"/>
      <c r="W535" s="130"/>
    </row>
    <row r="536">
      <c r="A536" s="130"/>
      <c r="B536" s="130"/>
      <c r="C536" s="130"/>
      <c r="D536" s="130"/>
      <c r="E536" s="130"/>
      <c r="F536" s="130"/>
      <c r="G536" s="130"/>
      <c r="H536" s="130"/>
      <c r="I536" s="130"/>
      <c r="J536" s="130"/>
      <c r="K536" s="239"/>
      <c r="L536" s="239"/>
      <c r="M536" s="130"/>
      <c r="N536" s="130"/>
      <c r="O536" s="130"/>
      <c r="P536" s="130"/>
      <c r="Q536" s="130"/>
      <c r="R536" s="130"/>
      <c r="S536" s="130"/>
      <c r="T536" s="130"/>
      <c r="U536" s="130"/>
      <c r="V536" s="130"/>
      <c r="W536" s="130"/>
    </row>
    <row r="537">
      <c r="A537" s="130"/>
      <c r="B537" s="130"/>
      <c r="C537" s="130"/>
      <c r="D537" s="130"/>
      <c r="E537" s="130"/>
      <c r="F537" s="130"/>
      <c r="G537" s="130"/>
      <c r="H537" s="130"/>
      <c r="I537" s="130"/>
      <c r="J537" s="130"/>
      <c r="K537" s="239"/>
      <c r="L537" s="239"/>
      <c r="M537" s="130"/>
      <c r="N537" s="130"/>
      <c r="O537" s="130"/>
      <c r="P537" s="130"/>
      <c r="Q537" s="130"/>
      <c r="R537" s="130"/>
      <c r="S537" s="130"/>
      <c r="T537" s="130"/>
      <c r="U537" s="130"/>
      <c r="V537" s="130"/>
      <c r="W537" s="130"/>
    </row>
    <row r="538">
      <c r="A538" s="130"/>
      <c r="B538" s="130"/>
      <c r="C538" s="130"/>
      <c r="D538" s="130"/>
      <c r="E538" s="130"/>
      <c r="F538" s="130"/>
      <c r="G538" s="130"/>
      <c r="H538" s="130"/>
      <c r="I538" s="130"/>
      <c r="J538" s="130"/>
      <c r="K538" s="239"/>
      <c r="L538" s="239"/>
      <c r="M538" s="130"/>
      <c r="N538" s="130"/>
      <c r="O538" s="130"/>
      <c r="P538" s="130"/>
      <c r="Q538" s="130"/>
      <c r="R538" s="130"/>
      <c r="S538" s="130"/>
      <c r="T538" s="130"/>
      <c r="U538" s="130"/>
      <c r="V538" s="130"/>
      <c r="W538" s="130"/>
    </row>
    <row r="539">
      <c r="A539" s="130"/>
      <c r="B539" s="130"/>
      <c r="C539" s="130"/>
      <c r="D539" s="130"/>
      <c r="E539" s="130"/>
      <c r="F539" s="130"/>
      <c r="G539" s="130"/>
      <c r="H539" s="130"/>
      <c r="I539" s="130"/>
      <c r="J539" s="130"/>
      <c r="K539" s="239"/>
      <c r="L539" s="239"/>
      <c r="M539" s="130"/>
      <c r="N539" s="130"/>
      <c r="O539" s="130"/>
      <c r="P539" s="130"/>
      <c r="Q539" s="130"/>
      <c r="R539" s="130"/>
      <c r="S539" s="130"/>
      <c r="T539" s="130"/>
      <c r="U539" s="130"/>
      <c r="V539" s="130"/>
      <c r="W539" s="130"/>
    </row>
    <row r="540">
      <c r="A540" s="130"/>
      <c r="B540" s="130"/>
      <c r="C540" s="130"/>
      <c r="D540" s="130"/>
      <c r="E540" s="130"/>
      <c r="F540" s="130"/>
      <c r="G540" s="130"/>
      <c r="H540" s="130"/>
      <c r="I540" s="130"/>
      <c r="J540" s="130"/>
      <c r="K540" s="239"/>
      <c r="L540" s="239"/>
      <c r="M540" s="130"/>
      <c r="N540" s="130"/>
      <c r="O540" s="130"/>
      <c r="P540" s="130"/>
      <c r="Q540" s="130"/>
      <c r="R540" s="130"/>
      <c r="S540" s="130"/>
      <c r="T540" s="130"/>
      <c r="U540" s="130"/>
      <c r="V540" s="130"/>
      <c r="W540" s="130"/>
    </row>
    <row r="541">
      <c r="A541" s="130"/>
      <c r="B541" s="130"/>
      <c r="C541" s="130"/>
      <c r="D541" s="130"/>
      <c r="E541" s="130"/>
      <c r="F541" s="130"/>
      <c r="G541" s="130"/>
      <c r="H541" s="130"/>
      <c r="I541" s="130"/>
      <c r="J541" s="130"/>
      <c r="K541" s="239"/>
      <c r="L541" s="239"/>
      <c r="M541" s="130"/>
      <c r="N541" s="130"/>
      <c r="O541" s="130"/>
      <c r="P541" s="130"/>
      <c r="Q541" s="130"/>
      <c r="R541" s="130"/>
      <c r="S541" s="130"/>
      <c r="T541" s="130"/>
      <c r="U541" s="130"/>
      <c r="V541" s="130"/>
      <c r="W541" s="130"/>
    </row>
    <row r="542">
      <c r="A542" s="130"/>
      <c r="B542" s="130"/>
      <c r="C542" s="130"/>
      <c r="D542" s="130"/>
      <c r="E542" s="130"/>
      <c r="F542" s="130"/>
      <c r="G542" s="130"/>
      <c r="H542" s="130"/>
      <c r="I542" s="130"/>
      <c r="J542" s="130"/>
      <c r="K542" s="239"/>
      <c r="L542" s="239"/>
      <c r="M542" s="130"/>
      <c r="N542" s="130"/>
      <c r="O542" s="130"/>
      <c r="P542" s="130"/>
      <c r="Q542" s="130"/>
      <c r="R542" s="130"/>
      <c r="S542" s="130"/>
      <c r="T542" s="130"/>
      <c r="U542" s="130"/>
      <c r="V542" s="130"/>
      <c r="W542" s="130"/>
    </row>
    <row r="543">
      <c r="A543" s="130"/>
      <c r="B543" s="130"/>
      <c r="C543" s="130"/>
      <c r="D543" s="130"/>
      <c r="E543" s="130"/>
      <c r="F543" s="130"/>
      <c r="G543" s="130"/>
      <c r="H543" s="130"/>
      <c r="I543" s="130"/>
      <c r="J543" s="130"/>
      <c r="K543" s="239"/>
      <c r="L543" s="239"/>
      <c r="M543" s="130"/>
      <c r="N543" s="130"/>
      <c r="O543" s="130"/>
      <c r="P543" s="130"/>
      <c r="Q543" s="130"/>
      <c r="R543" s="130"/>
      <c r="S543" s="130"/>
      <c r="T543" s="130"/>
      <c r="U543" s="130"/>
      <c r="V543" s="130"/>
      <c r="W543" s="130"/>
    </row>
    <row r="544">
      <c r="A544" s="130"/>
      <c r="B544" s="130"/>
      <c r="C544" s="130"/>
      <c r="D544" s="130"/>
      <c r="E544" s="130"/>
      <c r="F544" s="130"/>
      <c r="G544" s="130"/>
      <c r="H544" s="130"/>
      <c r="I544" s="130"/>
      <c r="J544" s="130"/>
      <c r="K544" s="239"/>
      <c r="L544" s="239"/>
      <c r="M544" s="130"/>
      <c r="N544" s="130"/>
      <c r="O544" s="130"/>
      <c r="P544" s="130"/>
      <c r="Q544" s="130"/>
      <c r="R544" s="130"/>
      <c r="S544" s="130"/>
      <c r="T544" s="130"/>
      <c r="U544" s="130"/>
      <c r="V544" s="130"/>
      <c r="W544" s="130"/>
    </row>
    <row r="545">
      <c r="A545" s="130"/>
      <c r="B545" s="130"/>
      <c r="C545" s="130"/>
      <c r="D545" s="130"/>
      <c r="E545" s="130"/>
      <c r="F545" s="130"/>
      <c r="G545" s="130"/>
      <c r="H545" s="130"/>
      <c r="I545" s="130"/>
      <c r="J545" s="130"/>
      <c r="K545" s="239"/>
      <c r="L545" s="239"/>
      <c r="M545" s="130"/>
      <c r="N545" s="130"/>
      <c r="O545" s="130"/>
      <c r="P545" s="130"/>
      <c r="Q545" s="130"/>
      <c r="R545" s="130"/>
      <c r="S545" s="130"/>
      <c r="T545" s="130"/>
      <c r="U545" s="130"/>
      <c r="V545" s="130"/>
      <c r="W545" s="130"/>
    </row>
    <row r="546">
      <c r="A546" s="130"/>
      <c r="B546" s="130"/>
      <c r="C546" s="130"/>
      <c r="D546" s="130"/>
      <c r="E546" s="130"/>
      <c r="F546" s="130"/>
      <c r="G546" s="130"/>
      <c r="H546" s="130"/>
      <c r="I546" s="130"/>
      <c r="J546" s="130"/>
      <c r="K546" s="239"/>
      <c r="L546" s="239"/>
      <c r="M546" s="130"/>
      <c r="N546" s="130"/>
      <c r="O546" s="130"/>
      <c r="P546" s="130"/>
      <c r="Q546" s="130"/>
      <c r="R546" s="130"/>
      <c r="S546" s="130"/>
      <c r="T546" s="130"/>
      <c r="U546" s="130"/>
      <c r="V546" s="130"/>
      <c r="W546" s="130"/>
    </row>
    <row r="547">
      <c r="A547" s="130"/>
      <c r="B547" s="130"/>
      <c r="C547" s="130"/>
      <c r="D547" s="130"/>
      <c r="E547" s="130"/>
      <c r="F547" s="130"/>
      <c r="G547" s="130"/>
      <c r="H547" s="130"/>
      <c r="I547" s="130"/>
      <c r="J547" s="130"/>
      <c r="K547" s="239"/>
      <c r="L547" s="239"/>
      <c r="M547" s="130"/>
      <c r="N547" s="130"/>
      <c r="O547" s="130"/>
      <c r="P547" s="130"/>
      <c r="Q547" s="130"/>
      <c r="R547" s="130"/>
      <c r="S547" s="130"/>
      <c r="T547" s="130"/>
      <c r="U547" s="130"/>
      <c r="V547" s="130"/>
      <c r="W547" s="130"/>
    </row>
    <row r="548">
      <c r="A548" s="130"/>
      <c r="B548" s="130"/>
      <c r="C548" s="130"/>
      <c r="D548" s="130"/>
      <c r="E548" s="130"/>
      <c r="F548" s="130"/>
      <c r="G548" s="130"/>
      <c r="H548" s="130"/>
      <c r="I548" s="130"/>
      <c r="J548" s="130"/>
      <c r="K548" s="239"/>
      <c r="L548" s="239"/>
      <c r="M548" s="130"/>
      <c r="N548" s="130"/>
      <c r="O548" s="130"/>
      <c r="P548" s="130"/>
      <c r="Q548" s="130"/>
      <c r="R548" s="130"/>
      <c r="S548" s="130"/>
      <c r="T548" s="130"/>
      <c r="U548" s="130"/>
      <c r="V548" s="130"/>
      <c r="W548" s="130"/>
    </row>
    <row r="549">
      <c r="A549" s="130"/>
      <c r="B549" s="130"/>
      <c r="C549" s="130"/>
      <c r="D549" s="130"/>
      <c r="E549" s="130"/>
      <c r="F549" s="130"/>
      <c r="G549" s="130"/>
      <c r="H549" s="130"/>
      <c r="I549" s="130"/>
      <c r="J549" s="130"/>
      <c r="K549" s="239"/>
      <c r="L549" s="239"/>
      <c r="M549" s="130"/>
      <c r="N549" s="130"/>
      <c r="O549" s="130"/>
      <c r="P549" s="130"/>
      <c r="Q549" s="130"/>
      <c r="R549" s="130"/>
      <c r="S549" s="130"/>
      <c r="T549" s="130"/>
      <c r="U549" s="130"/>
      <c r="V549" s="130"/>
      <c r="W549" s="130"/>
    </row>
    <row r="550">
      <c r="A550" s="130"/>
      <c r="B550" s="130"/>
      <c r="C550" s="130"/>
      <c r="D550" s="130"/>
      <c r="E550" s="130"/>
      <c r="F550" s="130"/>
      <c r="G550" s="130"/>
      <c r="H550" s="130"/>
      <c r="I550" s="130"/>
      <c r="J550" s="130"/>
      <c r="K550" s="239"/>
      <c r="L550" s="239"/>
      <c r="M550" s="130"/>
      <c r="N550" s="130"/>
      <c r="O550" s="130"/>
      <c r="P550" s="130"/>
      <c r="Q550" s="130"/>
      <c r="R550" s="130"/>
      <c r="S550" s="130"/>
      <c r="T550" s="130"/>
      <c r="U550" s="130"/>
      <c r="V550" s="130"/>
      <c r="W550" s="130"/>
    </row>
    <row r="551">
      <c r="A551" s="130"/>
      <c r="B551" s="130"/>
      <c r="C551" s="130"/>
      <c r="D551" s="130"/>
      <c r="E551" s="130"/>
      <c r="F551" s="130"/>
      <c r="G551" s="130"/>
      <c r="H551" s="130"/>
      <c r="I551" s="130"/>
      <c r="J551" s="130"/>
      <c r="K551" s="239"/>
      <c r="L551" s="239"/>
      <c r="M551" s="130"/>
      <c r="N551" s="130"/>
      <c r="O551" s="130"/>
      <c r="P551" s="130"/>
      <c r="Q551" s="130"/>
      <c r="R551" s="130"/>
      <c r="S551" s="130"/>
      <c r="T551" s="130"/>
      <c r="U551" s="130"/>
      <c r="V551" s="130"/>
      <c r="W551" s="130"/>
    </row>
    <row r="552">
      <c r="A552" s="130"/>
      <c r="B552" s="130"/>
      <c r="C552" s="130"/>
      <c r="D552" s="130"/>
      <c r="E552" s="130"/>
      <c r="F552" s="130"/>
      <c r="G552" s="130"/>
      <c r="H552" s="130"/>
      <c r="I552" s="130"/>
      <c r="J552" s="130"/>
      <c r="K552" s="239"/>
      <c r="L552" s="239"/>
      <c r="M552" s="130"/>
      <c r="N552" s="130"/>
      <c r="O552" s="130"/>
      <c r="P552" s="130"/>
      <c r="Q552" s="130"/>
      <c r="R552" s="130"/>
      <c r="S552" s="130"/>
      <c r="T552" s="130"/>
      <c r="U552" s="130"/>
      <c r="V552" s="130"/>
      <c r="W552" s="130"/>
    </row>
    <row r="553">
      <c r="A553" s="130"/>
      <c r="B553" s="130"/>
      <c r="C553" s="130"/>
      <c r="D553" s="130"/>
      <c r="E553" s="130"/>
      <c r="F553" s="130"/>
      <c r="G553" s="130"/>
      <c r="H553" s="130"/>
      <c r="I553" s="130"/>
      <c r="J553" s="130"/>
      <c r="K553" s="239"/>
      <c r="L553" s="239"/>
      <c r="M553" s="130"/>
      <c r="N553" s="130"/>
      <c r="O553" s="130"/>
      <c r="P553" s="130"/>
      <c r="Q553" s="130"/>
      <c r="R553" s="130"/>
      <c r="S553" s="130"/>
      <c r="T553" s="130"/>
      <c r="U553" s="130"/>
      <c r="V553" s="130"/>
      <c r="W553" s="130"/>
    </row>
    <row r="554">
      <c r="A554" s="130"/>
      <c r="B554" s="130"/>
      <c r="C554" s="130"/>
      <c r="D554" s="130"/>
      <c r="E554" s="130"/>
      <c r="F554" s="130"/>
      <c r="G554" s="130"/>
      <c r="H554" s="130"/>
      <c r="I554" s="130"/>
      <c r="J554" s="130"/>
      <c r="K554" s="239"/>
      <c r="L554" s="239"/>
      <c r="M554" s="130"/>
      <c r="N554" s="130"/>
      <c r="O554" s="130"/>
      <c r="P554" s="130"/>
      <c r="Q554" s="130"/>
      <c r="R554" s="130"/>
      <c r="S554" s="130"/>
      <c r="T554" s="130"/>
      <c r="U554" s="130"/>
      <c r="V554" s="130"/>
      <c r="W554" s="130"/>
    </row>
    <row r="555">
      <c r="A555" s="130"/>
      <c r="B555" s="130"/>
      <c r="C555" s="130"/>
      <c r="D555" s="130"/>
      <c r="E555" s="130"/>
      <c r="F555" s="130"/>
      <c r="G555" s="130"/>
      <c r="H555" s="130"/>
      <c r="I555" s="130"/>
      <c r="J555" s="130"/>
      <c r="K555" s="239"/>
      <c r="L555" s="239"/>
      <c r="M555" s="130"/>
      <c r="N555" s="130"/>
      <c r="O555" s="130"/>
      <c r="P555" s="130"/>
      <c r="Q555" s="130"/>
      <c r="R555" s="130"/>
      <c r="S555" s="130"/>
      <c r="T555" s="130"/>
      <c r="U555" s="130"/>
      <c r="V555" s="130"/>
      <c r="W555" s="130"/>
    </row>
    <row r="556">
      <c r="A556" s="130"/>
      <c r="B556" s="130"/>
      <c r="C556" s="130"/>
      <c r="D556" s="130"/>
      <c r="E556" s="130"/>
      <c r="F556" s="130"/>
      <c r="G556" s="130"/>
      <c r="H556" s="130"/>
      <c r="I556" s="130"/>
      <c r="J556" s="130"/>
      <c r="K556" s="239"/>
      <c r="L556" s="239"/>
      <c r="M556" s="130"/>
      <c r="N556" s="130"/>
      <c r="O556" s="130"/>
      <c r="P556" s="130"/>
      <c r="Q556" s="130"/>
      <c r="R556" s="130"/>
      <c r="S556" s="130"/>
      <c r="T556" s="130"/>
      <c r="U556" s="130"/>
      <c r="V556" s="130"/>
      <c r="W556" s="130"/>
    </row>
    <row r="557">
      <c r="A557" s="130"/>
      <c r="B557" s="130"/>
      <c r="C557" s="130"/>
      <c r="D557" s="130"/>
      <c r="E557" s="130"/>
      <c r="F557" s="130"/>
      <c r="G557" s="130"/>
      <c r="H557" s="130"/>
      <c r="I557" s="130"/>
      <c r="J557" s="130"/>
      <c r="K557" s="239"/>
      <c r="L557" s="239"/>
      <c r="M557" s="130"/>
      <c r="N557" s="130"/>
      <c r="O557" s="130"/>
      <c r="P557" s="130"/>
      <c r="Q557" s="130"/>
      <c r="R557" s="130"/>
      <c r="S557" s="130"/>
      <c r="T557" s="130"/>
      <c r="U557" s="130"/>
      <c r="V557" s="130"/>
      <c r="W557" s="130"/>
    </row>
    <row r="558">
      <c r="A558" s="130"/>
      <c r="B558" s="130"/>
      <c r="C558" s="130"/>
      <c r="D558" s="130"/>
      <c r="E558" s="130"/>
      <c r="F558" s="130"/>
      <c r="G558" s="130"/>
      <c r="H558" s="130"/>
      <c r="I558" s="130"/>
      <c r="J558" s="130"/>
      <c r="K558" s="239"/>
      <c r="L558" s="239"/>
      <c r="M558" s="130"/>
      <c r="N558" s="130"/>
      <c r="O558" s="130"/>
      <c r="P558" s="130"/>
      <c r="Q558" s="130"/>
      <c r="R558" s="130"/>
      <c r="S558" s="130"/>
      <c r="T558" s="130"/>
      <c r="U558" s="130"/>
      <c r="V558" s="130"/>
      <c r="W558" s="130"/>
    </row>
    <row r="559">
      <c r="A559" s="130"/>
      <c r="B559" s="130"/>
      <c r="C559" s="130"/>
      <c r="D559" s="130"/>
      <c r="E559" s="130"/>
      <c r="F559" s="130"/>
      <c r="G559" s="130"/>
      <c r="H559" s="130"/>
      <c r="I559" s="130"/>
      <c r="J559" s="130"/>
      <c r="K559" s="239"/>
      <c r="L559" s="239"/>
      <c r="M559" s="130"/>
      <c r="N559" s="130"/>
      <c r="O559" s="130"/>
      <c r="P559" s="130"/>
      <c r="Q559" s="130"/>
      <c r="R559" s="130"/>
      <c r="S559" s="130"/>
      <c r="T559" s="130"/>
      <c r="U559" s="130"/>
      <c r="V559" s="130"/>
      <c r="W559" s="130"/>
    </row>
    <row r="560">
      <c r="A560" s="130"/>
      <c r="B560" s="130"/>
      <c r="C560" s="130"/>
      <c r="D560" s="130"/>
      <c r="E560" s="130"/>
      <c r="F560" s="130"/>
      <c r="G560" s="130"/>
      <c r="H560" s="130"/>
      <c r="I560" s="130"/>
      <c r="J560" s="130"/>
      <c r="K560" s="239"/>
      <c r="L560" s="239"/>
      <c r="M560" s="130"/>
      <c r="N560" s="130"/>
      <c r="O560" s="130"/>
      <c r="P560" s="130"/>
      <c r="Q560" s="130"/>
      <c r="R560" s="130"/>
      <c r="S560" s="130"/>
      <c r="T560" s="130"/>
      <c r="U560" s="130"/>
      <c r="V560" s="130"/>
      <c r="W560" s="130"/>
    </row>
    <row r="561">
      <c r="A561" s="130"/>
      <c r="B561" s="130"/>
      <c r="C561" s="130"/>
      <c r="D561" s="130"/>
      <c r="E561" s="130"/>
      <c r="F561" s="130"/>
      <c r="G561" s="130"/>
      <c r="H561" s="130"/>
      <c r="I561" s="130"/>
      <c r="J561" s="130"/>
      <c r="K561" s="239"/>
      <c r="L561" s="239"/>
      <c r="M561" s="130"/>
      <c r="N561" s="130"/>
      <c r="O561" s="130"/>
      <c r="P561" s="130"/>
      <c r="Q561" s="130"/>
      <c r="R561" s="130"/>
      <c r="S561" s="130"/>
      <c r="T561" s="130"/>
      <c r="U561" s="130"/>
      <c r="V561" s="130"/>
      <c r="W561" s="130"/>
    </row>
    <row r="562">
      <c r="A562" s="130"/>
      <c r="B562" s="130"/>
      <c r="C562" s="130"/>
      <c r="D562" s="130"/>
      <c r="E562" s="130"/>
      <c r="F562" s="130"/>
      <c r="G562" s="130"/>
      <c r="H562" s="130"/>
      <c r="I562" s="130"/>
      <c r="J562" s="130"/>
      <c r="K562" s="239"/>
      <c r="L562" s="239"/>
      <c r="M562" s="130"/>
      <c r="N562" s="130"/>
      <c r="O562" s="130"/>
      <c r="P562" s="130"/>
      <c r="Q562" s="130"/>
      <c r="R562" s="130"/>
      <c r="S562" s="130"/>
      <c r="T562" s="130"/>
      <c r="U562" s="130"/>
      <c r="V562" s="130"/>
      <c r="W562" s="130"/>
    </row>
    <row r="563">
      <c r="A563" s="130"/>
      <c r="B563" s="130"/>
      <c r="C563" s="130"/>
      <c r="D563" s="130"/>
      <c r="E563" s="130"/>
      <c r="F563" s="130"/>
      <c r="G563" s="130"/>
      <c r="H563" s="130"/>
      <c r="I563" s="130"/>
      <c r="J563" s="130"/>
      <c r="K563" s="239"/>
      <c r="L563" s="239"/>
      <c r="M563" s="130"/>
      <c r="N563" s="130"/>
      <c r="O563" s="130"/>
      <c r="P563" s="130"/>
      <c r="Q563" s="130"/>
      <c r="R563" s="130"/>
      <c r="S563" s="130"/>
      <c r="T563" s="130"/>
      <c r="U563" s="130"/>
      <c r="V563" s="130"/>
      <c r="W563" s="130"/>
    </row>
    <row r="564">
      <c r="A564" s="130"/>
      <c r="B564" s="130"/>
      <c r="C564" s="130"/>
      <c r="D564" s="130"/>
      <c r="E564" s="130"/>
      <c r="F564" s="130"/>
      <c r="G564" s="130"/>
      <c r="H564" s="130"/>
      <c r="I564" s="130"/>
      <c r="J564" s="130"/>
      <c r="K564" s="239"/>
      <c r="L564" s="239"/>
      <c r="M564" s="130"/>
      <c r="N564" s="130"/>
      <c r="O564" s="130"/>
      <c r="P564" s="130"/>
      <c r="Q564" s="130"/>
      <c r="R564" s="130"/>
      <c r="S564" s="130"/>
      <c r="T564" s="130"/>
      <c r="U564" s="130"/>
      <c r="V564" s="130"/>
      <c r="W564" s="130"/>
    </row>
    <row r="565">
      <c r="A565" s="130"/>
      <c r="B565" s="130"/>
      <c r="C565" s="130"/>
      <c r="D565" s="130"/>
      <c r="E565" s="130"/>
      <c r="F565" s="130"/>
      <c r="G565" s="130"/>
      <c r="H565" s="130"/>
      <c r="I565" s="130"/>
      <c r="J565" s="130"/>
      <c r="K565" s="239"/>
      <c r="L565" s="239"/>
      <c r="M565" s="130"/>
      <c r="N565" s="130"/>
      <c r="O565" s="130"/>
      <c r="P565" s="130"/>
      <c r="Q565" s="130"/>
      <c r="R565" s="130"/>
      <c r="S565" s="130"/>
      <c r="T565" s="130"/>
      <c r="U565" s="130"/>
      <c r="V565" s="130"/>
      <c r="W565" s="130"/>
    </row>
    <row r="566">
      <c r="A566" s="130"/>
      <c r="B566" s="130"/>
      <c r="C566" s="130"/>
      <c r="D566" s="130"/>
      <c r="E566" s="130"/>
      <c r="F566" s="130"/>
      <c r="G566" s="130"/>
      <c r="H566" s="130"/>
      <c r="I566" s="130"/>
      <c r="J566" s="130"/>
      <c r="K566" s="239"/>
      <c r="L566" s="239"/>
      <c r="M566" s="130"/>
      <c r="N566" s="130"/>
      <c r="O566" s="130"/>
      <c r="P566" s="130"/>
      <c r="Q566" s="130"/>
      <c r="R566" s="130"/>
      <c r="S566" s="130"/>
      <c r="T566" s="130"/>
      <c r="U566" s="130"/>
      <c r="V566" s="130"/>
      <c r="W566" s="130"/>
    </row>
    <row r="567">
      <c r="A567" s="130"/>
      <c r="B567" s="130"/>
      <c r="C567" s="130"/>
      <c r="D567" s="130"/>
      <c r="E567" s="130"/>
      <c r="F567" s="130"/>
      <c r="G567" s="130"/>
      <c r="H567" s="130"/>
      <c r="I567" s="130"/>
      <c r="J567" s="130"/>
      <c r="K567" s="239"/>
      <c r="L567" s="239"/>
      <c r="M567" s="130"/>
      <c r="N567" s="130"/>
      <c r="O567" s="130"/>
      <c r="P567" s="130"/>
      <c r="Q567" s="130"/>
      <c r="R567" s="130"/>
      <c r="S567" s="130"/>
      <c r="T567" s="130"/>
      <c r="U567" s="130"/>
      <c r="V567" s="130"/>
      <c r="W567" s="130"/>
    </row>
    <row r="568">
      <c r="A568" s="130"/>
      <c r="B568" s="130"/>
      <c r="C568" s="130"/>
      <c r="D568" s="130"/>
      <c r="E568" s="130"/>
      <c r="F568" s="130"/>
      <c r="G568" s="130"/>
      <c r="H568" s="130"/>
      <c r="I568" s="130"/>
      <c r="J568" s="130"/>
      <c r="K568" s="239"/>
      <c r="L568" s="239"/>
      <c r="M568" s="130"/>
      <c r="N568" s="130"/>
      <c r="O568" s="130"/>
      <c r="P568" s="130"/>
      <c r="Q568" s="130"/>
      <c r="R568" s="130"/>
      <c r="S568" s="130"/>
      <c r="T568" s="130"/>
      <c r="U568" s="130"/>
      <c r="V568" s="130"/>
      <c r="W568" s="130"/>
    </row>
    <row r="569">
      <c r="A569" s="130"/>
      <c r="B569" s="130"/>
      <c r="C569" s="130"/>
      <c r="D569" s="130"/>
      <c r="E569" s="130"/>
      <c r="F569" s="130"/>
      <c r="G569" s="130"/>
      <c r="H569" s="130"/>
      <c r="I569" s="130"/>
      <c r="J569" s="130"/>
      <c r="K569" s="239"/>
      <c r="L569" s="239"/>
      <c r="M569" s="130"/>
      <c r="N569" s="130"/>
      <c r="O569" s="130"/>
      <c r="P569" s="130"/>
      <c r="Q569" s="130"/>
      <c r="R569" s="130"/>
      <c r="S569" s="130"/>
      <c r="T569" s="130"/>
      <c r="U569" s="130"/>
      <c r="V569" s="130"/>
      <c r="W569" s="130"/>
    </row>
    <row r="570">
      <c r="A570" s="130"/>
      <c r="B570" s="130"/>
      <c r="C570" s="130"/>
      <c r="D570" s="130"/>
      <c r="E570" s="130"/>
      <c r="F570" s="130"/>
      <c r="G570" s="130"/>
      <c r="H570" s="130"/>
      <c r="I570" s="130"/>
      <c r="J570" s="130"/>
      <c r="K570" s="239"/>
      <c r="L570" s="239"/>
      <c r="M570" s="130"/>
      <c r="N570" s="130"/>
      <c r="O570" s="130"/>
      <c r="P570" s="130"/>
      <c r="Q570" s="130"/>
      <c r="R570" s="130"/>
      <c r="S570" s="130"/>
      <c r="T570" s="130"/>
      <c r="U570" s="130"/>
      <c r="V570" s="130"/>
      <c r="W570" s="130"/>
    </row>
    <row r="571">
      <c r="A571" s="130"/>
      <c r="B571" s="130"/>
      <c r="C571" s="130"/>
      <c r="D571" s="130"/>
      <c r="E571" s="130"/>
      <c r="F571" s="130"/>
      <c r="G571" s="130"/>
      <c r="H571" s="130"/>
      <c r="I571" s="130"/>
      <c r="J571" s="130"/>
      <c r="K571" s="239"/>
      <c r="L571" s="239"/>
      <c r="M571" s="130"/>
      <c r="N571" s="130"/>
      <c r="O571" s="130"/>
      <c r="P571" s="130"/>
      <c r="Q571" s="130"/>
      <c r="R571" s="130"/>
      <c r="S571" s="130"/>
      <c r="T571" s="130"/>
      <c r="U571" s="130"/>
      <c r="V571" s="130"/>
      <c r="W571" s="130"/>
    </row>
    <row r="572">
      <c r="A572" s="130"/>
      <c r="B572" s="130"/>
      <c r="C572" s="130"/>
      <c r="D572" s="130"/>
      <c r="E572" s="130"/>
      <c r="F572" s="130"/>
      <c r="G572" s="130"/>
      <c r="H572" s="130"/>
      <c r="I572" s="130"/>
      <c r="J572" s="130"/>
      <c r="K572" s="239"/>
      <c r="L572" s="239"/>
      <c r="M572" s="130"/>
      <c r="N572" s="130"/>
      <c r="O572" s="130"/>
      <c r="P572" s="130"/>
      <c r="Q572" s="130"/>
      <c r="R572" s="130"/>
      <c r="S572" s="130"/>
      <c r="T572" s="130"/>
      <c r="U572" s="130"/>
      <c r="V572" s="130"/>
      <c r="W572" s="130"/>
    </row>
    <row r="573">
      <c r="A573" s="130"/>
      <c r="B573" s="130"/>
      <c r="C573" s="130"/>
      <c r="D573" s="130"/>
      <c r="E573" s="130"/>
      <c r="F573" s="130"/>
      <c r="G573" s="130"/>
      <c r="H573" s="130"/>
      <c r="I573" s="130"/>
      <c r="J573" s="130"/>
      <c r="K573" s="239"/>
      <c r="L573" s="239"/>
      <c r="M573" s="130"/>
      <c r="N573" s="130"/>
      <c r="O573" s="130"/>
      <c r="P573" s="130"/>
      <c r="Q573" s="130"/>
      <c r="R573" s="130"/>
      <c r="S573" s="130"/>
      <c r="T573" s="130"/>
      <c r="U573" s="130"/>
      <c r="V573" s="130"/>
      <c r="W573" s="130"/>
    </row>
    <row r="574">
      <c r="A574" s="130"/>
      <c r="B574" s="130"/>
      <c r="C574" s="130"/>
      <c r="D574" s="130"/>
      <c r="E574" s="130"/>
      <c r="F574" s="130"/>
      <c r="G574" s="130"/>
      <c r="H574" s="130"/>
      <c r="I574" s="130"/>
      <c r="J574" s="130"/>
      <c r="K574" s="239"/>
      <c r="L574" s="239"/>
      <c r="M574" s="130"/>
      <c r="N574" s="130"/>
      <c r="O574" s="130"/>
      <c r="P574" s="130"/>
      <c r="Q574" s="130"/>
      <c r="R574" s="130"/>
      <c r="S574" s="130"/>
      <c r="T574" s="130"/>
      <c r="U574" s="130"/>
      <c r="V574" s="130"/>
      <c r="W574" s="130"/>
    </row>
    <row r="575">
      <c r="A575" s="130"/>
      <c r="B575" s="130"/>
      <c r="C575" s="130"/>
      <c r="D575" s="130"/>
      <c r="E575" s="130"/>
      <c r="F575" s="130"/>
      <c r="G575" s="130"/>
      <c r="H575" s="130"/>
      <c r="I575" s="130"/>
      <c r="J575" s="130"/>
      <c r="K575" s="239"/>
      <c r="L575" s="239"/>
      <c r="M575" s="130"/>
      <c r="N575" s="130"/>
      <c r="O575" s="130"/>
      <c r="P575" s="130"/>
      <c r="Q575" s="130"/>
      <c r="R575" s="130"/>
      <c r="S575" s="130"/>
      <c r="T575" s="130"/>
      <c r="U575" s="130"/>
      <c r="V575" s="130"/>
      <c r="W575" s="130"/>
    </row>
    <row r="576">
      <c r="A576" s="130"/>
      <c r="B576" s="130"/>
      <c r="C576" s="130"/>
      <c r="D576" s="130"/>
      <c r="E576" s="130"/>
      <c r="F576" s="130"/>
      <c r="G576" s="130"/>
      <c r="H576" s="130"/>
      <c r="I576" s="130"/>
      <c r="J576" s="130"/>
      <c r="K576" s="239"/>
      <c r="L576" s="239"/>
      <c r="M576" s="130"/>
      <c r="N576" s="130"/>
      <c r="O576" s="130"/>
      <c r="P576" s="130"/>
      <c r="Q576" s="130"/>
      <c r="R576" s="130"/>
      <c r="S576" s="130"/>
      <c r="T576" s="130"/>
      <c r="U576" s="130"/>
      <c r="V576" s="130"/>
      <c r="W576" s="130"/>
    </row>
    <row r="577">
      <c r="A577" s="130"/>
      <c r="B577" s="130"/>
      <c r="C577" s="130"/>
      <c r="D577" s="130"/>
      <c r="E577" s="130"/>
      <c r="F577" s="130"/>
      <c r="G577" s="130"/>
      <c r="H577" s="130"/>
      <c r="I577" s="130"/>
      <c r="J577" s="130"/>
      <c r="K577" s="239"/>
      <c r="L577" s="239"/>
      <c r="M577" s="130"/>
      <c r="N577" s="130"/>
      <c r="O577" s="130"/>
      <c r="P577" s="130"/>
      <c r="Q577" s="130"/>
      <c r="R577" s="130"/>
      <c r="S577" s="130"/>
      <c r="T577" s="130"/>
      <c r="U577" s="130"/>
      <c r="V577" s="130"/>
      <c r="W577" s="130"/>
    </row>
    <row r="578">
      <c r="A578" s="130"/>
      <c r="B578" s="130"/>
      <c r="C578" s="130"/>
      <c r="D578" s="130"/>
      <c r="E578" s="130"/>
      <c r="F578" s="130"/>
      <c r="G578" s="130"/>
      <c r="H578" s="130"/>
      <c r="I578" s="130"/>
      <c r="J578" s="130"/>
      <c r="K578" s="239"/>
      <c r="L578" s="239"/>
      <c r="M578" s="130"/>
      <c r="N578" s="130"/>
      <c r="O578" s="130"/>
      <c r="P578" s="130"/>
      <c r="Q578" s="130"/>
      <c r="R578" s="130"/>
      <c r="S578" s="130"/>
      <c r="T578" s="130"/>
      <c r="U578" s="130"/>
      <c r="V578" s="130"/>
      <c r="W578" s="130"/>
    </row>
    <row r="579">
      <c r="A579" s="130"/>
      <c r="B579" s="130"/>
      <c r="C579" s="130"/>
      <c r="D579" s="130"/>
      <c r="E579" s="130"/>
      <c r="F579" s="130"/>
      <c r="G579" s="130"/>
      <c r="H579" s="130"/>
      <c r="I579" s="130"/>
      <c r="J579" s="130"/>
      <c r="K579" s="239"/>
      <c r="L579" s="239"/>
      <c r="M579" s="130"/>
      <c r="N579" s="130"/>
      <c r="O579" s="130"/>
      <c r="P579" s="130"/>
      <c r="Q579" s="130"/>
      <c r="R579" s="130"/>
      <c r="S579" s="130"/>
      <c r="T579" s="130"/>
      <c r="U579" s="130"/>
      <c r="V579" s="130"/>
      <c r="W579" s="130"/>
    </row>
    <row r="580">
      <c r="A580" s="130"/>
      <c r="B580" s="130"/>
      <c r="C580" s="130"/>
      <c r="D580" s="130"/>
      <c r="E580" s="130"/>
      <c r="F580" s="130"/>
      <c r="G580" s="130"/>
      <c r="H580" s="130"/>
      <c r="I580" s="130"/>
      <c r="J580" s="130"/>
      <c r="K580" s="239"/>
      <c r="L580" s="239"/>
      <c r="M580" s="130"/>
      <c r="N580" s="130"/>
      <c r="O580" s="130"/>
      <c r="P580" s="130"/>
      <c r="Q580" s="130"/>
      <c r="R580" s="130"/>
      <c r="S580" s="130"/>
      <c r="T580" s="130"/>
      <c r="U580" s="130"/>
      <c r="V580" s="130"/>
      <c r="W580" s="130"/>
    </row>
    <row r="581">
      <c r="A581" s="130"/>
      <c r="B581" s="130"/>
      <c r="C581" s="130"/>
      <c r="D581" s="130"/>
      <c r="E581" s="130"/>
      <c r="F581" s="130"/>
      <c r="G581" s="130"/>
      <c r="H581" s="130"/>
      <c r="I581" s="130"/>
      <c r="J581" s="130"/>
      <c r="K581" s="239"/>
      <c r="L581" s="239"/>
      <c r="M581" s="130"/>
      <c r="N581" s="130"/>
      <c r="O581" s="130"/>
      <c r="P581" s="130"/>
      <c r="Q581" s="130"/>
      <c r="R581" s="130"/>
      <c r="S581" s="130"/>
      <c r="T581" s="130"/>
      <c r="U581" s="130"/>
      <c r="V581" s="130"/>
      <c r="W581" s="130"/>
    </row>
    <row r="582">
      <c r="A582" s="130"/>
      <c r="B582" s="130"/>
      <c r="C582" s="130"/>
      <c r="D582" s="130"/>
      <c r="E582" s="130"/>
      <c r="F582" s="130"/>
      <c r="G582" s="130"/>
      <c r="H582" s="130"/>
      <c r="I582" s="130"/>
      <c r="J582" s="130"/>
      <c r="K582" s="239"/>
      <c r="L582" s="239"/>
      <c r="M582" s="130"/>
      <c r="N582" s="130"/>
      <c r="O582" s="130"/>
      <c r="P582" s="130"/>
      <c r="Q582" s="130"/>
      <c r="R582" s="130"/>
      <c r="S582" s="130"/>
      <c r="T582" s="130"/>
      <c r="U582" s="130"/>
      <c r="V582" s="130"/>
      <c r="W582" s="130"/>
    </row>
    <row r="583">
      <c r="A583" s="130"/>
      <c r="B583" s="130"/>
      <c r="C583" s="130"/>
      <c r="D583" s="130"/>
      <c r="E583" s="130"/>
      <c r="F583" s="130"/>
      <c r="G583" s="130"/>
      <c r="H583" s="130"/>
      <c r="I583" s="130"/>
      <c r="J583" s="130"/>
      <c r="K583" s="239"/>
      <c r="L583" s="239"/>
      <c r="M583" s="130"/>
      <c r="N583" s="130"/>
      <c r="O583" s="130"/>
      <c r="P583" s="130"/>
      <c r="Q583" s="130"/>
      <c r="R583" s="130"/>
      <c r="S583" s="130"/>
      <c r="T583" s="130"/>
      <c r="U583" s="130"/>
      <c r="V583" s="130"/>
      <c r="W583" s="130"/>
    </row>
    <row r="584">
      <c r="A584" s="130"/>
      <c r="B584" s="130"/>
      <c r="C584" s="130"/>
      <c r="D584" s="130"/>
      <c r="E584" s="130"/>
      <c r="F584" s="130"/>
      <c r="G584" s="130"/>
      <c r="H584" s="130"/>
      <c r="I584" s="130"/>
      <c r="J584" s="130"/>
      <c r="K584" s="239"/>
      <c r="L584" s="239"/>
      <c r="M584" s="130"/>
      <c r="N584" s="130"/>
      <c r="O584" s="130"/>
      <c r="P584" s="130"/>
      <c r="Q584" s="130"/>
      <c r="R584" s="130"/>
      <c r="S584" s="130"/>
      <c r="T584" s="130"/>
      <c r="U584" s="130"/>
      <c r="V584" s="130"/>
      <c r="W584" s="130"/>
    </row>
    <row r="585">
      <c r="A585" s="130"/>
      <c r="B585" s="130"/>
      <c r="C585" s="130"/>
      <c r="D585" s="130"/>
      <c r="E585" s="130"/>
      <c r="F585" s="130"/>
      <c r="G585" s="130"/>
      <c r="H585" s="130"/>
      <c r="I585" s="130"/>
      <c r="J585" s="130"/>
      <c r="K585" s="239"/>
      <c r="L585" s="239"/>
      <c r="M585" s="130"/>
      <c r="N585" s="130"/>
      <c r="O585" s="130"/>
      <c r="P585" s="130"/>
      <c r="Q585" s="130"/>
      <c r="R585" s="130"/>
      <c r="S585" s="130"/>
      <c r="T585" s="130"/>
      <c r="U585" s="130"/>
      <c r="V585" s="130"/>
      <c r="W585" s="130"/>
    </row>
    <row r="586">
      <c r="A586" s="130"/>
      <c r="B586" s="130"/>
      <c r="C586" s="130"/>
      <c r="D586" s="130"/>
      <c r="E586" s="130"/>
      <c r="F586" s="130"/>
      <c r="G586" s="130"/>
      <c r="H586" s="130"/>
      <c r="I586" s="130"/>
      <c r="J586" s="130"/>
      <c r="K586" s="239"/>
      <c r="L586" s="239"/>
      <c r="M586" s="130"/>
      <c r="N586" s="130"/>
      <c r="O586" s="130"/>
      <c r="P586" s="130"/>
      <c r="Q586" s="130"/>
      <c r="R586" s="130"/>
      <c r="S586" s="130"/>
      <c r="T586" s="130"/>
      <c r="U586" s="130"/>
      <c r="V586" s="130"/>
      <c r="W586" s="130"/>
    </row>
    <row r="587">
      <c r="A587" s="130"/>
      <c r="B587" s="130"/>
      <c r="C587" s="130"/>
      <c r="D587" s="130"/>
      <c r="E587" s="130"/>
      <c r="F587" s="130"/>
      <c r="G587" s="130"/>
      <c r="H587" s="130"/>
      <c r="I587" s="130"/>
      <c r="J587" s="130"/>
      <c r="K587" s="239"/>
      <c r="L587" s="239"/>
      <c r="M587" s="130"/>
      <c r="N587" s="130"/>
      <c r="O587" s="130"/>
      <c r="P587" s="130"/>
      <c r="Q587" s="130"/>
      <c r="R587" s="130"/>
      <c r="S587" s="130"/>
      <c r="T587" s="130"/>
      <c r="U587" s="130"/>
      <c r="V587" s="130"/>
      <c r="W587" s="130"/>
    </row>
    <row r="588">
      <c r="A588" s="130"/>
      <c r="B588" s="130"/>
      <c r="C588" s="130"/>
      <c r="D588" s="130"/>
      <c r="E588" s="130"/>
      <c r="F588" s="130"/>
      <c r="G588" s="130"/>
      <c r="H588" s="130"/>
      <c r="I588" s="130"/>
      <c r="J588" s="130"/>
      <c r="K588" s="239"/>
      <c r="L588" s="239"/>
      <c r="M588" s="130"/>
      <c r="N588" s="130"/>
      <c r="O588" s="130"/>
      <c r="P588" s="130"/>
      <c r="Q588" s="130"/>
      <c r="R588" s="130"/>
      <c r="S588" s="130"/>
      <c r="T588" s="130"/>
      <c r="U588" s="130"/>
      <c r="V588" s="130"/>
      <c r="W588" s="130"/>
    </row>
    <row r="589">
      <c r="A589" s="130"/>
      <c r="B589" s="130"/>
      <c r="C589" s="130"/>
      <c r="D589" s="130"/>
      <c r="E589" s="130"/>
      <c r="F589" s="130"/>
      <c r="G589" s="130"/>
      <c r="H589" s="130"/>
      <c r="I589" s="130"/>
      <c r="J589" s="130"/>
      <c r="K589" s="239"/>
      <c r="L589" s="239"/>
      <c r="M589" s="130"/>
      <c r="N589" s="130"/>
      <c r="O589" s="130"/>
      <c r="P589" s="130"/>
      <c r="Q589" s="130"/>
      <c r="R589" s="130"/>
      <c r="S589" s="130"/>
      <c r="T589" s="130"/>
      <c r="U589" s="130"/>
      <c r="V589" s="130"/>
      <c r="W589" s="130"/>
    </row>
    <row r="590">
      <c r="A590" s="130"/>
      <c r="B590" s="130"/>
      <c r="C590" s="130"/>
      <c r="D590" s="130"/>
      <c r="E590" s="130"/>
      <c r="F590" s="130"/>
      <c r="G590" s="130"/>
      <c r="H590" s="130"/>
      <c r="I590" s="130"/>
      <c r="J590" s="130"/>
      <c r="K590" s="239"/>
      <c r="L590" s="239"/>
      <c r="M590" s="130"/>
      <c r="N590" s="130"/>
      <c r="O590" s="130"/>
      <c r="P590" s="130"/>
      <c r="Q590" s="130"/>
      <c r="R590" s="130"/>
      <c r="S590" s="130"/>
      <c r="T590" s="130"/>
      <c r="U590" s="130"/>
      <c r="V590" s="130"/>
      <c r="W590" s="130"/>
    </row>
    <row r="591">
      <c r="A591" s="130"/>
      <c r="B591" s="130"/>
      <c r="C591" s="130"/>
      <c r="D591" s="130"/>
      <c r="E591" s="130"/>
      <c r="F591" s="130"/>
      <c r="G591" s="130"/>
      <c r="H591" s="130"/>
      <c r="I591" s="130"/>
      <c r="J591" s="130"/>
      <c r="K591" s="239"/>
      <c r="L591" s="239"/>
      <c r="M591" s="130"/>
      <c r="N591" s="130"/>
      <c r="O591" s="130"/>
      <c r="P591" s="130"/>
      <c r="Q591" s="130"/>
      <c r="R591" s="130"/>
      <c r="S591" s="130"/>
      <c r="T591" s="130"/>
      <c r="U591" s="130"/>
      <c r="V591" s="130"/>
      <c r="W591" s="130"/>
    </row>
    <row r="592">
      <c r="A592" s="130"/>
      <c r="B592" s="130"/>
      <c r="C592" s="130"/>
      <c r="D592" s="130"/>
      <c r="E592" s="130"/>
      <c r="F592" s="130"/>
      <c r="G592" s="130"/>
      <c r="H592" s="130"/>
      <c r="I592" s="130"/>
      <c r="J592" s="130"/>
      <c r="K592" s="239"/>
      <c r="L592" s="239"/>
      <c r="M592" s="130"/>
      <c r="N592" s="130"/>
      <c r="O592" s="130"/>
      <c r="P592" s="130"/>
      <c r="Q592" s="130"/>
      <c r="R592" s="130"/>
      <c r="S592" s="130"/>
      <c r="T592" s="130"/>
      <c r="U592" s="130"/>
      <c r="V592" s="130"/>
      <c r="W592" s="130"/>
    </row>
    <row r="593">
      <c r="A593" s="130"/>
      <c r="B593" s="130"/>
      <c r="C593" s="130"/>
      <c r="D593" s="130"/>
      <c r="E593" s="130"/>
      <c r="F593" s="130"/>
      <c r="G593" s="130"/>
      <c r="H593" s="130"/>
      <c r="I593" s="130"/>
      <c r="J593" s="130"/>
      <c r="K593" s="239"/>
      <c r="L593" s="239"/>
      <c r="M593" s="130"/>
      <c r="N593" s="130"/>
      <c r="O593" s="130"/>
      <c r="P593" s="130"/>
      <c r="Q593" s="130"/>
      <c r="R593" s="130"/>
      <c r="S593" s="130"/>
      <c r="T593" s="130"/>
      <c r="U593" s="130"/>
      <c r="V593" s="130"/>
      <c r="W593" s="130"/>
    </row>
    <row r="594">
      <c r="A594" s="130"/>
      <c r="B594" s="130"/>
      <c r="C594" s="130"/>
      <c r="D594" s="130"/>
      <c r="E594" s="130"/>
      <c r="F594" s="130"/>
      <c r="G594" s="130"/>
      <c r="H594" s="130"/>
      <c r="I594" s="130"/>
      <c r="J594" s="130"/>
      <c r="K594" s="239"/>
      <c r="L594" s="239"/>
      <c r="M594" s="130"/>
      <c r="N594" s="130"/>
      <c r="O594" s="130"/>
      <c r="P594" s="130"/>
      <c r="Q594" s="130"/>
      <c r="R594" s="130"/>
      <c r="S594" s="130"/>
      <c r="T594" s="130"/>
      <c r="U594" s="130"/>
      <c r="V594" s="130"/>
      <c r="W594" s="130"/>
    </row>
    <row r="595">
      <c r="A595" s="130"/>
      <c r="B595" s="130"/>
      <c r="C595" s="130"/>
      <c r="D595" s="130"/>
      <c r="E595" s="130"/>
      <c r="F595" s="130"/>
      <c r="G595" s="130"/>
      <c r="H595" s="130"/>
      <c r="I595" s="130"/>
      <c r="J595" s="130"/>
      <c r="K595" s="239"/>
      <c r="L595" s="239"/>
      <c r="M595" s="130"/>
      <c r="N595" s="130"/>
      <c r="O595" s="130"/>
      <c r="P595" s="130"/>
      <c r="Q595" s="130"/>
      <c r="R595" s="130"/>
      <c r="S595" s="130"/>
      <c r="T595" s="130"/>
      <c r="U595" s="130"/>
      <c r="V595" s="130"/>
      <c r="W595" s="130"/>
    </row>
    <row r="596">
      <c r="A596" s="130"/>
      <c r="B596" s="130"/>
      <c r="C596" s="130"/>
      <c r="D596" s="130"/>
      <c r="E596" s="130"/>
      <c r="F596" s="130"/>
      <c r="G596" s="130"/>
      <c r="H596" s="130"/>
      <c r="I596" s="130"/>
      <c r="J596" s="130"/>
      <c r="K596" s="239"/>
      <c r="L596" s="239"/>
      <c r="M596" s="130"/>
      <c r="N596" s="130"/>
      <c r="O596" s="130"/>
      <c r="P596" s="130"/>
      <c r="Q596" s="130"/>
      <c r="R596" s="130"/>
      <c r="S596" s="130"/>
      <c r="T596" s="130"/>
      <c r="U596" s="130"/>
      <c r="V596" s="130"/>
      <c r="W596" s="130"/>
    </row>
    <row r="597">
      <c r="A597" s="130"/>
      <c r="B597" s="130"/>
      <c r="C597" s="130"/>
      <c r="D597" s="130"/>
      <c r="E597" s="130"/>
      <c r="F597" s="130"/>
      <c r="G597" s="130"/>
      <c r="H597" s="130"/>
      <c r="I597" s="130"/>
      <c r="J597" s="130"/>
      <c r="K597" s="239"/>
      <c r="L597" s="239"/>
      <c r="M597" s="130"/>
      <c r="N597" s="130"/>
      <c r="O597" s="130"/>
      <c r="P597" s="130"/>
      <c r="Q597" s="130"/>
      <c r="R597" s="130"/>
      <c r="S597" s="130"/>
      <c r="T597" s="130"/>
      <c r="U597" s="130"/>
      <c r="V597" s="130"/>
      <c r="W597" s="130"/>
    </row>
    <row r="598">
      <c r="A598" s="130"/>
      <c r="B598" s="130"/>
      <c r="C598" s="130"/>
      <c r="D598" s="130"/>
      <c r="E598" s="130"/>
      <c r="F598" s="130"/>
      <c r="G598" s="130"/>
      <c r="H598" s="130"/>
      <c r="I598" s="130"/>
      <c r="J598" s="130"/>
      <c r="K598" s="239"/>
      <c r="L598" s="239"/>
      <c r="M598" s="130"/>
      <c r="N598" s="130"/>
      <c r="O598" s="130"/>
      <c r="P598" s="130"/>
      <c r="Q598" s="130"/>
      <c r="R598" s="130"/>
      <c r="S598" s="130"/>
      <c r="T598" s="130"/>
      <c r="U598" s="130"/>
      <c r="V598" s="130"/>
      <c r="W598" s="130"/>
    </row>
    <row r="599">
      <c r="A599" s="130"/>
      <c r="B599" s="130"/>
      <c r="C599" s="130"/>
      <c r="D599" s="130"/>
      <c r="E599" s="130"/>
      <c r="F599" s="130"/>
      <c r="G599" s="130"/>
      <c r="H599" s="130"/>
      <c r="I599" s="130"/>
      <c r="J599" s="130"/>
      <c r="K599" s="239"/>
      <c r="L599" s="239"/>
      <c r="M599" s="130"/>
      <c r="N599" s="130"/>
      <c r="O599" s="130"/>
      <c r="P599" s="130"/>
      <c r="Q599" s="130"/>
      <c r="R599" s="130"/>
      <c r="S599" s="130"/>
      <c r="T599" s="130"/>
      <c r="U599" s="130"/>
      <c r="V599" s="130"/>
      <c r="W599" s="130"/>
    </row>
    <row r="600">
      <c r="A600" s="130"/>
      <c r="B600" s="130"/>
      <c r="C600" s="130"/>
      <c r="D600" s="130"/>
      <c r="E600" s="130"/>
      <c r="F600" s="130"/>
      <c r="G600" s="130"/>
      <c r="H600" s="130"/>
      <c r="I600" s="130"/>
      <c r="J600" s="130"/>
      <c r="K600" s="239"/>
      <c r="L600" s="239"/>
      <c r="M600" s="130"/>
      <c r="N600" s="130"/>
      <c r="O600" s="130"/>
      <c r="P600" s="130"/>
      <c r="Q600" s="130"/>
      <c r="R600" s="130"/>
      <c r="S600" s="130"/>
      <c r="T600" s="130"/>
      <c r="U600" s="130"/>
      <c r="V600" s="130"/>
      <c r="W600" s="130"/>
    </row>
    <row r="601">
      <c r="A601" s="130"/>
      <c r="B601" s="130"/>
      <c r="C601" s="130"/>
      <c r="D601" s="130"/>
      <c r="E601" s="130"/>
      <c r="F601" s="130"/>
      <c r="G601" s="130"/>
      <c r="H601" s="130"/>
      <c r="I601" s="130"/>
      <c r="J601" s="130"/>
      <c r="K601" s="239"/>
      <c r="L601" s="239"/>
      <c r="M601" s="130"/>
      <c r="N601" s="130"/>
      <c r="O601" s="130"/>
      <c r="P601" s="130"/>
      <c r="Q601" s="130"/>
      <c r="R601" s="130"/>
      <c r="S601" s="130"/>
      <c r="T601" s="130"/>
      <c r="U601" s="130"/>
      <c r="V601" s="130"/>
      <c r="W601" s="130"/>
    </row>
    <row r="602">
      <c r="A602" s="130"/>
      <c r="B602" s="130"/>
      <c r="C602" s="130"/>
      <c r="D602" s="130"/>
      <c r="E602" s="130"/>
      <c r="F602" s="130"/>
      <c r="G602" s="130"/>
      <c r="H602" s="130"/>
      <c r="I602" s="130"/>
      <c r="J602" s="130"/>
      <c r="K602" s="239"/>
      <c r="L602" s="239"/>
      <c r="M602" s="130"/>
      <c r="N602" s="130"/>
      <c r="O602" s="130"/>
      <c r="P602" s="130"/>
      <c r="Q602" s="130"/>
      <c r="R602" s="130"/>
      <c r="S602" s="130"/>
      <c r="T602" s="130"/>
      <c r="U602" s="130"/>
      <c r="V602" s="130"/>
      <c r="W602" s="130"/>
    </row>
    <row r="603">
      <c r="A603" s="130"/>
      <c r="B603" s="130"/>
      <c r="C603" s="130"/>
      <c r="D603" s="130"/>
      <c r="E603" s="130"/>
      <c r="F603" s="130"/>
      <c r="G603" s="130"/>
      <c r="H603" s="130"/>
      <c r="I603" s="130"/>
      <c r="J603" s="130"/>
      <c r="K603" s="239"/>
      <c r="L603" s="239"/>
      <c r="M603" s="130"/>
      <c r="N603" s="130"/>
      <c r="O603" s="130"/>
      <c r="P603" s="130"/>
      <c r="Q603" s="130"/>
      <c r="R603" s="130"/>
      <c r="S603" s="130"/>
      <c r="T603" s="130"/>
      <c r="U603" s="130"/>
      <c r="V603" s="130"/>
      <c r="W603" s="130"/>
    </row>
    <row r="604">
      <c r="A604" s="130"/>
      <c r="B604" s="130"/>
      <c r="C604" s="130"/>
      <c r="D604" s="130"/>
      <c r="E604" s="130"/>
      <c r="F604" s="130"/>
      <c r="G604" s="130"/>
      <c r="H604" s="130"/>
      <c r="I604" s="130"/>
      <c r="J604" s="130"/>
      <c r="K604" s="239"/>
      <c r="L604" s="239"/>
      <c r="M604" s="130"/>
      <c r="N604" s="130"/>
      <c r="O604" s="130"/>
      <c r="P604" s="130"/>
      <c r="Q604" s="130"/>
      <c r="R604" s="130"/>
      <c r="S604" s="130"/>
      <c r="T604" s="130"/>
      <c r="U604" s="130"/>
      <c r="V604" s="130"/>
      <c r="W604" s="130"/>
    </row>
    <row r="605">
      <c r="A605" s="130"/>
      <c r="B605" s="130"/>
      <c r="C605" s="130"/>
      <c r="D605" s="130"/>
      <c r="E605" s="130"/>
      <c r="F605" s="130"/>
      <c r="G605" s="130"/>
      <c r="H605" s="130"/>
      <c r="I605" s="130"/>
      <c r="J605" s="130"/>
      <c r="K605" s="239"/>
      <c r="L605" s="239"/>
      <c r="M605" s="130"/>
      <c r="N605" s="130"/>
      <c r="O605" s="130"/>
      <c r="P605" s="130"/>
      <c r="Q605" s="130"/>
      <c r="R605" s="130"/>
      <c r="S605" s="130"/>
      <c r="T605" s="130"/>
      <c r="U605" s="130"/>
      <c r="V605" s="130"/>
      <c r="W605" s="130"/>
    </row>
    <row r="606">
      <c r="A606" s="130"/>
      <c r="B606" s="130"/>
      <c r="C606" s="130"/>
      <c r="D606" s="130"/>
      <c r="E606" s="130"/>
      <c r="F606" s="130"/>
      <c r="G606" s="130"/>
      <c r="H606" s="130"/>
      <c r="I606" s="130"/>
      <c r="J606" s="130"/>
      <c r="K606" s="239"/>
      <c r="L606" s="239"/>
      <c r="M606" s="130"/>
      <c r="N606" s="130"/>
      <c r="O606" s="130"/>
      <c r="P606" s="130"/>
      <c r="Q606" s="130"/>
      <c r="R606" s="130"/>
      <c r="S606" s="130"/>
      <c r="T606" s="130"/>
      <c r="U606" s="130"/>
      <c r="V606" s="130"/>
      <c r="W606" s="130"/>
    </row>
    <row r="607">
      <c r="A607" s="130"/>
      <c r="B607" s="130"/>
      <c r="C607" s="130"/>
      <c r="D607" s="130"/>
      <c r="E607" s="130"/>
      <c r="F607" s="130"/>
      <c r="G607" s="130"/>
      <c r="H607" s="130"/>
      <c r="I607" s="130"/>
      <c r="J607" s="130"/>
      <c r="K607" s="239"/>
      <c r="L607" s="239"/>
      <c r="M607" s="130"/>
      <c r="N607" s="130"/>
      <c r="O607" s="130"/>
      <c r="P607" s="130"/>
      <c r="Q607" s="130"/>
      <c r="R607" s="130"/>
      <c r="S607" s="130"/>
      <c r="T607" s="130"/>
      <c r="U607" s="130"/>
      <c r="V607" s="130"/>
      <c r="W607" s="130"/>
    </row>
    <row r="608">
      <c r="A608" s="130"/>
      <c r="B608" s="130"/>
      <c r="C608" s="130"/>
      <c r="D608" s="130"/>
      <c r="E608" s="130"/>
      <c r="F608" s="130"/>
      <c r="G608" s="130"/>
      <c r="H608" s="130"/>
      <c r="I608" s="130"/>
      <c r="J608" s="130"/>
      <c r="K608" s="239"/>
      <c r="L608" s="239"/>
      <c r="M608" s="130"/>
      <c r="N608" s="130"/>
      <c r="O608" s="130"/>
      <c r="P608" s="130"/>
      <c r="Q608" s="130"/>
      <c r="R608" s="130"/>
      <c r="S608" s="130"/>
      <c r="T608" s="130"/>
      <c r="U608" s="130"/>
      <c r="V608" s="130"/>
      <c r="W608" s="130"/>
    </row>
    <row r="609">
      <c r="A609" s="130"/>
      <c r="B609" s="130"/>
      <c r="C609" s="130"/>
      <c r="D609" s="130"/>
      <c r="E609" s="130"/>
      <c r="F609" s="130"/>
      <c r="G609" s="130"/>
      <c r="H609" s="130"/>
      <c r="I609" s="130"/>
      <c r="J609" s="130"/>
      <c r="K609" s="239"/>
      <c r="L609" s="239"/>
      <c r="M609" s="130"/>
      <c r="N609" s="130"/>
      <c r="O609" s="130"/>
      <c r="P609" s="130"/>
      <c r="Q609" s="130"/>
      <c r="R609" s="130"/>
      <c r="S609" s="130"/>
      <c r="T609" s="130"/>
      <c r="U609" s="130"/>
      <c r="V609" s="130"/>
      <c r="W609" s="130"/>
    </row>
    <row r="610">
      <c r="A610" s="130"/>
      <c r="B610" s="130"/>
      <c r="C610" s="130"/>
      <c r="D610" s="130"/>
      <c r="E610" s="130"/>
      <c r="F610" s="130"/>
      <c r="G610" s="130"/>
      <c r="H610" s="130"/>
      <c r="I610" s="130"/>
      <c r="J610" s="130"/>
      <c r="K610" s="239"/>
      <c r="L610" s="239"/>
      <c r="M610" s="130"/>
      <c r="N610" s="130"/>
      <c r="O610" s="130"/>
      <c r="P610" s="130"/>
      <c r="Q610" s="130"/>
      <c r="R610" s="130"/>
      <c r="S610" s="130"/>
      <c r="T610" s="130"/>
      <c r="U610" s="130"/>
      <c r="V610" s="130"/>
      <c r="W610" s="130"/>
    </row>
    <row r="611">
      <c r="A611" s="130"/>
      <c r="B611" s="130"/>
      <c r="C611" s="130"/>
      <c r="D611" s="130"/>
      <c r="E611" s="130"/>
      <c r="F611" s="130"/>
      <c r="G611" s="130"/>
      <c r="H611" s="130"/>
      <c r="I611" s="130"/>
      <c r="J611" s="130"/>
      <c r="K611" s="239"/>
      <c r="L611" s="239"/>
      <c r="M611" s="130"/>
      <c r="N611" s="130"/>
      <c r="O611" s="130"/>
      <c r="P611" s="130"/>
      <c r="Q611" s="130"/>
      <c r="R611" s="130"/>
      <c r="S611" s="130"/>
      <c r="T611" s="130"/>
      <c r="U611" s="130"/>
      <c r="V611" s="130"/>
      <c r="W611" s="130"/>
    </row>
    <row r="612">
      <c r="A612" s="130"/>
      <c r="B612" s="130"/>
      <c r="C612" s="130"/>
      <c r="D612" s="130"/>
      <c r="E612" s="130"/>
      <c r="F612" s="130"/>
      <c r="G612" s="130"/>
      <c r="H612" s="130"/>
      <c r="I612" s="130"/>
      <c r="J612" s="130"/>
      <c r="K612" s="239"/>
      <c r="L612" s="239"/>
      <c r="M612" s="130"/>
      <c r="N612" s="130"/>
      <c r="O612" s="130"/>
      <c r="P612" s="130"/>
      <c r="Q612" s="130"/>
      <c r="R612" s="130"/>
      <c r="S612" s="130"/>
      <c r="T612" s="130"/>
      <c r="U612" s="130"/>
      <c r="V612" s="130"/>
      <c r="W612" s="130"/>
    </row>
    <row r="613">
      <c r="A613" s="130"/>
      <c r="B613" s="130"/>
      <c r="C613" s="130"/>
      <c r="D613" s="130"/>
      <c r="E613" s="130"/>
      <c r="F613" s="130"/>
      <c r="G613" s="130"/>
      <c r="H613" s="130"/>
      <c r="I613" s="130"/>
      <c r="J613" s="130"/>
      <c r="K613" s="239"/>
      <c r="L613" s="239"/>
      <c r="M613" s="130"/>
      <c r="N613" s="130"/>
      <c r="O613" s="130"/>
      <c r="P613" s="130"/>
      <c r="Q613" s="130"/>
      <c r="R613" s="130"/>
      <c r="S613" s="130"/>
      <c r="T613" s="130"/>
      <c r="U613" s="130"/>
      <c r="V613" s="130"/>
      <c r="W613" s="130"/>
    </row>
    <row r="614">
      <c r="A614" s="130"/>
      <c r="B614" s="130"/>
      <c r="C614" s="130"/>
      <c r="D614" s="130"/>
      <c r="E614" s="130"/>
      <c r="F614" s="130"/>
      <c r="G614" s="130"/>
      <c r="H614" s="130"/>
      <c r="I614" s="130"/>
      <c r="J614" s="130"/>
      <c r="K614" s="239"/>
      <c r="L614" s="239"/>
      <c r="M614" s="130"/>
      <c r="N614" s="130"/>
      <c r="O614" s="130"/>
      <c r="P614" s="130"/>
      <c r="Q614" s="130"/>
      <c r="R614" s="130"/>
      <c r="S614" s="130"/>
      <c r="T614" s="130"/>
      <c r="U614" s="130"/>
      <c r="V614" s="130"/>
      <c r="W614" s="130"/>
    </row>
    <row r="615">
      <c r="A615" s="130"/>
      <c r="B615" s="130"/>
      <c r="C615" s="130"/>
      <c r="D615" s="130"/>
      <c r="E615" s="130"/>
      <c r="F615" s="130"/>
      <c r="G615" s="130"/>
      <c r="H615" s="130"/>
      <c r="I615" s="130"/>
      <c r="J615" s="130"/>
      <c r="K615" s="239"/>
      <c r="L615" s="239"/>
      <c r="M615" s="130"/>
      <c r="N615" s="130"/>
      <c r="O615" s="130"/>
      <c r="P615" s="130"/>
      <c r="Q615" s="130"/>
      <c r="R615" s="130"/>
      <c r="S615" s="130"/>
      <c r="T615" s="130"/>
      <c r="U615" s="130"/>
      <c r="V615" s="130"/>
      <c r="W615" s="130"/>
    </row>
    <row r="616">
      <c r="A616" s="130"/>
      <c r="B616" s="130"/>
      <c r="C616" s="130"/>
      <c r="D616" s="130"/>
      <c r="E616" s="130"/>
      <c r="F616" s="130"/>
      <c r="G616" s="130"/>
      <c r="H616" s="130"/>
      <c r="I616" s="130"/>
      <c r="J616" s="130"/>
      <c r="K616" s="239"/>
      <c r="L616" s="239"/>
      <c r="M616" s="130"/>
      <c r="N616" s="130"/>
      <c r="O616" s="130"/>
      <c r="P616" s="130"/>
      <c r="Q616" s="130"/>
      <c r="R616" s="130"/>
      <c r="S616" s="130"/>
      <c r="T616" s="130"/>
      <c r="U616" s="130"/>
      <c r="V616" s="130"/>
      <c r="W616" s="130"/>
    </row>
    <row r="617">
      <c r="A617" s="130"/>
      <c r="B617" s="130"/>
      <c r="C617" s="130"/>
      <c r="D617" s="130"/>
      <c r="E617" s="130"/>
      <c r="F617" s="130"/>
      <c r="G617" s="130"/>
      <c r="H617" s="130"/>
      <c r="I617" s="130"/>
      <c r="J617" s="130"/>
      <c r="K617" s="239"/>
      <c r="L617" s="239"/>
      <c r="M617" s="130"/>
      <c r="N617" s="130"/>
      <c r="O617" s="130"/>
      <c r="P617" s="130"/>
      <c r="Q617" s="130"/>
      <c r="R617" s="130"/>
      <c r="S617" s="130"/>
      <c r="T617" s="130"/>
      <c r="U617" s="130"/>
      <c r="V617" s="130"/>
      <c r="W617" s="130"/>
    </row>
    <row r="618">
      <c r="A618" s="130"/>
      <c r="B618" s="130"/>
      <c r="C618" s="130"/>
      <c r="D618" s="130"/>
      <c r="E618" s="130"/>
      <c r="F618" s="130"/>
      <c r="G618" s="130"/>
      <c r="H618" s="130"/>
      <c r="I618" s="130"/>
      <c r="J618" s="130"/>
      <c r="K618" s="239"/>
      <c r="L618" s="239"/>
      <c r="M618" s="130"/>
      <c r="N618" s="130"/>
      <c r="O618" s="130"/>
      <c r="P618" s="130"/>
      <c r="Q618" s="130"/>
      <c r="R618" s="130"/>
      <c r="S618" s="130"/>
      <c r="T618" s="130"/>
      <c r="U618" s="130"/>
      <c r="V618" s="130"/>
      <c r="W618" s="130"/>
    </row>
    <row r="619">
      <c r="A619" s="130"/>
      <c r="B619" s="130"/>
      <c r="C619" s="130"/>
      <c r="D619" s="130"/>
      <c r="E619" s="130"/>
      <c r="F619" s="130"/>
      <c r="G619" s="130"/>
      <c r="H619" s="130"/>
      <c r="I619" s="130"/>
      <c r="J619" s="130"/>
      <c r="K619" s="239"/>
      <c r="L619" s="239"/>
      <c r="M619" s="130"/>
      <c r="N619" s="130"/>
      <c r="O619" s="130"/>
      <c r="P619" s="130"/>
      <c r="Q619" s="130"/>
      <c r="R619" s="130"/>
      <c r="S619" s="130"/>
      <c r="T619" s="130"/>
      <c r="U619" s="130"/>
      <c r="V619" s="130"/>
      <c r="W619" s="130"/>
    </row>
    <row r="620">
      <c r="A620" s="130"/>
      <c r="B620" s="130"/>
      <c r="C620" s="130"/>
      <c r="D620" s="130"/>
      <c r="E620" s="130"/>
      <c r="F620" s="130"/>
      <c r="G620" s="130"/>
      <c r="H620" s="130"/>
      <c r="I620" s="130"/>
      <c r="J620" s="130"/>
      <c r="K620" s="239"/>
      <c r="L620" s="239"/>
      <c r="M620" s="130"/>
      <c r="N620" s="130"/>
      <c r="O620" s="130"/>
      <c r="P620" s="130"/>
      <c r="Q620" s="130"/>
      <c r="R620" s="130"/>
      <c r="S620" s="130"/>
      <c r="T620" s="130"/>
      <c r="U620" s="130"/>
      <c r="V620" s="130"/>
      <c r="W620" s="130"/>
    </row>
    <row r="621">
      <c r="A621" s="130"/>
      <c r="B621" s="130"/>
      <c r="C621" s="130"/>
      <c r="D621" s="130"/>
      <c r="E621" s="130"/>
      <c r="F621" s="130"/>
      <c r="G621" s="130"/>
      <c r="H621" s="130"/>
      <c r="I621" s="130"/>
      <c r="J621" s="130"/>
      <c r="K621" s="239"/>
      <c r="L621" s="239"/>
      <c r="M621" s="130"/>
      <c r="N621" s="130"/>
      <c r="O621" s="130"/>
      <c r="P621" s="130"/>
      <c r="Q621" s="130"/>
      <c r="R621" s="130"/>
      <c r="S621" s="130"/>
      <c r="T621" s="130"/>
      <c r="U621" s="130"/>
      <c r="V621" s="130"/>
      <c r="W621" s="130"/>
    </row>
    <row r="622">
      <c r="A622" s="130"/>
      <c r="B622" s="130"/>
      <c r="C622" s="130"/>
      <c r="D622" s="130"/>
      <c r="E622" s="130"/>
      <c r="F622" s="130"/>
      <c r="G622" s="130"/>
      <c r="H622" s="130"/>
      <c r="I622" s="130"/>
      <c r="J622" s="130"/>
      <c r="K622" s="239"/>
      <c r="L622" s="239"/>
      <c r="M622" s="130"/>
      <c r="N622" s="130"/>
      <c r="O622" s="130"/>
      <c r="P622" s="130"/>
      <c r="Q622" s="130"/>
      <c r="R622" s="130"/>
      <c r="S622" s="130"/>
      <c r="T622" s="130"/>
      <c r="U622" s="130"/>
      <c r="V622" s="130"/>
      <c r="W622" s="130"/>
    </row>
    <row r="623">
      <c r="A623" s="130"/>
      <c r="B623" s="130"/>
      <c r="C623" s="130"/>
      <c r="D623" s="130"/>
      <c r="E623" s="130"/>
      <c r="F623" s="130"/>
      <c r="G623" s="130"/>
      <c r="H623" s="130"/>
      <c r="I623" s="130"/>
      <c r="J623" s="130"/>
      <c r="K623" s="239"/>
      <c r="L623" s="239"/>
      <c r="M623" s="130"/>
      <c r="N623" s="130"/>
      <c r="O623" s="130"/>
      <c r="P623" s="130"/>
      <c r="Q623" s="130"/>
      <c r="R623" s="130"/>
      <c r="S623" s="130"/>
      <c r="T623" s="130"/>
      <c r="U623" s="130"/>
      <c r="V623" s="130"/>
      <c r="W623" s="130"/>
    </row>
    <row r="624">
      <c r="A624" s="130"/>
      <c r="B624" s="130"/>
      <c r="C624" s="130"/>
      <c r="D624" s="130"/>
      <c r="E624" s="130"/>
      <c r="F624" s="130"/>
      <c r="G624" s="130"/>
      <c r="H624" s="130"/>
      <c r="I624" s="130"/>
      <c r="J624" s="130"/>
      <c r="K624" s="239"/>
      <c r="L624" s="239"/>
      <c r="M624" s="130"/>
      <c r="N624" s="130"/>
      <c r="O624" s="130"/>
      <c r="P624" s="130"/>
      <c r="Q624" s="130"/>
      <c r="R624" s="130"/>
      <c r="S624" s="130"/>
      <c r="T624" s="130"/>
      <c r="U624" s="130"/>
      <c r="V624" s="130"/>
      <c r="W624" s="130"/>
    </row>
    <row r="625">
      <c r="A625" s="130"/>
      <c r="B625" s="130"/>
      <c r="C625" s="130"/>
      <c r="D625" s="130"/>
      <c r="E625" s="130"/>
      <c r="F625" s="130"/>
      <c r="G625" s="130"/>
      <c r="H625" s="130"/>
      <c r="I625" s="130"/>
      <c r="J625" s="130"/>
      <c r="K625" s="239"/>
      <c r="L625" s="239"/>
      <c r="M625" s="130"/>
      <c r="N625" s="130"/>
      <c r="O625" s="130"/>
      <c r="P625" s="130"/>
      <c r="Q625" s="130"/>
      <c r="R625" s="130"/>
      <c r="S625" s="130"/>
      <c r="T625" s="130"/>
      <c r="U625" s="130"/>
      <c r="V625" s="130"/>
      <c r="W625" s="130"/>
    </row>
    <row r="626">
      <c r="A626" s="130"/>
      <c r="B626" s="130"/>
      <c r="C626" s="130"/>
      <c r="D626" s="130"/>
      <c r="E626" s="130"/>
      <c r="F626" s="130"/>
      <c r="G626" s="130"/>
      <c r="H626" s="130"/>
      <c r="I626" s="130"/>
      <c r="J626" s="130"/>
      <c r="K626" s="239"/>
      <c r="L626" s="239"/>
      <c r="M626" s="130"/>
      <c r="N626" s="130"/>
      <c r="O626" s="130"/>
      <c r="P626" s="130"/>
      <c r="Q626" s="130"/>
      <c r="R626" s="130"/>
      <c r="S626" s="130"/>
      <c r="T626" s="130"/>
      <c r="U626" s="130"/>
      <c r="V626" s="130"/>
      <c r="W626" s="130"/>
    </row>
    <row r="627">
      <c r="A627" s="130"/>
      <c r="B627" s="130"/>
      <c r="C627" s="130"/>
      <c r="D627" s="130"/>
      <c r="E627" s="130"/>
      <c r="F627" s="130"/>
      <c r="G627" s="130"/>
      <c r="H627" s="130"/>
      <c r="I627" s="130"/>
      <c r="J627" s="130"/>
      <c r="K627" s="239"/>
      <c r="L627" s="239"/>
      <c r="M627" s="130"/>
      <c r="N627" s="130"/>
      <c r="O627" s="130"/>
      <c r="P627" s="130"/>
      <c r="Q627" s="130"/>
      <c r="R627" s="130"/>
      <c r="S627" s="130"/>
      <c r="T627" s="130"/>
      <c r="U627" s="130"/>
      <c r="V627" s="130"/>
      <c r="W627" s="130"/>
    </row>
    <row r="628">
      <c r="A628" s="130"/>
      <c r="B628" s="130"/>
      <c r="C628" s="130"/>
      <c r="D628" s="130"/>
      <c r="E628" s="130"/>
      <c r="F628" s="130"/>
      <c r="G628" s="130"/>
      <c r="H628" s="130"/>
      <c r="I628" s="130"/>
      <c r="J628" s="130"/>
      <c r="K628" s="239"/>
      <c r="L628" s="239"/>
      <c r="M628" s="130"/>
      <c r="N628" s="130"/>
      <c r="O628" s="130"/>
      <c r="P628" s="130"/>
      <c r="Q628" s="130"/>
      <c r="R628" s="130"/>
      <c r="S628" s="130"/>
      <c r="T628" s="130"/>
      <c r="U628" s="130"/>
      <c r="V628" s="130"/>
      <c r="W628" s="130"/>
    </row>
    <row r="629">
      <c r="A629" s="130"/>
      <c r="B629" s="130"/>
      <c r="C629" s="130"/>
      <c r="D629" s="130"/>
      <c r="E629" s="130"/>
      <c r="F629" s="130"/>
      <c r="G629" s="130"/>
      <c r="H629" s="130"/>
      <c r="I629" s="130"/>
      <c r="J629" s="130"/>
      <c r="K629" s="239"/>
      <c r="L629" s="239"/>
      <c r="M629" s="130"/>
      <c r="N629" s="130"/>
      <c r="O629" s="130"/>
      <c r="P629" s="130"/>
      <c r="Q629" s="130"/>
      <c r="R629" s="130"/>
      <c r="S629" s="130"/>
      <c r="T629" s="130"/>
      <c r="U629" s="130"/>
      <c r="V629" s="130"/>
      <c r="W629" s="130"/>
    </row>
    <row r="630">
      <c r="A630" s="130"/>
      <c r="B630" s="130"/>
      <c r="C630" s="130"/>
      <c r="D630" s="130"/>
      <c r="E630" s="130"/>
      <c r="F630" s="130"/>
      <c r="G630" s="130"/>
      <c r="H630" s="130"/>
      <c r="I630" s="130"/>
      <c r="J630" s="130"/>
      <c r="K630" s="239"/>
      <c r="L630" s="239"/>
      <c r="M630" s="130"/>
      <c r="N630" s="130"/>
      <c r="O630" s="130"/>
      <c r="P630" s="130"/>
      <c r="Q630" s="130"/>
      <c r="R630" s="130"/>
      <c r="S630" s="130"/>
      <c r="T630" s="130"/>
      <c r="U630" s="130"/>
      <c r="V630" s="130"/>
      <c r="W630" s="130"/>
    </row>
    <row r="631">
      <c r="A631" s="130"/>
      <c r="B631" s="130"/>
      <c r="C631" s="130"/>
      <c r="D631" s="130"/>
      <c r="E631" s="130"/>
      <c r="F631" s="130"/>
      <c r="G631" s="130"/>
      <c r="H631" s="130"/>
      <c r="I631" s="130"/>
      <c r="J631" s="130"/>
      <c r="K631" s="239"/>
      <c r="L631" s="239"/>
      <c r="M631" s="130"/>
      <c r="N631" s="130"/>
      <c r="O631" s="130"/>
      <c r="P631" s="130"/>
      <c r="Q631" s="130"/>
      <c r="R631" s="130"/>
      <c r="S631" s="130"/>
      <c r="T631" s="130"/>
      <c r="U631" s="130"/>
      <c r="V631" s="130"/>
      <c r="W631" s="130"/>
    </row>
    <row r="632">
      <c r="A632" s="130"/>
      <c r="B632" s="130"/>
      <c r="C632" s="130"/>
      <c r="D632" s="130"/>
      <c r="E632" s="130"/>
      <c r="F632" s="130"/>
      <c r="G632" s="130"/>
      <c r="H632" s="130"/>
      <c r="I632" s="130"/>
      <c r="J632" s="130"/>
      <c r="K632" s="239"/>
      <c r="L632" s="239"/>
      <c r="M632" s="130"/>
      <c r="N632" s="130"/>
      <c r="O632" s="130"/>
      <c r="P632" s="130"/>
      <c r="Q632" s="130"/>
      <c r="R632" s="130"/>
      <c r="S632" s="130"/>
      <c r="T632" s="130"/>
      <c r="U632" s="130"/>
      <c r="V632" s="130"/>
      <c r="W632" s="130"/>
    </row>
    <row r="633">
      <c r="A633" s="130"/>
      <c r="B633" s="130"/>
      <c r="C633" s="130"/>
      <c r="D633" s="130"/>
      <c r="E633" s="130"/>
      <c r="F633" s="130"/>
      <c r="G633" s="130"/>
      <c r="H633" s="130"/>
      <c r="I633" s="130"/>
      <c r="J633" s="130"/>
      <c r="K633" s="239"/>
      <c r="L633" s="239"/>
      <c r="M633" s="130"/>
      <c r="N633" s="130"/>
      <c r="O633" s="130"/>
      <c r="P633" s="130"/>
      <c r="Q633" s="130"/>
      <c r="R633" s="130"/>
      <c r="S633" s="130"/>
      <c r="T633" s="130"/>
      <c r="U633" s="130"/>
      <c r="V633" s="130"/>
      <c r="W633" s="130"/>
    </row>
    <row r="634">
      <c r="A634" s="130"/>
      <c r="B634" s="130"/>
      <c r="C634" s="130"/>
      <c r="D634" s="130"/>
      <c r="E634" s="130"/>
      <c r="F634" s="130"/>
      <c r="G634" s="130"/>
      <c r="H634" s="130"/>
      <c r="I634" s="130"/>
      <c r="J634" s="130"/>
      <c r="K634" s="239"/>
      <c r="L634" s="239"/>
      <c r="M634" s="130"/>
      <c r="N634" s="130"/>
      <c r="O634" s="130"/>
      <c r="P634" s="130"/>
      <c r="Q634" s="130"/>
      <c r="R634" s="130"/>
      <c r="S634" s="130"/>
      <c r="T634" s="130"/>
      <c r="U634" s="130"/>
      <c r="V634" s="130"/>
      <c r="W634" s="130"/>
    </row>
    <row r="635">
      <c r="A635" s="130"/>
      <c r="B635" s="130"/>
      <c r="C635" s="130"/>
      <c r="D635" s="130"/>
      <c r="E635" s="130"/>
      <c r="F635" s="130"/>
      <c r="G635" s="130"/>
      <c r="H635" s="130"/>
      <c r="I635" s="130"/>
      <c r="J635" s="130"/>
      <c r="K635" s="239"/>
      <c r="L635" s="239"/>
      <c r="M635" s="130"/>
      <c r="N635" s="130"/>
      <c r="O635" s="130"/>
      <c r="P635" s="130"/>
      <c r="Q635" s="130"/>
      <c r="R635" s="130"/>
      <c r="S635" s="130"/>
      <c r="T635" s="130"/>
      <c r="U635" s="130"/>
      <c r="V635" s="130"/>
      <c r="W635" s="130"/>
    </row>
    <row r="636">
      <c r="A636" s="130"/>
      <c r="B636" s="130"/>
      <c r="C636" s="130"/>
      <c r="D636" s="130"/>
      <c r="E636" s="130"/>
      <c r="F636" s="130"/>
      <c r="G636" s="130"/>
      <c r="H636" s="130"/>
      <c r="I636" s="130"/>
      <c r="J636" s="130"/>
      <c r="K636" s="239"/>
      <c r="L636" s="239"/>
      <c r="M636" s="130"/>
      <c r="N636" s="130"/>
      <c r="O636" s="130"/>
      <c r="P636" s="130"/>
      <c r="Q636" s="130"/>
      <c r="R636" s="130"/>
      <c r="S636" s="130"/>
      <c r="T636" s="130"/>
      <c r="U636" s="130"/>
      <c r="V636" s="130"/>
      <c r="W636" s="130"/>
    </row>
    <row r="637">
      <c r="A637" s="130"/>
      <c r="B637" s="130"/>
      <c r="C637" s="130"/>
      <c r="D637" s="130"/>
      <c r="E637" s="130"/>
      <c r="F637" s="130"/>
      <c r="G637" s="130"/>
      <c r="H637" s="130"/>
      <c r="I637" s="130"/>
      <c r="J637" s="130"/>
      <c r="K637" s="239"/>
      <c r="L637" s="239"/>
      <c r="M637" s="130"/>
      <c r="N637" s="130"/>
      <c r="O637" s="130"/>
      <c r="P637" s="130"/>
      <c r="Q637" s="130"/>
      <c r="R637" s="130"/>
      <c r="S637" s="130"/>
      <c r="T637" s="130"/>
      <c r="U637" s="130"/>
      <c r="V637" s="130"/>
      <c r="W637" s="130"/>
    </row>
    <row r="638">
      <c r="A638" s="130"/>
      <c r="B638" s="130"/>
      <c r="C638" s="130"/>
      <c r="D638" s="130"/>
      <c r="E638" s="130"/>
      <c r="F638" s="130"/>
      <c r="G638" s="130"/>
      <c r="H638" s="130"/>
      <c r="I638" s="130"/>
      <c r="J638" s="130"/>
      <c r="K638" s="239"/>
      <c r="L638" s="239"/>
      <c r="M638" s="130"/>
      <c r="N638" s="130"/>
      <c r="O638" s="130"/>
      <c r="P638" s="130"/>
      <c r="Q638" s="130"/>
      <c r="R638" s="130"/>
      <c r="S638" s="130"/>
      <c r="T638" s="130"/>
      <c r="U638" s="130"/>
      <c r="V638" s="130"/>
      <c r="W638" s="130"/>
    </row>
    <row r="639">
      <c r="A639" s="130"/>
      <c r="B639" s="130"/>
      <c r="C639" s="130"/>
      <c r="D639" s="130"/>
      <c r="E639" s="130"/>
      <c r="F639" s="130"/>
      <c r="G639" s="130"/>
      <c r="H639" s="130"/>
      <c r="I639" s="130"/>
      <c r="J639" s="130"/>
      <c r="K639" s="239"/>
      <c r="L639" s="239"/>
      <c r="M639" s="130"/>
      <c r="N639" s="130"/>
      <c r="O639" s="130"/>
      <c r="P639" s="130"/>
      <c r="Q639" s="130"/>
      <c r="R639" s="130"/>
      <c r="S639" s="130"/>
      <c r="T639" s="130"/>
      <c r="U639" s="130"/>
      <c r="V639" s="130"/>
      <c r="W639" s="130"/>
    </row>
    <row r="640">
      <c r="A640" s="130"/>
      <c r="B640" s="130"/>
      <c r="C640" s="130"/>
      <c r="D640" s="130"/>
      <c r="E640" s="130"/>
      <c r="F640" s="130"/>
      <c r="G640" s="130"/>
      <c r="H640" s="130"/>
      <c r="I640" s="130"/>
      <c r="J640" s="130"/>
      <c r="K640" s="239"/>
      <c r="L640" s="239"/>
      <c r="M640" s="130"/>
      <c r="N640" s="130"/>
      <c r="O640" s="130"/>
      <c r="P640" s="130"/>
      <c r="Q640" s="130"/>
      <c r="R640" s="130"/>
      <c r="S640" s="130"/>
      <c r="T640" s="130"/>
      <c r="U640" s="130"/>
      <c r="V640" s="130"/>
      <c r="W640" s="130"/>
    </row>
    <row r="641">
      <c r="A641" s="130"/>
      <c r="B641" s="130"/>
      <c r="C641" s="130"/>
      <c r="D641" s="130"/>
      <c r="E641" s="130"/>
      <c r="F641" s="130"/>
      <c r="G641" s="130"/>
      <c r="H641" s="130"/>
      <c r="I641" s="130"/>
      <c r="J641" s="130"/>
      <c r="K641" s="239"/>
      <c r="L641" s="239"/>
      <c r="M641" s="130"/>
      <c r="N641" s="130"/>
      <c r="O641" s="130"/>
      <c r="P641" s="130"/>
      <c r="Q641" s="130"/>
      <c r="R641" s="130"/>
      <c r="S641" s="130"/>
      <c r="T641" s="130"/>
      <c r="U641" s="130"/>
      <c r="V641" s="130"/>
      <c r="W641" s="130"/>
    </row>
    <row r="642">
      <c r="A642" s="130"/>
      <c r="B642" s="130"/>
      <c r="C642" s="130"/>
      <c r="D642" s="130"/>
      <c r="E642" s="130"/>
      <c r="F642" s="130"/>
      <c r="G642" s="130"/>
      <c r="H642" s="130"/>
      <c r="I642" s="130"/>
      <c r="J642" s="130"/>
      <c r="K642" s="239"/>
      <c r="L642" s="239"/>
      <c r="M642" s="130"/>
      <c r="N642" s="130"/>
      <c r="O642" s="130"/>
      <c r="P642" s="130"/>
      <c r="Q642" s="130"/>
      <c r="R642" s="130"/>
      <c r="S642" s="130"/>
      <c r="T642" s="130"/>
      <c r="U642" s="130"/>
      <c r="V642" s="130"/>
      <c r="W642" s="130"/>
    </row>
    <row r="643">
      <c r="A643" s="130"/>
      <c r="B643" s="130"/>
      <c r="C643" s="130"/>
      <c r="D643" s="130"/>
      <c r="E643" s="130"/>
      <c r="F643" s="130"/>
      <c r="G643" s="130"/>
      <c r="H643" s="130"/>
      <c r="I643" s="130"/>
      <c r="J643" s="130"/>
      <c r="K643" s="239"/>
      <c r="L643" s="239"/>
      <c r="M643" s="130"/>
      <c r="N643" s="130"/>
      <c r="O643" s="130"/>
      <c r="P643" s="130"/>
      <c r="Q643" s="130"/>
      <c r="R643" s="130"/>
      <c r="S643" s="130"/>
      <c r="T643" s="130"/>
      <c r="U643" s="130"/>
      <c r="V643" s="130"/>
      <c r="W643" s="130"/>
    </row>
    <row r="644">
      <c r="A644" s="130"/>
      <c r="B644" s="130"/>
      <c r="C644" s="130"/>
      <c r="D644" s="130"/>
      <c r="E644" s="130"/>
      <c r="F644" s="130"/>
      <c r="G644" s="130"/>
      <c r="H644" s="130"/>
      <c r="I644" s="130"/>
      <c r="J644" s="130"/>
      <c r="K644" s="239"/>
      <c r="L644" s="239"/>
      <c r="M644" s="130"/>
      <c r="N644" s="130"/>
      <c r="O644" s="130"/>
      <c r="P644" s="130"/>
      <c r="Q644" s="130"/>
      <c r="R644" s="130"/>
      <c r="S644" s="130"/>
      <c r="T644" s="130"/>
      <c r="U644" s="130"/>
      <c r="V644" s="130"/>
      <c r="W644" s="130"/>
    </row>
    <row r="645">
      <c r="A645" s="130"/>
      <c r="B645" s="130"/>
      <c r="C645" s="130"/>
      <c r="D645" s="130"/>
      <c r="E645" s="130"/>
      <c r="F645" s="130"/>
      <c r="G645" s="130"/>
      <c r="H645" s="130"/>
      <c r="I645" s="130"/>
      <c r="J645" s="130"/>
      <c r="K645" s="239"/>
      <c r="L645" s="239"/>
      <c r="M645" s="130"/>
      <c r="N645" s="130"/>
      <c r="O645" s="130"/>
      <c r="P645" s="130"/>
      <c r="Q645" s="130"/>
      <c r="R645" s="130"/>
      <c r="S645" s="130"/>
      <c r="T645" s="130"/>
      <c r="U645" s="130"/>
      <c r="V645" s="130"/>
      <c r="W645" s="130"/>
    </row>
    <row r="646">
      <c r="A646" s="130"/>
      <c r="B646" s="130"/>
      <c r="C646" s="130"/>
      <c r="D646" s="130"/>
      <c r="E646" s="130"/>
      <c r="F646" s="130"/>
      <c r="G646" s="130"/>
      <c r="H646" s="130"/>
      <c r="I646" s="130"/>
      <c r="J646" s="130"/>
      <c r="K646" s="239"/>
      <c r="L646" s="239"/>
      <c r="M646" s="130"/>
      <c r="N646" s="130"/>
      <c r="O646" s="130"/>
      <c r="P646" s="130"/>
      <c r="Q646" s="130"/>
      <c r="R646" s="130"/>
      <c r="S646" s="130"/>
      <c r="T646" s="130"/>
      <c r="U646" s="130"/>
      <c r="V646" s="130"/>
      <c r="W646" s="130"/>
    </row>
    <row r="647">
      <c r="A647" s="130"/>
      <c r="B647" s="130"/>
      <c r="C647" s="130"/>
      <c r="D647" s="130"/>
      <c r="E647" s="130"/>
      <c r="F647" s="130"/>
      <c r="G647" s="130"/>
      <c r="H647" s="130"/>
      <c r="I647" s="130"/>
      <c r="J647" s="130"/>
      <c r="K647" s="239"/>
      <c r="L647" s="239"/>
      <c r="M647" s="130"/>
      <c r="N647" s="130"/>
      <c r="O647" s="130"/>
      <c r="P647" s="130"/>
      <c r="Q647" s="130"/>
      <c r="R647" s="130"/>
      <c r="S647" s="130"/>
      <c r="T647" s="130"/>
      <c r="U647" s="130"/>
      <c r="V647" s="130"/>
      <c r="W647" s="130"/>
    </row>
    <row r="648">
      <c r="A648" s="130"/>
      <c r="B648" s="130"/>
      <c r="C648" s="130"/>
      <c r="D648" s="130"/>
      <c r="E648" s="130"/>
      <c r="F648" s="130"/>
      <c r="G648" s="130"/>
      <c r="H648" s="130"/>
      <c r="I648" s="130"/>
      <c r="J648" s="130"/>
      <c r="K648" s="239"/>
      <c r="L648" s="239"/>
      <c r="M648" s="130"/>
      <c r="N648" s="130"/>
      <c r="O648" s="130"/>
      <c r="P648" s="130"/>
      <c r="Q648" s="130"/>
      <c r="R648" s="130"/>
      <c r="S648" s="130"/>
      <c r="T648" s="130"/>
      <c r="U648" s="130"/>
      <c r="V648" s="130"/>
      <c r="W648" s="130"/>
    </row>
    <row r="649">
      <c r="A649" s="130"/>
      <c r="B649" s="130"/>
      <c r="C649" s="130"/>
      <c r="D649" s="130"/>
      <c r="E649" s="130"/>
      <c r="F649" s="130"/>
      <c r="G649" s="130"/>
      <c r="H649" s="130"/>
      <c r="I649" s="130"/>
      <c r="J649" s="130"/>
      <c r="K649" s="239"/>
      <c r="L649" s="239"/>
      <c r="M649" s="130"/>
      <c r="N649" s="130"/>
      <c r="O649" s="130"/>
      <c r="P649" s="130"/>
      <c r="Q649" s="130"/>
      <c r="R649" s="130"/>
      <c r="S649" s="130"/>
      <c r="T649" s="130"/>
      <c r="U649" s="130"/>
      <c r="V649" s="130"/>
      <c r="W649" s="130"/>
    </row>
    <row r="650">
      <c r="A650" s="130"/>
      <c r="B650" s="130"/>
      <c r="C650" s="130"/>
      <c r="D650" s="130"/>
      <c r="E650" s="130"/>
      <c r="F650" s="130"/>
      <c r="G650" s="130"/>
      <c r="H650" s="130"/>
      <c r="I650" s="130"/>
      <c r="J650" s="130"/>
      <c r="K650" s="239"/>
      <c r="L650" s="239"/>
      <c r="M650" s="130"/>
      <c r="N650" s="130"/>
      <c r="O650" s="130"/>
      <c r="P650" s="130"/>
      <c r="Q650" s="130"/>
      <c r="R650" s="130"/>
      <c r="S650" s="130"/>
      <c r="T650" s="130"/>
      <c r="U650" s="130"/>
      <c r="V650" s="130"/>
      <c r="W650" s="130"/>
    </row>
    <row r="651">
      <c r="A651" s="130"/>
      <c r="B651" s="130"/>
      <c r="C651" s="130"/>
      <c r="D651" s="130"/>
      <c r="E651" s="130"/>
      <c r="F651" s="130"/>
      <c r="G651" s="130"/>
      <c r="H651" s="130"/>
      <c r="I651" s="130"/>
      <c r="J651" s="130"/>
      <c r="K651" s="239"/>
      <c r="L651" s="239"/>
      <c r="M651" s="130"/>
      <c r="N651" s="130"/>
      <c r="O651" s="130"/>
      <c r="P651" s="130"/>
      <c r="Q651" s="130"/>
      <c r="R651" s="130"/>
      <c r="S651" s="130"/>
      <c r="T651" s="130"/>
      <c r="U651" s="130"/>
      <c r="V651" s="130"/>
      <c r="W651" s="130"/>
    </row>
    <row r="652">
      <c r="A652" s="130"/>
      <c r="B652" s="130"/>
      <c r="C652" s="130"/>
      <c r="D652" s="130"/>
      <c r="E652" s="130"/>
      <c r="F652" s="130"/>
      <c r="G652" s="130"/>
      <c r="H652" s="130"/>
      <c r="I652" s="130"/>
      <c r="J652" s="130"/>
      <c r="K652" s="239"/>
      <c r="L652" s="239"/>
      <c r="M652" s="130"/>
      <c r="N652" s="130"/>
      <c r="O652" s="130"/>
      <c r="P652" s="130"/>
      <c r="Q652" s="130"/>
      <c r="R652" s="130"/>
      <c r="S652" s="130"/>
      <c r="T652" s="130"/>
      <c r="U652" s="130"/>
      <c r="V652" s="130"/>
      <c r="W652" s="130"/>
    </row>
    <row r="653">
      <c r="A653" s="130"/>
      <c r="B653" s="130"/>
      <c r="C653" s="130"/>
      <c r="D653" s="130"/>
      <c r="E653" s="130"/>
      <c r="F653" s="130"/>
      <c r="G653" s="130"/>
      <c r="H653" s="130"/>
      <c r="I653" s="130"/>
      <c r="J653" s="130"/>
      <c r="K653" s="239"/>
      <c r="L653" s="239"/>
      <c r="M653" s="130"/>
      <c r="N653" s="130"/>
      <c r="O653" s="130"/>
      <c r="P653" s="130"/>
      <c r="Q653" s="130"/>
      <c r="R653" s="130"/>
      <c r="S653" s="130"/>
      <c r="T653" s="130"/>
      <c r="U653" s="130"/>
      <c r="V653" s="130"/>
      <c r="W653" s="130"/>
    </row>
    <row r="654">
      <c r="A654" s="130"/>
      <c r="B654" s="130"/>
      <c r="C654" s="130"/>
      <c r="D654" s="130"/>
      <c r="E654" s="130"/>
      <c r="F654" s="130"/>
      <c r="G654" s="130"/>
      <c r="H654" s="130"/>
      <c r="I654" s="130"/>
      <c r="J654" s="130"/>
      <c r="K654" s="239"/>
      <c r="L654" s="239"/>
      <c r="M654" s="130"/>
      <c r="N654" s="130"/>
      <c r="O654" s="130"/>
      <c r="P654" s="130"/>
      <c r="Q654" s="130"/>
      <c r="R654" s="130"/>
      <c r="S654" s="130"/>
      <c r="T654" s="130"/>
      <c r="U654" s="130"/>
      <c r="V654" s="130"/>
      <c r="W654" s="130"/>
    </row>
    <row r="655">
      <c r="A655" s="130"/>
      <c r="B655" s="130"/>
      <c r="C655" s="130"/>
      <c r="D655" s="130"/>
      <c r="E655" s="130"/>
      <c r="F655" s="130"/>
      <c r="G655" s="130"/>
      <c r="H655" s="130"/>
      <c r="I655" s="130"/>
      <c r="J655" s="130"/>
      <c r="K655" s="239"/>
      <c r="L655" s="239"/>
      <c r="M655" s="130"/>
      <c r="N655" s="130"/>
      <c r="O655" s="130"/>
      <c r="P655" s="130"/>
      <c r="Q655" s="130"/>
      <c r="R655" s="130"/>
      <c r="S655" s="130"/>
      <c r="T655" s="130"/>
      <c r="U655" s="130"/>
      <c r="V655" s="130"/>
      <c r="W655" s="130"/>
    </row>
    <row r="656">
      <c r="A656" s="130"/>
      <c r="B656" s="130"/>
      <c r="C656" s="130"/>
      <c r="D656" s="130"/>
      <c r="E656" s="130"/>
      <c r="F656" s="130"/>
      <c r="G656" s="130"/>
      <c r="H656" s="130"/>
      <c r="I656" s="130"/>
      <c r="J656" s="130"/>
      <c r="K656" s="239"/>
      <c r="L656" s="239"/>
      <c r="M656" s="130"/>
      <c r="N656" s="130"/>
      <c r="O656" s="130"/>
      <c r="P656" s="130"/>
      <c r="Q656" s="130"/>
      <c r="R656" s="130"/>
      <c r="S656" s="130"/>
      <c r="T656" s="130"/>
      <c r="U656" s="130"/>
      <c r="V656" s="130"/>
      <c r="W656" s="130"/>
    </row>
    <row r="657">
      <c r="A657" s="130"/>
      <c r="B657" s="130"/>
      <c r="C657" s="130"/>
      <c r="D657" s="130"/>
      <c r="E657" s="130"/>
      <c r="F657" s="130"/>
      <c r="G657" s="130"/>
      <c r="H657" s="130"/>
      <c r="I657" s="130"/>
      <c r="J657" s="130"/>
      <c r="K657" s="239"/>
      <c r="L657" s="239"/>
      <c r="M657" s="130"/>
      <c r="N657" s="130"/>
      <c r="O657" s="130"/>
      <c r="P657" s="130"/>
      <c r="Q657" s="130"/>
      <c r="R657" s="130"/>
      <c r="S657" s="130"/>
      <c r="T657" s="130"/>
      <c r="U657" s="130"/>
      <c r="V657" s="130"/>
      <c r="W657" s="130"/>
    </row>
    <row r="658">
      <c r="A658" s="130"/>
      <c r="B658" s="130"/>
      <c r="C658" s="130"/>
      <c r="D658" s="130"/>
      <c r="E658" s="130"/>
      <c r="F658" s="130"/>
      <c r="G658" s="130"/>
      <c r="H658" s="130"/>
      <c r="I658" s="130"/>
      <c r="J658" s="130"/>
      <c r="K658" s="239"/>
      <c r="L658" s="239"/>
      <c r="M658" s="130"/>
      <c r="N658" s="130"/>
      <c r="O658" s="130"/>
      <c r="P658" s="130"/>
      <c r="Q658" s="130"/>
      <c r="R658" s="130"/>
      <c r="S658" s="130"/>
      <c r="T658" s="130"/>
      <c r="U658" s="130"/>
      <c r="V658" s="130"/>
      <c r="W658" s="130"/>
    </row>
    <row r="659">
      <c r="A659" s="130"/>
      <c r="B659" s="130"/>
      <c r="C659" s="130"/>
      <c r="D659" s="130"/>
      <c r="E659" s="130"/>
      <c r="F659" s="130"/>
      <c r="G659" s="130"/>
      <c r="H659" s="130"/>
      <c r="I659" s="130"/>
      <c r="J659" s="130"/>
      <c r="K659" s="239"/>
      <c r="L659" s="239"/>
      <c r="M659" s="130"/>
      <c r="N659" s="130"/>
      <c r="O659" s="130"/>
      <c r="P659" s="130"/>
      <c r="Q659" s="130"/>
      <c r="R659" s="130"/>
      <c r="S659" s="130"/>
      <c r="T659" s="130"/>
      <c r="U659" s="130"/>
      <c r="V659" s="130"/>
      <c r="W659" s="130"/>
    </row>
    <row r="660">
      <c r="A660" s="130"/>
      <c r="B660" s="130"/>
      <c r="C660" s="130"/>
      <c r="D660" s="130"/>
      <c r="E660" s="130"/>
      <c r="F660" s="130"/>
      <c r="G660" s="130"/>
      <c r="H660" s="130"/>
      <c r="I660" s="130"/>
      <c r="J660" s="130"/>
      <c r="K660" s="239"/>
      <c r="L660" s="239"/>
      <c r="M660" s="130"/>
      <c r="N660" s="130"/>
      <c r="O660" s="130"/>
      <c r="P660" s="130"/>
      <c r="Q660" s="130"/>
      <c r="R660" s="130"/>
      <c r="S660" s="130"/>
      <c r="T660" s="130"/>
      <c r="U660" s="130"/>
      <c r="V660" s="130"/>
      <c r="W660" s="130"/>
    </row>
    <row r="661">
      <c r="A661" s="130"/>
      <c r="B661" s="130"/>
      <c r="C661" s="130"/>
      <c r="D661" s="130"/>
      <c r="E661" s="130"/>
      <c r="F661" s="130"/>
      <c r="G661" s="130"/>
      <c r="H661" s="130"/>
      <c r="I661" s="130"/>
      <c r="J661" s="130"/>
      <c r="K661" s="239"/>
      <c r="L661" s="239"/>
      <c r="M661" s="130"/>
      <c r="N661" s="130"/>
      <c r="O661" s="130"/>
      <c r="P661" s="130"/>
      <c r="Q661" s="130"/>
      <c r="R661" s="130"/>
      <c r="S661" s="130"/>
      <c r="T661" s="130"/>
      <c r="U661" s="130"/>
      <c r="V661" s="130"/>
      <c r="W661" s="130"/>
    </row>
    <row r="662">
      <c r="A662" s="130"/>
      <c r="B662" s="130"/>
      <c r="C662" s="130"/>
      <c r="D662" s="130"/>
      <c r="E662" s="130"/>
      <c r="F662" s="130"/>
      <c r="G662" s="130"/>
      <c r="H662" s="130"/>
      <c r="I662" s="130"/>
      <c r="J662" s="130"/>
      <c r="K662" s="239"/>
      <c r="L662" s="239"/>
      <c r="M662" s="130"/>
      <c r="N662" s="130"/>
      <c r="O662" s="130"/>
      <c r="P662" s="130"/>
      <c r="Q662" s="130"/>
      <c r="R662" s="130"/>
      <c r="S662" s="130"/>
      <c r="T662" s="130"/>
      <c r="U662" s="130"/>
      <c r="V662" s="130"/>
      <c r="W662" s="130"/>
    </row>
    <row r="663">
      <c r="A663" s="130"/>
      <c r="B663" s="130"/>
      <c r="C663" s="130"/>
      <c r="D663" s="130"/>
      <c r="E663" s="130"/>
      <c r="F663" s="130"/>
      <c r="G663" s="130"/>
      <c r="H663" s="130"/>
      <c r="I663" s="130"/>
      <c r="J663" s="130"/>
      <c r="K663" s="239"/>
      <c r="L663" s="239"/>
      <c r="M663" s="130"/>
      <c r="N663" s="130"/>
      <c r="O663" s="130"/>
      <c r="P663" s="130"/>
      <c r="Q663" s="130"/>
      <c r="R663" s="130"/>
      <c r="S663" s="130"/>
      <c r="T663" s="130"/>
      <c r="U663" s="130"/>
      <c r="V663" s="130"/>
      <c r="W663" s="130"/>
    </row>
    <row r="664">
      <c r="A664" s="130"/>
      <c r="B664" s="130"/>
      <c r="C664" s="130"/>
      <c r="D664" s="130"/>
      <c r="E664" s="130"/>
      <c r="F664" s="130"/>
      <c r="G664" s="130"/>
      <c r="H664" s="130"/>
      <c r="I664" s="130"/>
      <c r="J664" s="130"/>
      <c r="K664" s="239"/>
      <c r="L664" s="239"/>
      <c r="M664" s="130"/>
      <c r="N664" s="130"/>
      <c r="O664" s="130"/>
      <c r="P664" s="130"/>
      <c r="Q664" s="130"/>
      <c r="R664" s="130"/>
      <c r="S664" s="130"/>
      <c r="T664" s="130"/>
      <c r="U664" s="130"/>
      <c r="V664" s="130"/>
      <c r="W664" s="130"/>
    </row>
    <row r="665">
      <c r="A665" s="130"/>
      <c r="B665" s="130"/>
      <c r="C665" s="130"/>
      <c r="D665" s="130"/>
      <c r="E665" s="130"/>
      <c r="F665" s="130"/>
      <c r="G665" s="130"/>
      <c r="H665" s="130"/>
      <c r="I665" s="130"/>
      <c r="J665" s="130"/>
      <c r="K665" s="239"/>
      <c r="L665" s="239"/>
      <c r="M665" s="130"/>
      <c r="N665" s="130"/>
      <c r="O665" s="130"/>
      <c r="P665" s="130"/>
      <c r="Q665" s="130"/>
      <c r="R665" s="130"/>
      <c r="S665" s="130"/>
      <c r="T665" s="130"/>
      <c r="U665" s="130"/>
      <c r="V665" s="130"/>
      <c r="W665" s="130"/>
    </row>
    <row r="666">
      <c r="A666" s="130"/>
      <c r="B666" s="130"/>
      <c r="C666" s="130"/>
      <c r="D666" s="130"/>
      <c r="E666" s="130"/>
      <c r="F666" s="130"/>
      <c r="G666" s="130"/>
      <c r="H666" s="130"/>
      <c r="I666" s="130"/>
      <c r="J666" s="130"/>
      <c r="K666" s="239"/>
      <c r="L666" s="239"/>
      <c r="M666" s="130"/>
      <c r="N666" s="130"/>
      <c r="O666" s="130"/>
      <c r="P666" s="130"/>
      <c r="Q666" s="130"/>
      <c r="R666" s="130"/>
      <c r="S666" s="130"/>
      <c r="T666" s="130"/>
      <c r="U666" s="130"/>
      <c r="V666" s="130"/>
      <c r="W666" s="130"/>
    </row>
    <row r="667">
      <c r="A667" s="130"/>
      <c r="B667" s="130"/>
      <c r="C667" s="130"/>
      <c r="D667" s="130"/>
      <c r="E667" s="130"/>
      <c r="F667" s="130"/>
      <c r="G667" s="130"/>
      <c r="H667" s="130"/>
      <c r="I667" s="130"/>
      <c r="J667" s="130"/>
      <c r="K667" s="239"/>
      <c r="L667" s="239"/>
      <c r="M667" s="130"/>
      <c r="N667" s="130"/>
      <c r="O667" s="130"/>
      <c r="P667" s="130"/>
      <c r="Q667" s="130"/>
      <c r="R667" s="130"/>
      <c r="S667" s="130"/>
      <c r="T667" s="130"/>
      <c r="U667" s="130"/>
      <c r="V667" s="130"/>
      <c r="W667" s="130"/>
    </row>
    <row r="668">
      <c r="A668" s="130"/>
      <c r="B668" s="130"/>
      <c r="C668" s="130"/>
      <c r="D668" s="130"/>
      <c r="E668" s="130"/>
      <c r="F668" s="130"/>
      <c r="G668" s="130"/>
      <c r="H668" s="130"/>
      <c r="I668" s="130"/>
      <c r="J668" s="130"/>
      <c r="K668" s="239"/>
      <c r="L668" s="239"/>
      <c r="M668" s="130"/>
      <c r="N668" s="130"/>
      <c r="O668" s="130"/>
      <c r="P668" s="130"/>
      <c r="Q668" s="130"/>
      <c r="R668" s="130"/>
      <c r="S668" s="130"/>
      <c r="T668" s="130"/>
      <c r="U668" s="130"/>
      <c r="V668" s="130"/>
      <c r="W668" s="130"/>
    </row>
    <row r="669">
      <c r="A669" s="130"/>
      <c r="B669" s="130"/>
      <c r="C669" s="130"/>
      <c r="D669" s="130"/>
      <c r="E669" s="130"/>
      <c r="F669" s="130"/>
      <c r="G669" s="130"/>
      <c r="H669" s="130"/>
      <c r="I669" s="130"/>
      <c r="J669" s="130"/>
      <c r="K669" s="239"/>
      <c r="L669" s="239"/>
      <c r="M669" s="130"/>
      <c r="N669" s="130"/>
      <c r="O669" s="130"/>
      <c r="P669" s="130"/>
      <c r="Q669" s="130"/>
      <c r="R669" s="130"/>
      <c r="S669" s="130"/>
      <c r="T669" s="130"/>
      <c r="U669" s="130"/>
      <c r="V669" s="130"/>
      <c r="W669" s="130"/>
    </row>
    <row r="670">
      <c r="A670" s="130"/>
      <c r="B670" s="130"/>
      <c r="C670" s="130"/>
      <c r="D670" s="130"/>
      <c r="E670" s="130"/>
      <c r="F670" s="130"/>
      <c r="G670" s="130"/>
      <c r="H670" s="130"/>
      <c r="I670" s="130"/>
      <c r="J670" s="130"/>
      <c r="K670" s="239"/>
      <c r="L670" s="239"/>
      <c r="M670" s="130"/>
      <c r="N670" s="130"/>
      <c r="O670" s="130"/>
      <c r="P670" s="130"/>
      <c r="Q670" s="130"/>
      <c r="R670" s="130"/>
      <c r="S670" s="130"/>
      <c r="T670" s="130"/>
      <c r="U670" s="130"/>
      <c r="V670" s="130"/>
      <c r="W670" s="130"/>
    </row>
    <row r="671">
      <c r="A671" s="130"/>
      <c r="B671" s="130"/>
      <c r="C671" s="130"/>
      <c r="D671" s="130"/>
      <c r="E671" s="130"/>
      <c r="F671" s="130"/>
      <c r="G671" s="130"/>
      <c r="H671" s="130"/>
      <c r="I671" s="130"/>
      <c r="J671" s="130"/>
      <c r="K671" s="239"/>
      <c r="L671" s="239"/>
      <c r="M671" s="130"/>
      <c r="N671" s="130"/>
      <c r="O671" s="130"/>
      <c r="P671" s="130"/>
      <c r="Q671" s="130"/>
      <c r="R671" s="130"/>
      <c r="S671" s="130"/>
      <c r="T671" s="130"/>
      <c r="U671" s="130"/>
      <c r="V671" s="130"/>
      <c r="W671" s="130"/>
    </row>
    <row r="672">
      <c r="A672" s="130"/>
      <c r="B672" s="130"/>
      <c r="C672" s="130"/>
      <c r="D672" s="130"/>
      <c r="E672" s="130"/>
      <c r="F672" s="130"/>
      <c r="G672" s="130"/>
      <c r="H672" s="130"/>
      <c r="I672" s="130"/>
      <c r="J672" s="130"/>
      <c r="K672" s="239"/>
      <c r="L672" s="239"/>
      <c r="M672" s="130"/>
      <c r="N672" s="130"/>
      <c r="O672" s="130"/>
      <c r="P672" s="130"/>
      <c r="Q672" s="130"/>
      <c r="R672" s="130"/>
      <c r="S672" s="130"/>
      <c r="T672" s="130"/>
      <c r="U672" s="130"/>
      <c r="V672" s="130"/>
      <c r="W672" s="130"/>
    </row>
    <row r="673">
      <c r="A673" s="130"/>
      <c r="B673" s="130"/>
      <c r="C673" s="130"/>
      <c r="D673" s="130"/>
      <c r="E673" s="130"/>
      <c r="F673" s="130"/>
      <c r="G673" s="130"/>
      <c r="H673" s="130"/>
      <c r="I673" s="130"/>
      <c r="J673" s="130"/>
      <c r="K673" s="239"/>
      <c r="L673" s="239"/>
      <c r="M673" s="130"/>
      <c r="N673" s="130"/>
      <c r="O673" s="130"/>
      <c r="P673" s="130"/>
      <c r="Q673" s="130"/>
      <c r="R673" s="130"/>
      <c r="S673" s="130"/>
      <c r="T673" s="130"/>
      <c r="U673" s="130"/>
      <c r="V673" s="130"/>
      <c r="W673" s="130"/>
    </row>
    <row r="674">
      <c r="A674" s="130"/>
      <c r="B674" s="130"/>
      <c r="C674" s="130"/>
      <c r="D674" s="130"/>
      <c r="E674" s="130"/>
      <c r="F674" s="130"/>
      <c r="G674" s="130"/>
      <c r="H674" s="130"/>
      <c r="I674" s="130"/>
      <c r="J674" s="130"/>
      <c r="K674" s="239"/>
      <c r="L674" s="239"/>
      <c r="M674" s="130"/>
      <c r="N674" s="130"/>
      <c r="O674" s="130"/>
      <c r="P674" s="130"/>
      <c r="Q674" s="130"/>
      <c r="R674" s="130"/>
      <c r="S674" s="130"/>
      <c r="T674" s="130"/>
      <c r="U674" s="130"/>
      <c r="V674" s="130"/>
      <c r="W674" s="130"/>
    </row>
    <row r="675">
      <c r="A675" s="130"/>
      <c r="B675" s="130"/>
      <c r="C675" s="130"/>
      <c r="D675" s="130"/>
      <c r="E675" s="130"/>
      <c r="F675" s="130"/>
      <c r="G675" s="130"/>
      <c r="H675" s="130"/>
      <c r="I675" s="130"/>
      <c r="J675" s="130"/>
      <c r="K675" s="239"/>
      <c r="L675" s="239"/>
      <c r="M675" s="130"/>
      <c r="N675" s="130"/>
      <c r="O675" s="130"/>
      <c r="P675" s="130"/>
      <c r="Q675" s="130"/>
      <c r="R675" s="130"/>
      <c r="S675" s="130"/>
      <c r="T675" s="130"/>
      <c r="U675" s="130"/>
      <c r="V675" s="130"/>
      <c r="W675" s="130"/>
    </row>
    <row r="676">
      <c r="A676" s="130"/>
      <c r="B676" s="130"/>
      <c r="C676" s="130"/>
      <c r="D676" s="130"/>
      <c r="E676" s="130"/>
      <c r="F676" s="130"/>
      <c r="G676" s="130"/>
      <c r="H676" s="130"/>
      <c r="I676" s="130"/>
      <c r="J676" s="130"/>
      <c r="K676" s="239"/>
      <c r="L676" s="239"/>
      <c r="M676" s="130"/>
      <c r="N676" s="130"/>
      <c r="O676" s="130"/>
      <c r="P676" s="130"/>
      <c r="Q676" s="130"/>
      <c r="R676" s="130"/>
      <c r="S676" s="130"/>
      <c r="T676" s="130"/>
      <c r="U676" s="130"/>
      <c r="V676" s="130"/>
      <c r="W676" s="130"/>
    </row>
    <row r="677">
      <c r="A677" s="130"/>
      <c r="B677" s="130"/>
      <c r="C677" s="130"/>
      <c r="D677" s="130"/>
      <c r="E677" s="130"/>
      <c r="F677" s="130"/>
      <c r="G677" s="130"/>
      <c r="H677" s="130"/>
      <c r="I677" s="130"/>
      <c r="J677" s="130"/>
      <c r="K677" s="239"/>
      <c r="L677" s="239"/>
      <c r="M677" s="130"/>
      <c r="N677" s="130"/>
      <c r="O677" s="130"/>
      <c r="P677" s="130"/>
      <c r="Q677" s="130"/>
      <c r="R677" s="130"/>
      <c r="S677" s="130"/>
      <c r="T677" s="130"/>
      <c r="U677" s="130"/>
      <c r="V677" s="130"/>
      <c r="W677" s="130"/>
    </row>
    <row r="678">
      <c r="A678" s="130"/>
      <c r="B678" s="130"/>
      <c r="C678" s="130"/>
      <c r="D678" s="130"/>
      <c r="E678" s="130"/>
      <c r="F678" s="130"/>
      <c r="G678" s="130"/>
      <c r="H678" s="130"/>
      <c r="I678" s="130"/>
      <c r="J678" s="130"/>
      <c r="K678" s="239"/>
      <c r="L678" s="239"/>
      <c r="M678" s="130"/>
      <c r="N678" s="130"/>
      <c r="O678" s="130"/>
      <c r="P678" s="130"/>
      <c r="Q678" s="130"/>
      <c r="R678" s="130"/>
      <c r="S678" s="130"/>
      <c r="T678" s="130"/>
      <c r="U678" s="130"/>
      <c r="V678" s="130"/>
      <c r="W678" s="130"/>
    </row>
    <row r="679">
      <c r="A679" s="130"/>
      <c r="B679" s="130"/>
      <c r="C679" s="130"/>
      <c r="D679" s="130"/>
      <c r="E679" s="130"/>
      <c r="F679" s="130"/>
      <c r="G679" s="130"/>
      <c r="H679" s="130"/>
      <c r="I679" s="130"/>
      <c r="J679" s="130"/>
      <c r="K679" s="239"/>
      <c r="L679" s="239"/>
      <c r="M679" s="130"/>
      <c r="N679" s="130"/>
      <c r="O679" s="130"/>
      <c r="P679" s="130"/>
      <c r="Q679" s="130"/>
      <c r="R679" s="130"/>
      <c r="S679" s="130"/>
      <c r="T679" s="130"/>
      <c r="U679" s="130"/>
      <c r="V679" s="130"/>
      <c r="W679" s="130"/>
    </row>
    <row r="680">
      <c r="A680" s="130"/>
      <c r="B680" s="130"/>
      <c r="C680" s="130"/>
      <c r="D680" s="130"/>
      <c r="E680" s="130"/>
      <c r="F680" s="130"/>
      <c r="G680" s="130"/>
      <c r="H680" s="130"/>
      <c r="I680" s="130"/>
      <c r="J680" s="130"/>
      <c r="K680" s="239"/>
      <c r="L680" s="239"/>
      <c r="M680" s="130"/>
      <c r="N680" s="130"/>
      <c r="O680" s="130"/>
      <c r="P680" s="130"/>
      <c r="Q680" s="130"/>
      <c r="R680" s="130"/>
      <c r="S680" s="130"/>
      <c r="T680" s="130"/>
      <c r="U680" s="130"/>
      <c r="V680" s="130"/>
      <c r="W680" s="130"/>
    </row>
    <row r="681">
      <c r="A681" s="130"/>
      <c r="B681" s="130"/>
      <c r="C681" s="130"/>
      <c r="D681" s="130"/>
      <c r="E681" s="130"/>
      <c r="F681" s="130"/>
      <c r="G681" s="130"/>
      <c r="H681" s="130"/>
      <c r="I681" s="130"/>
      <c r="J681" s="130"/>
      <c r="K681" s="239"/>
      <c r="L681" s="239"/>
      <c r="M681" s="130"/>
      <c r="N681" s="130"/>
      <c r="O681" s="130"/>
      <c r="P681" s="130"/>
      <c r="Q681" s="130"/>
      <c r="R681" s="130"/>
      <c r="S681" s="130"/>
      <c r="T681" s="130"/>
      <c r="U681" s="130"/>
      <c r="V681" s="130"/>
      <c r="W681" s="130"/>
    </row>
    <row r="682">
      <c r="A682" s="130"/>
      <c r="B682" s="130"/>
      <c r="C682" s="130"/>
      <c r="D682" s="130"/>
      <c r="E682" s="130"/>
      <c r="F682" s="130"/>
      <c r="G682" s="130"/>
      <c r="H682" s="130"/>
      <c r="I682" s="130"/>
      <c r="J682" s="130"/>
      <c r="K682" s="239"/>
      <c r="L682" s="239"/>
      <c r="M682" s="130"/>
      <c r="N682" s="130"/>
      <c r="O682" s="130"/>
      <c r="P682" s="130"/>
      <c r="Q682" s="130"/>
      <c r="R682" s="130"/>
      <c r="S682" s="130"/>
      <c r="T682" s="130"/>
      <c r="U682" s="130"/>
      <c r="V682" s="130"/>
      <c r="W682" s="130"/>
    </row>
    <row r="683">
      <c r="A683" s="130"/>
      <c r="B683" s="130"/>
      <c r="C683" s="130"/>
      <c r="D683" s="130"/>
      <c r="E683" s="130"/>
      <c r="F683" s="130"/>
      <c r="G683" s="130"/>
      <c r="H683" s="130"/>
      <c r="I683" s="130"/>
      <c r="J683" s="130"/>
      <c r="K683" s="239"/>
      <c r="L683" s="239"/>
      <c r="M683" s="130"/>
      <c r="N683" s="130"/>
      <c r="O683" s="130"/>
      <c r="P683" s="130"/>
      <c r="Q683" s="130"/>
      <c r="R683" s="130"/>
      <c r="S683" s="130"/>
      <c r="T683" s="130"/>
      <c r="U683" s="130"/>
      <c r="V683" s="130"/>
      <c r="W683" s="130"/>
    </row>
    <row r="684">
      <c r="A684" s="130"/>
      <c r="B684" s="130"/>
      <c r="C684" s="130"/>
      <c r="D684" s="130"/>
      <c r="E684" s="130"/>
      <c r="F684" s="130"/>
      <c r="G684" s="130"/>
      <c r="H684" s="130"/>
      <c r="I684" s="130"/>
      <c r="J684" s="130"/>
      <c r="K684" s="239"/>
      <c r="L684" s="239"/>
      <c r="M684" s="130"/>
      <c r="N684" s="130"/>
      <c r="O684" s="130"/>
      <c r="P684" s="130"/>
      <c r="Q684" s="130"/>
      <c r="R684" s="130"/>
      <c r="S684" s="130"/>
      <c r="T684" s="130"/>
      <c r="U684" s="130"/>
      <c r="V684" s="130"/>
      <c r="W684" s="130"/>
    </row>
    <row r="685">
      <c r="A685" s="130"/>
      <c r="B685" s="130"/>
      <c r="C685" s="130"/>
      <c r="D685" s="130"/>
      <c r="E685" s="130"/>
      <c r="F685" s="130"/>
      <c r="G685" s="130"/>
      <c r="H685" s="130"/>
      <c r="I685" s="130"/>
      <c r="J685" s="130"/>
      <c r="K685" s="239"/>
      <c r="L685" s="239"/>
      <c r="M685" s="130"/>
      <c r="N685" s="130"/>
      <c r="O685" s="130"/>
      <c r="P685" s="130"/>
      <c r="Q685" s="130"/>
      <c r="R685" s="130"/>
      <c r="S685" s="130"/>
      <c r="T685" s="130"/>
      <c r="U685" s="130"/>
      <c r="V685" s="130"/>
      <c r="W685" s="130"/>
    </row>
    <row r="686">
      <c r="A686" s="130"/>
      <c r="B686" s="130"/>
      <c r="C686" s="130"/>
      <c r="D686" s="130"/>
      <c r="E686" s="130"/>
      <c r="F686" s="130"/>
      <c r="G686" s="130"/>
      <c r="H686" s="130"/>
      <c r="I686" s="130"/>
      <c r="J686" s="130"/>
      <c r="K686" s="239"/>
      <c r="L686" s="239"/>
      <c r="M686" s="130"/>
      <c r="N686" s="130"/>
      <c r="O686" s="130"/>
      <c r="P686" s="130"/>
      <c r="Q686" s="130"/>
      <c r="R686" s="130"/>
      <c r="S686" s="130"/>
      <c r="T686" s="130"/>
      <c r="U686" s="130"/>
      <c r="V686" s="130"/>
      <c r="W686" s="130"/>
    </row>
    <row r="687">
      <c r="A687" s="130"/>
      <c r="B687" s="130"/>
      <c r="C687" s="130"/>
      <c r="D687" s="130"/>
      <c r="E687" s="130"/>
      <c r="F687" s="130"/>
      <c r="G687" s="130"/>
      <c r="H687" s="130"/>
      <c r="I687" s="130"/>
      <c r="J687" s="130"/>
      <c r="K687" s="239"/>
      <c r="L687" s="239"/>
      <c r="M687" s="130"/>
      <c r="N687" s="130"/>
      <c r="O687" s="130"/>
      <c r="P687" s="130"/>
      <c r="Q687" s="130"/>
      <c r="R687" s="130"/>
      <c r="S687" s="130"/>
      <c r="T687" s="130"/>
      <c r="U687" s="130"/>
      <c r="V687" s="130"/>
      <c r="W687" s="130"/>
    </row>
    <row r="688">
      <c r="A688" s="130"/>
      <c r="B688" s="130"/>
      <c r="C688" s="130"/>
      <c r="D688" s="130"/>
      <c r="E688" s="130"/>
      <c r="F688" s="130"/>
      <c r="G688" s="130"/>
      <c r="H688" s="130"/>
      <c r="I688" s="130"/>
      <c r="J688" s="130"/>
      <c r="K688" s="239"/>
      <c r="L688" s="239"/>
      <c r="M688" s="130"/>
      <c r="N688" s="130"/>
      <c r="O688" s="130"/>
      <c r="P688" s="130"/>
      <c r="Q688" s="130"/>
      <c r="R688" s="130"/>
      <c r="S688" s="130"/>
      <c r="T688" s="130"/>
      <c r="U688" s="130"/>
      <c r="V688" s="130"/>
      <c r="W688" s="130"/>
    </row>
    <row r="689">
      <c r="A689" s="130"/>
      <c r="B689" s="130"/>
      <c r="C689" s="130"/>
      <c r="D689" s="130"/>
      <c r="E689" s="130"/>
      <c r="F689" s="130"/>
      <c r="G689" s="130"/>
      <c r="H689" s="130"/>
      <c r="I689" s="130"/>
      <c r="J689" s="130"/>
      <c r="K689" s="239"/>
      <c r="L689" s="239"/>
      <c r="M689" s="130"/>
      <c r="N689" s="130"/>
      <c r="O689" s="130"/>
      <c r="P689" s="130"/>
      <c r="Q689" s="130"/>
      <c r="R689" s="130"/>
      <c r="S689" s="130"/>
      <c r="T689" s="130"/>
      <c r="U689" s="130"/>
      <c r="V689" s="130"/>
      <c r="W689" s="130"/>
    </row>
    <row r="690">
      <c r="A690" s="130"/>
      <c r="B690" s="130"/>
      <c r="C690" s="130"/>
      <c r="D690" s="130"/>
      <c r="E690" s="130"/>
      <c r="F690" s="130"/>
      <c r="G690" s="130"/>
      <c r="H690" s="130"/>
      <c r="I690" s="130"/>
      <c r="J690" s="130"/>
      <c r="K690" s="239"/>
      <c r="L690" s="239"/>
      <c r="M690" s="130"/>
      <c r="N690" s="130"/>
      <c r="O690" s="130"/>
      <c r="P690" s="130"/>
      <c r="Q690" s="130"/>
      <c r="R690" s="130"/>
      <c r="S690" s="130"/>
      <c r="T690" s="130"/>
      <c r="U690" s="130"/>
      <c r="V690" s="130"/>
      <c r="W690" s="130"/>
    </row>
    <row r="691">
      <c r="A691" s="130"/>
      <c r="B691" s="130"/>
      <c r="C691" s="130"/>
      <c r="D691" s="130"/>
      <c r="E691" s="130"/>
      <c r="F691" s="130"/>
      <c r="G691" s="130"/>
      <c r="H691" s="130"/>
      <c r="I691" s="130"/>
      <c r="J691" s="130"/>
      <c r="K691" s="239"/>
      <c r="L691" s="239"/>
      <c r="M691" s="130"/>
      <c r="N691" s="130"/>
      <c r="O691" s="130"/>
      <c r="P691" s="130"/>
      <c r="Q691" s="130"/>
      <c r="R691" s="130"/>
      <c r="S691" s="130"/>
      <c r="T691" s="130"/>
      <c r="U691" s="130"/>
      <c r="V691" s="130"/>
      <c r="W691" s="130"/>
    </row>
    <row r="692">
      <c r="A692" s="130"/>
      <c r="B692" s="130"/>
      <c r="C692" s="130"/>
      <c r="D692" s="130"/>
      <c r="E692" s="130"/>
      <c r="F692" s="130"/>
      <c r="G692" s="130"/>
      <c r="H692" s="130"/>
      <c r="I692" s="130"/>
      <c r="J692" s="130"/>
      <c r="K692" s="239"/>
      <c r="L692" s="239"/>
      <c r="M692" s="130"/>
      <c r="N692" s="130"/>
      <c r="O692" s="130"/>
      <c r="P692" s="130"/>
      <c r="Q692" s="130"/>
      <c r="R692" s="130"/>
      <c r="S692" s="130"/>
      <c r="T692" s="130"/>
      <c r="U692" s="130"/>
      <c r="V692" s="130"/>
      <c r="W692" s="130"/>
    </row>
    <row r="693">
      <c r="A693" s="130"/>
      <c r="B693" s="130"/>
      <c r="C693" s="130"/>
      <c r="D693" s="130"/>
      <c r="E693" s="130"/>
      <c r="F693" s="130"/>
      <c r="G693" s="130"/>
      <c r="H693" s="130"/>
      <c r="I693" s="130"/>
      <c r="J693" s="130"/>
      <c r="K693" s="239"/>
      <c r="L693" s="239"/>
      <c r="M693" s="130"/>
      <c r="N693" s="130"/>
      <c r="O693" s="130"/>
      <c r="P693" s="130"/>
      <c r="Q693" s="130"/>
      <c r="R693" s="130"/>
      <c r="S693" s="130"/>
      <c r="T693" s="130"/>
      <c r="U693" s="130"/>
      <c r="V693" s="130"/>
      <c r="W693" s="130"/>
    </row>
    <row r="694">
      <c r="A694" s="130"/>
      <c r="B694" s="130"/>
      <c r="C694" s="130"/>
      <c r="D694" s="130"/>
      <c r="E694" s="130"/>
      <c r="F694" s="130"/>
      <c r="G694" s="130"/>
      <c r="H694" s="130"/>
      <c r="I694" s="130"/>
      <c r="J694" s="130"/>
      <c r="K694" s="239"/>
      <c r="L694" s="239"/>
      <c r="M694" s="130"/>
      <c r="N694" s="130"/>
      <c r="O694" s="130"/>
      <c r="P694" s="130"/>
      <c r="Q694" s="130"/>
      <c r="R694" s="130"/>
      <c r="S694" s="130"/>
      <c r="T694" s="130"/>
      <c r="U694" s="130"/>
      <c r="V694" s="130"/>
      <c r="W694" s="130"/>
    </row>
    <row r="695">
      <c r="A695" s="130"/>
      <c r="B695" s="130"/>
      <c r="C695" s="130"/>
      <c r="D695" s="130"/>
      <c r="E695" s="130"/>
      <c r="F695" s="130"/>
      <c r="G695" s="130"/>
      <c r="H695" s="130"/>
      <c r="I695" s="130"/>
      <c r="J695" s="130"/>
      <c r="K695" s="239"/>
      <c r="L695" s="239"/>
      <c r="M695" s="130"/>
      <c r="N695" s="130"/>
      <c r="O695" s="130"/>
      <c r="P695" s="130"/>
      <c r="Q695" s="130"/>
      <c r="R695" s="130"/>
      <c r="S695" s="130"/>
      <c r="T695" s="130"/>
      <c r="U695" s="130"/>
      <c r="V695" s="130"/>
      <c r="W695" s="130"/>
    </row>
    <row r="696">
      <c r="A696" s="130"/>
      <c r="B696" s="130"/>
      <c r="C696" s="130"/>
      <c r="D696" s="130"/>
      <c r="E696" s="130"/>
      <c r="F696" s="130"/>
      <c r="G696" s="130"/>
      <c r="H696" s="130"/>
      <c r="I696" s="130"/>
      <c r="J696" s="130"/>
      <c r="K696" s="239"/>
      <c r="L696" s="239"/>
      <c r="M696" s="130"/>
      <c r="N696" s="130"/>
      <c r="O696" s="130"/>
      <c r="P696" s="130"/>
      <c r="Q696" s="130"/>
      <c r="R696" s="130"/>
      <c r="S696" s="130"/>
      <c r="T696" s="130"/>
      <c r="U696" s="130"/>
      <c r="V696" s="130"/>
      <c r="W696" s="130"/>
    </row>
    <row r="697">
      <c r="A697" s="130"/>
      <c r="B697" s="130"/>
      <c r="C697" s="130"/>
      <c r="D697" s="130"/>
      <c r="E697" s="130"/>
      <c r="F697" s="130"/>
      <c r="G697" s="130"/>
      <c r="H697" s="130"/>
      <c r="I697" s="130"/>
      <c r="J697" s="130"/>
      <c r="K697" s="239"/>
      <c r="L697" s="239"/>
      <c r="M697" s="130"/>
      <c r="N697" s="130"/>
      <c r="O697" s="130"/>
      <c r="P697" s="130"/>
      <c r="Q697" s="130"/>
      <c r="R697" s="130"/>
      <c r="S697" s="130"/>
      <c r="T697" s="130"/>
      <c r="U697" s="130"/>
      <c r="V697" s="130"/>
      <c r="W697" s="130"/>
    </row>
    <row r="698">
      <c r="A698" s="130"/>
      <c r="B698" s="130"/>
      <c r="C698" s="130"/>
      <c r="D698" s="130"/>
      <c r="E698" s="130"/>
      <c r="F698" s="130"/>
      <c r="G698" s="130"/>
      <c r="H698" s="130"/>
      <c r="I698" s="130"/>
      <c r="J698" s="130"/>
      <c r="K698" s="239"/>
      <c r="L698" s="239"/>
      <c r="M698" s="130"/>
      <c r="N698" s="130"/>
      <c r="O698" s="130"/>
      <c r="P698" s="130"/>
      <c r="Q698" s="130"/>
      <c r="R698" s="130"/>
      <c r="S698" s="130"/>
      <c r="T698" s="130"/>
      <c r="U698" s="130"/>
      <c r="V698" s="130"/>
      <c r="W698" s="130"/>
    </row>
    <row r="699">
      <c r="A699" s="130"/>
      <c r="B699" s="130"/>
      <c r="C699" s="130"/>
      <c r="D699" s="130"/>
      <c r="E699" s="130"/>
      <c r="F699" s="130"/>
      <c r="G699" s="130"/>
      <c r="H699" s="130"/>
      <c r="I699" s="130"/>
      <c r="J699" s="130"/>
      <c r="K699" s="239"/>
      <c r="L699" s="239"/>
      <c r="M699" s="130"/>
      <c r="N699" s="130"/>
      <c r="O699" s="130"/>
      <c r="P699" s="130"/>
      <c r="Q699" s="130"/>
      <c r="R699" s="130"/>
      <c r="S699" s="130"/>
      <c r="T699" s="130"/>
      <c r="U699" s="130"/>
      <c r="V699" s="130"/>
      <c r="W699" s="130"/>
    </row>
    <row r="700">
      <c r="A700" s="130"/>
      <c r="B700" s="130"/>
      <c r="C700" s="130"/>
      <c r="D700" s="130"/>
      <c r="E700" s="130"/>
      <c r="F700" s="130"/>
      <c r="G700" s="130"/>
      <c r="H700" s="130"/>
      <c r="I700" s="130"/>
      <c r="J700" s="130"/>
      <c r="K700" s="239"/>
      <c r="L700" s="239"/>
      <c r="M700" s="130"/>
      <c r="N700" s="130"/>
      <c r="O700" s="130"/>
      <c r="P700" s="130"/>
      <c r="Q700" s="130"/>
      <c r="R700" s="130"/>
      <c r="S700" s="130"/>
      <c r="T700" s="130"/>
      <c r="U700" s="130"/>
      <c r="V700" s="130"/>
      <c r="W700" s="130"/>
    </row>
    <row r="701">
      <c r="A701" s="130"/>
      <c r="B701" s="130"/>
      <c r="C701" s="130"/>
      <c r="D701" s="130"/>
      <c r="E701" s="130"/>
      <c r="F701" s="130"/>
      <c r="G701" s="130"/>
      <c r="H701" s="130"/>
      <c r="I701" s="130"/>
      <c r="J701" s="130"/>
      <c r="K701" s="239"/>
      <c r="L701" s="239"/>
      <c r="M701" s="130"/>
      <c r="N701" s="130"/>
      <c r="O701" s="130"/>
      <c r="P701" s="130"/>
      <c r="Q701" s="130"/>
      <c r="R701" s="130"/>
      <c r="S701" s="130"/>
      <c r="T701" s="130"/>
      <c r="U701" s="130"/>
      <c r="V701" s="130"/>
      <c r="W701" s="130"/>
    </row>
    <row r="702">
      <c r="A702" s="130"/>
      <c r="B702" s="130"/>
      <c r="C702" s="130"/>
      <c r="D702" s="130"/>
      <c r="E702" s="130"/>
      <c r="F702" s="130"/>
      <c r="G702" s="130"/>
      <c r="H702" s="130"/>
      <c r="I702" s="130"/>
      <c r="J702" s="130"/>
      <c r="K702" s="239"/>
      <c r="L702" s="239"/>
      <c r="M702" s="130"/>
      <c r="N702" s="130"/>
      <c r="O702" s="130"/>
      <c r="P702" s="130"/>
      <c r="Q702" s="130"/>
      <c r="R702" s="130"/>
      <c r="S702" s="130"/>
      <c r="T702" s="130"/>
      <c r="U702" s="130"/>
      <c r="V702" s="130"/>
      <c r="W702" s="130"/>
    </row>
    <row r="703">
      <c r="A703" s="130"/>
      <c r="B703" s="130"/>
      <c r="C703" s="130"/>
      <c r="D703" s="130"/>
      <c r="E703" s="130"/>
      <c r="F703" s="130"/>
      <c r="G703" s="130"/>
      <c r="H703" s="130"/>
      <c r="I703" s="130"/>
      <c r="J703" s="130"/>
      <c r="K703" s="239"/>
      <c r="L703" s="239"/>
      <c r="M703" s="130"/>
      <c r="N703" s="130"/>
      <c r="O703" s="130"/>
      <c r="P703" s="130"/>
      <c r="Q703" s="130"/>
      <c r="R703" s="130"/>
      <c r="S703" s="130"/>
      <c r="T703" s="130"/>
      <c r="U703" s="130"/>
      <c r="V703" s="130"/>
      <c r="W703" s="130"/>
    </row>
    <row r="704">
      <c r="A704" s="130"/>
      <c r="B704" s="130"/>
      <c r="C704" s="130"/>
      <c r="D704" s="130"/>
      <c r="E704" s="130"/>
      <c r="F704" s="130"/>
      <c r="G704" s="130"/>
      <c r="H704" s="130"/>
      <c r="I704" s="130"/>
      <c r="J704" s="130"/>
      <c r="K704" s="239"/>
      <c r="L704" s="239"/>
      <c r="M704" s="130"/>
      <c r="N704" s="130"/>
      <c r="O704" s="130"/>
      <c r="P704" s="130"/>
      <c r="Q704" s="130"/>
      <c r="R704" s="130"/>
      <c r="S704" s="130"/>
      <c r="T704" s="130"/>
      <c r="U704" s="130"/>
      <c r="V704" s="130"/>
      <c r="W704" s="130"/>
    </row>
    <row r="705">
      <c r="A705" s="130"/>
      <c r="B705" s="130"/>
      <c r="C705" s="130"/>
      <c r="D705" s="130"/>
      <c r="E705" s="130"/>
      <c r="F705" s="130"/>
      <c r="G705" s="130"/>
      <c r="H705" s="130"/>
      <c r="I705" s="130"/>
      <c r="J705" s="130"/>
      <c r="K705" s="239"/>
      <c r="L705" s="239"/>
      <c r="M705" s="130"/>
      <c r="N705" s="130"/>
      <c r="O705" s="130"/>
      <c r="P705" s="130"/>
      <c r="Q705" s="130"/>
      <c r="R705" s="130"/>
      <c r="S705" s="130"/>
      <c r="T705" s="130"/>
      <c r="U705" s="130"/>
      <c r="V705" s="130"/>
      <c r="W705" s="130"/>
    </row>
    <row r="706">
      <c r="A706" s="130"/>
      <c r="B706" s="130"/>
      <c r="C706" s="130"/>
      <c r="D706" s="130"/>
      <c r="E706" s="130"/>
      <c r="F706" s="130"/>
      <c r="G706" s="130"/>
      <c r="H706" s="130"/>
      <c r="I706" s="130"/>
      <c r="J706" s="130"/>
      <c r="K706" s="239"/>
      <c r="L706" s="239"/>
      <c r="M706" s="130"/>
      <c r="N706" s="130"/>
      <c r="O706" s="130"/>
      <c r="P706" s="130"/>
      <c r="Q706" s="130"/>
      <c r="R706" s="130"/>
      <c r="S706" s="130"/>
      <c r="T706" s="130"/>
      <c r="U706" s="130"/>
      <c r="V706" s="130"/>
      <c r="W706" s="130"/>
    </row>
    <row r="707">
      <c r="A707" s="130"/>
      <c r="B707" s="130"/>
      <c r="C707" s="130"/>
      <c r="D707" s="130"/>
      <c r="E707" s="130"/>
      <c r="F707" s="130"/>
      <c r="G707" s="130"/>
      <c r="H707" s="130"/>
      <c r="I707" s="130"/>
      <c r="J707" s="130"/>
      <c r="K707" s="239"/>
      <c r="L707" s="239"/>
      <c r="M707" s="130"/>
      <c r="N707" s="130"/>
      <c r="O707" s="130"/>
      <c r="P707" s="130"/>
      <c r="Q707" s="130"/>
      <c r="R707" s="130"/>
      <c r="S707" s="130"/>
      <c r="T707" s="130"/>
      <c r="U707" s="130"/>
      <c r="V707" s="130"/>
      <c r="W707" s="130"/>
    </row>
    <row r="708">
      <c r="A708" s="130"/>
      <c r="B708" s="130"/>
      <c r="C708" s="130"/>
      <c r="D708" s="130"/>
      <c r="E708" s="130"/>
      <c r="F708" s="130"/>
      <c r="G708" s="130"/>
      <c r="H708" s="130"/>
      <c r="I708" s="130"/>
      <c r="J708" s="130"/>
      <c r="K708" s="239"/>
      <c r="L708" s="239"/>
      <c r="M708" s="130"/>
      <c r="N708" s="130"/>
      <c r="O708" s="130"/>
      <c r="P708" s="130"/>
      <c r="Q708" s="130"/>
      <c r="R708" s="130"/>
      <c r="S708" s="130"/>
      <c r="T708" s="130"/>
      <c r="U708" s="130"/>
      <c r="V708" s="130"/>
      <c r="W708" s="130"/>
    </row>
    <row r="709">
      <c r="A709" s="130"/>
      <c r="B709" s="130"/>
      <c r="C709" s="130"/>
      <c r="D709" s="130"/>
      <c r="E709" s="130"/>
      <c r="F709" s="130"/>
      <c r="G709" s="130"/>
      <c r="H709" s="130"/>
      <c r="I709" s="130"/>
      <c r="J709" s="130"/>
      <c r="K709" s="239"/>
      <c r="L709" s="239"/>
      <c r="M709" s="130"/>
      <c r="N709" s="130"/>
      <c r="O709" s="130"/>
      <c r="P709" s="130"/>
      <c r="Q709" s="130"/>
      <c r="R709" s="130"/>
      <c r="S709" s="130"/>
      <c r="T709" s="130"/>
      <c r="U709" s="130"/>
      <c r="V709" s="130"/>
      <c r="W709" s="130"/>
    </row>
    <row r="710">
      <c r="A710" s="130"/>
      <c r="B710" s="130"/>
      <c r="C710" s="130"/>
      <c r="D710" s="130"/>
      <c r="E710" s="130"/>
      <c r="F710" s="130"/>
      <c r="G710" s="130"/>
      <c r="H710" s="130"/>
      <c r="I710" s="130"/>
      <c r="J710" s="130"/>
      <c r="K710" s="239"/>
      <c r="L710" s="239"/>
      <c r="M710" s="130"/>
      <c r="N710" s="130"/>
      <c r="O710" s="130"/>
      <c r="P710" s="130"/>
      <c r="Q710" s="130"/>
      <c r="R710" s="130"/>
      <c r="S710" s="130"/>
      <c r="T710" s="130"/>
      <c r="U710" s="130"/>
      <c r="V710" s="130"/>
      <c r="W710" s="130"/>
    </row>
    <row r="711">
      <c r="A711" s="130"/>
      <c r="B711" s="130"/>
      <c r="C711" s="130"/>
      <c r="D711" s="130"/>
      <c r="E711" s="130"/>
      <c r="F711" s="130"/>
      <c r="G711" s="130"/>
      <c r="H711" s="130"/>
      <c r="I711" s="130"/>
      <c r="J711" s="130"/>
      <c r="K711" s="239"/>
      <c r="L711" s="239"/>
      <c r="M711" s="130"/>
      <c r="N711" s="130"/>
      <c r="O711" s="130"/>
      <c r="P711" s="130"/>
      <c r="Q711" s="130"/>
      <c r="R711" s="130"/>
      <c r="S711" s="130"/>
      <c r="T711" s="130"/>
      <c r="U711" s="130"/>
      <c r="V711" s="130"/>
      <c r="W711" s="130"/>
    </row>
    <row r="712">
      <c r="A712" s="130"/>
      <c r="B712" s="130"/>
      <c r="C712" s="130"/>
      <c r="D712" s="130"/>
      <c r="E712" s="130"/>
      <c r="F712" s="130"/>
      <c r="G712" s="130"/>
      <c r="H712" s="130"/>
      <c r="I712" s="130"/>
      <c r="J712" s="130"/>
      <c r="K712" s="239"/>
      <c r="L712" s="239"/>
      <c r="M712" s="130"/>
      <c r="N712" s="130"/>
      <c r="O712" s="130"/>
      <c r="P712" s="130"/>
      <c r="Q712" s="130"/>
      <c r="R712" s="130"/>
      <c r="S712" s="130"/>
      <c r="T712" s="130"/>
      <c r="U712" s="130"/>
      <c r="V712" s="130"/>
      <c r="W712" s="130"/>
    </row>
    <row r="713">
      <c r="A713" s="130"/>
      <c r="B713" s="130"/>
      <c r="C713" s="130"/>
      <c r="D713" s="130"/>
      <c r="E713" s="130"/>
      <c r="F713" s="130"/>
      <c r="G713" s="130"/>
      <c r="H713" s="130"/>
      <c r="I713" s="130"/>
      <c r="J713" s="130"/>
      <c r="K713" s="239"/>
      <c r="L713" s="239"/>
      <c r="M713" s="130"/>
      <c r="N713" s="130"/>
      <c r="O713" s="130"/>
      <c r="P713" s="130"/>
      <c r="Q713" s="130"/>
      <c r="R713" s="130"/>
      <c r="S713" s="130"/>
      <c r="T713" s="130"/>
      <c r="U713" s="130"/>
      <c r="V713" s="130"/>
      <c r="W713" s="130"/>
    </row>
    <row r="714">
      <c r="A714" s="130"/>
      <c r="B714" s="130"/>
      <c r="C714" s="130"/>
      <c r="D714" s="130"/>
      <c r="E714" s="130"/>
      <c r="F714" s="130"/>
      <c r="G714" s="130"/>
      <c r="H714" s="130"/>
      <c r="I714" s="130"/>
      <c r="J714" s="130"/>
      <c r="K714" s="239"/>
      <c r="L714" s="239"/>
      <c r="M714" s="130"/>
      <c r="N714" s="130"/>
      <c r="O714" s="130"/>
      <c r="P714" s="130"/>
      <c r="Q714" s="130"/>
      <c r="R714" s="130"/>
      <c r="S714" s="130"/>
      <c r="T714" s="130"/>
      <c r="U714" s="130"/>
      <c r="V714" s="130"/>
      <c r="W714" s="130"/>
    </row>
    <row r="715">
      <c r="A715" s="130"/>
      <c r="B715" s="130"/>
      <c r="C715" s="130"/>
      <c r="D715" s="130"/>
      <c r="E715" s="130"/>
      <c r="F715" s="130"/>
      <c r="G715" s="130"/>
      <c r="H715" s="130"/>
      <c r="I715" s="130"/>
      <c r="J715" s="130"/>
      <c r="K715" s="239"/>
      <c r="L715" s="239"/>
      <c r="M715" s="130"/>
      <c r="N715" s="130"/>
      <c r="O715" s="130"/>
      <c r="P715" s="130"/>
      <c r="Q715" s="130"/>
      <c r="R715" s="130"/>
      <c r="S715" s="130"/>
      <c r="T715" s="130"/>
      <c r="U715" s="130"/>
      <c r="V715" s="130"/>
      <c r="W715" s="130"/>
    </row>
    <row r="716">
      <c r="A716" s="130"/>
      <c r="B716" s="130"/>
      <c r="C716" s="130"/>
      <c r="D716" s="130"/>
      <c r="E716" s="130"/>
      <c r="F716" s="130"/>
      <c r="G716" s="130"/>
      <c r="H716" s="130"/>
      <c r="I716" s="130"/>
      <c r="J716" s="130"/>
      <c r="K716" s="239"/>
      <c r="L716" s="239"/>
      <c r="M716" s="130"/>
      <c r="N716" s="130"/>
      <c r="O716" s="130"/>
      <c r="P716" s="130"/>
      <c r="Q716" s="130"/>
      <c r="R716" s="130"/>
      <c r="S716" s="130"/>
      <c r="T716" s="130"/>
      <c r="U716" s="130"/>
      <c r="V716" s="130"/>
      <c r="W716" s="130"/>
    </row>
    <row r="717">
      <c r="A717" s="130"/>
      <c r="B717" s="130"/>
      <c r="C717" s="130"/>
      <c r="D717" s="130"/>
      <c r="E717" s="130"/>
      <c r="F717" s="130"/>
      <c r="G717" s="130"/>
      <c r="H717" s="130"/>
      <c r="I717" s="130"/>
      <c r="J717" s="130"/>
      <c r="K717" s="239"/>
      <c r="L717" s="239"/>
      <c r="M717" s="130"/>
      <c r="N717" s="130"/>
      <c r="O717" s="130"/>
      <c r="P717" s="130"/>
      <c r="Q717" s="130"/>
      <c r="R717" s="130"/>
      <c r="S717" s="130"/>
      <c r="T717" s="130"/>
      <c r="U717" s="130"/>
      <c r="V717" s="130"/>
      <c r="W717" s="130"/>
    </row>
    <row r="718">
      <c r="A718" s="130"/>
      <c r="B718" s="130"/>
      <c r="C718" s="130"/>
      <c r="D718" s="130"/>
      <c r="E718" s="130"/>
      <c r="F718" s="130"/>
      <c r="G718" s="130"/>
      <c r="H718" s="130"/>
      <c r="I718" s="130"/>
      <c r="J718" s="130"/>
      <c r="K718" s="239"/>
      <c r="L718" s="239"/>
      <c r="M718" s="130"/>
      <c r="N718" s="130"/>
      <c r="O718" s="130"/>
      <c r="P718" s="130"/>
      <c r="Q718" s="130"/>
      <c r="R718" s="130"/>
      <c r="S718" s="130"/>
      <c r="T718" s="130"/>
      <c r="U718" s="130"/>
      <c r="V718" s="130"/>
      <c r="W718" s="130"/>
    </row>
    <row r="719">
      <c r="A719" s="130"/>
      <c r="B719" s="130"/>
      <c r="C719" s="130"/>
      <c r="D719" s="130"/>
      <c r="E719" s="130"/>
      <c r="F719" s="130"/>
      <c r="G719" s="130"/>
      <c r="H719" s="130"/>
      <c r="I719" s="130"/>
      <c r="J719" s="130"/>
      <c r="K719" s="239"/>
      <c r="L719" s="239"/>
      <c r="M719" s="130"/>
      <c r="N719" s="130"/>
      <c r="O719" s="130"/>
      <c r="P719" s="130"/>
      <c r="Q719" s="130"/>
      <c r="R719" s="130"/>
      <c r="S719" s="130"/>
      <c r="T719" s="130"/>
      <c r="U719" s="130"/>
      <c r="V719" s="130"/>
      <c r="W719" s="130"/>
    </row>
    <row r="720">
      <c r="A720" s="130"/>
      <c r="B720" s="130"/>
      <c r="C720" s="130"/>
      <c r="D720" s="130"/>
      <c r="E720" s="130"/>
      <c r="F720" s="130"/>
      <c r="G720" s="130"/>
      <c r="H720" s="130"/>
      <c r="I720" s="130"/>
      <c r="J720" s="130"/>
      <c r="K720" s="239"/>
      <c r="L720" s="239"/>
      <c r="M720" s="130"/>
      <c r="N720" s="130"/>
      <c r="O720" s="130"/>
      <c r="P720" s="130"/>
      <c r="Q720" s="130"/>
      <c r="R720" s="130"/>
      <c r="S720" s="130"/>
      <c r="T720" s="130"/>
      <c r="U720" s="130"/>
      <c r="V720" s="130"/>
      <c r="W720" s="130"/>
    </row>
    <row r="721">
      <c r="A721" s="130"/>
      <c r="B721" s="130"/>
      <c r="C721" s="130"/>
      <c r="D721" s="130"/>
      <c r="E721" s="130"/>
      <c r="F721" s="130"/>
      <c r="G721" s="130"/>
      <c r="H721" s="130"/>
      <c r="I721" s="130"/>
      <c r="J721" s="130"/>
      <c r="K721" s="239"/>
      <c r="L721" s="239"/>
      <c r="M721" s="130"/>
      <c r="N721" s="130"/>
      <c r="O721" s="130"/>
      <c r="P721" s="130"/>
      <c r="Q721" s="130"/>
      <c r="R721" s="130"/>
      <c r="S721" s="130"/>
      <c r="T721" s="130"/>
      <c r="U721" s="130"/>
      <c r="V721" s="130"/>
      <c r="W721" s="130"/>
    </row>
    <row r="722">
      <c r="A722" s="130"/>
      <c r="B722" s="130"/>
      <c r="C722" s="130"/>
      <c r="D722" s="130"/>
      <c r="E722" s="130"/>
      <c r="F722" s="130"/>
      <c r="G722" s="130"/>
      <c r="H722" s="130"/>
      <c r="I722" s="130"/>
      <c r="J722" s="130"/>
      <c r="K722" s="239"/>
      <c r="L722" s="239"/>
      <c r="M722" s="130"/>
      <c r="N722" s="130"/>
      <c r="O722" s="130"/>
      <c r="P722" s="130"/>
      <c r="Q722" s="130"/>
      <c r="R722" s="130"/>
      <c r="S722" s="130"/>
      <c r="T722" s="130"/>
      <c r="U722" s="130"/>
      <c r="V722" s="130"/>
      <c r="W722" s="130"/>
    </row>
    <row r="723">
      <c r="A723" s="130"/>
      <c r="B723" s="130"/>
      <c r="C723" s="130"/>
      <c r="D723" s="130"/>
      <c r="E723" s="130"/>
      <c r="F723" s="130"/>
      <c r="G723" s="130"/>
      <c r="H723" s="130"/>
      <c r="I723" s="130"/>
      <c r="J723" s="130"/>
      <c r="K723" s="239"/>
      <c r="L723" s="239"/>
      <c r="M723" s="130"/>
      <c r="N723" s="130"/>
      <c r="O723" s="130"/>
      <c r="P723" s="130"/>
      <c r="Q723" s="130"/>
      <c r="R723" s="130"/>
      <c r="S723" s="130"/>
      <c r="T723" s="130"/>
      <c r="U723" s="130"/>
      <c r="V723" s="130"/>
      <c r="W723" s="130"/>
    </row>
    <row r="724">
      <c r="A724" s="130"/>
      <c r="B724" s="130"/>
      <c r="C724" s="130"/>
      <c r="D724" s="130"/>
      <c r="E724" s="130"/>
      <c r="F724" s="130"/>
      <c r="G724" s="130"/>
      <c r="H724" s="130"/>
      <c r="I724" s="130"/>
      <c r="J724" s="130"/>
      <c r="K724" s="239"/>
      <c r="L724" s="239"/>
      <c r="M724" s="130"/>
      <c r="N724" s="130"/>
      <c r="O724" s="130"/>
      <c r="P724" s="130"/>
      <c r="Q724" s="130"/>
      <c r="R724" s="130"/>
      <c r="S724" s="130"/>
      <c r="T724" s="130"/>
      <c r="U724" s="130"/>
      <c r="V724" s="130"/>
      <c r="W724" s="130"/>
    </row>
    <row r="725">
      <c r="A725" s="130"/>
      <c r="B725" s="130"/>
      <c r="C725" s="130"/>
      <c r="D725" s="130"/>
      <c r="E725" s="130"/>
      <c r="F725" s="130"/>
      <c r="G725" s="130"/>
      <c r="H725" s="130"/>
      <c r="I725" s="130"/>
      <c r="J725" s="130"/>
      <c r="K725" s="239"/>
      <c r="L725" s="239"/>
      <c r="M725" s="130"/>
      <c r="N725" s="130"/>
      <c r="O725" s="130"/>
      <c r="P725" s="130"/>
      <c r="Q725" s="130"/>
      <c r="R725" s="130"/>
      <c r="S725" s="130"/>
      <c r="T725" s="130"/>
      <c r="U725" s="130"/>
      <c r="V725" s="130"/>
      <c r="W725" s="130"/>
    </row>
    <row r="726">
      <c r="A726" s="130"/>
      <c r="B726" s="130"/>
      <c r="C726" s="130"/>
      <c r="D726" s="130"/>
      <c r="E726" s="130"/>
      <c r="F726" s="130"/>
      <c r="G726" s="130"/>
      <c r="H726" s="130"/>
      <c r="I726" s="130"/>
      <c r="J726" s="130"/>
      <c r="K726" s="239"/>
      <c r="L726" s="239"/>
      <c r="M726" s="130"/>
      <c r="N726" s="130"/>
      <c r="O726" s="130"/>
      <c r="P726" s="130"/>
      <c r="Q726" s="130"/>
      <c r="R726" s="130"/>
      <c r="S726" s="130"/>
      <c r="T726" s="130"/>
      <c r="U726" s="130"/>
      <c r="V726" s="130"/>
      <c r="W726" s="130"/>
    </row>
    <row r="727">
      <c r="A727" s="130"/>
      <c r="B727" s="130"/>
      <c r="C727" s="130"/>
      <c r="D727" s="130"/>
      <c r="E727" s="130"/>
      <c r="F727" s="130"/>
      <c r="G727" s="130"/>
      <c r="H727" s="130"/>
      <c r="I727" s="130"/>
      <c r="J727" s="130"/>
      <c r="K727" s="239"/>
      <c r="L727" s="239"/>
      <c r="M727" s="130"/>
      <c r="N727" s="130"/>
      <c r="O727" s="130"/>
      <c r="P727" s="130"/>
      <c r="Q727" s="130"/>
      <c r="R727" s="130"/>
      <c r="S727" s="130"/>
      <c r="T727" s="130"/>
      <c r="U727" s="130"/>
      <c r="V727" s="130"/>
      <c r="W727" s="130"/>
    </row>
    <row r="728">
      <c r="A728" s="130"/>
      <c r="B728" s="130"/>
      <c r="C728" s="130"/>
      <c r="D728" s="130"/>
      <c r="E728" s="130"/>
      <c r="F728" s="130"/>
      <c r="G728" s="130"/>
      <c r="H728" s="130"/>
      <c r="I728" s="130"/>
      <c r="J728" s="130"/>
      <c r="K728" s="239"/>
      <c r="L728" s="239"/>
      <c r="M728" s="130"/>
      <c r="N728" s="130"/>
      <c r="O728" s="130"/>
      <c r="P728" s="130"/>
      <c r="Q728" s="130"/>
      <c r="R728" s="130"/>
      <c r="S728" s="130"/>
      <c r="T728" s="130"/>
      <c r="U728" s="130"/>
      <c r="V728" s="130"/>
      <c r="W728" s="130"/>
    </row>
    <row r="729">
      <c r="A729" s="130"/>
      <c r="B729" s="130"/>
      <c r="C729" s="130"/>
      <c r="D729" s="130"/>
      <c r="E729" s="130"/>
      <c r="F729" s="130"/>
      <c r="G729" s="130"/>
      <c r="H729" s="130"/>
      <c r="I729" s="130"/>
      <c r="J729" s="130"/>
      <c r="K729" s="239"/>
      <c r="L729" s="239"/>
      <c r="M729" s="130"/>
      <c r="N729" s="130"/>
      <c r="O729" s="130"/>
      <c r="P729" s="130"/>
      <c r="Q729" s="130"/>
      <c r="R729" s="130"/>
      <c r="S729" s="130"/>
      <c r="T729" s="130"/>
      <c r="U729" s="130"/>
      <c r="V729" s="130"/>
      <c r="W729" s="130"/>
    </row>
    <row r="730">
      <c r="A730" s="130"/>
      <c r="B730" s="130"/>
      <c r="C730" s="130"/>
      <c r="D730" s="130"/>
      <c r="E730" s="130"/>
      <c r="F730" s="130"/>
      <c r="G730" s="130"/>
      <c r="H730" s="130"/>
      <c r="I730" s="130"/>
      <c r="J730" s="130"/>
      <c r="K730" s="239"/>
      <c r="L730" s="239"/>
      <c r="M730" s="130"/>
      <c r="N730" s="130"/>
      <c r="O730" s="130"/>
      <c r="P730" s="130"/>
      <c r="Q730" s="130"/>
      <c r="R730" s="130"/>
      <c r="S730" s="130"/>
      <c r="T730" s="130"/>
      <c r="U730" s="130"/>
      <c r="V730" s="130"/>
      <c r="W730" s="130"/>
    </row>
    <row r="731">
      <c r="A731" s="130"/>
      <c r="B731" s="130"/>
      <c r="C731" s="130"/>
      <c r="D731" s="130"/>
      <c r="E731" s="130"/>
      <c r="F731" s="130"/>
      <c r="G731" s="130"/>
      <c r="H731" s="130"/>
      <c r="I731" s="130"/>
      <c r="J731" s="130"/>
      <c r="K731" s="239"/>
      <c r="L731" s="239"/>
      <c r="M731" s="130"/>
      <c r="N731" s="130"/>
      <c r="O731" s="130"/>
      <c r="P731" s="130"/>
      <c r="Q731" s="130"/>
      <c r="R731" s="130"/>
      <c r="S731" s="130"/>
      <c r="T731" s="130"/>
      <c r="U731" s="130"/>
      <c r="V731" s="130"/>
      <c r="W731" s="130"/>
    </row>
    <row r="732">
      <c r="A732" s="130"/>
      <c r="B732" s="130"/>
      <c r="C732" s="130"/>
      <c r="D732" s="130"/>
      <c r="E732" s="130"/>
      <c r="F732" s="130"/>
      <c r="G732" s="130"/>
      <c r="H732" s="130"/>
      <c r="I732" s="130"/>
      <c r="J732" s="130"/>
      <c r="K732" s="239"/>
      <c r="L732" s="239"/>
      <c r="M732" s="130"/>
      <c r="N732" s="130"/>
      <c r="O732" s="130"/>
      <c r="P732" s="130"/>
      <c r="Q732" s="130"/>
      <c r="R732" s="130"/>
      <c r="S732" s="130"/>
      <c r="T732" s="130"/>
      <c r="U732" s="130"/>
      <c r="V732" s="130"/>
      <c r="W732" s="130"/>
    </row>
    <row r="733">
      <c r="A733" s="130"/>
      <c r="B733" s="130"/>
      <c r="C733" s="130"/>
      <c r="D733" s="130"/>
      <c r="E733" s="130"/>
      <c r="F733" s="130"/>
      <c r="G733" s="130"/>
      <c r="H733" s="130"/>
      <c r="I733" s="130"/>
      <c r="J733" s="130"/>
      <c r="K733" s="239"/>
      <c r="L733" s="239"/>
      <c r="M733" s="130"/>
      <c r="N733" s="130"/>
      <c r="O733" s="130"/>
      <c r="P733" s="130"/>
      <c r="Q733" s="130"/>
      <c r="R733" s="130"/>
      <c r="S733" s="130"/>
      <c r="T733" s="130"/>
      <c r="U733" s="130"/>
      <c r="V733" s="130"/>
      <c r="W733" s="130"/>
    </row>
    <row r="734">
      <c r="A734" s="130"/>
      <c r="B734" s="130"/>
      <c r="C734" s="130"/>
      <c r="D734" s="130"/>
      <c r="E734" s="130"/>
      <c r="F734" s="130"/>
      <c r="G734" s="130"/>
      <c r="H734" s="130"/>
      <c r="I734" s="130"/>
      <c r="J734" s="130"/>
      <c r="K734" s="239"/>
      <c r="L734" s="239"/>
      <c r="M734" s="130"/>
      <c r="N734" s="130"/>
      <c r="O734" s="130"/>
      <c r="P734" s="130"/>
      <c r="Q734" s="130"/>
      <c r="R734" s="130"/>
      <c r="S734" s="130"/>
      <c r="T734" s="130"/>
      <c r="U734" s="130"/>
      <c r="V734" s="130"/>
      <c r="W734" s="130"/>
    </row>
    <row r="735">
      <c r="A735" s="130"/>
      <c r="B735" s="130"/>
      <c r="C735" s="130"/>
      <c r="D735" s="130"/>
      <c r="E735" s="130"/>
      <c r="F735" s="130"/>
      <c r="G735" s="130"/>
      <c r="H735" s="130"/>
      <c r="I735" s="130"/>
      <c r="J735" s="130"/>
      <c r="K735" s="239"/>
      <c r="L735" s="239"/>
      <c r="M735" s="130"/>
      <c r="N735" s="130"/>
      <c r="O735" s="130"/>
      <c r="P735" s="130"/>
      <c r="Q735" s="130"/>
      <c r="R735" s="130"/>
      <c r="S735" s="130"/>
      <c r="T735" s="130"/>
      <c r="U735" s="130"/>
      <c r="V735" s="130"/>
      <c r="W735" s="130"/>
    </row>
    <row r="736">
      <c r="A736" s="130"/>
      <c r="B736" s="130"/>
      <c r="C736" s="130"/>
      <c r="D736" s="130"/>
      <c r="E736" s="130"/>
      <c r="F736" s="130"/>
      <c r="G736" s="130"/>
      <c r="H736" s="130"/>
      <c r="I736" s="130"/>
      <c r="J736" s="130"/>
      <c r="K736" s="239"/>
      <c r="L736" s="239"/>
      <c r="M736" s="130"/>
      <c r="N736" s="130"/>
      <c r="O736" s="130"/>
      <c r="P736" s="130"/>
      <c r="Q736" s="130"/>
      <c r="R736" s="130"/>
      <c r="S736" s="130"/>
      <c r="T736" s="130"/>
      <c r="U736" s="130"/>
      <c r="V736" s="130"/>
      <c r="W736" s="130"/>
    </row>
    <row r="737">
      <c r="A737" s="130"/>
      <c r="B737" s="130"/>
      <c r="C737" s="130"/>
      <c r="D737" s="130"/>
      <c r="E737" s="130"/>
      <c r="F737" s="130"/>
      <c r="G737" s="130"/>
      <c r="H737" s="130"/>
      <c r="I737" s="130"/>
      <c r="J737" s="130"/>
      <c r="K737" s="239"/>
      <c r="L737" s="239"/>
      <c r="M737" s="130"/>
      <c r="N737" s="130"/>
      <c r="O737" s="130"/>
      <c r="P737" s="130"/>
      <c r="Q737" s="130"/>
      <c r="R737" s="130"/>
      <c r="S737" s="130"/>
      <c r="T737" s="130"/>
      <c r="U737" s="130"/>
      <c r="V737" s="130"/>
      <c r="W737" s="130"/>
    </row>
    <row r="738">
      <c r="A738" s="130"/>
      <c r="B738" s="130"/>
      <c r="C738" s="130"/>
      <c r="D738" s="130"/>
      <c r="E738" s="130"/>
      <c r="F738" s="130"/>
      <c r="G738" s="130"/>
      <c r="H738" s="130"/>
      <c r="I738" s="130"/>
      <c r="J738" s="130"/>
      <c r="K738" s="239"/>
      <c r="L738" s="239"/>
      <c r="M738" s="130"/>
      <c r="N738" s="130"/>
      <c r="O738" s="130"/>
      <c r="P738" s="130"/>
      <c r="Q738" s="130"/>
      <c r="R738" s="130"/>
      <c r="S738" s="130"/>
      <c r="T738" s="130"/>
      <c r="U738" s="130"/>
      <c r="V738" s="130"/>
      <c r="W738" s="130"/>
    </row>
    <row r="739">
      <c r="A739" s="130"/>
      <c r="B739" s="130"/>
      <c r="C739" s="130"/>
      <c r="D739" s="130"/>
      <c r="E739" s="130"/>
      <c r="F739" s="130"/>
      <c r="G739" s="130"/>
      <c r="H739" s="130"/>
      <c r="I739" s="130"/>
      <c r="J739" s="130"/>
      <c r="K739" s="239"/>
      <c r="L739" s="239"/>
      <c r="M739" s="130"/>
      <c r="N739" s="130"/>
      <c r="O739" s="130"/>
      <c r="P739" s="130"/>
      <c r="Q739" s="130"/>
      <c r="R739" s="130"/>
      <c r="S739" s="130"/>
      <c r="T739" s="130"/>
      <c r="U739" s="130"/>
      <c r="V739" s="130"/>
      <c r="W739" s="130"/>
    </row>
    <row r="740">
      <c r="A740" s="130"/>
      <c r="B740" s="130"/>
      <c r="C740" s="130"/>
      <c r="D740" s="130"/>
      <c r="E740" s="130"/>
      <c r="F740" s="130"/>
      <c r="G740" s="130"/>
      <c r="H740" s="130"/>
      <c r="I740" s="130"/>
      <c r="J740" s="130"/>
      <c r="K740" s="239"/>
      <c r="L740" s="239"/>
      <c r="M740" s="130"/>
      <c r="N740" s="130"/>
      <c r="O740" s="130"/>
      <c r="P740" s="130"/>
      <c r="Q740" s="130"/>
      <c r="R740" s="130"/>
      <c r="S740" s="130"/>
      <c r="T740" s="130"/>
      <c r="U740" s="130"/>
      <c r="V740" s="130"/>
      <c r="W740" s="130"/>
    </row>
    <row r="741">
      <c r="A741" s="130"/>
      <c r="B741" s="130"/>
      <c r="C741" s="130"/>
      <c r="D741" s="130"/>
      <c r="E741" s="130"/>
      <c r="F741" s="130"/>
      <c r="G741" s="130"/>
      <c r="H741" s="130"/>
      <c r="I741" s="130"/>
      <c r="J741" s="130"/>
      <c r="K741" s="239"/>
      <c r="L741" s="239"/>
      <c r="M741" s="130"/>
      <c r="N741" s="130"/>
      <c r="O741" s="130"/>
      <c r="P741" s="130"/>
      <c r="Q741" s="130"/>
      <c r="R741" s="130"/>
      <c r="S741" s="130"/>
      <c r="T741" s="130"/>
      <c r="U741" s="130"/>
      <c r="V741" s="130"/>
      <c r="W741" s="130"/>
    </row>
    <row r="742">
      <c r="A742" s="130"/>
      <c r="B742" s="130"/>
      <c r="C742" s="130"/>
      <c r="D742" s="130"/>
      <c r="E742" s="130"/>
      <c r="F742" s="130"/>
      <c r="G742" s="130"/>
      <c r="H742" s="130"/>
      <c r="I742" s="130"/>
      <c r="J742" s="130"/>
      <c r="K742" s="239"/>
      <c r="L742" s="239"/>
      <c r="M742" s="130"/>
      <c r="N742" s="130"/>
      <c r="O742" s="130"/>
      <c r="P742" s="130"/>
      <c r="Q742" s="130"/>
      <c r="R742" s="130"/>
      <c r="S742" s="130"/>
      <c r="T742" s="130"/>
      <c r="U742" s="130"/>
      <c r="V742" s="130"/>
      <c r="W742" s="130"/>
    </row>
    <row r="743">
      <c r="A743" s="130"/>
      <c r="B743" s="130"/>
      <c r="C743" s="130"/>
      <c r="D743" s="130"/>
      <c r="E743" s="130"/>
      <c r="F743" s="130"/>
      <c r="G743" s="130"/>
      <c r="H743" s="130"/>
      <c r="I743" s="130"/>
      <c r="J743" s="130"/>
      <c r="K743" s="239"/>
      <c r="L743" s="239"/>
      <c r="M743" s="130"/>
      <c r="N743" s="130"/>
      <c r="O743" s="130"/>
      <c r="P743" s="130"/>
      <c r="Q743" s="130"/>
      <c r="R743" s="130"/>
      <c r="S743" s="130"/>
      <c r="T743" s="130"/>
      <c r="U743" s="130"/>
      <c r="V743" s="130"/>
      <c r="W743" s="130"/>
    </row>
    <row r="744">
      <c r="A744" s="130"/>
      <c r="B744" s="130"/>
      <c r="C744" s="130"/>
      <c r="D744" s="130"/>
      <c r="E744" s="130"/>
      <c r="F744" s="130"/>
      <c r="G744" s="130"/>
      <c r="H744" s="130"/>
      <c r="I744" s="130"/>
      <c r="J744" s="130"/>
      <c r="K744" s="239"/>
      <c r="L744" s="239"/>
      <c r="M744" s="130"/>
      <c r="N744" s="130"/>
      <c r="O744" s="130"/>
      <c r="P744" s="130"/>
      <c r="Q744" s="130"/>
      <c r="R744" s="130"/>
      <c r="S744" s="130"/>
      <c r="T744" s="130"/>
      <c r="U744" s="130"/>
      <c r="V744" s="130"/>
      <c r="W744" s="130"/>
    </row>
    <row r="745">
      <c r="A745" s="130"/>
      <c r="B745" s="130"/>
      <c r="C745" s="130"/>
      <c r="D745" s="130"/>
      <c r="E745" s="130"/>
      <c r="F745" s="130"/>
      <c r="G745" s="130"/>
      <c r="H745" s="130"/>
      <c r="I745" s="130"/>
      <c r="J745" s="130"/>
      <c r="K745" s="239"/>
      <c r="L745" s="239"/>
      <c r="M745" s="130"/>
      <c r="N745" s="130"/>
      <c r="O745" s="130"/>
      <c r="P745" s="130"/>
      <c r="Q745" s="130"/>
      <c r="R745" s="130"/>
      <c r="S745" s="130"/>
      <c r="T745" s="130"/>
      <c r="U745" s="130"/>
      <c r="V745" s="130"/>
      <c r="W745" s="130"/>
    </row>
    <row r="746">
      <c r="A746" s="130"/>
      <c r="B746" s="130"/>
      <c r="C746" s="130"/>
      <c r="D746" s="130"/>
      <c r="E746" s="130"/>
      <c r="F746" s="130"/>
      <c r="G746" s="130"/>
      <c r="H746" s="130"/>
      <c r="I746" s="130"/>
      <c r="J746" s="130"/>
      <c r="K746" s="239"/>
      <c r="L746" s="239"/>
      <c r="M746" s="130"/>
      <c r="N746" s="130"/>
      <c r="O746" s="130"/>
      <c r="P746" s="130"/>
      <c r="Q746" s="130"/>
      <c r="R746" s="130"/>
      <c r="S746" s="130"/>
      <c r="T746" s="130"/>
      <c r="U746" s="130"/>
      <c r="V746" s="130"/>
      <c r="W746" s="130"/>
    </row>
    <row r="747">
      <c r="A747" s="130"/>
      <c r="B747" s="130"/>
      <c r="C747" s="130"/>
      <c r="D747" s="130"/>
      <c r="E747" s="130"/>
      <c r="F747" s="130"/>
      <c r="G747" s="130"/>
      <c r="H747" s="130"/>
      <c r="I747" s="130"/>
      <c r="J747" s="130"/>
      <c r="K747" s="239"/>
      <c r="L747" s="239"/>
      <c r="M747" s="130"/>
      <c r="N747" s="130"/>
      <c r="O747" s="130"/>
      <c r="P747" s="130"/>
      <c r="Q747" s="130"/>
      <c r="R747" s="130"/>
      <c r="S747" s="130"/>
      <c r="T747" s="130"/>
      <c r="U747" s="130"/>
      <c r="V747" s="130"/>
      <c r="W747" s="130"/>
    </row>
    <row r="748">
      <c r="A748" s="130"/>
      <c r="B748" s="130"/>
      <c r="C748" s="130"/>
      <c r="D748" s="130"/>
      <c r="E748" s="130"/>
      <c r="F748" s="130"/>
      <c r="G748" s="130"/>
      <c r="H748" s="130"/>
      <c r="I748" s="130"/>
      <c r="J748" s="130"/>
      <c r="K748" s="239"/>
      <c r="L748" s="239"/>
      <c r="M748" s="130"/>
      <c r="N748" s="130"/>
      <c r="O748" s="130"/>
      <c r="P748" s="130"/>
      <c r="Q748" s="130"/>
      <c r="R748" s="130"/>
      <c r="S748" s="130"/>
      <c r="T748" s="130"/>
      <c r="U748" s="130"/>
      <c r="V748" s="130"/>
      <c r="W748" s="130"/>
    </row>
    <row r="749">
      <c r="A749" s="130"/>
      <c r="B749" s="130"/>
      <c r="C749" s="130"/>
      <c r="D749" s="130"/>
      <c r="E749" s="130"/>
      <c r="F749" s="130"/>
      <c r="G749" s="130"/>
      <c r="H749" s="130"/>
      <c r="I749" s="130"/>
      <c r="J749" s="130"/>
      <c r="K749" s="239"/>
      <c r="L749" s="239"/>
      <c r="M749" s="130"/>
      <c r="N749" s="130"/>
      <c r="O749" s="130"/>
      <c r="P749" s="130"/>
      <c r="Q749" s="130"/>
      <c r="R749" s="130"/>
      <c r="S749" s="130"/>
      <c r="T749" s="130"/>
      <c r="U749" s="130"/>
      <c r="V749" s="130"/>
      <c r="W749" s="130"/>
    </row>
    <row r="750">
      <c r="A750" s="130"/>
      <c r="B750" s="130"/>
      <c r="C750" s="130"/>
      <c r="D750" s="130"/>
      <c r="E750" s="130"/>
      <c r="F750" s="130"/>
      <c r="G750" s="130"/>
      <c r="H750" s="130"/>
      <c r="I750" s="130"/>
      <c r="J750" s="130"/>
      <c r="K750" s="239"/>
      <c r="L750" s="239"/>
      <c r="M750" s="130"/>
      <c r="N750" s="130"/>
      <c r="O750" s="130"/>
      <c r="P750" s="130"/>
      <c r="Q750" s="130"/>
      <c r="R750" s="130"/>
      <c r="S750" s="130"/>
      <c r="T750" s="130"/>
      <c r="U750" s="130"/>
      <c r="V750" s="130"/>
      <c r="W750" s="130"/>
    </row>
    <row r="751">
      <c r="A751" s="130"/>
      <c r="B751" s="130"/>
      <c r="C751" s="130"/>
      <c r="D751" s="130"/>
      <c r="E751" s="130"/>
      <c r="F751" s="130"/>
      <c r="G751" s="130"/>
      <c r="H751" s="130"/>
      <c r="I751" s="130"/>
      <c r="J751" s="130"/>
      <c r="K751" s="239"/>
      <c r="L751" s="239"/>
      <c r="M751" s="130"/>
      <c r="N751" s="130"/>
      <c r="O751" s="130"/>
      <c r="P751" s="130"/>
      <c r="Q751" s="130"/>
      <c r="R751" s="130"/>
      <c r="S751" s="130"/>
      <c r="T751" s="130"/>
      <c r="U751" s="130"/>
      <c r="V751" s="130"/>
      <c r="W751" s="130"/>
    </row>
    <row r="752">
      <c r="A752" s="130"/>
      <c r="B752" s="130"/>
      <c r="C752" s="130"/>
      <c r="D752" s="130"/>
      <c r="E752" s="130"/>
      <c r="F752" s="130"/>
      <c r="G752" s="130"/>
      <c r="H752" s="130"/>
      <c r="I752" s="130"/>
      <c r="J752" s="130"/>
      <c r="K752" s="239"/>
      <c r="L752" s="239"/>
      <c r="M752" s="130"/>
      <c r="N752" s="130"/>
      <c r="O752" s="130"/>
      <c r="P752" s="130"/>
      <c r="Q752" s="130"/>
      <c r="R752" s="130"/>
      <c r="S752" s="130"/>
      <c r="T752" s="130"/>
      <c r="U752" s="130"/>
      <c r="V752" s="130"/>
      <c r="W752" s="130"/>
    </row>
    <row r="753">
      <c r="A753" s="130"/>
      <c r="B753" s="130"/>
      <c r="C753" s="130"/>
      <c r="D753" s="130"/>
      <c r="E753" s="130"/>
      <c r="F753" s="130"/>
      <c r="G753" s="130"/>
      <c r="H753" s="130"/>
      <c r="I753" s="130"/>
      <c r="J753" s="130"/>
      <c r="K753" s="239"/>
      <c r="L753" s="239"/>
      <c r="M753" s="130"/>
      <c r="N753" s="130"/>
      <c r="O753" s="130"/>
      <c r="P753" s="130"/>
      <c r="Q753" s="130"/>
      <c r="R753" s="130"/>
      <c r="S753" s="130"/>
      <c r="T753" s="130"/>
      <c r="U753" s="130"/>
      <c r="V753" s="130"/>
      <c r="W753" s="130"/>
    </row>
    <row r="754">
      <c r="A754" s="130"/>
      <c r="B754" s="130"/>
      <c r="C754" s="130"/>
      <c r="D754" s="130"/>
      <c r="E754" s="130"/>
      <c r="F754" s="130"/>
      <c r="G754" s="130"/>
      <c r="H754" s="130"/>
      <c r="I754" s="130"/>
      <c r="J754" s="130"/>
      <c r="K754" s="239"/>
      <c r="L754" s="239"/>
      <c r="M754" s="130"/>
      <c r="N754" s="130"/>
      <c r="O754" s="130"/>
      <c r="P754" s="130"/>
      <c r="Q754" s="130"/>
      <c r="R754" s="130"/>
      <c r="S754" s="130"/>
      <c r="T754" s="130"/>
      <c r="U754" s="130"/>
      <c r="V754" s="130"/>
      <c r="W754" s="130"/>
    </row>
    <row r="755">
      <c r="A755" s="130"/>
      <c r="B755" s="130"/>
      <c r="C755" s="130"/>
      <c r="D755" s="130"/>
      <c r="E755" s="130"/>
      <c r="F755" s="130"/>
      <c r="G755" s="130"/>
      <c r="H755" s="130"/>
      <c r="I755" s="130"/>
      <c r="J755" s="130"/>
      <c r="K755" s="239"/>
      <c r="L755" s="239"/>
      <c r="M755" s="130"/>
      <c r="N755" s="130"/>
      <c r="O755" s="130"/>
      <c r="P755" s="130"/>
      <c r="Q755" s="130"/>
      <c r="R755" s="130"/>
      <c r="S755" s="130"/>
      <c r="T755" s="130"/>
      <c r="U755" s="130"/>
      <c r="V755" s="130"/>
      <c r="W755" s="130"/>
    </row>
    <row r="756">
      <c r="A756" s="130"/>
      <c r="B756" s="130"/>
      <c r="C756" s="130"/>
      <c r="D756" s="130"/>
      <c r="E756" s="130"/>
      <c r="F756" s="130"/>
      <c r="G756" s="130"/>
      <c r="H756" s="130"/>
      <c r="I756" s="130"/>
      <c r="J756" s="130"/>
      <c r="K756" s="239"/>
      <c r="L756" s="239"/>
      <c r="M756" s="130"/>
      <c r="N756" s="130"/>
      <c r="O756" s="130"/>
      <c r="P756" s="130"/>
      <c r="Q756" s="130"/>
      <c r="R756" s="130"/>
      <c r="S756" s="130"/>
      <c r="T756" s="130"/>
      <c r="U756" s="130"/>
      <c r="V756" s="130"/>
      <c r="W756" s="130"/>
    </row>
    <row r="757">
      <c r="A757" s="130"/>
      <c r="B757" s="130"/>
      <c r="C757" s="130"/>
      <c r="D757" s="130"/>
      <c r="E757" s="130"/>
      <c r="F757" s="130"/>
      <c r="G757" s="130"/>
      <c r="H757" s="130"/>
      <c r="I757" s="130"/>
      <c r="J757" s="130"/>
      <c r="K757" s="239"/>
      <c r="L757" s="239"/>
      <c r="M757" s="130"/>
      <c r="N757" s="130"/>
      <c r="O757" s="130"/>
      <c r="P757" s="130"/>
      <c r="Q757" s="130"/>
      <c r="R757" s="130"/>
      <c r="S757" s="130"/>
      <c r="T757" s="130"/>
      <c r="U757" s="130"/>
      <c r="V757" s="130"/>
      <c r="W757" s="130"/>
    </row>
    <row r="758">
      <c r="A758" s="130"/>
      <c r="B758" s="130"/>
      <c r="C758" s="130"/>
      <c r="D758" s="130"/>
      <c r="E758" s="130"/>
      <c r="F758" s="130"/>
      <c r="G758" s="130"/>
      <c r="H758" s="130"/>
      <c r="I758" s="130"/>
      <c r="J758" s="130"/>
      <c r="K758" s="239"/>
      <c r="L758" s="239"/>
      <c r="M758" s="130"/>
      <c r="N758" s="130"/>
      <c r="O758" s="130"/>
      <c r="P758" s="130"/>
      <c r="Q758" s="130"/>
      <c r="R758" s="130"/>
      <c r="S758" s="130"/>
      <c r="T758" s="130"/>
      <c r="U758" s="130"/>
      <c r="V758" s="130"/>
      <c r="W758" s="130"/>
    </row>
    <row r="759">
      <c r="A759" s="130"/>
      <c r="B759" s="130"/>
      <c r="C759" s="130"/>
      <c r="D759" s="130"/>
      <c r="E759" s="130"/>
      <c r="F759" s="130"/>
      <c r="G759" s="130"/>
      <c r="H759" s="130"/>
      <c r="I759" s="130"/>
      <c r="J759" s="130"/>
      <c r="K759" s="239"/>
      <c r="L759" s="239"/>
      <c r="M759" s="130"/>
      <c r="N759" s="130"/>
      <c r="O759" s="130"/>
      <c r="P759" s="130"/>
      <c r="Q759" s="130"/>
      <c r="R759" s="130"/>
      <c r="S759" s="130"/>
      <c r="T759" s="130"/>
      <c r="U759" s="130"/>
      <c r="V759" s="130"/>
      <c r="W759" s="130"/>
    </row>
    <row r="760">
      <c r="A760" s="130"/>
      <c r="B760" s="130"/>
      <c r="C760" s="130"/>
      <c r="D760" s="130"/>
      <c r="E760" s="130"/>
      <c r="F760" s="130"/>
      <c r="G760" s="130"/>
      <c r="H760" s="130"/>
      <c r="I760" s="130"/>
      <c r="J760" s="130"/>
      <c r="K760" s="239"/>
      <c r="L760" s="239"/>
      <c r="M760" s="130"/>
      <c r="N760" s="130"/>
      <c r="O760" s="130"/>
      <c r="P760" s="130"/>
      <c r="Q760" s="130"/>
      <c r="R760" s="130"/>
      <c r="S760" s="130"/>
      <c r="T760" s="130"/>
      <c r="U760" s="130"/>
      <c r="V760" s="130"/>
      <c r="W760" s="130"/>
    </row>
    <row r="761">
      <c r="A761" s="130"/>
      <c r="B761" s="130"/>
      <c r="C761" s="130"/>
      <c r="D761" s="130"/>
      <c r="E761" s="130"/>
      <c r="F761" s="130"/>
      <c r="G761" s="130"/>
      <c r="H761" s="130"/>
      <c r="I761" s="130"/>
      <c r="J761" s="130"/>
      <c r="K761" s="239"/>
      <c r="L761" s="239"/>
      <c r="M761" s="130"/>
      <c r="N761" s="130"/>
      <c r="O761" s="130"/>
      <c r="P761" s="130"/>
      <c r="Q761" s="130"/>
      <c r="R761" s="130"/>
      <c r="S761" s="130"/>
      <c r="T761" s="130"/>
      <c r="U761" s="130"/>
      <c r="V761" s="130"/>
      <c r="W761" s="130"/>
    </row>
    <row r="762">
      <c r="A762" s="130"/>
      <c r="B762" s="130"/>
      <c r="C762" s="130"/>
      <c r="D762" s="130"/>
      <c r="E762" s="130"/>
      <c r="F762" s="130"/>
      <c r="G762" s="130"/>
      <c r="H762" s="130"/>
      <c r="I762" s="130"/>
      <c r="J762" s="130"/>
      <c r="K762" s="239"/>
      <c r="L762" s="239"/>
      <c r="M762" s="130"/>
      <c r="N762" s="130"/>
      <c r="O762" s="130"/>
      <c r="P762" s="130"/>
      <c r="Q762" s="130"/>
      <c r="R762" s="130"/>
      <c r="S762" s="130"/>
      <c r="T762" s="130"/>
      <c r="U762" s="130"/>
      <c r="V762" s="130"/>
      <c r="W762" s="130"/>
    </row>
    <row r="763">
      <c r="A763" s="130"/>
      <c r="B763" s="130"/>
      <c r="C763" s="130"/>
      <c r="D763" s="130"/>
      <c r="E763" s="130"/>
      <c r="F763" s="130"/>
      <c r="G763" s="130"/>
      <c r="H763" s="130"/>
      <c r="I763" s="130"/>
      <c r="J763" s="130"/>
      <c r="K763" s="239"/>
      <c r="L763" s="239"/>
      <c r="M763" s="130"/>
      <c r="N763" s="130"/>
      <c r="O763" s="130"/>
      <c r="P763" s="130"/>
      <c r="Q763" s="130"/>
      <c r="R763" s="130"/>
      <c r="S763" s="130"/>
      <c r="T763" s="130"/>
      <c r="U763" s="130"/>
      <c r="V763" s="130"/>
      <c r="W763" s="130"/>
    </row>
    <row r="764">
      <c r="A764" s="130"/>
      <c r="B764" s="130"/>
      <c r="C764" s="130"/>
      <c r="D764" s="130"/>
      <c r="E764" s="130"/>
      <c r="F764" s="130"/>
      <c r="G764" s="130"/>
      <c r="H764" s="130"/>
      <c r="I764" s="130"/>
      <c r="J764" s="130"/>
      <c r="K764" s="239"/>
      <c r="L764" s="239"/>
      <c r="M764" s="130"/>
      <c r="N764" s="130"/>
      <c r="O764" s="130"/>
      <c r="P764" s="130"/>
      <c r="Q764" s="130"/>
      <c r="R764" s="130"/>
      <c r="S764" s="130"/>
      <c r="T764" s="130"/>
      <c r="U764" s="130"/>
      <c r="V764" s="130"/>
      <c r="W764" s="130"/>
    </row>
    <row r="765">
      <c r="A765" s="130"/>
      <c r="B765" s="130"/>
      <c r="C765" s="130"/>
      <c r="D765" s="130"/>
      <c r="E765" s="130"/>
      <c r="F765" s="130"/>
      <c r="G765" s="130"/>
      <c r="H765" s="130"/>
      <c r="I765" s="130"/>
      <c r="J765" s="130"/>
      <c r="K765" s="239"/>
      <c r="L765" s="239"/>
      <c r="M765" s="130"/>
      <c r="N765" s="130"/>
      <c r="O765" s="130"/>
      <c r="P765" s="130"/>
      <c r="Q765" s="130"/>
      <c r="R765" s="130"/>
      <c r="S765" s="130"/>
      <c r="T765" s="130"/>
      <c r="U765" s="130"/>
      <c r="V765" s="130"/>
      <c r="W765" s="130"/>
    </row>
    <row r="766">
      <c r="A766" s="130"/>
      <c r="B766" s="130"/>
      <c r="C766" s="130"/>
      <c r="D766" s="130"/>
      <c r="E766" s="130"/>
      <c r="F766" s="130"/>
      <c r="G766" s="130"/>
      <c r="H766" s="130"/>
      <c r="I766" s="130"/>
      <c r="J766" s="130"/>
      <c r="K766" s="239"/>
      <c r="L766" s="239"/>
      <c r="M766" s="130"/>
      <c r="N766" s="130"/>
      <c r="O766" s="130"/>
      <c r="P766" s="130"/>
      <c r="Q766" s="130"/>
      <c r="R766" s="130"/>
      <c r="S766" s="130"/>
      <c r="T766" s="130"/>
      <c r="U766" s="130"/>
      <c r="V766" s="130"/>
      <c r="W766" s="130"/>
    </row>
    <row r="767">
      <c r="A767" s="130"/>
      <c r="B767" s="130"/>
      <c r="C767" s="130"/>
      <c r="D767" s="130"/>
      <c r="E767" s="130"/>
      <c r="F767" s="130"/>
      <c r="G767" s="130"/>
      <c r="H767" s="130"/>
      <c r="I767" s="130"/>
      <c r="J767" s="130"/>
      <c r="K767" s="239"/>
      <c r="L767" s="239"/>
      <c r="M767" s="130"/>
      <c r="N767" s="130"/>
      <c r="O767" s="130"/>
      <c r="P767" s="130"/>
      <c r="Q767" s="130"/>
      <c r="R767" s="130"/>
      <c r="S767" s="130"/>
      <c r="T767" s="130"/>
      <c r="U767" s="130"/>
      <c r="V767" s="130"/>
      <c r="W767" s="130"/>
    </row>
    <row r="768">
      <c r="A768" s="130"/>
      <c r="B768" s="130"/>
      <c r="C768" s="130"/>
      <c r="D768" s="130"/>
      <c r="E768" s="130"/>
      <c r="F768" s="130"/>
      <c r="G768" s="130"/>
      <c r="H768" s="130"/>
      <c r="I768" s="130"/>
      <c r="J768" s="130"/>
      <c r="K768" s="239"/>
      <c r="L768" s="239"/>
      <c r="M768" s="130"/>
      <c r="N768" s="130"/>
      <c r="O768" s="130"/>
      <c r="P768" s="130"/>
      <c r="Q768" s="130"/>
      <c r="R768" s="130"/>
      <c r="S768" s="130"/>
      <c r="T768" s="130"/>
      <c r="U768" s="130"/>
      <c r="V768" s="130"/>
      <c r="W768" s="130"/>
    </row>
    <row r="769">
      <c r="A769" s="130"/>
      <c r="B769" s="130"/>
      <c r="C769" s="130"/>
      <c r="D769" s="130"/>
      <c r="E769" s="130"/>
      <c r="F769" s="130"/>
      <c r="G769" s="130"/>
      <c r="H769" s="130"/>
      <c r="I769" s="130"/>
      <c r="J769" s="130"/>
      <c r="K769" s="239"/>
      <c r="L769" s="239"/>
      <c r="M769" s="130"/>
      <c r="N769" s="130"/>
      <c r="O769" s="130"/>
      <c r="P769" s="130"/>
      <c r="Q769" s="130"/>
      <c r="R769" s="130"/>
      <c r="S769" s="130"/>
      <c r="T769" s="130"/>
      <c r="U769" s="130"/>
      <c r="V769" s="130"/>
      <c r="W769" s="130"/>
    </row>
    <row r="770">
      <c r="A770" s="130"/>
      <c r="B770" s="130"/>
      <c r="C770" s="130"/>
      <c r="D770" s="130"/>
      <c r="E770" s="130"/>
      <c r="F770" s="130"/>
      <c r="G770" s="130"/>
      <c r="H770" s="130"/>
      <c r="I770" s="130"/>
      <c r="J770" s="130"/>
      <c r="K770" s="239"/>
      <c r="L770" s="239"/>
      <c r="M770" s="130"/>
      <c r="N770" s="130"/>
      <c r="O770" s="130"/>
      <c r="P770" s="130"/>
      <c r="Q770" s="130"/>
      <c r="R770" s="130"/>
      <c r="S770" s="130"/>
      <c r="T770" s="130"/>
      <c r="U770" s="130"/>
      <c r="V770" s="130"/>
      <c r="W770" s="130"/>
    </row>
    <row r="771">
      <c r="A771" s="130"/>
      <c r="B771" s="130"/>
      <c r="C771" s="130"/>
      <c r="D771" s="130"/>
      <c r="E771" s="130"/>
      <c r="F771" s="130"/>
      <c r="G771" s="130"/>
      <c r="H771" s="130"/>
      <c r="I771" s="130"/>
      <c r="J771" s="130"/>
      <c r="K771" s="239"/>
      <c r="L771" s="239"/>
      <c r="M771" s="130"/>
      <c r="N771" s="130"/>
      <c r="O771" s="130"/>
      <c r="P771" s="130"/>
      <c r="Q771" s="130"/>
      <c r="R771" s="130"/>
      <c r="S771" s="130"/>
      <c r="T771" s="130"/>
      <c r="U771" s="130"/>
      <c r="V771" s="130"/>
      <c r="W771" s="130"/>
    </row>
    <row r="772">
      <c r="A772" s="130"/>
      <c r="B772" s="130"/>
      <c r="C772" s="130"/>
      <c r="D772" s="130"/>
      <c r="E772" s="130"/>
      <c r="F772" s="130"/>
      <c r="G772" s="130"/>
      <c r="H772" s="130"/>
      <c r="I772" s="130"/>
      <c r="J772" s="130"/>
      <c r="K772" s="239"/>
      <c r="L772" s="239"/>
      <c r="M772" s="130"/>
      <c r="N772" s="130"/>
      <c r="O772" s="130"/>
      <c r="P772" s="130"/>
      <c r="Q772" s="130"/>
      <c r="R772" s="130"/>
      <c r="S772" s="130"/>
      <c r="T772" s="130"/>
      <c r="U772" s="130"/>
      <c r="V772" s="130"/>
      <c r="W772" s="130"/>
    </row>
    <row r="773">
      <c r="A773" s="130"/>
      <c r="B773" s="130"/>
      <c r="C773" s="130"/>
      <c r="D773" s="130"/>
      <c r="E773" s="130"/>
      <c r="F773" s="130"/>
      <c r="G773" s="130"/>
      <c r="H773" s="130"/>
      <c r="I773" s="130"/>
      <c r="J773" s="130"/>
      <c r="K773" s="239"/>
      <c r="L773" s="239"/>
      <c r="M773" s="130"/>
      <c r="N773" s="130"/>
      <c r="O773" s="130"/>
      <c r="P773" s="130"/>
      <c r="Q773" s="130"/>
      <c r="R773" s="130"/>
      <c r="S773" s="130"/>
      <c r="T773" s="130"/>
      <c r="U773" s="130"/>
      <c r="V773" s="130"/>
      <c r="W773" s="130"/>
    </row>
    <row r="774">
      <c r="A774" s="130"/>
      <c r="B774" s="130"/>
      <c r="C774" s="130"/>
      <c r="D774" s="130"/>
      <c r="E774" s="130"/>
      <c r="F774" s="130"/>
      <c r="G774" s="130"/>
      <c r="H774" s="130"/>
      <c r="I774" s="130"/>
      <c r="J774" s="130"/>
      <c r="K774" s="239"/>
      <c r="L774" s="239"/>
      <c r="M774" s="130"/>
      <c r="N774" s="130"/>
      <c r="O774" s="130"/>
      <c r="P774" s="130"/>
      <c r="Q774" s="130"/>
      <c r="R774" s="130"/>
      <c r="S774" s="130"/>
      <c r="T774" s="130"/>
      <c r="U774" s="130"/>
      <c r="V774" s="130"/>
      <c r="W774" s="130"/>
    </row>
    <row r="775">
      <c r="A775" s="130"/>
      <c r="B775" s="130"/>
      <c r="C775" s="130"/>
      <c r="D775" s="130"/>
      <c r="E775" s="130"/>
      <c r="F775" s="130"/>
      <c r="G775" s="130"/>
      <c r="H775" s="130"/>
      <c r="I775" s="130"/>
      <c r="J775" s="130"/>
      <c r="K775" s="239"/>
      <c r="L775" s="239"/>
      <c r="M775" s="130"/>
      <c r="N775" s="130"/>
      <c r="O775" s="130"/>
      <c r="P775" s="130"/>
      <c r="Q775" s="130"/>
      <c r="R775" s="130"/>
      <c r="S775" s="130"/>
      <c r="T775" s="130"/>
      <c r="U775" s="130"/>
      <c r="V775" s="130"/>
      <c r="W775" s="130"/>
    </row>
    <row r="776">
      <c r="A776" s="130"/>
      <c r="B776" s="130"/>
      <c r="C776" s="130"/>
      <c r="D776" s="130"/>
      <c r="E776" s="130"/>
      <c r="F776" s="130"/>
      <c r="G776" s="130"/>
      <c r="H776" s="130"/>
      <c r="I776" s="130"/>
      <c r="J776" s="130"/>
      <c r="K776" s="239"/>
      <c r="L776" s="239"/>
      <c r="M776" s="130"/>
      <c r="N776" s="130"/>
      <c r="O776" s="130"/>
      <c r="P776" s="130"/>
      <c r="Q776" s="130"/>
      <c r="R776" s="130"/>
      <c r="S776" s="130"/>
      <c r="T776" s="130"/>
      <c r="U776" s="130"/>
      <c r="V776" s="130"/>
      <c r="W776" s="130"/>
    </row>
    <row r="777">
      <c r="A777" s="130"/>
      <c r="B777" s="130"/>
      <c r="C777" s="130"/>
      <c r="D777" s="130"/>
      <c r="E777" s="130"/>
      <c r="F777" s="130"/>
      <c r="G777" s="130"/>
      <c r="H777" s="130"/>
      <c r="I777" s="130"/>
      <c r="J777" s="130"/>
      <c r="K777" s="239"/>
      <c r="L777" s="239"/>
      <c r="M777" s="130"/>
      <c r="N777" s="130"/>
      <c r="O777" s="130"/>
      <c r="P777" s="130"/>
      <c r="Q777" s="130"/>
      <c r="R777" s="130"/>
      <c r="S777" s="130"/>
      <c r="T777" s="130"/>
      <c r="U777" s="130"/>
      <c r="V777" s="130"/>
      <c r="W777" s="130"/>
    </row>
    <row r="778">
      <c r="A778" s="130"/>
      <c r="B778" s="130"/>
      <c r="C778" s="130"/>
      <c r="D778" s="130"/>
      <c r="E778" s="130"/>
      <c r="F778" s="130"/>
      <c r="G778" s="130"/>
      <c r="H778" s="130"/>
      <c r="I778" s="130"/>
      <c r="J778" s="130"/>
      <c r="K778" s="239"/>
      <c r="L778" s="239"/>
      <c r="M778" s="130"/>
      <c r="N778" s="130"/>
      <c r="O778" s="130"/>
      <c r="P778" s="130"/>
      <c r="Q778" s="130"/>
      <c r="R778" s="130"/>
      <c r="S778" s="130"/>
      <c r="T778" s="130"/>
      <c r="U778" s="130"/>
      <c r="V778" s="130"/>
      <c r="W778" s="130"/>
    </row>
    <row r="779">
      <c r="A779" s="130"/>
      <c r="B779" s="130"/>
      <c r="C779" s="130"/>
      <c r="D779" s="130"/>
      <c r="E779" s="130"/>
      <c r="F779" s="130"/>
      <c r="G779" s="130"/>
      <c r="H779" s="130"/>
      <c r="I779" s="130"/>
      <c r="J779" s="130"/>
      <c r="K779" s="239"/>
      <c r="L779" s="239"/>
      <c r="M779" s="130"/>
      <c r="N779" s="130"/>
      <c r="O779" s="130"/>
      <c r="P779" s="130"/>
      <c r="Q779" s="130"/>
      <c r="R779" s="130"/>
      <c r="S779" s="130"/>
      <c r="T779" s="130"/>
      <c r="U779" s="130"/>
      <c r="V779" s="130"/>
      <c r="W779" s="130"/>
    </row>
    <row r="780">
      <c r="A780" s="130"/>
      <c r="B780" s="130"/>
      <c r="C780" s="130"/>
      <c r="D780" s="130"/>
      <c r="E780" s="130"/>
      <c r="F780" s="130"/>
      <c r="G780" s="130"/>
      <c r="H780" s="130"/>
      <c r="I780" s="130"/>
      <c r="J780" s="130"/>
      <c r="K780" s="239"/>
      <c r="L780" s="239"/>
      <c r="M780" s="130"/>
      <c r="N780" s="130"/>
      <c r="O780" s="130"/>
      <c r="P780" s="130"/>
      <c r="Q780" s="130"/>
      <c r="R780" s="130"/>
      <c r="S780" s="130"/>
      <c r="T780" s="130"/>
      <c r="U780" s="130"/>
      <c r="V780" s="130"/>
      <c r="W780" s="130"/>
    </row>
    <row r="781">
      <c r="A781" s="130"/>
      <c r="B781" s="130"/>
      <c r="C781" s="130"/>
      <c r="D781" s="130"/>
      <c r="E781" s="130"/>
      <c r="F781" s="130"/>
      <c r="G781" s="130"/>
      <c r="H781" s="130"/>
      <c r="I781" s="130"/>
      <c r="J781" s="130"/>
      <c r="K781" s="239"/>
      <c r="L781" s="239"/>
      <c r="M781" s="130"/>
      <c r="N781" s="130"/>
      <c r="O781" s="130"/>
      <c r="P781" s="130"/>
      <c r="Q781" s="130"/>
      <c r="R781" s="130"/>
      <c r="S781" s="130"/>
      <c r="T781" s="130"/>
      <c r="U781" s="130"/>
      <c r="V781" s="130"/>
      <c r="W781" s="130"/>
    </row>
    <row r="782">
      <c r="A782" s="130"/>
      <c r="B782" s="130"/>
      <c r="C782" s="130"/>
      <c r="D782" s="130"/>
      <c r="E782" s="130"/>
      <c r="F782" s="130"/>
      <c r="G782" s="130"/>
      <c r="H782" s="130"/>
      <c r="I782" s="130"/>
      <c r="J782" s="130"/>
      <c r="K782" s="239"/>
      <c r="L782" s="239"/>
      <c r="M782" s="130"/>
      <c r="N782" s="130"/>
      <c r="O782" s="130"/>
      <c r="P782" s="130"/>
      <c r="Q782" s="130"/>
      <c r="R782" s="130"/>
      <c r="S782" s="130"/>
      <c r="T782" s="130"/>
      <c r="U782" s="130"/>
      <c r="V782" s="130"/>
      <c r="W782" s="130"/>
    </row>
    <row r="783">
      <c r="A783" s="130"/>
      <c r="B783" s="130"/>
      <c r="C783" s="130"/>
      <c r="D783" s="130"/>
      <c r="E783" s="130"/>
      <c r="F783" s="130"/>
      <c r="G783" s="130"/>
      <c r="H783" s="130"/>
      <c r="I783" s="130"/>
      <c r="J783" s="130"/>
      <c r="K783" s="239"/>
      <c r="L783" s="239"/>
      <c r="M783" s="130"/>
      <c r="N783" s="130"/>
      <c r="O783" s="130"/>
      <c r="P783" s="130"/>
      <c r="Q783" s="130"/>
      <c r="R783" s="130"/>
      <c r="S783" s="130"/>
      <c r="T783" s="130"/>
      <c r="U783" s="130"/>
      <c r="V783" s="130"/>
      <c r="W783" s="130"/>
    </row>
    <row r="784">
      <c r="A784" s="130"/>
      <c r="B784" s="130"/>
      <c r="C784" s="130"/>
      <c r="D784" s="130"/>
      <c r="E784" s="130"/>
      <c r="F784" s="130"/>
      <c r="G784" s="130"/>
      <c r="H784" s="130"/>
      <c r="I784" s="130"/>
      <c r="J784" s="130"/>
      <c r="K784" s="239"/>
      <c r="L784" s="239"/>
      <c r="M784" s="130"/>
      <c r="N784" s="130"/>
      <c r="O784" s="130"/>
      <c r="P784" s="130"/>
      <c r="Q784" s="130"/>
      <c r="R784" s="130"/>
      <c r="S784" s="130"/>
      <c r="T784" s="130"/>
      <c r="U784" s="130"/>
      <c r="V784" s="130"/>
      <c r="W784" s="130"/>
    </row>
    <row r="785">
      <c r="A785" s="130"/>
      <c r="B785" s="130"/>
      <c r="C785" s="130"/>
      <c r="D785" s="130"/>
      <c r="E785" s="130"/>
      <c r="F785" s="130"/>
      <c r="G785" s="130"/>
      <c r="H785" s="130"/>
      <c r="I785" s="130"/>
      <c r="J785" s="130"/>
      <c r="K785" s="239"/>
      <c r="L785" s="239"/>
      <c r="M785" s="130"/>
      <c r="N785" s="130"/>
      <c r="O785" s="130"/>
      <c r="P785" s="130"/>
      <c r="Q785" s="130"/>
      <c r="R785" s="130"/>
      <c r="S785" s="130"/>
      <c r="T785" s="130"/>
      <c r="U785" s="130"/>
      <c r="V785" s="130"/>
      <c r="W785" s="130"/>
    </row>
    <row r="786">
      <c r="A786" s="130"/>
      <c r="B786" s="130"/>
      <c r="C786" s="130"/>
      <c r="D786" s="130"/>
      <c r="E786" s="130"/>
      <c r="F786" s="130"/>
      <c r="G786" s="130"/>
      <c r="H786" s="130"/>
      <c r="I786" s="130"/>
      <c r="J786" s="130"/>
      <c r="K786" s="239"/>
      <c r="L786" s="239"/>
      <c r="M786" s="130"/>
      <c r="N786" s="130"/>
      <c r="O786" s="130"/>
      <c r="P786" s="130"/>
      <c r="Q786" s="130"/>
      <c r="R786" s="130"/>
      <c r="S786" s="130"/>
      <c r="T786" s="130"/>
      <c r="U786" s="130"/>
      <c r="V786" s="130"/>
      <c r="W786" s="130"/>
    </row>
    <row r="787">
      <c r="A787" s="130"/>
      <c r="B787" s="130"/>
      <c r="C787" s="130"/>
      <c r="D787" s="130"/>
      <c r="E787" s="130"/>
      <c r="F787" s="130"/>
      <c r="G787" s="130"/>
      <c r="H787" s="130"/>
      <c r="I787" s="130"/>
      <c r="J787" s="130"/>
      <c r="K787" s="239"/>
      <c r="L787" s="239"/>
      <c r="M787" s="130"/>
      <c r="N787" s="130"/>
      <c r="O787" s="130"/>
      <c r="P787" s="130"/>
      <c r="Q787" s="130"/>
      <c r="R787" s="130"/>
      <c r="S787" s="130"/>
      <c r="T787" s="130"/>
      <c r="U787" s="130"/>
      <c r="V787" s="130"/>
      <c r="W787" s="130"/>
    </row>
    <row r="788">
      <c r="A788" s="130"/>
      <c r="B788" s="130"/>
      <c r="C788" s="130"/>
      <c r="D788" s="130"/>
      <c r="E788" s="130"/>
      <c r="F788" s="130"/>
      <c r="G788" s="130"/>
      <c r="H788" s="130"/>
      <c r="I788" s="130"/>
      <c r="J788" s="130"/>
      <c r="K788" s="239"/>
      <c r="L788" s="239"/>
      <c r="M788" s="130"/>
      <c r="N788" s="130"/>
      <c r="O788" s="130"/>
      <c r="P788" s="130"/>
      <c r="Q788" s="130"/>
      <c r="R788" s="130"/>
      <c r="S788" s="130"/>
      <c r="T788" s="130"/>
      <c r="U788" s="130"/>
      <c r="V788" s="130"/>
      <c r="W788" s="130"/>
    </row>
    <row r="789">
      <c r="A789" s="130"/>
      <c r="B789" s="130"/>
      <c r="C789" s="130"/>
      <c r="D789" s="130"/>
      <c r="E789" s="130"/>
      <c r="F789" s="130"/>
      <c r="G789" s="130"/>
      <c r="H789" s="130"/>
      <c r="I789" s="130"/>
      <c r="J789" s="130"/>
      <c r="K789" s="239"/>
      <c r="L789" s="239"/>
      <c r="M789" s="130"/>
      <c r="N789" s="130"/>
      <c r="O789" s="130"/>
      <c r="P789" s="130"/>
      <c r="Q789" s="130"/>
      <c r="R789" s="130"/>
      <c r="S789" s="130"/>
      <c r="T789" s="130"/>
      <c r="U789" s="130"/>
      <c r="V789" s="130"/>
      <c r="W789" s="130"/>
    </row>
    <row r="790">
      <c r="A790" s="130"/>
      <c r="B790" s="130"/>
      <c r="C790" s="130"/>
      <c r="D790" s="130"/>
      <c r="E790" s="130"/>
      <c r="F790" s="130"/>
      <c r="G790" s="130"/>
      <c r="H790" s="130"/>
      <c r="I790" s="130"/>
      <c r="J790" s="130"/>
      <c r="K790" s="239"/>
      <c r="L790" s="239"/>
      <c r="M790" s="130"/>
      <c r="N790" s="130"/>
      <c r="O790" s="130"/>
      <c r="P790" s="130"/>
      <c r="Q790" s="130"/>
      <c r="R790" s="130"/>
      <c r="S790" s="130"/>
      <c r="T790" s="130"/>
      <c r="U790" s="130"/>
      <c r="V790" s="130"/>
      <c r="W790" s="130"/>
    </row>
    <row r="791">
      <c r="A791" s="130"/>
      <c r="B791" s="130"/>
      <c r="C791" s="130"/>
      <c r="D791" s="130"/>
      <c r="E791" s="130"/>
      <c r="F791" s="130"/>
      <c r="G791" s="130"/>
      <c r="H791" s="130"/>
      <c r="I791" s="130"/>
      <c r="J791" s="130"/>
      <c r="K791" s="239"/>
      <c r="L791" s="239"/>
      <c r="M791" s="130"/>
      <c r="N791" s="130"/>
      <c r="O791" s="130"/>
      <c r="P791" s="130"/>
      <c r="Q791" s="130"/>
      <c r="R791" s="130"/>
      <c r="S791" s="130"/>
      <c r="T791" s="130"/>
      <c r="U791" s="130"/>
      <c r="V791" s="130"/>
      <c r="W791" s="130"/>
    </row>
    <row r="792">
      <c r="A792" s="130"/>
      <c r="B792" s="130"/>
      <c r="C792" s="130"/>
      <c r="D792" s="130"/>
      <c r="E792" s="130"/>
      <c r="F792" s="130"/>
      <c r="G792" s="130"/>
      <c r="H792" s="130"/>
      <c r="I792" s="130"/>
      <c r="J792" s="130"/>
      <c r="K792" s="239"/>
      <c r="L792" s="239"/>
      <c r="M792" s="130"/>
      <c r="N792" s="130"/>
      <c r="O792" s="130"/>
      <c r="P792" s="130"/>
      <c r="Q792" s="130"/>
      <c r="R792" s="130"/>
      <c r="S792" s="130"/>
      <c r="T792" s="130"/>
      <c r="U792" s="130"/>
      <c r="V792" s="130"/>
      <c r="W792" s="130"/>
    </row>
    <row r="793">
      <c r="A793" s="130"/>
      <c r="B793" s="130"/>
      <c r="C793" s="130"/>
      <c r="D793" s="130"/>
      <c r="E793" s="130"/>
      <c r="F793" s="130"/>
      <c r="G793" s="130"/>
      <c r="H793" s="130"/>
      <c r="I793" s="130"/>
      <c r="J793" s="130"/>
      <c r="K793" s="239"/>
      <c r="L793" s="239"/>
      <c r="M793" s="130"/>
      <c r="N793" s="130"/>
      <c r="O793" s="130"/>
      <c r="P793" s="130"/>
      <c r="Q793" s="130"/>
      <c r="R793" s="130"/>
      <c r="S793" s="130"/>
      <c r="T793" s="130"/>
      <c r="U793" s="130"/>
      <c r="V793" s="130"/>
      <c r="W793" s="130"/>
    </row>
    <row r="794">
      <c r="A794" s="130"/>
      <c r="B794" s="130"/>
      <c r="C794" s="130"/>
      <c r="D794" s="130"/>
      <c r="E794" s="130"/>
      <c r="F794" s="130"/>
      <c r="G794" s="130"/>
      <c r="H794" s="130"/>
      <c r="I794" s="130"/>
      <c r="J794" s="130"/>
      <c r="K794" s="239"/>
      <c r="L794" s="239"/>
      <c r="M794" s="130"/>
      <c r="N794" s="130"/>
      <c r="O794" s="130"/>
      <c r="P794" s="130"/>
      <c r="Q794" s="130"/>
      <c r="R794" s="130"/>
      <c r="S794" s="130"/>
      <c r="T794" s="130"/>
      <c r="U794" s="130"/>
      <c r="V794" s="130"/>
      <c r="W794" s="130"/>
    </row>
    <row r="795">
      <c r="A795" s="130"/>
      <c r="B795" s="130"/>
      <c r="C795" s="130"/>
      <c r="D795" s="130"/>
      <c r="E795" s="130"/>
      <c r="F795" s="130"/>
      <c r="G795" s="130"/>
      <c r="H795" s="130"/>
      <c r="I795" s="130"/>
      <c r="J795" s="130"/>
      <c r="K795" s="239"/>
      <c r="L795" s="239"/>
      <c r="M795" s="130"/>
      <c r="N795" s="130"/>
      <c r="O795" s="130"/>
      <c r="P795" s="130"/>
      <c r="Q795" s="130"/>
      <c r="R795" s="130"/>
      <c r="S795" s="130"/>
      <c r="T795" s="130"/>
      <c r="U795" s="130"/>
      <c r="V795" s="130"/>
      <c r="W795" s="130"/>
    </row>
    <row r="796">
      <c r="A796" s="130"/>
      <c r="B796" s="130"/>
      <c r="C796" s="130"/>
      <c r="D796" s="130"/>
      <c r="E796" s="130"/>
      <c r="F796" s="130"/>
      <c r="G796" s="130"/>
      <c r="H796" s="130"/>
      <c r="I796" s="130"/>
      <c r="J796" s="130"/>
      <c r="K796" s="239"/>
      <c r="L796" s="239"/>
      <c r="M796" s="130"/>
      <c r="N796" s="130"/>
      <c r="O796" s="130"/>
      <c r="P796" s="130"/>
      <c r="Q796" s="130"/>
      <c r="R796" s="130"/>
      <c r="S796" s="130"/>
      <c r="T796" s="130"/>
      <c r="U796" s="130"/>
      <c r="V796" s="130"/>
      <c r="W796" s="130"/>
    </row>
    <row r="797">
      <c r="A797" s="130"/>
      <c r="B797" s="130"/>
      <c r="C797" s="130"/>
      <c r="D797" s="130"/>
      <c r="E797" s="130"/>
      <c r="F797" s="130"/>
      <c r="G797" s="130"/>
      <c r="H797" s="130"/>
      <c r="I797" s="130"/>
      <c r="J797" s="130"/>
      <c r="K797" s="239"/>
      <c r="L797" s="239"/>
      <c r="M797" s="130"/>
      <c r="N797" s="130"/>
      <c r="O797" s="130"/>
      <c r="P797" s="130"/>
      <c r="Q797" s="130"/>
      <c r="R797" s="130"/>
      <c r="S797" s="130"/>
      <c r="T797" s="130"/>
      <c r="U797" s="130"/>
      <c r="V797" s="130"/>
      <c r="W797" s="130"/>
    </row>
    <row r="798">
      <c r="A798" s="130"/>
      <c r="B798" s="130"/>
      <c r="C798" s="130"/>
      <c r="D798" s="130"/>
      <c r="E798" s="130"/>
      <c r="F798" s="130"/>
      <c r="G798" s="130"/>
      <c r="H798" s="130"/>
      <c r="I798" s="130"/>
      <c r="J798" s="130"/>
      <c r="K798" s="239"/>
      <c r="L798" s="239"/>
      <c r="M798" s="130"/>
      <c r="N798" s="130"/>
      <c r="O798" s="130"/>
      <c r="P798" s="130"/>
      <c r="Q798" s="130"/>
      <c r="R798" s="130"/>
      <c r="S798" s="130"/>
      <c r="T798" s="130"/>
      <c r="U798" s="130"/>
      <c r="V798" s="130"/>
      <c r="W798" s="130"/>
    </row>
    <row r="799">
      <c r="A799" s="130"/>
      <c r="B799" s="130"/>
      <c r="C799" s="130"/>
      <c r="D799" s="130"/>
      <c r="E799" s="130"/>
      <c r="F799" s="130"/>
      <c r="G799" s="130"/>
      <c r="H799" s="130"/>
      <c r="I799" s="130"/>
      <c r="J799" s="130"/>
      <c r="K799" s="239"/>
      <c r="L799" s="239"/>
      <c r="M799" s="130"/>
      <c r="N799" s="130"/>
      <c r="O799" s="130"/>
      <c r="P799" s="130"/>
      <c r="Q799" s="130"/>
      <c r="R799" s="130"/>
      <c r="S799" s="130"/>
      <c r="T799" s="130"/>
      <c r="U799" s="130"/>
      <c r="V799" s="130"/>
      <c r="W799" s="130"/>
    </row>
    <row r="800">
      <c r="A800" s="130"/>
      <c r="B800" s="130"/>
      <c r="C800" s="130"/>
      <c r="D800" s="130"/>
      <c r="E800" s="130"/>
      <c r="F800" s="130"/>
      <c r="G800" s="130"/>
      <c r="H800" s="130"/>
      <c r="I800" s="130"/>
      <c r="J800" s="130"/>
      <c r="K800" s="239"/>
      <c r="L800" s="239"/>
      <c r="M800" s="130"/>
      <c r="N800" s="130"/>
      <c r="O800" s="130"/>
      <c r="P800" s="130"/>
      <c r="Q800" s="130"/>
      <c r="R800" s="130"/>
      <c r="S800" s="130"/>
      <c r="T800" s="130"/>
      <c r="U800" s="130"/>
      <c r="V800" s="130"/>
      <c r="W800" s="130"/>
    </row>
    <row r="801">
      <c r="A801" s="130"/>
      <c r="B801" s="130"/>
      <c r="C801" s="130"/>
      <c r="D801" s="130"/>
      <c r="E801" s="130"/>
      <c r="F801" s="130"/>
      <c r="G801" s="130"/>
      <c r="H801" s="130"/>
      <c r="I801" s="130"/>
      <c r="J801" s="130"/>
      <c r="K801" s="239"/>
      <c r="L801" s="239"/>
      <c r="M801" s="130"/>
      <c r="N801" s="130"/>
      <c r="O801" s="130"/>
      <c r="P801" s="130"/>
      <c r="Q801" s="130"/>
      <c r="R801" s="130"/>
      <c r="S801" s="130"/>
      <c r="T801" s="130"/>
      <c r="U801" s="130"/>
      <c r="V801" s="130"/>
      <c r="W801" s="130"/>
    </row>
    <row r="802">
      <c r="A802" s="130"/>
      <c r="B802" s="130"/>
      <c r="C802" s="130"/>
      <c r="D802" s="130"/>
      <c r="E802" s="130"/>
      <c r="F802" s="130"/>
      <c r="G802" s="130"/>
      <c r="H802" s="130"/>
      <c r="I802" s="130"/>
      <c r="J802" s="130"/>
      <c r="K802" s="239"/>
      <c r="L802" s="239"/>
      <c r="M802" s="130"/>
      <c r="N802" s="130"/>
      <c r="O802" s="130"/>
      <c r="P802" s="130"/>
      <c r="Q802" s="130"/>
      <c r="R802" s="130"/>
      <c r="S802" s="130"/>
      <c r="T802" s="130"/>
      <c r="U802" s="130"/>
      <c r="V802" s="130"/>
      <c r="W802" s="130"/>
    </row>
    <row r="803">
      <c r="A803" s="130"/>
      <c r="B803" s="130"/>
      <c r="C803" s="130"/>
      <c r="D803" s="130"/>
      <c r="E803" s="130"/>
      <c r="F803" s="130"/>
      <c r="G803" s="130"/>
      <c r="H803" s="130"/>
      <c r="I803" s="130"/>
      <c r="J803" s="130"/>
      <c r="K803" s="239"/>
      <c r="L803" s="239"/>
      <c r="M803" s="130"/>
      <c r="N803" s="130"/>
      <c r="O803" s="130"/>
      <c r="P803" s="130"/>
      <c r="Q803" s="130"/>
      <c r="R803" s="130"/>
      <c r="S803" s="130"/>
      <c r="T803" s="130"/>
      <c r="U803" s="130"/>
      <c r="V803" s="130"/>
      <c r="W803" s="130"/>
    </row>
    <row r="804">
      <c r="A804" s="130"/>
      <c r="B804" s="130"/>
      <c r="C804" s="130"/>
      <c r="D804" s="130"/>
      <c r="E804" s="130"/>
      <c r="F804" s="130"/>
      <c r="G804" s="130"/>
      <c r="H804" s="130"/>
      <c r="I804" s="130"/>
      <c r="J804" s="130"/>
      <c r="K804" s="239"/>
      <c r="L804" s="239"/>
      <c r="M804" s="130"/>
      <c r="N804" s="130"/>
      <c r="O804" s="130"/>
      <c r="P804" s="130"/>
      <c r="Q804" s="130"/>
      <c r="R804" s="130"/>
      <c r="S804" s="130"/>
      <c r="T804" s="130"/>
      <c r="U804" s="130"/>
      <c r="V804" s="130"/>
      <c r="W804" s="130"/>
    </row>
    <row r="805">
      <c r="A805" s="130"/>
      <c r="B805" s="130"/>
      <c r="C805" s="130"/>
      <c r="D805" s="130"/>
      <c r="E805" s="130"/>
      <c r="F805" s="130"/>
      <c r="G805" s="130"/>
      <c r="H805" s="130"/>
      <c r="I805" s="130"/>
      <c r="J805" s="130"/>
      <c r="K805" s="239"/>
      <c r="L805" s="239"/>
      <c r="M805" s="130"/>
      <c r="N805" s="130"/>
      <c r="O805" s="130"/>
      <c r="P805" s="130"/>
      <c r="Q805" s="130"/>
      <c r="R805" s="130"/>
      <c r="S805" s="130"/>
      <c r="T805" s="130"/>
      <c r="U805" s="130"/>
      <c r="V805" s="130"/>
      <c r="W805" s="130"/>
    </row>
    <row r="806">
      <c r="A806" s="130"/>
      <c r="B806" s="130"/>
      <c r="C806" s="130"/>
      <c r="D806" s="130"/>
      <c r="E806" s="130"/>
      <c r="F806" s="130"/>
      <c r="G806" s="130"/>
      <c r="H806" s="130"/>
      <c r="I806" s="130"/>
      <c r="J806" s="130"/>
      <c r="K806" s="239"/>
      <c r="L806" s="239"/>
      <c r="M806" s="130"/>
      <c r="N806" s="130"/>
      <c r="O806" s="130"/>
      <c r="P806" s="130"/>
      <c r="Q806" s="130"/>
      <c r="R806" s="130"/>
      <c r="S806" s="130"/>
      <c r="T806" s="130"/>
      <c r="U806" s="130"/>
      <c r="V806" s="130"/>
      <c r="W806" s="130"/>
    </row>
    <row r="807">
      <c r="A807" s="130"/>
      <c r="B807" s="130"/>
      <c r="C807" s="130"/>
      <c r="D807" s="130"/>
      <c r="E807" s="130"/>
      <c r="F807" s="130"/>
      <c r="G807" s="130"/>
      <c r="H807" s="130"/>
      <c r="I807" s="130"/>
      <c r="J807" s="130"/>
      <c r="K807" s="239"/>
      <c r="L807" s="239"/>
      <c r="M807" s="130"/>
      <c r="N807" s="130"/>
      <c r="O807" s="130"/>
      <c r="P807" s="130"/>
      <c r="Q807" s="130"/>
      <c r="R807" s="130"/>
      <c r="S807" s="130"/>
      <c r="T807" s="130"/>
      <c r="U807" s="130"/>
      <c r="V807" s="130"/>
      <c r="W807" s="130"/>
    </row>
    <row r="808">
      <c r="A808" s="130"/>
      <c r="B808" s="130"/>
      <c r="C808" s="130"/>
      <c r="D808" s="130"/>
      <c r="E808" s="130"/>
      <c r="F808" s="130"/>
      <c r="G808" s="130"/>
      <c r="H808" s="130"/>
      <c r="I808" s="130"/>
      <c r="J808" s="130"/>
      <c r="K808" s="239"/>
      <c r="L808" s="239"/>
      <c r="M808" s="130"/>
      <c r="N808" s="130"/>
      <c r="O808" s="130"/>
      <c r="P808" s="130"/>
      <c r="Q808" s="130"/>
      <c r="R808" s="130"/>
      <c r="S808" s="130"/>
      <c r="T808" s="130"/>
      <c r="U808" s="130"/>
      <c r="V808" s="130"/>
      <c r="W808" s="130"/>
    </row>
    <row r="809">
      <c r="A809" s="130"/>
      <c r="B809" s="130"/>
      <c r="C809" s="130"/>
      <c r="D809" s="130"/>
      <c r="E809" s="130"/>
      <c r="F809" s="130"/>
      <c r="G809" s="130"/>
      <c r="H809" s="130"/>
      <c r="I809" s="130"/>
      <c r="J809" s="130"/>
      <c r="K809" s="239"/>
      <c r="L809" s="239"/>
      <c r="M809" s="130"/>
      <c r="N809" s="130"/>
      <c r="O809" s="130"/>
      <c r="P809" s="130"/>
      <c r="Q809" s="130"/>
      <c r="R809" s="130"/>
      <c r="S809" s="130"/>
      <c r="T809" s="130"/>
      <c r="U809" s="130"/>
      <c r="V809" s="130"/>
      <c r="W809" s="130"/>
    </row>
    <row r="810">
      <c r="A810" s="130"/>
      <c r="B810" s="130"/>
      <c r="C810" s="130"/>
      <c r="D810" s="130"/>
      <c r="E810" s="130"/>
      <c r="F810" s="130"/>
      <c r="G810" s="130"/>
      <c r="H810" s="130"/>
      <c r="I810" s="130"/>
      <c r="J810" s="130"/>
      <c r="K810" s="239"/>
      <c r="L810" s="239"/>
      <c r="M810" s="130"/>
      <c r="N810" s="130"/>
      <c r="O810" s="130"/>
      <c r="P810" s="130"/>
      <c r="Q810" s="130"/>
      <c r="R810" s="130"/>
      <c r="S810" s="130"/>
      <c r="T810" s="130"/>
      <c r="U810" s="130"/>
      <c r="V810" s="130"/>
      <c r="W810" s="130"/>
    </row>
    <row r="811">
      <c r="A811" s="130"/>
      <c r="B811" s="130"/>
      <c r="C811" s="130"/>
      <c r="D811" s="130"/>
      <c r="E811" s="130"/>
      <c r="F811" s="130"/>
      <c r="G811" s="130"/>
      <c r="H811" s="130"/>
      <c r="I811" s="130"/>
      <c r="J811" s="130"/>
      <c r="K811" s="239"/>
      <c r="L811" s="239"/>
      <c r="M811" s="130"/>
      <c r="N811" s="130"/>
      <c r="O811" s="130"/>
      <c r="P811" s="130"/>
      <c r="Q811" s="130"/>
      <c r="R811" s="130"/>
      <c r="S811" s="130"/>
      <c r="T811" s="130"/>
      <c r="U811" s="130"/>
      <c r="V811" s="130"/>
      <c r="W811" s="130"/>
    </row>
    <row r="812">
      <c r="A812" s="130"/>
      <c r="B812" s="130"/>
      <c r="C812" s="130"/>
      <c r="D812" s="130"/>
      <c r="E812" s="130"/>
      <c r="F812" s="130"/>
      <c r="G812" s="130"/>
      <c r="H812" s="130"/>
      <c r="I812" s="130"/>
      <c r="J812" s="130"/>
      <c r="K812" s="239"/>
      <c r="L812" s="239"/>
      <c r="M812" s="130"/>
      <c r="N812" s="130"/>
      <c r="O812" s="130"/>
      <c r="P812" s="130"/>
      <c r="Q812" s="130"/>
      <c r="R812" s="130"/>
      <c r="S812" s="130"/>
      <c r="T812" s="130"/>
      <c r="U812" s="130"/>
      <c r="V812" s="130"/>
      <c r="W812" s="130"/>
    </row>
    <row r="813">
      <c r="A813" s="130"/>
      <c r="B813" s="130"/>
      <c r="C813" s="130"/>
      <c r="D813" s="130"/>
      <c r="E813" s="130"/>
      <c r="F813" s="130"/>
      <c r="G813" s="130"/>
      <c r="H813" s="130"/>
      <c r="I813" s="130"/>
      <c r="J813" s="130"/>
      <c r="K813" s="239"/>
      <c r="L813" s="239"/>
      <c r="M813" s="130"/>
      <c r="N813" s="130"/>
      <c r="O813" s="130"/>
      <c r="P813" s="130"/>
      <c r="Q813" s="130"/>
      <c r="R813" s="130"/>
      <c r="S813" s="130"/>
      <c r="T813" s="130"/>
      <c r="U813" s="130"/>
      <c r="V813" s="130"/>
      <c r="W813" s="130"/>
    </row>
    <row r="814">
      <c r="A814" s="130"/>
      <c r="B814" s="130"/>
      <c r="C814" s="130"/>
      <c r="D814" s="130"/>
      <c r="E814" s="130"/>
      <c r="F814" s="130"/>
      <c r="G814" s="130"/>
      <c r="H814" s="130"/>
      <c r="I814" s="130"/>
      <c r="J814" s="130"/>
      <c r="K814" s="239"/>
      <c r="L814" s="239"/>
      <c r="M814" s="130"/>
      <c r="N814" s="130"/>
      <c r="O814" s="130"/>
      <c r="P814" s="130"/>
      <c r="Q814" s="130"/>
      <c r="R814" s="130"/>
      <c r="S814" s="130"/>
      <c r="T814" s="130"/>
      <c r="U814" s="130"/>
      <c r="V814" s="130"/>
      <c r="W814" s="130"/>
    </row>
    <row r="815">
      <c r="A815" s="130"/>
      <c r="B815" s="130"/>
      <c r="C815" s="130"/>
      <c r="D815" s="130"/>
      <c r="E815" s="130"/>
      <c r="F815" s="130"/>
      <c r="G815" s="130"/>
      <c r="H815" s="130"/>
      <c r="I815" s="130"/>
      <c r="J815" s="130"/>
      <c r="K815" s="239"/>
      <c r="L815" s="239"/>
      <c r="M815" s="130"/>
      <c r="N815" s="130"/>
      <c r="O815" s="130"/>
      <c r="P815" s="130"/>
      <c r="Q815" s="130"/>
      <c r="R815" s="130"/>
      <c r="S815" s="130"/>
      <c r="T815" s="130"/>
      <c r="U815" s="130"/>
      <c r="V815" s="130"/>
      <c r="W815" s="130"/>
    </row>
    <row r="816">
      <c r="A816" s="130"/>
      <c r="B816" s="130"/>
      <c r="C816" s="130"/>
      <c r="D816" s="130"/>
      <c r="E816" s="130"/>
      <c r="F816" s="130"/>
      <c r="G816" s="130"/>
      <c r="H816" s="130"/>
      <c r="I816" s="130"/>
      <c r="J816" s="130"/>
      <c r="K816" s="239"/>
      <c r="L816" s="239"/>
      <c r="M816" s="130"/>
      <c r="N816" s="130"/>
      <c r="O816" s="130"/>
      <c r="P816" s="130"/>
      <c r="Q816" s="130"/>
      <c r="R816" s="130"/>
      <c r="S816" s="130"/>
      <c r="T816" s="130"/>
      <c r="U816" s="130"/>
      <c r="V816" s="130"/>
      <c r="W816" s="130"/>
    </row>
    <row r="817">
      <c r="A817" s="130"/>
      <c r="B817" s="130"/>
      <c r="C817" s="130"/>
      <c r="D817" s="130"/>
      <c r="E817" s="130"/>
      <c r="F817" s="130"/>
      <c r="G817" s="130"/>
      <c r="H817" s="130"/>
      <c r="I817" s="130"/>
      <c r="J817" s="130"/>
      <c r="K817" s="239"/>
      <c r="L817" s="239"/>
      <c r="M817" s="130"/>
      <c r="N817" s="130"/>
      <c r="O817" s="130"/>
      <c r="P817" s="130"/>
      <c r="Q817" s="130"/>
      <c r="R817" s="130"/>
      <c r="S817" s="130"/>
      <c r="T817" s="130"/>
      <c r="U817" s="130"/>
      <c r="V817" s="130"/>
      <c r="W817" s="130"/>
    </row>
    <row r="818">
      <c r="A818" s="130"/>
      <c r="B818" s="130"/>
      <c r="C818" s="130"/>
      <c r="D818" s="130"/>
      <c r="E818" s="130"/>
      <c r="F818" s="130"/>
      <c r="G818" s="130"/>
      <c r="H818" s="130"/>
      <c r="I818" s="130"/>
      <c r="J818" s="130"/>
      <c r="K818" s="239"/>
      <c r="L818" s="239"/>
      <c r="M818" s="130"/>
      <c r="N818" s="130"/>
      <c r="O818" s="130"/>
      <c r="P818" s="130"/>
      <c r="Q818" s="130"/>
      <c r="R818" s="130"/>
      <c r="S818" s="130"/>
      <c r="T818" s="130"/>
      <c r="U818" s="130"/>
      <c r="V818" s="130"/>
      <c r="W818" s="130"/>
    </row>
    <row r="819">
      <c r="A819" s="130"/>
      <c r="B819" s="130"/>
      <c r="C819" s="130"/>
      <c r="D819" s="130"/>
      <c r="E819" s="130"/>
      <c r="F819" s="130"/>
      <c r="G819" s="130"/>
      <c r="H819" s="130"/>
      <c r="I819" s="130"/>
      <c r="J819" s="130"/>
      <c r="K819" s="239"/>
      <c r="L819" s="239"/>
      <c r="M819" s="130"/>
      <c r="N819" s="130"/>
      <c r="O819" s="130"/>
      <c r="P819" s="130"/>
      <c r="Q819" s="130"/>
      <c r="R819" s="130"/>
      <c r="S819" s="130"/>
      <c r="T819" s="130"/>
      <c r="U819" s="130"/>
      <c r="V819" s="130"/>
      <c r="W819" s="130"/>
    </row>
    <row r="820">
      <c r="A820" s="130"/>
      <c r="B820" s="130"/>
      <c r="C820" s="130"/>
      <c r="D820" s="130"/>
      <c r="E820" s="130"/>
      <c r="F820" s="130"/>
      <c r="G820" s="130"/>
      <c r="H820" s="130"/>
      <c r="I820" s="130"/>
      <c r="J820" s="130"/>
      <c r="K820" s="239"/>
      <c r="L820" s="239"/>
      <c r="M820" s="130"/>
      <c r="N820" s="130"/>
      <c r="O820" s="130"/>
      <c r="P820" s="130"/>
      <c r="Q820" s="130"/>
      <c r="R820" s="130"/>
      <c r="S820" s="130"/>
      <c r="T820" s="130"/>
      <c r="U820" s="130"/>
      <c r="V820" s="130"/>
      <c r="W820" s="130"/>
    </row>
    <row r="821">
      <c r="A821" s="130"/>
      <c r="B821" s="130"/>
      <c r="C821" s="130"/>
      <c r="D821" s="130"/>
      <c r="E821" s="130"/>
      <c r="F821" s="130"/>
      <c r="G821" s="130"/>
      <c r="H821" s="130"/>
      <c r="I821" s="130"/>
      <c r="J821" s="130"/>
      <c r="K821" s="239"/>
      <c r="L821" s="239"/>
      <c r="M821" s="130"/>
      <c r="N821" s="130"/>
      <c r="O821" s="130"/>
      <c r="P821" s="130"/>
      <c r="Q821" s="130"/>
      <c r="R821" s="130"/>
      <c r="S821" s="130"/>
      <c r="T821" s="130"/>
      <c r="U821" s="130"/>
      <c r="V821" s="130"/>
      <c r="W821" s="130"/>
    </row>
    <row r="822">
      <c r="A822" s="130"/>
      <c r="B822" s="130"/>
      <c r="C822" s="130"/>
      <c r="D822" s="130"/>
      <c r="E822" s="130"/>
      <c r="F822" s="130"/>
      <c r="G822" s="130"/>
      <c r="H822" s="130"/>
      <c r="I822" s="130"/>
      <c r="J822" s="130"/>
      <c r="K822" s="239"/>
      <c r="L822" s="239"/>
      <c r="M822" s="130"/>
      <c r="N822" s="130"/>
      <c r="O822" s="130"/>
      <c r="P822" s="130"/>
      <c r="Q822" s="130"/>
      <c r="R822" s="130"/>
      <c r="S822" s="130"/>
      <c r="T822" s="130"/>
      <c r="U822" s="130"/>
      <c r="V822" s="130"/>
      <c r="W822" s="130"/>
    </row>
    <row r="823">
      <c r="A823" s="130"/>
      <c r="B823" s="130"/>
      <c r="C823" s="130"/>
      <c r="D823" s="130"/>
      <c r="E823" s="130"/>
      <c r="F823" s="130"/>
      <c r="G823" s="130"/>
      <c r="H823" s="130"/>
      <c r="I823" s="130"/>
      <c r="J823" s="130"/>
      <c r="K823" s="239"/>
      <c r="L823" s="239"/>
      <c r="M823" s="130"/>
      <c r="N823" s="130"/>
      <c r="O823" s="130"/>
      <c r="P823" s="130"/>
      <c r="Q823" s="130"/>
      <c r="R823" s="130"/>
      <c r="S823" s="130"/>
      <c r="T823" s="130"/>
      <c r="U823" s="130"/>
      <c r="V823" s="130"/>
      <c r="W823" s="130"/>
    </row>
    <row r="824">
      <c r="A824" s="130"/>
      <c r="B824" s="130"/>
      <c r="C824" s="130"/>
      <c r="D824" s="130"/>
      <c r="E824" s="130"/>
      <c r="F824" s="130"/>
      <c r="G824" s="130"/>
      <c r="H824" s="130"/>
      <c r="I824" s="130"/>
      <c r="J824" s="130"/>
      <c r="K824" s="239"/>
      <c r="L824" s="239"/>
      <c r="M824" s="130"/>
      <c r="N824" s="130"/>
      <c r="O824" s="130"/>
      <c r="P824" s="130"/>
      <c r="Q824" s="130"/>
      <c r="R824" s="130"/>
      <c r="S824" s="130"/>
      <c r="T824" s="130"/>
      <c r="U824" s="130"/>
      <c r="V824" s="130"/>
      <c r="W824" s="130"/>
    </row>
    <row r="825">
      <c r="A825" s="130"/>
      <c r="B825" s="130"/>
      <c r="C825" s="130"/>
      <c r="D825" s="130"/>
      <c r="E825" s="130"/>
      <c r="F825" s="130"/>
      <c r="G825" s="130"/>
      <c r="H825" s="130"/>
      <c r="I825" s="130"/>
      <c r="J825" s="130"/>
      <c r="K825" s="239"/>
      <c r="L825" s="239"/>
      <c r="M825" s="130"/>
      <c r="N825" s="130"/>
      <c r="O825" s="130"/>
      <c r="P825" s="130"/>
      <c r="Q825" s="130"/>
      <c r="R825" s="130"/>
      <c r="S825" s="130"/>
      <c r="T825" s="130"/>
      <c r="U825" s="130"/>
      <c r="V825" s="130"/>
      <c r="W825" s="130"/>
    </row>
    <row r="826">
      <c r="A826" s="130"/>
      <c r="B826" s="130"/>
      <c r="C826" s="130"/>
      <c r="D826" s="130"/>
      <c r="E826" s="130"/>
      <c r="F826" s="130"/>
      <c r="G826" s="130"/>
      <c r="H826" s="130"/>
      <c r="I826" s="130"/>
      <c r="J826" s="130"/>
      <c r="K826" s="239"/>
      <c r="L826" s="239"/>
      <c r="M826" s="130"/>
      <c r="N826" s="130"/>
      <c r="O826" s="130"/>
      <c r="P826" s="130"/>
      <c r="Q826" s="130"/>
      <c r="R826" s="130"/>
      <c r="S826" s="130"/>
      <c r="T826" s="130"/>
      <c r="U826" s="130"/>
      <c r="V826" s="130"/>
      <c r="W826" s="130"/>
    </row>
    <row r="827">
      <c r="A827" s="130"/>
      <c r="B827" s="130"/>
      <c r="C827" s="130"/>
      <c r="D827" s="130"/>
      <c r="E827" s="130"/>
      <c r="F827" s="130"/>
      <c r="G827" s="130"/>
      <c r="H827" s="130"/>
      <c r="I827" s="130"/>
      <c r="J827" s="130"/>
      <c r="K827" s="239"/>
      <c r="L827" s="239"/>
      <c r="M827" s="130"/>
      <c r="N827" s="130"/>
      <c r="O827" s="130"/>
      <c r="P827" s="130"/>
      <c r="Q827" s="130"/>
      <c r="R827" s="130"/>
      <c r="S827" s="130"/>
      <c r="T827" s="130"/>
      <c r="U827" s="130"/>
      <c r="V827" s="130"/>
      <c r="W827" s="130"/>
    </row>
    <row r="828">
      <c r="A828" s="130"/>
      <c r="B828" s="130"/>
      <c r="C828" s="130"/>
      <c r="D828" s="130"/>
      <c r="E828" s="130"/>
      <c r="F828" s="130"/>
      <c r="G828" s="130"/>
      <c r="H828" s="130"/>
      <c r="I828" s="130"/>
      <c r="J828" s="130"/>
      <c r="K828" s="239"/>
      <c r="L828" s="239"/>
      <c r="M828" s="130"/>
      <c r="N828" s="130"/>
      <c r="O828" s="130"/>
      <c r="P828" s="130"/>
      <c r="Q828" s="130"/>
      <c r="R828" s="130"/>
      <c r="S828" s="130"/>
      <c r="T828" s="130"/>
      <c r="U828" s="130"/>
      <c r="V828" s="130"/>
      <c r="W828" s="130"/>
    </row>
    <row r="829">
      <c r="A829" s="130"/>
      <c r="B829" s="130"/>
      <c r="C829" s="130"/>
      <c r="D829" s="130"/>
      <c r="E829" s="130"/>
      <c r="F829" s="130"/>
      <c r="G829" s="130"/>
      <c r="H829" s="130"/>
      <c r="I829" s="130"/>
      <c r="J829" s="130"/>
      <c r="K829" s="239"/>
      <c r="L829" s="239"/>
      <c r="M829" s="130"/>
      <c r="N829" s="130"/>
      <c r="O829" s="130"/>
      <c r="P829" s="130"/>
      <c r="Q829" s="130"/>
      <c r="R829" s="130"/>
      <c r="S829" s="130"/>
      <c r="T829" s="130"/>
      <c r="U829" s="130"/>
      <c r="V829" s="130"/>
      <c r="W829" s="130"/>
    </row>
    <row r="830">
      <c r="A830" s="130"/>
      <c r="B830" s="130"/>
      <c r="C830" s="130"/>
      <c r="D830" s="130"/>
      <c r="E830" s="130"/>
      <c r="F830" s="130"/>
      <c r="G830" s="130"/>
      <c r="H830" s="130"/>
      <c r="I830" s="130"/>
      <c r="J830" s="130"/>
      <c r="K830" s="239"/>
      <c r="L830" s="239"/>
      <c r="M830" s="130"/>
      <c r="N830" s="130"/>
      <c r="O830" s="130"/>
      <c r="P830" s="130"/>
      <c r="Q830" s="130"/>
      <c r="R830" s="130"/>
      <c r="S830" s="130"/>
      <c r="T830" s="130"/>
      <c r="U830" s="130"/>
      <c r="V830" s="130"/>
      <c r="W830" s="130"/>
    </row>
    <row r="831">
      <c r="A831" s="130"/>
      <c r="B831" s="130"/>
      <c r="C831" s="130"/>
      <c r="D831" s="130"/>
      <c r="E831" s="130"/>
      <c r="F831" s="130"/>
      <c r="G831" s="130"/>
      <c r="H831" s="130"/>
      <c r="I831" s="130"/>
      <c r="J831" s="130"/>
      <c r="K831" s="239"/>
      <c r="L831" s="239"/>
      <c r="M831" s="130"/>
      <c r="N831" s="130"/>
      <c r="O831" s="130"/>
      <c r="P831" s="130"/>
      <c r="Q831" s="130"/>
      <c r="R831" s="130"/>
      <c r="S831" s="130"/>
      <c r="T831" s="130"/>
      <c r="U831" s="130"/>
      <c r="V831" s="130"/>
      <c r="W831" s="130"/>
    </row>
    <row r="832">
      <c r="A832" s="130"/>
      <c r="B832" s="130"/>
      <c r="C832" s="130"/>
      <c r="D832" s="130"/>
      <c r="E832" s="130"/>
      <c r="F832" s="130"/>
      <c r="G832" s="130"/>
      <c r="H832" s="130"/>
      <c r="I832" s="130"/>
      <c r="J832" s="130"/>
      <c r="K832" s="239"/>
      <c r="L832" s="239"/>
      <c r="M832" s="130"/>
      <c r="N832" s="130"/>
      <c r="O832" s="130"/>
      <c r="P832" s="130"/>
      <c r="Q832" s="130"/>
      <c r="R832" s="130"/>
      <c r="S832" s="130"/>
      <c r="T832" s="130"/>
      <c r="U832" s="130"/>
      <c r="V832" s="130"/>
      <c r="W832" s="130"/>
    </row>
    <row r="833">
      <c r="A833" s="130"/>
      <c r="B833" s="130"/>
      <c r="C833" s="130"/>
      <c r="D833" s="130"/>
      <c r="E833" s="130"/>
      <c r="F833" s="130"/>
      <c r="G833" s="130"/>
      <c r="H833" s="130"/>
      <c r="I833" s="130"/>
      <c r="J833" s="130"/>
      <c r="K833" s="239"/>
      <c r="L833" s="239"/>
      <c r="M833" s="130"/>
      <c r="N833" s="130"/>
      <c r="O833" s="130"/>
      <c r="P833" s="130"/>
      <c r="Q833" s="130"/>
      <c r="R833" s="130"/>
      <c r="S833" s="130"/>
      <c r="T833" s="130"/>
      <c r="U833" s="130"/>
      <c r="V833" s="130"/>
      <c r="W833" s="130"/>
    </row>
    <row r="834">
      <c r="A834" s="130"/>
      <c r="B834" s="130"/>
      <c r="C834" s="130"/>
      <c r="D834" s="130"/>
      <c r="E834" s="130"/>
      <c r="F834" s="130"/>
      <c r="G834" s="130"/>
      <c r="H834" s="130"/>
      <c r="I834" s="130"/>
      <c r="J834" s="130"/>
      <c r="K834" s="239"/>
      <c r="L834" s="239"/>
      <c r="M834" s="130"/>
      <c r="N834" s="130"/>
      <c r="O834" s="130"/>
      <c r="P834" s="130"/>
      <c r="Q834" s="130"/>
      <c r="R834" s="130"/>
      <c r="S834" s="130"/>
      <c r="T834" s="130"/>
      <c r="U834" s="130"/>
      <c r="V834" s="130"/>
      <c r="W834" s="130"/>
    </row>
    <row r="835">
      <c r="A835" s="130"/>
      <c r="B835" s="130"/>
      <c r="C835" s="130"/>
      <c r="D835" s="130"/>
      <c r="E835" s="130"/>
      <c r="F835" s="130"/>
      <c r="G835" s="130"/>
      <c r="H835" s="130"/>
      <c r="I835" s="130"/>
      <c r="J835" s="130"/>
      <c r="K835" s="239"/>
      <c r="L835" s="239"/>
      <c r="M835" s="130"/>
      <c r="N835" s="130"/>
      <c r="O835" s="130"/>
      <c r="P835" s="130"/>
      <c r="Q835" s="130"/>
      <c r="R835" s="130"/>
      <c r="S835" s="130"/>
      <c r="T835" s="130"/>
      <c r="U835" s="130"/>
      <c r="V835" s="130"/>
      <c r="W835" s="130"/>
    </row>
    <row r="836">
      <c r="A836" s="130"/>
      <c r="B836" s="130"/>
      <c r="C836" s="130"/>
      <c r="D836" s="130"/>
      <c r="E836" s="130"/>
      <c r="F836" s="130"/>
      <c r="G836" s="130"/>
      <c r="H836" s="130"/>
      <c r="I836" s="130"/>
      <c r="J836" s="130"/>
      <c r="K836" s="239"/>
      <c r="L836" s="239"/>
      <c r="M836" s="130"/>
      <c r="N836" s="130"/>
      <c r="O836" s="130"/>
      <c r="P836" s="130"/>
      <c r="Q836" s="130"/>
      <c r="R836" s="130"/>
      <c r="S836" s="130"/>
      <c r="T836" s="130"/>
      <c r="U836" s="130"/>
      <c r="V836" s="130"/>
      <c r="W836" s="130"/>
    </row>
    <row r="837">
      <c r="A837" s="130"/>
      <c r="B837" s="130"/>
      <c r="C837" s="130"/>
      <c r="D837" s="130"/>
      <c r="E837" s="130"/>
      <c r="F837" s="130"/>
      <c r="G837" s="130"/>
      <c r="H837" s="130"/>
      <c r="I837" s="130"/>
      <c r="J837" s="130"/>
      <c r="K837" s="239"/>
      <c r="L837" s="239"/>
      <c r="M837" s="130"/>
      <c r="N837" s="130"/>
      <c r="O837" s="130"/>
      <c r="P837" s="130"/>
      <c r="Q837" s="130"/>
      <c r="R837" s="130"/>
      <c r="S837" s="130"/>
      <c r="T837" s="130"/>
      <c r="U837" s="130"/>
      <c r="V837" s="130"/>
      <c r="W837" s="130"/>
    </row>
    <row r="838">
      <c r="A838" s="130"/>
      <c r="B838" s="130"/>
      <c r="C838" s="130"/>
      <c r="D838" s="130"/>
      <c r="E838" s="130"/>
      <c r="F838" s="130"/>
      <c r="G838" s="130"/>
      <c r="H838" s="130"/>
      <c r="I838" s="130"/>
      <c r="J838" s="130"/>
      <c r="K838" s="239"/>
      <c r="L838" s="239"/>
      <c r="M838" s="130"/>
      <c r="N838" s="130"/>
      <c r="O838" s="130"/>
      <c r="P838" s="130"/>
      <c r="Q838" s="130"/>
      <c r="R838" s="130"/>
      <c r="S838" s="130"/>
      <c r="T838" s="130"/>
      <c r="U838" s="130"/>
      <c r="V838" s="130"/>
      <c r="W838" s="130"/>
    </row>
    <row r="839">
      <c r="A839" s="130"/>
      <c r="B839" s="130"/>
      <c r="C839" s="130"/>
      <c r="D839" s="130"/>
      <c r="E839" s="130"/>
      <c r="F839" s="130"/>
      <c r="G839" s="130"/>
      <c r="H839" s="130"/>
      <c r="I839" s="130"/>
      <c r="J839" s="130"/>
      <c r="K839" s="239"/>
      <c r="L839" s="239"/>
      <c r="M839" s="130"/>
      <c r="N839" s="130"/>
      <c r="O839" s="130"/>
      <c r="P839" s="130"/>
      <c r="Q839" s="130"/>
      <c r="R839" s="130"/>
      <c r="S839" s="130"/>
      <c r="T839" s="130"/>
      <c r="U839" s="130"/>
      <c r="V839" s="130"/>
      <c r="W839" s="130"/>
    </row>
    <row r="840">
      <c r="A840" s="130"/>
      <c r="B840" s="130"/>
      <c r="C840" s="130"/>
      <c r="D840" s="130"/>
      <c r="E840" s="130"/>
      <c r="F840" s="130"/>
      <c r="G840" s="130"/>
      <c r="H840" s="130"/>
      <c r="I840" s="130"/>
      <c r="J840" s="130"/>
      <c r="K840" s="239"/>
      <c r="L840" s="239"/>
      <c r="M840" s="130"/>
      <c r="N840" s="130"/>
      <c r="O840" s="130"/>
      <c r="P840" s="130"/>
      <c r="Q840" s="130"/>
      <c r="R840" s="130"/>
      <c r="S840" s="130"/>
      <c r="T840" s="130"/>
      <c r="U840" s="130"/>
      <c r="V840" s="130"/>
      <c r="W840" s="130"/>
    </row>
    <row r="841">
      <c r="A841" s="130"/>
      <c r="B841" s="130"/>
      <c r="C841" s="130"/>
      <c r="D841" s="130"/>
      <c r="E841" s="130"/>
      <c r="F841" s="130"/>
      <c r="G841" s="130"/>
      <c r="H841" s="130"/>
      <c r="I841" s="130"/>
      <c r="J841" s="130"/>
      <c r="K841" s="239"/>
      <c r="L841" s="239"/>
      <c r="M841" s="130"/>
      <c r="N841" s="130"/>
      <c r="O841" s="130"/>
      <c r="P841" s="130"/>
      <c r="Q841" s="130"/>
      <c r="R841" s="130"/>
      <c r="S841" s="130"/>
      <c r="T841" s="130"/>
      <c r="U841" s="130"/>
      <c r="V841" s="130"/>
      <c r="W841" s="130"/>
    </row>
    <row r="842">
      <c r="A842" s="130"/>
      <c r="B842" s="130"/>
      <c r="C842" s="130"/>
      <c r="D842" s="130"/>
      <c r="E842" s="130"/>
      <c r="F842" s="130"/>
      <c r="G842" s="130"/>
      <c r="H842" s="130"/>
      <c r="I842" s="130"/>
      <c r="J842" s="130"/>
      <c r="K842" s="239"/>
      <c r="L842" s="239"/>
      <c r="M842" s="130"/>
      <c r="N842" s="130"/>
      <c r="O842" s="130"/>
      <c r="P842" s="130"/>
      <c r="Q842" s="130"/>
      <c r="R842" s="130"/>
      <c r="S842" s="130"/>
      <c r="T842" s="130"/>
      <c r="U842" s="130"/>
      <c r="V842" s="130"/>
      <c r="W842" s="130"/>
    </row>
    <row r="843">
      <c r="A843" s="130"/>
      <c r="B843" s="130"/>
      <c r="C843" s="130"/>
      <c r="D843" s="130"/>
      <c r="E843" s="130"/>
      <c r="F843" s="130"/>
      <c r="G843" s="130"/>
      <c r="H843" s="130"/>
      <c r="I843" s="130"/>
      <c r="J843" s="130"/>
      <c r="K843" s="239"/>
      <c r="L843" s="239"/>
      <c r="M843" s="130"/>
      <c r="N843" s="130"/>
      <c r="O843" s="130"/>
      <c r="P843" s="130"/>
      <c r="Q843" s="130"/>
      <c r="R843" s="130"/>
      <c r="S843" s="130"/>
      <c r="T843" s="130"/>
      <c r="U843" s="130"/>
      <c r="V843" s="130"/>
      <c r="W843" s="130"/>
    </row>
    <row r="844">
      <c r="A844" s="130"/>
      <c r="B844" s="130"/>
      <c r="C844" s="130"/>
      <c r="D844" s="130"/>
      <c r="E844" s="130"/>
      <c r="F844" s="130"/>
      <c r="G844" s="130"/>
      <c r="H844" s="130"/>
      <c r="I844" s="130"/>
      <c r="J844" s="130"/>
      <c r="K844" s="239"/>
      <c r="L844" s="239"/>
      <c r="M844" s="130"/>
      <c r="N844" s="130"/>
      <c r="O844" s="130"/>
      <c r="P844" s="130"/>
      <c r="Q844" s="130"/>
      <c r="R844" s="130"/>
      <c r="S844" s="130"/>
      <c r="T844" s="130"/>
      <c r="U844" s="130"/>
      <c r="V844" s="130"/>
      <c r="W844" s="130"/>
    </row>
    <row r="845">
      <c r="A845" s="130"/>
      <c r="B845" s="130"/>
      <c r="C845" s="130"/>
      <c r="D845" s="130"/>
      <c r="E845" s="130"/>
      <c r="F845" s="130"/>
      <c r="G845" s="130"/>
      <c r="H845" s="130"/>
      <c r="I845" s="130"/>
      <c r="J845" s="130"/>
      <c r="K845" s="239"/>
      <c r="L845" s="239"/>
      <c r="M845" s="130"/>
      <c r="N845" s="130"/>
      <c r="O845" s="130"/>
      <c r="P845" s="130"/>
      <c r="Q845" s="130"/>
      <c r="R845" s="130"/>
      <c r="S845" s="130"/>
      <c r="T845" s="130"/>
      <c r="U845" s="130"/>
      <c r="V845" s="130"/>
      <c r="W845" s="130"/>
    </row>
    <row r="846">
      <c r="A846" s="130"/>
      <c r="B846" s="130"/>
      <c r="C846" s="130"/>
      <c r="D846" s="130"/>
      <c r="E846" s="130"/>
      <c r="F846" s="130"/>
      <c r="G846" s="130"/>
      <c r="H846" s="130"/>
      <c r="I846" s="130"/>
      <c r="J846" s="130"/>
      <c r="K846" s="239"/>
      <c r="L846" s="239"/>
      <c r="M846" s="130"/>
      <c r="N846" s="130"/>
      <c r="O846" s="130"/>
      <c r="P846" s="130"/>
      <c r="Q846" s="130"/>
      <c r="R846" s="130"/>
      <c r="S846" s="130"/>
      <c r="T846" s="130"/>
      <c r="U846" s="130"/>
      <c r="V846" s="130"/>
      <c r="W846" s="130"/>
    </row>
    <row r="847">
      <c r="A847" s="130"/>
      <c r="B847" s="130"/>
      <c r="C847" s="130"/>
      <c r="D847" s="130"/>
      <c r="E847" s="130"/>
      <c r="F847" s="130"/>
      <c r="G847" s="130"/>
      <c r="H847" s="130"/>
      <c r="I847" s="130"/>
      <c r="J847" s="130"/>
      <c r="K847" s="239"/>
      <c r="L847" s="239"/>
      <c r="M847" s="130"/>
      <c r="N847" s="130"/>
      <c r="O847" s="130"/>
      <c r="P847" s="130"/>
      <c r="Q847" s="130"/>
      <c r="R847" s="130"/>
      <c r="S847" s="130"/>
      <c r="T847" s="130"/>
      <c r="U847" s="130"/>
      <c r="V847" s="130"/>
      <c r="W847" s="130"/>
    </row>
    <row r="848">
      <c r="A848" s="130"/>
      <c r="B848" s="130"/>
      <c r="C848" s="130"/>
      <c r="D848" s="130"/>
      <c r="E848" s="130"/>
      <c r="F848" s="130"/>
      <c r="G848" s="130"/>
      <c r="H848" s="130"/>
      <c r="I848" s="130"/>
      <c r="J848" s="130"/>
      <c r="K848" s="239"/>
      <c r="L848" s="239"/>
      <c r="M848" s="130"/>
      <c r="N848" s="130"/>
      <c r="O848" s="130"/>
      <c r="P848" s="130"/>
      <c r="Q848" s="130"/>
      <c r="R848" s="130"/>
      <c r="S848" s="130"/>
      <c r="T848" s="130"/>
      <c r="U848" s="130"/>
      <c r="V848" s="130"/>
      <c r="W848" s="130"/>
    </row>
    <row r="849">
      <c r="A849" s="130"/>
      <c r="B849" s="130"/>
      <c r="C849" s="130"/>
      <c r="D849" s="130"/>
      <c r="E849" s="130"/>
      <c r="F849" s="130"/>
      <c r="G849" s="130"/>
      <c r="H849" s="130"/>
      <c r="I849" s="130"/>
      <c r="J849" s="130"/>
      <c r="K849" s="239"/>
      <c r="L849" s="239"/>
      <c r="M849" s="130"/>
      <c r="N849" s="130"/>
      <c r="O849" s="130"/>
      <c r="P849" s="130"/>
      <c r="Q849" s="130"/>
      <c r="R849" s="130"/>
      <c r="S849" s="130"/>
      <c r="T849" s="130"/>
      <c r="U849" s="130"/>
      <c r="V849" s="130"/>
      <c r="W849" s="130"/>
    </row>
    <row r="850">
      <c r="A850" s="130"/>
      <c r="B850" s="130"/>
      <c r="C850" s="130"/>
      <c r="D850" s="130"/>
      <c r="E850" s="130"/>
      <c r="F850" s="130"/>
      <c r="G850" s="130"/>
      <c r="H850" s="130"/>
      <c r="I850" s="130"/>
      <c r="J850" s="130"/>
      <c r="K850" s="239"/>
      <c r="L850" s="239"/>
      <c r="M850" s="130"/>
      <c r="N850" s="130"/>
      <c r="O850" s="130"/>
      <c r="P850" s="130"/>
      <c r="Q850" s="130"/>
      <c r="R850" s="130"/>
      <c r="S850" s="130"/>
      <c r="T850" s="130"/>
      <c r="U850" s="130"/>
      <c r="V850" s="130"/>
      <c r="W850" s="130"/>
    </row>
    <row r="851">
      <c r="A851" s="130"/>
      <c r="B851" s="130"/>
      <c r="C851" s="130"/>
      <c r="D851" s="130"/>
      <c r="E851" s="130"/>
      <c r="F851" s="130"/>
      <c r="G851" s="130"/>
      <c r="H851" s="130"/>
      <c r="I851" s="130"/>
      <c r="J851" s="130"/>
      <c r="K851" s="239"/>
      <c r="L851" s="239"/>
      <c r="M851" s="130"/>
      <c r="N851" s="130"/>
      <c r="O851" s="130"/>
      <c r="P851" s="130"/>
      <c r="Q851" s="130"/>
      <c r="R851" s="130"/>
      <c r="S851" s="130"/>
      <c r="T851" s="130"/>
      <c r="U851" s="130"/>
      <c r="V851" s="130"/>
      <c r="W851" s="130"/>
    </row>
    <row r="852">
      <c r="A852" s="130"/>
      <c r="B852" s="130"/>
      <c r="C852" s="130"/>
      <c r="D852" s="130"/>
      <c r="E852" s="130"/>
      <c r="F852" s="130"/>
      <c r="G852" s="130"/>
      <c r="H852" s="130"/>
      <c r="I852" s="130"/>
      <c r="J852" s="130"/>
      <c r="K852" s="239"/>
      <c r="L852" s="239"/>
      <c r="M852" s="130"/>
      <c r="N852" s="130"/>
      <c r="O852" s="130"/>
      <c r="P852" s="130"/>
      <c r="Q852" s="130"/>
      <c r="R852" s="130"/>
      <c r="S852" s="130"/>
      <c r="T852" s="130"/>
      <c r="U852" s="130"/>
      <c r="V852" s="130"/>
      <c r="W852" s="130"/>
    </row>
    <row r="853">
      <c r="A853" s="130"/>
      <c r="B853" s="130"/>
      <c r="C853" s="130"/>
      <c r="D853" s="130"/>
      <c r="E853" s="130"/>
      <c r="F853" s="130"/>
      <c r="G853" s="130"/>
      <c r="H853" s="130"/>
      <c r="I853" s="130"/>
      <c r="J853" s="130"/>
      <c r="K853" s="239"/>
      <c r="L853" s="239"/>
      <c r="M853" s="130"/>
      <c r="N853" s="130"/>
      <c r="O853" s="130"/>
      <c r="P853" s="130"/>
      <c r="Q853" s="130"/>
      <c r="R853" s="130"/>
      <c r="S853" s="130"/>
      <c r="T853" s="130"/>
      <c r="U853" s="130"/>
      <c r="V853" s="130"/>
      <c r="W853" s="130"/>
    </row>
    <row r="854">
      <c r="A854" s="130"/>
      <c r="B854" s="130"/>
      <c r="C854" s="130"/>
      <c r="D854" s="130"/>
      <c r="E854" s="130"/>
      <c r="F854" s="130"/>
      <c r="G854" s="130"/>
      <c r="H854" s="130"/>
      <c r="I854" s="130"/>
      <c r="J854" s="130"/>
      <c r="K854" s="239"/>
      <c r="L854" s="239"/>
      <c r="M854" s="130"/>
      <c r="N854" s="130"/>
      <c r="O854" s="130"/>
      <c r="P854" s="130"/>
      <c r="Q854" s="130"/>
      <c r="R854" s="130"/>
      <c r="S854" s="130"/>
      <c r="T854" s="130"/>
      <c r="U854" s="130"/>
      <c r="V854" s="130"/>
      <c r="W854" s="130"/>
    </row>
    <row r="855">
      <c r="A855" s="130"/>
      <c r="B855" s="130"/>
      <c r="C855" s="130"/>
      <c r="D855" s="130"/>
      <c r="E855" s="130"/>
      <c r="F855" s="130"/>
      <c r="G855" s="130"/>
      <c r="H855" s="130"/>
      <c r="I855" s="130"/>
      <c r="J855" s="130"/>
      <c r="K855" s="239"/>
      <c r="L855" s="239"/>
      <c r="M855" s="130"/>
      <c r="N855" s="130"/>
      <c r="O855" s="130"/>
      <c r="P855" s="130"/>
      <c r="Q855" s="130"/>
      <c r="R855" s="130"/>
      <c r="S855" s="130"/>
      <c r="T855" s="130"/>
      <c r="U855" s="130"/>
      <c r="V855" s="130"/>
      <c r="W855" s="130"/>
    </row>
    <row r="856">
      <c r="A856" s="130"/>
      <c r="B856" s="130"/>
      <c r="C856" s="130"/>
      <c r="D856" s="130"/>
      <c r="E856" s="130"/>
      <c r="F856" s="130"/>
      <c r="G856" s="130"/>
      <c r="H856" s="130"/>
      <c r="I856" s="130"/>
      <c r="J856" s="130"/>
      <c r="K856" s="239"/>
      <c r="L856" s="239"/>
      <c r="M856" s="130"/>
      <c r="N856" s="130"/>
      <c r="O856" s="130"/>
      <c r="P856" s="130"/>
      <c r="Q856" s="130"/>
      <c r="R856" s="130"/>
      <c r="S856" s="130"/>
      <c r="T856" s="130"/>
      <c r="U856" s="130"/>
      <c r="V856" s="130"/>
      <c r="W856" s="130"/>
    </row>
    <row r="857">
      <c r="A857" s="130"/>
      <c r="B857" s="130"/>
      <c r="C857" s="130"/>
      <c r="D857" s="130"/>
      <c r="E857" s="130"/>
      <c r="F857" s="130"/>
      <c r="G857" s="130"/>
      <c r="H857" s="130"/>
      <c r="I857" s="130"/>
      <c r="J857" s="130"/>
      <c r="K857" s="239"/>
      <c r="L857" s="239"/>
      <c r="M857" s="130"/>
      <c r="N857" s="130"/>
      <c r="O857" s="130"/>
      <c r="P857" s="130"/>
      <c r="Q857" s="130"/>
      <c r="R857" s="130"/>
      <c r="S857" s="130"/>
      <c r="T857" s="130"/>
      <c r="U857" s="130"/>
      <c r="V857" s="130"/>
      <c r="W857" s="130"/>
    </row>
    <row r="858">
      <c r="A858" s="130"/>
      <c r="B858" s="130"/>
      <c r="C858" s="130"/>
      <c r="D858" s="130"/>
      <c r="E858" s="130"/>
      <c r="F858" s="130"/>
      <c r="G858" s="130"/>
      <c r="H858" s="130"/>
      <c r="I858" s="130"/>
      <c r="J858" s="130"/>
      <c r="K858" s="239"/>
      <c r="L858" s="239"/>
      <c r="M858" s="130"/>
      <c r="N858" s="130"/>
      <c r="O858" s="130"/>
      <c r="P858" s="130"/>
      <c r="Q858" s="130"/>
      <c r="R858" s="130"/>
      <c r="S858" s="130"/>
      <c r="T858" s="130"/>
      <c r="U858" s="130"/>
      <c r="V858" s="130"/>
      <c r="W858" s="130"/>
    </row>
    <row r="859">
      <c r="A859" s="130"/>
      <c r="B859" s="130"/>
      <c r="C859" s="130"/>
      <c r="D859" s="130"/>
      <c r="E859" s="130"/>
      <c r="F859" s="130"/>
      <c r="G859" s="130"/>
      <c r="H859" s="130"/>
      <c r="I859" s="130"/>
      <c r="J859" s="130"/>
      <c r="K859" s="239"/>
      <c r="L859" s="239"/>
      <c r="M859" s="130"/>
      <c r="N859" s="130"/>
      <c r="O859" s="130"/>
      <c r="P859" s="130"/>
      <c r="Q859" s="130"/>
      <c r="R859" s="130"/>
      <c r="S859" s="130"/>
      <c r="T859" s="130"/>
      <c r="U859" s="130"/>
      <c r="V859" s="130"/>
      <c r="W859" s="130"/>
    </row>
    <row r="860">
      <c r="A860" s="130"/>
      <c r="B860" s="130"/>
      <c r="C860" s="130"/>
      <c r="D860" s="130"/>
      <c r="E860" s="130"/>
      <c r="F860" s="130"/>
      <c r="G860" s="130"/>
      <c r="H860" s="130"/>
      <c r="I860" s="130"/>
      <c r="J860" s="130"/>
      <c r="K860" s="239"/>
      <c r="L860" s="239"/>
      <c r="M860" s="130"/>
      <c r="N860" s="130"/>
      <c r="O860" s="130"/>
      <c r="P860" s="130"/>
      <c r="Q860" s="130"/>
      <c r="R860" s="130"/>
      <c r="S860" s="130"/>
      <c r="T860" s="130"/>
      <c r="U860" s="130"/>
      <c r="V860" s="130"/>
      <c r="W860" s="130"/>
    </row>
    <row r="861">
      <c r="A861" s="130"/>
      <c r="B861" s="130"/>
      <c r="C861" s="130"/>
      <c r="D861" s="130"/>
      <c r="E861" s="130"/>
      <c r="F861" s="130"/>
      <c r="G861" s="130"/>
      <c r="H861" s="130"/>
      <c r="I861" s="130"/>
      <c r="J861" s="130"/>
      <c r="K861" s="239"/>
      <c r="L861" s="239"/>
      <c r="M861" s="130"/>
      <c r="N861" s="130"/>
      <c r="O861" s="130"/>
      <c r="P861" s="130"/>
      <c r="Q861" s="130"/>
      <c r="R861" s="130"/>
      <c r="S861" s="130"/>
      <c r="T861" s="130"/>
      <c r="U861" s="130"/>
      <c r="V861" s="130"/>
      <c r="W861" s="130"/>
    </row>
    <row r="862">
      <c r="A862" s="130"/>
      <c r="B862" s="130"/>
      <c r="C862" s="130"/>
      <c r="D862" s="130"/>
      <c r="E862" s="130"/>
      <c r="F862" s="130"/>
      <c r="G862" s="130"/>
      <c r="H862" s="130"/>
      <c r="I862" s="130"/>
      <c r="J862" s="130"/>
      <c r="K862" s="239"/>
      <c r="L862" s="239"/>
      <c r="M862" s="130"/>
      <c r="N862" s="130"/>
      <c r="O862" s="130"/>
      <c r="P862" s="130"/>
      <c r="Q862" s="130"/>
      <c r="R862" s="130"/>
      <c r="S862" s="130"/>
      <c r="T862" s="130"/>
      <c r="U862" s="130"/>
      <c r="V862" s="130"/>
      <c r="W862" s="130"/>
    </row>
    <row r="863">
      <c r="A863" s="130"/>
      <c r="B863" s="130"/>
      <c r="C863" s="130"/>
      <c r="D863" s="130"/>
      <c r="E863" s="130"/>
      <c r="F863" s="130"/>
      <c r="G863" s="130"/>
      <c r="H863" s="130"/>
      <c r="I863" s="130"/>
      <c r="J863" s="130"/>
      <c r="K863" s="239"/>
      <c r="L863" s="239"/>
      <c r="M863" s="130"/>
      <c r="N863" s="130"/>
      <c r="O863" s="130"/>
      <c r="P863" s="130"/>
      <c r="Q863" s="130"/>
      <c r="R863" s="130"/>
      <c r="S863" s="130"/>
      <c r="T863" s="130"/>
      <c r="U863" s="130"/>
      <c r="V863" s="130"/>
      <c r="W863" s="130"/>
    </row>
    <row r="864">
      <c r="A864" s="130"/>
      <c r="B864" s="130"/>
      <c r="C864" s="130"/>
      <c r="D864" s="130"/>
      <c r="E864" s="130"/>
      <c r="F864" s="130"/>
      <c r="G864" s="130"/>
      <c r="H864" s="130"/>
      <c r="I864" s="130"/>
      <c r="J864" s="130"/>
      <c r="K864" s="239"/>
      <c r="L864" s="239"/>
      <c r="M864" s="130"/>
      <c r="N864" s="130"/>
      <c r="O864" s="130"/>
      <c r="P864" s="130"/>
      <c r="Q864" s="130"/>
      <c r="R864" s="130"/>
      <c r="S864" s="130"/>
      <c r="T864" s="130"/>
      <c r="U864" s="130"/>
      <c r="V864" s="130"/>
      <c r="W864" s="130"/>
    </row>
    <row r="865">
      <c r="A865" s="130"/>
      <c r="B865" s="130"/>
      <c r="C865" s="130"/>
      <c r="D865" s="130"/>
      <c r="E865" s="130"/>
      <c r="F865" s="130"/>
      <c r="G865" s="130"/>
      <c r="H865" s="130"/>
      <c r="I865" s="130"/>
      <c r="J865" s="130"/>
      <c r="K865" s="239"/>
      <c r="L865" s="239"/>
      <c r="M865" s="130"/>
      <c r="N865" s="130"/>
      <c r="O865" s="130"/>
      <c r="P865" s="130"/>
      <c r="Q865" s="130"/>
      <c r="R865" s="130"/>
      <c r="S865" s="130"/>
      <c r="T865" s="130"/>
      <c r="U865" s="130"/>
      <c r="V865" s="130"/>
      <c r="W865" s="130"/>
    </row>
    <row r="866">
      <c r="A866" s="130"/>
      <c r="B866" s="130"/>
      <c r="C866" s="130"/>
      <c r="D866" s="130"/>
      <c r="E866" s="130"/>
      <c r="F866" s="130"/>
      <c r="G866" s="130"/>
      <c r="H866" s="130"/>
      <c r="I866" s="130"/>
      <c r="J866" s="130"/>
      <c r="K866" s="239"/>
      <c r="L866" s="239"/>
      <c r="M866" s="130"/>
      <c r="N866" s="130"/>
      <c r="O866" s="130"/>
      <c r="P866" s="130"/>
      <c r="Q866" s="130"/>
      <c r="R866" s="130"/>
      <c r="S866" s="130"/>
      <c r="T866" s="130"/>
      <c r="U866" s="130"/>
      <c r="V866" s="130"/>
      <c r="W866" s="130"/>
    </row>
    <row r="867">
      <c r="A867" s="130"/>
      <c r="B867" s="130"/>
      <c r="C867" s="130"/>
      <c r="D867" s="130"/>
      <c r="E867" s="130"/>
      <c r="F867" s="130"/>
      <c r="G867" s="130"/>
      <c r="H867" s="130"/>
      <c r="I867" s="130"/>
      <c r="J867" s="130"/>
      <c r="K867" s="239"/>
      <c r="L867" s="239"/>
      <c r="M867" s="130"/>
      <c r="N867" s="130"/>
      <c r="O867" s="130"/>
      <c r="P867" s="130"/>
      <c r="Q867" s="130"/>
      <c r="R867" s="130"/>
      <c r="S867" s="130"/>
      <c r="T867" s="130"/>
      <c r="U867" s="130"/>
      <c r="V867" s="130"/>
      <c r="W867" s="130"/>
    </row>
    <row r="868">
      <c r="A868" s="130"/>
      <c r="B868" s="130"/>
      <c r="C868" s="130"/>
      <c r="D868" s="130"/>
      <c r="E868" s="130"/>
      <c r="F868" s="130"/>
      <c r="G868" s="130"/>
      <c r="H868" s="130"/>
      <c r="I868" s="130"/>
      <c r="J868" s="130"/>
      <c r="K868" s="239"/>
      <c r="L868" s="239"/>
      <c r="M868" s="130"/>
      <c r="N868" s="130"/>
      <c r="O868" s="130"/>
      <c r="P868" s="130"/>
      <c r="Q868" s="130"/>
      <c r="R868" s="130"/>
      <c r="S868" s="130"/>
      <c r="T868" s="130"/>
      <c r="U868" s="130"/>
      <c r="V868" s="130"/>
      <c r="W868" s="130"/>
    </row>
    <row r="869">
      <c r="A869" s="130"/>
      <c r="B869" s="130"/>
      <c r="C869" s="130"/>
      <c r="D869" s="130"/>
      <c r="E869" s="130"/>
      <c r="F869" s="130"/>
      <c r="G869" s="130"/>
      <c r="H869" s="130"/>
      <c r="I869" s="130"/>
      <c r="J869" s="130"/>
      <c r="K869" s="239"/>
      <c r="L869" s="239"/>
      <c r="M869" s="130"/>
      <c r="N869" s="130"/>
      <c r="O869" s="130"/>
      <c r="P869" s="130"/>
      <c r="Q869" s="130"/>
      <c r="R869" s="130"/>
      <c r="S869" s="130"/>
      <c r="T869" s="130"/>
      <c r="U869" s="130"/>
      <c r="V869" s="130"/>
      <c r="W869" s="130"/>
    </row>
    <row r="870">
      <c r="A870" s="130"/>
      <c r="B870" s="130"/>
      <c r="C870" s="130"/>
      <c r="D870" s="130"/>
      <c r="E870" s="130"/>
      <c r="F870" s="130"/>
      <c r="G870" s="130"/>
      <c r="H870" s="130"/>
      <c r="I870" s="130"/>
      <c r="J870" s="130"/>
      <c r="K870" s="239"/>
      <c r="L870" s="239"/>
      <c r="M870" s="130"/>
      <c r="N870" s="130"/>
      <c r="O870" s="130"/>
      <c r="P870" s="130"/>
      <c r="Q870" s="130"/>
      <c r="R870" s="130"/>
      <c r="S870" s="130"/>
      <c r="T870" s="130"/>
      <c r="U870" s="130"/>
      <c r="V870" s="130"/>
      <c r="W870" s="130"/>
    </row>
    <row r="871">
      <c r="A871" s="130"/>
      <c r="B871" s="130"/>
      <c r="C871" s="130"/>
      <c r="D871" s="130"/>
      <c r="E871" s="130"/>
      <c r="F871" s="130"/>
      <c r="G871" s="130"/>
      <c r="H871" s="130"/>
      <c r="I871" s="130"/>
      <c r="J871" s="130"/>
      <c r="K871" s="239"/>
      <c r="L871" s="239"/>
      <c r="M871" s="130"/>
      <c r="N871" s="130"/>
      <c r="O871" s="130"/>
      <c r="P871" s="130"/>
      <c r="Q871" s="130"/>
      <c r="R871" s="130"/>
      <c r="S871" s="130"/>
      <c r="T871" s="130"/>
      <c r="U871" s="130"/>
      <c r="V871" s="130"/>
      <c r="W871" s="130"/>
    </row>
    <row r="872">
      <c r="A872" s="130"/>
      <c r="B872" s="130"/>
      <c r="C872" s="130"/>
      <c r="D872" s="130"/>
      <c r="E872" s="130"/>
      <c r="F872" s="130"/>
      <c r="G872" s="130"/>
      <c r="H872" s="130"/>
      <c r="I872" s="130"/>
      <c r="J872" s="130"/>
      <c r="K872" s="239"/>
      <c r="L872" s="239"/>
      <c r="M872" s="130"/>
      <c r="N872" s="130"/>
      <c r="O872" s="130"/>
      <c r="P872" s="130"/>
      <c r="Q872" s="130"/>
      <c r="R872" s="130"/>
      <c r="S872" s="130"/>
      <c r="T872" s="130"/>
      <c r="U872" s="130"/>
      <c r="V872" s="130"/>
      <c r="W872" s="130"/>
    </row>
    <row r="873">
      <c r="A873" s="130"/>
      <c r="B873" s="130"/>
      <c r="C873" s="130"/>
      <c r="D873" s="130"/>
      <c r="E873" s="130"/>
      <c r="F873" s="130"/>
      <c r="G873" s="130"/>
      <c r="H873" s="130"/>
      <c r="I873" s="130"/>
      <c r="J873" s="130"/>
      <c r="K873" s="239"/>
      <c r="L873" s="239"/>
      <c r="M873" s="130"/>
      <c r="N873" s="130"/>
      <c r="O873" s="130"/>
      <c r="P873" s="130"/>
      <c r="Q873" s="130"/>
      <c r="R873" s="130"/>
      <c r="S873" s="130"/>
      <c r="T873" s="130"/>
      <c r="U873" s="130"/>
      <c r="V873" s="130"/>
      <c r="W873" s="130"/>
    </row>
    <row r="874">
      <c r="A874" s="130"/>
      <c r="B874" s="130"/>
      <c r="C874" s="130"/>
      <c r="D874" s="130"/>
      <c r="E874" s="130"/>
      <c r="F874" s="130"/>
      <c r="G874" s="130"/>
      <c r="H874" s="130"/>
      <c r="I874" s="130"/>
      <c r="J874" s="130"/>
      <c r="K874" s="239"/>
      <c r="L874" s="239"/>
      <c r="M874" s="130"/>
      <c r="N874" s="130"/>
      <c r="O874" s="130"/>
      <c r="P874" s="130"/>
      <c r="Q874" s="130"/>
      <c r="R874" s="130"/>
      <c r="S874" s="130"/>
      <c r="T874" s="130"/>
      <c r="U874" s="130"/>
      <c r="V874" s="130"/>
      <c r="W874" s="130"/>
    </row>
    <row r="875">
      <c r="A875" s="130"/>
      <c r="B875" s="130"/>
      <c r="C875" s="130"/>
      <c r="D875" s="130"/>
      <c r="E875" s="130"/>
      <c r="F875" s="130"/>
      <c r="G875" s="130"/>
      <c r="H875" s="130"/>
      <c r="I875" s="130"/>
      <c r="J875" s="130"/>
      <c r="K875" s="239"/>
      <c r="L875" s="239"/>
      <c r="M875" s="130"/>
      <c r="N875" s="130"/>
      <c r="O875" s="130"/>
      <c r="P875" s="130"/>
      <c r="Q875" s="130"/>
      <c r="R875" s="130"/>
      <c r="S875" s="130"/>
      <c r="T875" s="130"/>
      <c r="U875" s="130"/>
      <c r="V875" s="130"/>
      <c r="W875" s="130"/>
    </row>
    <row r="876">
      <c r="A876" s="130"/>
      <c r="B876" s="130"/>
      <c r="C876" s="130"/>
      <c r="D876" s="130"/>
      <c r="E876" s="130"/>
      <c r="F876" s="130"/>
      <c r="G876" s="130"/>
      <c r="H876" s="130"/>
      <c r="I876" s="130"/>
      <c r="J876" s="130"/>
      <c r="K876" s="239"/>
      <c r="L876" s="239"/>
      <c r="M876" s="130"/>
      <c r="N876" s="130"/>
      <c r="O876" s="130"/>
      <c r="P876" s="130"/>
      <c r="Q876" s="130"/>
      <c r="R876" s="130"/>
      <c r="S876" s="130"/>
      <c r="T876" s="130"/>
      <c r="U876" s="130"/>
      <c r="V876" s="130"/>
      <c r="W876" s="130"/>
    </row>
    <row r="877">
      <c r="A877" s="130"/>
      <c r="B877" s="130"/>
      <c r="C877" s="130"/>
      <c r="D877" s="130"/>
      <c r="E877" s="130"/>
      <c r="F877" s="130"/>
      <c r="G877" s="130"/>
      <c r="H877" s="130"/>
      <c r="I877" s="130"/>
      <c r="J877" s="130"/>
      <c r="K877" s="239"/>
      <c r="L877" s="239"/>
      <c r="M877" s="130"/>
      <c r="N877" s="130"/>
      <c r="O877" s="130"/>
      <c r="P877" s="130"/>
      <c r="Q877" s="130"/>
      <c r="R877" s="130"/>
      <c r="S877" s="130"/>
      <c r="T877" s="130"/>
      <c r="U877" s="130"/>
      <c r="V877" s="130"/>
      <c r="W877" s="130"/>
    </row>
    <row r="878">
      <c r="A878" s="130"/>
      <c r="B878" s="130"/>
      <c r="C878" s="130"/>
      <c r="D878" s="130"/>
      <c r="E878" s="130"/>
      <c r="F878" s="130"/>
      <c r="G878" s="130"/>
      <c r="H878" s="130"/>
      <c r="I878" s="130"/>
      <c r="J878" s="130"/>
      <c r="K878" s="239"/>
      <c r="L878" s="239"/>
      <c r="M878" s="130"/>
      <c r="N878" s="130"/>
      <c r="O878" s="130"/>
      <c r="P878" s="130"/>
      <c r="Q878" s="130"/>
      <c r="R878" s="130"/>
      <c r="S878" s="130"/>
      <c r="T878" s="130"/>
      <c r="U878" s="130"/>
      <c r="V878" s="130"/>
      <c r="W878" s="130"/>
    </row>
    <row r="879">
      <c r="A879" s="130"/>
      <c r="B879" s="130"/>
      <c r="C879" s="130"/>
      <c r="D879" s="130"/>
      <c r="E879" s="130"/>
      <c r="F879" s="130"/>
      <c r="G879" s="130"/>
      <c r="H879" s="130"/>
      <c r="I879" s="130"/>
      <c r="J879" s="130"/>
      <c r="K879" s="239"/>
      <c r="L879" s="239"/>
      <c r="M879" s="130"/>
      <c r="N879" s="130"/>
      <c r="O879" s="130"/>
      <c r="P879" s="130"/>
      <c r="Q879" s="130"/>
      <c r="R879" s="130"/>
      <c r="S879" s="130"/>
      <c r="T879" s="130"/>
      <c r="U879" s="130"/>
      <c r="V879" s="130"/>
      <c r="W879" s="130"/>
    </row>
    <row r="880">
      <c r="A880" s="130"/>
      <c r="B880" s="130"/>
      <c r="C880" s="130"/>
      <c r="D880" s="130"/>
      <c r="E880" s="130"/>
      <c r="F880" s="130"/>
      <c r="G880" s="130"/>
      <c r="H880" s="130"/>
      <c r="I880" s="130"/>
      <c r="J880" s="130"/>
      <c r="K880" s="239"/>
      <c r="L880" s="239"/>
      <c r="M880" s="130"/>
      <c r="N880" s="130"/>
      <c r="O880" s="130"/>
      <c r="P880" s="130"/>
      <c r="Q880" s="130"/>
      <c r="R880" s="130"/>
      <c r="S880" s="130"/>
      <c r="T880" s="130"/>
      <c r="U880" s="130"/>
      <c r="V880" s="130"/>
      <c r="W880" s="130"/>
    </row>
    <row r="881">
      <c r="A881" s="130"/>
      <c r="B881" s="130"/>
      <c r="C881" s="130"/>
      <c r="D881" s="130"/>
      <c r="E881" s="130"/>
      <c r="F881" s="130"/>
      <c r="G881" s="130"/>
      <c r="H881" s="130"/>
      <c r="I881" s="130"/>
      <c r="J881" s="130"/>
      <c r="K881" s="239"/>
      <c r="L881" s="239"/>
      <c r="M881" s="130"/>
      <c r="N881" s="130"/>
      <c r="O881" s="130"/>
      <c r="P881" s="130"/>
      <c r="Q881" s="130"/>
      <c r="R881" s="130"/>
      <c r="S881" s="130"/>
      <c r="T881" s="130"/>
      <c r="U881" s="130"/>
      <c r="V881" s="130"/>
      <c r="W881" s="130"/>
    </row>
    <row r="882">
      <c r="A882" s="130"/>
      <c r="B882" s="130"/>
      <c r="C882" s="130"/>
      <c r="D882" s="130"/>
      <c r="E882" s="130"/>
      <c r="F882" s="130"/>
      <c r="G882" s="130"/>
      <c r="H882" s="130"/>
      <c r="I882" s="130"/>
      <c r="J882" s="130"/>
      <c r="K882" s="239"/>
      <c r="L882" s="239"/>
      <c r="M882" s="130"/>
      <c r="N882" s="130"/>
      <c r="O882" s="130"/>
      <c r="P882" s="130"/>
      <c r="Q882" s="130"/>
      <c r="R882" s="130"/>
      <c r="S882" s="130"/>
      <c r="T882" s="130"/>
      <c r="U882" s="130"/>
      <c r="V882" s="130"/>
      <c r="W882" s="130"/>
    </row>
    <row r="883">
      <c r="A883" s="130"/>
      <c r="B883" s="130"/>
      <c r="C883" s="130"/>
      <c r="D883" s="130"/>
      <c r="E883" s="130"/>
      <c r="F883" s="130"/>
      <c r="G883" s="130"/>
      <c r="H883" s="130"/>
      <c r="I883" s="130"/>
      <c r="J883" s="130"/>
      <c r="K883" s="239"/>
      <c r="L883" s="239"/>
      <c r="M883" s="130"/>
      <c r="N883" s="130"/>
      <c r="O883" s="130"/>
      <c r="P883" s="130"/>
      <c r="Q883" s="130"/>
      <c r="R883" s="130"/>
      <c r="S883" s="130"/>
      <c r="T883" s="130"/>
      <c r="U883" s="130"/>
      <c r="V883" s="130"/>
      <c r="W883" s="130"/>
    </row>
    <row r="884">
      <c r="A884" s="130"/>
      <c r="B884" s="130"/>
      <c r="C884" s="130"/>
      <c r="D884" s="130"/>
      <c r="E884" s="130"/>
      <c r="F884" s="130"/>
      <c r="G884" s="130"/>
      <c r="H884" s="130"/>
      <c r="I884" s="130"/>
      <c r="J884" s="130"/>
      <c r="K884" s="239"/>
      <c r="L884" s="239"/>
      <c r="M884" s="130"/>
      <c r="N884" s="130"/>
      <c r="O884" s="130"/>
      <c r="P884" s="130"/>
      <c r="Q884" s="130"/>
      <c r="R884" s="130"/>
      <c r="S884" s="130"/>
      <c r="T884" s="130"/>
      <c r="U884" s="130"/>
      <c r="V884" s="130"/>
      <c r="W884" s="130"/>
    </row>
    <row r="885">
      <c r="A885" s="130"/>
      <c r="B885" s="130"/>
      <c r="C885" s="130"/>
      <c r="D885" s="130"/>
      <c r="E885" s="130"/>
      <c r="F885" s="130"/>
      <c r="G885" s="130"/>
      <c r="H885" s="130"/>
      <c r="I885" s="130"/>
      <c r="J885" s="130"/>
      <c r="K885" s="239"/>
      <c r="L885" s="239"/>
      <c r="M885" s="130"/>
      <c r="N885" s="130"/>
      <c r="O885" s="130"/>
      <c r="P885" s="130"/>
      <c r="Q885" s="130"/>
      <c r="R885" s="130"/>
      <c r="S885" s="130"/>
      <c r="T885" s="130"/>
      <c r="U885" s="130"/>
      <c r="V885" s="130"/>
      <c r="W885" s="130"/>
    </row>
    <row r="886">
      <c r="A886" s="130"/>
      <c r="B886" s="130"/>
      <c r="C886" s="130"/>
      <c r="D886" s="130"/>
      <c r="E886" s="130"/>
      <c r="F886" s="130"/>
      <c r="G886" s="130"/>
      <c r="H886" s="130"/>
      <c r="I886" s="130"/>
      <c r="J886" s="130"/>
      <c r="K886" s="239"/>
      <c r="L886" s="239"/>
      <c r="M886" s="130"/>
      <c r="N886" s="130"/>
      <c r="O886" s="130"/>
      <c r="P886" s="130"/>
      <c r="Q886" s="130"/>
      <c r="R886" s="130"/>
      <c r="S886" s="130"/>
      <c r="T886" s="130"/>
      <c r="U886" s="130"/>
      <c r="V886" s="130"/>
      <c r="W886" s="130"/>
    </row>
    <row r="887">
      <c r="A887" s="130"/>
      <c r="B887" s="130"/>
      <c r="C887" s="130"/>
      <c r="D887" s="130"/>
      <c r="E887" s="130"/>
      <c r="F887" s="130"/>
      <c r="G887" s="130"/>
      <c r="H887" s="130"/>
      <c r="I887" s="130"/>
      <c r="J887" s="130"/>
      <c r="K887" s="239"/>
      <c r="L887" s="239"/>
      <c r="M887" s="130"/>
      <c r="N887" s="130"/>
      <c r="O887" s="130"/>
      <c r="P887" s="130"/>
      <c r="Q887" s="130"/>
      <c r="R887" s="130"/>
      <c r="S887" s="130"/>
      <c r="T887" s="130"/>
      <c r="U887" s="130"/>
      <c r="V887" s="130"/>
      <c r="W887" s="130"/>
    </row>
    <row r="888">
      <c r="A888" s="130"/>
      <c r="B888" s="130"/>
      <c r="C888" s="130"/>
      <c r="D888" s="130"/>
      <c r="E888" s="130"/>
      <c r="F888" s="130"/>
      <c r="G888" s="130"/>
      <c r="H888" s="130"/>
      <c r="I888" s="130"/>
      <c r="J888" s="130"/>
      <c r="K888" s="239"/>
      <c r="L888" s="239"/>
      <c r="M888" s="130"/>
      <c r="N888" s="130"/>
      <c r="O888" s="130"/>
      <c r="P888" s="130"/>
      <c r="Q888" s="130"/>
      <c r="R888" s="130"/>
      <c r="S888" s="130"/>
      <c r="T888" s="130"/>
      <c r="U888" s="130"/>
      <c r="V888" s="130"/>
      <c r="W888" s="130"/>
    </row>
    <row r="889">
      <c r="A889" s="130"/>
      <c r="B889" s="130"/>
      <c r="C889" s="130"/>
      <c r="D889" s="130"/>
      <c r="E889" s="130"/>
      <c r="F889" s="130"/>
      <c r="G889" s="130"/>
      <c r="H889" s="130"/>
      <c r="I889" s="130"/>
      <c r="J889" s="130"/>
      <c r="K889" s="239"/>
      <c r="L889" s="239"/>
      <c r="M889" s="130"/>
      <c r="N889" s="130"/>
      <c r="O889" s="130"/>
      <c r="P889" s="130"/>
      <c r="Q889" s="130"/>
      <c r="R889" s="130"/>
      <c r="S889" s="130"/>
      <c r="T889" s="130"/>
      <c r="U889" s="130"/>
      <c r="V889" s="130"/>
      <c r="W889" s="130"/>
    </row>
    <row r="890">
      <c r="A890" s="130"/>
      <c r="B890" s="130"/>
      <c r="C890" s="130"/>
      <c r="D890" s="130"/>
      <c r="E890" s="130"/>
      <c r="F890" s="130"/>
      <c r="G890" s="130"/>
      <c r="H890" s="130"/>
      <c r="I890" s="130"/>
      <c r="J890" s="130"/>
      <c r="K890" s="239"/>
      <c r="L890" s="239"/>
      <c r="M890" s="130"/>
      <c r="N890" s="130"/>
      <c r="O890" s="130"/>
      <c r="P890" s="130"/>
      <c r="Q890" s="130"/>
      <c r="R890" s="130"/>
      <c r="S890" s="130"/>
      <c r="T890" s="130"/>
      <c r="U890" s="130"/>
      <c r="V890" s="130"/>
      <c r="W890" s="130"/>
    </row>
    <row r="891">
      <c r="A891" s="130"/>
      <c r="B891" s="130"/>
      <c r="C891" s="130"/>
      <c r="D891" s="130"/>
      <c r="E891" s="130"/>
      <c r="F891" s="130"/>
      <c r="G891" s="130"/>
      <c r="H891" s="130"/>
      <c r="I891" s="130"/>
      <c r="J891" s="130"/>
      <c r="K891" s="239"/>
      <c r="L891" s="239"/>
      <c r="M891" s="130"/>
      <c r="N891" s="130"/>
      <c r="O891" s="130"/>
      <c r="P891" s="130"/>
      <c r="Q891" s="130"/>
      <c r="R891" s="130"/>
      <c r="S891" s="130"/>
      <c r="T891" s="130"/>
      <c r="U891" s="130"/>
      <c r="V891" s="130"/>
      <c r="W891" s="130"/>
    </row>
    <row r="892">
      <c r="A892" s="130"/>
      <c r="B892" s="130"/>
      <c r="C892" s="130"/>
      <c r="D892" s="130"/>
      <c r="E892" s="130"/>
      <c r="F892" s="130"/>
      <c r="G892" s="130"/>
      <c r="H892" s="130"/>
      <c r="I892" s="130"/>
      <c r="J892" s="130"/>
      <c r="K892" s="239"/>
      <c r="L892" s="239"/>
      <c r="M892" s="130"/>
      <c r="N892" s="130"/>
      <c r="O892" s="130"/>
      <c r="P892" s="130"/>
      <c r="Q892" s="130"/>
      <c r="R892" s="130"/>
      <c r="S892" s="130"/>
      <c r="T892" s="130"/>
      <c r="U892" s="130"/>
      <c r="V892" s="130"/>
      <c r="W892" s="130"/>
    </row>
    <row r="893">
      <c r="A893" s="130"/>
      <c r="B893" s="130"/>
      <c r="C893" s="130"/>
      <c r="D893" s="130"/>
      <c r="E893" s="130"/>
      <c r="F893" s="130"/>
      <c r="G893" s="130"/>
      <c r="H893" s="130"/>
      <c r="I893" s="130"/>
      <c r="J893" s="130"/>
      <c r="K893" s="239"/>
      <c r="L893" s="239"/>
      <c r="M893" s="130"/>
      <c r="N893" s="130"/>
      <c r="O893" s="130"/>
      <c r="P893" s="130"/>
      <c r="Q893" s="130"/>
      <c r="R893" s="130"/>
      <c r="S893" s="130"/>
      <c r="T893" s="130"/>
      <c r="U893" s="130"/>
      <c r="V893" s="130"/>
      <c r="W893" s="130"/>
    </row>
    <row r="894">
      <c r="A894" s="130"/>
      <c r="B894" s="130"/>
      <c r="C894" s="130"/>
      <c r="D894" s="130"/>
      <c r="E894" s="130"/>
      <c r="F894" s="130"/>
      <c r="G894" s="130"/>
      <c r="H894" s="130"/>
      <c r="I894" s="130"/>
      <c r="J894" s="130"/>
      <c r="K894" s="239"/>
      <c r="L894" s="239"/>
      <c r="M894" s="130"/>
      <c r="N894" s="130"/>
      <c r="O894" s="130"/>
      <c r="P894" s="130"/>
      <c r="Q894" s="130"/>
      <c r="R894" s="130"/>
      <c r="S894" s="130"/>
      <c r="T894" s="130"/>
      <c r="U894" s="130"/>
      <c r="V894" s="130"/>
      <c r="W894" s="130"/>
    </row>
    <row r="895">
      <c r="A895" s="130"/>
      <c r="B895" s="130"/>
      <c r="C895" s="130"/>
      <c r="D895" s="130"/>
      <c r="E895" s="130"/>
      <c r="F895" s="130"/>
      <c r="G895" s="130"/>
      <c r="H895" s="130"/>
      <c r="I895" s="130"/>
      <c r="J895" s="130"/>
      <c r="K895" s="239"/>
      <c r="L895" s="239"/>
      <c r="M895" s="130"/>
      <c r="N895" s="130"/>
      <c r="O895" s="130"/>
      <c r="P895" s="130"/>
      <c r="Q895" s="130"/>
      <c r="R895" s="130"/>
      <c r="S895" s="130"/>
      <c r="T895" s="130"/>
      <c r="U895" s="130"/>
      <c r="V895" s="130"/>
      <c r="W895" s="130"/>
    </row>
    <row r="896">
      <c r="A896" s="130"/>
      <c r="B896" s="130"/>
      <c r="C896" s="130"/>
      <c r="D896" s="130"/>
      <c r="E896" s="130"/>
      <c r="F896" s="130"/>
      <c r="G896" s="130"/>
      <c r="H896" s="130"/>
      <c r="I896" s="130"/>
      <c r="J896" s="130"/>
      <c r="K896" s="239"/>
      <c r="L896" s="239"/>
      <c r="M896" s="130"/>
      <c r="N896" s="130"/>
      <c r="O896" s="130"/>
      <c r="P896" s="130"/>
      <c r="Q896" s="130"/>
      <c r="R896" s="130"/>
      <c r="S896" s="130"/>
      <c r="T896" s="130"/>
      <c r="U896" s="130"/>
      <c r="V896" s="130"/>
      <c r="W896" s="130"/>
    </row>
    <row r="897">
      <c r="A897" s="130"/>
      <c r="B897" s="130"/>
      <c r="C897" s="130"/>
      <c r="D897" s="130"/>
      <c r="E897" s="130"/>
      <c r="F897" s="130"/>
      <c r="G897" s="130"/>
      <c r="H897" s="130"/>
      <c r="I897" s="130"/>
      <c r="J897" s="130"/>
      <c r="K897" s="239"/>
      <c r="L897" s="239"/>
      <c r="M897" s="130"/>
      <c r="N897" s="130"/>
      <c r="O897" s="130"/>
      <c r="P897" s="130"/>
      <c r="Q897" s="130"/>
      <c r="R897" s="130"/>
      <c r="S897" s="130"/>
      <c r="T897" s="130"/>
      <c r="U897" s="130"/>
      <c r="V897" s="130"/>
      <c r="W897" s="130"/>
    </row>
    <row r="898">
      <c r="A898" s="130"/>
      <c r="B898" s="130"/>
      <c r="C898" s="130"/>
      <c r="D898" s="130"/>
      <c r="E898" s="130"/>
      <c r="F898" s="130"/>
      <c r="G898" s="130"/>
      <c r="H898" s="130"/>
      <c r="I898" s="130"/>
      <c r="J898" s="130"/>
      <c r="K898" s="239"/>
      <c r="L898" s="239"/>
      <c r="M898" s="130"/>
      <c r="N898" s="130"/>
      <c r="O898" s="130"/>
      <c r="P898" s="130"/>
      <c r="Q898" s="130"/>
      <c r="R898" s="130"/>
      <c r="S898" s="130"/>
      <c r="T898" s="130"/>
      <c r="U898" s="130"/>
      <c r="V898" s="130"/>
      <c r="W898" s="130"/>
    </row>
    <row r="899">
      <c r="A899" s="130"/>
      <c r="B899" s="130"/>
      <c r="C899" s="130"/>
      <c r="D899" s="130"/>
      <c r="E899" s="130"/>
      <c r="F899" s="130"/>
      <c r="G899" s="130"/>
      <c r="H899" s="130"/>
      <c r="I899" s="130"/>
      <c r="J899" s="130"/>
      <c r="K899" s="239"/>
      <c r="L899" s="239"/>
      <c r="M899" s="130"/>
      <c r="N899" s="130"/>
      <c r="O899" s="130"/>
      <c r="P899" s="130"/>
      <c r="Q899" s="130"/>
      <c r="R899" s="130"/>
      <c r="S899" s="130"/>
      <c r="T899" s="130"/>
      <c r="U899" s="130"/>
      <c r="V899" s="130"/>
      <c r="W899" s="130"/>
    </row>
    <row r="900">
      <c r="A900" s="130"/>
      <c r="B900" s="130"/>
      <c r="C900" s="130"/>
      <c r="D900" s="130"/>
      <c r="E900" s="130"/>
      <c r="F900" s="130"/>
      <c r="G900" s="130"/>
      <c r="H900" s="130"/>
      <c r="I900" s="130"/>
      <c r="J900" s="130"/>
      <c r="K900" s="239"/>
      <c r="L900" s="239"/>
      <c r="M900" s="130"/>
      <c r="N900" s="130"/>
      <c r="O900" s="130"/>
      <c r="P900" s="130"/>
      <c r="Q900" s="130"/>
      <c r="R900" s="130"/>
      <c r="S900" s="130"/>
      <c r="T900" s="130"/>
      <c r="U900" s="130"/>
      <c r="V900" s="130"/>
      <c r="W900" s="130"/>
    </row>
    <row r="901">
      <c r="A901" s="130"/>
      <c r="B901" s="130"/>
      <c r="C901" s="130"/>
      <c r="D901" s="130"/>
      <c r="E901" s="130"/>
      <c r="F901" s="130"/>
      <c r="G901" s="130"/>
      <c r="H901" s="130"/>
      <c r="I901" s="130"/>
      <c r="J901" s="130"/>
      <c r="K901" s="239"/>
      <c r="L901" s="239"/>
      <c r="M901" s="130"/>
      <c r="N901" s="130"/>
      <c r="O901" s="130"/>
      <c r="P901" s="130"/>
      <c r="Q901" s="130"/>
      <c r="R901" s="130"/>
      <c r="S901" s="130"/>
      <c r="T901" s="130"/>
      <c r="U901" s="130"/>
      <c r="V901" s="130"/>
      <c r="W901" s="130"/>
    </row>
    <row r="902">
      <c r="A902" s="130"/>
      <c r="B902" s="130"/>
      <c r="C902" s="130"/>
      <c r="D902" s="130"/>
      <c r="E902" s="130"/>
      <c r="F902" s="130"/>
      <c r="G902" s="130"/>
      <c r="H902" s="130"/>
      <c r="I902" s="130"/>
      <c r="J902" s="130"/>
      <c r="K902" s="239"/>
      <c r="L902" s="239"/>
      <c r="M902" s="130"/>
      <c r="N902" s="130"/>
      <c r="O902" s="130"/>
      <c r="P902" s="130"/>
      <c r="Q902" s="130"/>
      <c r="R902" s="130"/>
      <c r="S902" s="130"/>
      <c r="T902" s="130"/>
      <c r="U902" s="130"/>
      <c r="V902" s="130"/>
      <c r="W902" s="130"/>
    </row>
    <row r="903">
      <c r="A903" s="130"/>
      <c r="B903" s="130"/>
      <c r="C903" s="130"/>
      <c r="D903" s="130"/>
      <c r="E903" s="130"/>
      <c r="F903" s="130"/>
      <c r="G903" s="130"/>
      <c r="H903" s="130"/>
      <c r="I903" s="130"/>
      <c r="J903" s="130"/>
      <c r="K903" s="239"/>
      <c r="L903" s="239"/>
      <c r="M903" s="130"/>
      <c r="N903" s="130"/>
      <c r="O903" s="130"/>
      <c r="P903" s="130"/>
      <c r="Q903" s="130"/>
      <c r="R903" s="130"/>
      <c r="S903" s="130"/>
      <c r="T903" s="130"/>
      <c r="U903" s="130"/>
      <c r="V903" s="130"/>
      <c r="W903" s="130"/>
    </row>
    <row r="904">
      <c r="A904" s="130"/>
      <c r="B904" s="130"/>
      <c r="C904" s="130"/>
      <c r="D904" s="130"/>
      <c r="E904" s="130"/>
      <c r="F904" s="130"/>
      <c r="G904" s="130"/>
      <c r="H904" s="130"/>
      <c r="I904" s="130"/>
      <c r="J904" s="130"/>
      <c r="K904" s="239"/>
      <c r="L904" s="239"/>
      <c r="M904" s="130"/>
      <c r="N904" s="130"/>
      <c r="O904" s="130"/>
      <c r="P904" s="130"/>
      <c r="Q904" s="130"/>
      <c r="R904" s="130"/>
      <c r="S904" s="130"/>
      <c r="T904" s="130"/>
      <c r="U904" s="130"/>
      <c r="V904" s="130"/>
      <c r="W904" s="130"/>
    </row>
    <row r="905">
      <c r="A905" s="130"/>
      <c r="B905" s="130"/>
      <c r="C905" s="130"/>
      <c r="D905" s="130"/>
      <c r="E905" s="130"/>
      <c r="F905" s="130"/>
      <c r="G905" s="130"/>
      <c r="H905" s="130"/>
      <c r="I905" s="130"/>
      <c r="J905" s="130"/>
      <c r="K905" s="239"/>
      <c r="L905" s="239"/>
      <c r="M905" s="130"/>
      <c r="N905" s="130"/>
      <c r="O905" s="130"/>
      <c r="P905" s="130"/>
      <c r="Q905" s="130"/>
      <c r="R905" s="130"/>
      <c r="S905" s="130"/>
      <c r="T905" s="130"/>
      <c r="U905" s="130"/>
      <c r="V905" s="130"/>
      <c r="W905" s="130"/>
    </row>
    <row r="906">
      <c r="A906" s="130"/>
      <c r="B906" s="130"/>
      <c r="C906" s="130"/>
      <c r="D906" s="130"/>
      <c r="E906" s="130"/>
      <c r="F906" s="130"/>
      <c r="G906" s="130"/>
      <c r="H906" s="130"/>
      <c r="I906" s="130"/>
      <c r="J906" s="130"/>
      <c r="K906" s="239"/>
      <c r="L906" s="239"/>
      <c r="M906" s="130"/>
      <c r="N906" s="130"/>
      <c r="O906" s="130"/>
      <c r="P906" s="130"/>
      <c r="Q906" s="130"/>
      <c r="R906" s="130"/>
      <c r="S906" s="130"/>
      <c r="T906" s="130"/>
      <c r="U906" s="130"/>
      <c r="V906" s="130"/>
      <c r="W906" s="130"/>
    </row>
    <row r="907">
      <c r="A907" s="130"/>
      <c r="B907" s="130"/>
      <c r="C907" s="130"/>
      <c r="D907" s="130"/>
      <c r="E907" s="130"/>
      <c r="F907" s="130"/>
      <c r="G907" s="130"/>
      <c r="H907" s="130"/>
      <c r="I907" s="130"/>
      <c r="J907" s="130"/>
      <c r="K907" s="239"/>
      <c r="L907" s="239"/>
      <c r="M907" s="130"/>
      <c r="N907" s="130"/>
      <c r="O907" s="130"/>
      <c r="P907" s="130"/>
      <c r="Q907" s="130"/>
      <c r="R907" s="130"/>
      <c r="S907" s="130"/>
      <c r="T907" s="130"/>
      <c r="U907" s="130"/>
      <c r="V907" s="130"/>
      <c r="W907" s="130"/>
    </row>
    <row r="908">
      <c r="A908" s="130"/>
      <c r="B908" s="130"/>
      <c r="C908" s="130"/>
      <c r="D908" s="130"/>
      <c r="E908" s="130"/>
      <c r="F908" s="130"/>
      <c r="G908" s="130"/>
      <c r="H908" s="130"/>
      <c r="I908" s="130"/>
      <c r="J908" s="130"/>
      <c r="K908" s="239"/>
      <c r="L908" s="239"/>
      <c r="M908" s="130"/>
      <c r="N908" s="130"/>
      <c r="O908" s="130"/>
      <c r="P908" s="130"/>
      <c r="Q908" s="130"/>
      <c r="R908" s="130"/>
      <c r="S908" s="130"/>
      <c r="T908" s="130"/>
      <c r="U908" s="130"/>
      <c r="V908" s="130"/>
      <c r="W908" s="130"/>
    </row>
    <row r="909">
      <c r="A909" s="130"/>
      <c r="B909" s="130"/>
      <c r="C909" s="130"/>
      <c r="D909" s="130"/>
      <c r="E909" s="130"/>
      <c r="F909" s="130"/>
      <c r="G909" s="130"/>
      <c r="H909" s="130"/>
      <c r="I909" s="130"/>
      <c r="J909" s="130"/>
      <c r="K909" s="239"/>
      <c r="L909" s="239"/>
      <c r="M909" s="130"/>
      <c r="N909" s="130"/>
      <c r="O909" s="130"/>
      <c r="P909" s="130"/>
      <c r="Q909" s="130"/>
      <c r="R909" s="130"/>
      <c r="S909" s="130"/>
      <c r="T909" s="130"/>
      <c r="U909" s="130"/>
      <c r="V909" s="130"/>
      <c r="W909" s="130"/>
    </row>
    <row r="910">
      <c r="A910" s="130"/>
      <c r="B910" s="130"/>
      <c r="C910" s="130"/>
      <c r="D910" s="130"/>
      <c r="E910" s="130"/>
      <c r="F910" s="130"/>
      <c r="G910" s="130"/>
      <c r="H910" s="130"/>
      <c r="I910" s="130"/>
      <c r="J910" s="130"/>
      <c r="K910" s="239"/>
      <c r="L910" s="239"/>
      <c r="M910" s="130"/>
      <c r="N910" s="130"/>
      <c r="O910" s="130"/>
      <c r="P910" s="130"/>
      <c r="Q910" s="130"/>
      <c r="R910" s="130"/>
      <c r="S910" s="130"/>
      <c r="T910" s="130"/>
      <c r="U910" s="130"/>
      <c r="V910" s="130"/>
      <c r="W910" s="130"/>
    </row>
    <row r="911">
      <c r="A911" s="130"/>
      <c r="B911" s="130"/>
      <c r="C911" s="130"/>
      <c r="D911" s="130"/>
      <c r="E911" s="130"/>
      <c r="F911" s="130"/>
      <c r="G911" s="130"/>
      <c r="H911" s="130"/>
      <c r="I911" s="130"/>
      <c r="J911" s="130"/>
      <c r="K911" s="239"/>
      <c r="L911" s="239"/>
      <c r="M911" s="130"/>
      <c r="N911" s="130"/>
      <c r="O911" s="130"/>
      <c r="P911" s="130"/>
      <c r="Q911" s="130"/>
      <c r="R911" s="130"/>
      <c r="S911" s="130"/>
      <c r="T911" s="130"/>
      <c r="U911" s="130"/>
      <c r="V911" s="130"/>
      <c r="W911" s="130"/>
    </row>
    <row r="912">
      <c r="A912" s="130"/>
      <c r="B912" s="130"/>
      <c r="C912" s="130"/>
      <c r="D912" s="130"/>
      <c r="E912" s="130"/>
      <c r="F912" s="130"/>
      <c r="G912" s="130"/>
      <c r="H912" s="130"/>
      <c r="I912" s="130"/>
      <c r="J912" s="130"/>
      <c r="K912" s="239"/>
      <c r="L912" s="239"/>
      <c r="M912" s="130"/>
      <c r="N912" s="130"/>
      <c r="O912" s="130"/>
      <c r="P912" s="130"/>
      <c r="Q912" s="130"/>
      <c r="R912" s="130"/>
      <c r="S912" s="130"/>
      <c r="T912" s="130"/>
      <c r="U912" s="130"/>
      <c r="V912" s="130"/>
      <c r="W912" s="130"/>
    </row>
    <row r="913">
      <c r="A913" s="130"/>
      <c r="B913" s="130"/>
      <c r="C913" s="130"/>
      <c r="D913" s="130"/>
      <c r="E913" s="130"/>
      <c r="F913" s="130"/>
      <c r="G913" s="130"/>
      <c r="H913" s="130"/>
      <c r="I913" s="130"/>
      <c r="J913" s="130"/>
      <c r="K913" s="239"/>
      <c r="L913" s="239"/>
      <c r="M913" s="130"/>
      <c r="N913" s="130"/>
      <c r="O913" s="130"/>
      <c r="P913" s="130"/>
      <c r="Q913" s="130"/>
      <c r="R913" s="130"/>
      <c r="S913" s="130"/>
      <c r="T913" s="130"/>
      <c r="U913" s="130"/>
      <c r="V913" s="130"/>
      <c r="W913" s="130"/>
    </row>
    <row r="914">
      <c r="A914" s="130"/>
      <c r="B914" s="130"/>
      <c r="C914" s="130"/>
      <c r="D914" s="130"/>
      <c r="E914" s="130"/>
      <c r="F914" s="130"/>
      <c r="G914" s="130"/>
      <c r="H914" s="130"/>
      <c r="I914" s="130"/>
      <c r="J914" s="130"/>
      <c r="K914" s="239"/>
      <c r="L914" s="239"/>
      <c r="M914" s="130"/>
      <c r="N914" s="130"/>
      <c r="O914" s="130"/>
      <c r="P914" s="130"/>
      <c r="Q914" s="130"/>
      <c r="R914" s="130"/>
      <c r="S914" s="130"/>
      <c r="T914" s="130"/>
      <c r="U914" s="130"/>
      <c r="V914" s="130"/>
      <c r="W914" s="130"/>
    </row>
    <row r="915">
      <c r="A915" s="130"/>
      <c r="B915" s="130"/>
      <c r="C915" s="130"/>
      <c r="D915" s="130"/>
      <c r="E915" s="130"/>
      <c r="F915" s="130"/>
      <c r="G915" s="130"/>
      <c r="H915" s="130"/>
      <c r="I915" s="130"/>
      <c r="J915" s="130"/>
      <c r="K915" s="239"/>
      <c r="L915" s="239"/>
      <c r="M915" s="130"/>
      <c r="N915" s="130"/>
      <c r="O915" s="130"/>
      <c r="P915" s="130"/>
      <c r="Q915" s="130"/>
      <c r="R915" s="130"/>
      <c r="S915" s="130"/>
      <c r="T915" s="130"/>
      <c r="U915" s="130"/>
      <c r="V915" s="130"/>
      <c r="W915" s="130"/>
    </row>
    <row r="916">
      <c r="A916" s="130"/>
      <c r="B916" s="130"/>
      <c r="C916" s="130"/>
      <c r="D916" s="130"/>
      <c r="E916" s="130"/>
      <c r="F916" s="130"/>
      <c r="G916" s="130"/>
      <c r="H916" s="130"/>
      <c r="I916" s="130"/>
      <c r="J916" s="130"/>
      <c r="K916" s="239"/>
      <c r="L916" s="239"/>
      <c r="M916" s="130"/>
      <c r="N916" s="130"/>
      <c r="O916" s="130"/>
      <c r="P916" s="130"/>
      <c r="Q916" s="130"/>
      <c r="R916" s="130"/>
      <c r="S916" s="130"/>
      <c r="T916" s="130"/>
      <c r="U916" s="130"/>
      <c r="V916" s="130"/>
      <c r="W916" s="130"/>
    </row>
    <row r="917">
      <c r="A917" s="130"/>
      <c r="B917" s="130"/>
      <c r="C917" s="130"/>
      <c r="D917" s="130"/>
      <c r="E917" s="130"/>
      <c r="F917" s="130"/>
      <c r="G917" s="130"/>
      <c r="H917" s="130"/>
      <c r="I917" s="130"/>
      <c r="J917" s="130"/>
      <c r="K917" s="239"/>
      <c r="L917" s="239"/>
      <c r="M917" s="130"/>
      <c r="N917" s="130"/>
      <c r="O917" s="130"/>
      <c r="P917" s="130"/>
      <c r="Q917" s="130"/>
      <c r="R917" s="130"/>
      <c r="S917" s="130"/>
      <c r="T917" s="130"/>
      <c r="U917" s="130"/>
      <c r="V917" s="130"/>
      <c r="W917" s="130"/>
    </row>
    <row r="918">
      <c r="A918" s="130"/>
      <c r="B918" s="130"/>
      <c r="C918" s="130"/>
      <c r="D918" s="130"/>
      <c r="E918" s="130"/>
      <c r="F918" s="130"/>
      <c r="G918" s="130"/>
      <c r="H918" s="130"/>
      <c r="I918" s="130"/>
      <c r="J918" s="130"/>
      <c r="K918" s="239"/>
      <c r="L918" s="239"/>
      <c r="M918" s="130"/>
      <c r="N918" s="130"/>
      <c r="O918" s="130"/>
      <c r="P918" s="130"/>
      <c r="Q918" s="130"/>
      <c r="R918" s="130"/>
      <c r="S918" s="130"/>
      <c r="T918" s="130"/>
      <c r="U918" s="130"/>
      <c r="V918" s="130"/>
      <c r="W918" s="130"/>
    </row>
    <row r="919">
      <c r="A919" s="130"/>
      <c r="B919" s="130"/>
      <c r="C919" s="130"/>
      <c r="D919" s="130"/>
      <c r="E919" s="130"/>
      <c r="F919" s="130"/>
      <c r="G919" s="130"/>
      <c r="H919" s="130"/>
      <c r="I919" s="130"/>
      <c r="J919" s="130"/>
      <c r="K919" s="239"/>
      <c r="L919" s="239"/>
      <c r="M919" s="130"/>
      <c r="N919" s="130"/>
      <c r="O919" s="130"/>
      <c r="P919" s="130"/>
      <c r="Q919" s="130"/>
      <c r="R919" s="130"/>
      <c r="S919" s="130"/>
      <c r="T919" s="130"/>
      <c r="U919" s="130"/>
      <c r="V919" s="130"/>
      <c r="W919" s="130"/>
    </row>
    <row r="920">
      <c r="A920" s="130"/>
      <c r="B920" s="130"/>
      <c r="C920" s="130"/>
      <c r="D920" s="130"/>
      <c r="E920" s="130"/>
      <c r="F920" s="130"/>
      <c r="G920" s="130"/>
      <c r="H920" s="130"/>
      <c r="I920" s="130"/>
      <c r="J920" s="130"/>
      <c r="K920" s="239"/>
      <c r="L920" s="239"/>
      <c r="M920" s="130"/>
      <c r="N920" s="130"/>
      <c r="O920" s="130"/>
      <c r="P920" s="130"/>
      <c r="Q920" s="130"/>
      <c r="R920" s="130"/>
      <c r="S920" s="130"/>
      <c r="T920" s="130"/>
      <c r="U920" s="130"/>
      <c r="V920" s="130"/>
      <c r="W920" s="130"/>
    </row>
    <row r="921">
      <c r="A921" s="130"/>
      <c r="B921" s="130"/>
      <c r="C921" s="130"/>
      <c r="D921" s="130"/>
      <c r="E921" s="130"/>
      <c r="F921" s="130"/>
      <c r="G921" s="130"/>
      <c r="H921" s="130"/>
      <c r="I921" s="130"/>
      <c r="J921" s="130"/>
      <c r="K921" s="239"/>
      <c r="L921" s="239"/>
      <c r="M921" s="130"/>
      <c r="N921" s="130"/>
      <c r="O921" s="130"/>
      <c r="P921" s="130"/>
      <c r="Q921" s="130"/>
      <c r="R921" s="130"/>
      <c r="S921" s="130"/>
      <c r="T921" s="130"/>
      <c r="U921" s="130"/>
      <c r="V921" s="130"/>
      <c r="W921" s="130"/>
    </row>
    <row r="922">
      <c r="A922" s="130"/>
      <c r="B922" s="130"/>
      <c r="C922" s="130"/>
      <c r="D922" s="130"/>
      <c r="E922" s="130"/>
      <c r="F922" s="130"/>
      <c r="G922" s="130"/>
      <c r="H922" s="130"/>
      <c r="I922" s="130"/>
      <c r="J922" s="130"/>
      <c r="K922" s="239"/>
      <c r="L922" s="239"/>
      <c r="M922" s="130"/>
      <c r="N922" s="130"/>
      <c r="O922" s="130"/>
      <c r="P922" s="130"/>
      <c r="Q922" s="130"/>
      <c r="R922" s="130"/>
      <c r="S922" s="130"/>
      <c r="T922" s="130"/>
      <c r="U922" s="130"/>
      <c r="V922" s="130"/>
      <c r="W922" s="130"/>
    </row>
    <row r="923">
      <c r="A923" s="130"/>
      <c r="B923" s="130"/>
      <c r="C923" s="130"/>
      <c r="D923" s="130"/>
      <c r="E923" s="130"/>
      <c r="F923" s="130"/>
      <c r="G923" s="130"/>
      <c r="H923" s="130"/>
      <c r="I923" s="130"/>
      <c r="J923" s="130"/>
      <c r="K923" s="239"/>
      <c r="L923" s="239"/>
      <c r="M923" s="130"/>
      <c r="N923" s="130"/>
      <c r="O923" s="130"/>
      <c r="P923" s="130"/>
      <c r="Q923" s="130"/>
      <c r="R923" s="130"/>
      <c r="S923" s="130"/>
      <c r="T923" s="130"/>
      <c r="U923" s="130"/>
      <c r="V923" s="130"/>
      <c r="W923" s="130"/>
    </row>
    <row r="924">
      <c r="A924" s="130"/>
      <c r="B924" s="130"/>
      <c r="C924" s="130"/>
      <c r="D924" s="130"/>
      <c r="E924" s="130"/>
      <c r="F924" s="130"/>
      <c r="G924" s="130"/>
      <c r="H924" s="130"/>
      <c r="I924" s="130"/>
      <c r="J924" s="130"/>
      <c r="K924" s="239"/>
      <c r="L924" s="239"/>
      <c r="M924" s="130"/>
      <c r="N924" s="130"/>
      <c r="O924" s="130"/>
      <c r="P924" s="130"/>
      <c r="Q924" s="130"/>
      <c r="R924" s="130"/>
      <c r="S924" s="130"/>
      <c r="T924" s="130"/>
      <c r="U924" s="130"/>
      <c r="V924" s="130"/>
      <c r="W924" s="130"/>
    </row>
    <row r="925">
      <c r="A925" s="130"/>
      <c r="B925" s="130"/>
      <c r="C925" s="130"/>
      <c r="D925" s="130"/>
      <c r="E925" s="130"/>
      <c r="F925" s="130"/>
      <c r="G925" s="130"/>
      <c r="H925" s="130"/>
      <c r="I925" s="130"/>
      <c r="J925" s="130"/>
      <c r="K925" s="239"/>
      <c r="L925" s="239"/>
      <c r="M925" s="130"/>
      <c r="N925" s="130"/>
      <c r="O925" s="130"/>
      <c r="P925" s="130"/>
      <c r="Q925" s="130"/>
      <c r="R925" s="130"/>
      <c r="S925" s="130"/>
      <c r="T925" s="130"/>
      <c r="U925" s="130"/>
      <c r="V925" s="130"/>
      <c r="W925" s="130"/>
    </row>
    <row r="926">
      <c r="A926" s="130"/>
      <c r="B926" s="130"/>
      <c r="C926" s="130"/>
      <c r="D926" s="130"/>
      <c r="E926" s="130"/>
      <c r="F926" s="130"/>
      <c r="G926" s="130"/>
      <c r="H926" s="130"/>
      <c r="I926" s="130"/>
      <c r="J926" s="130"/>
      <c r="K926" s="239"/>
      <c r="L926" s="239"/>
      <c r="M926" s="130"/>
      <c r="N926" s="130"/>
      <c r="O926" s="130"/>
      <c r="P926" s="130"/>
      <c r="Q926" s="130"/>
      <c r="R926" s="130"/>
      <c r="S926" s="130"/>
      <c r="T926" s="130"/>
      <c r="U926" s="130"/>
      <c r="V926" s="130"/>
      <c r="W926" s="130"/>
    </row>
    <row r="927">
      <c r="A927" s="130"/>
      <c r="B927" s="130"/>
      <c r="C927" s="130"/>
      <c r="D927" s="130"/>
      <c r="E927" s="130"/>
      <c r="F927" s="130"/>
      <c r="G927" s="130"/>
      <c r="H927" s="130"/>
      <c r="I927" s="130"/>
      <c r="J927" s="130"/>
      <c r="K927" s="239"/>
      <c r="L927" s="239"/>
      <c r="M927" s="130"/>
      <c r="N927" s="130"/>
      <c r="O927" s="130"/>
      <c r="P927" s="130"/>
      <c r="Q927" s="130"/>
      <c r="R927" s="130"/>
      <c r="S927" s="130"/>
      <c r="T927" s="130"/>
      <c r="U927" s="130"/>
      <c r="V927" s="130"/>
      <c r="W927" s="130"/>
    </row>
    <row r="928">
      <c r="A928" s="130"/>
      <c r="B928" s="130"/>
      <c r="C928" s="130"/>
      <c r="D928" s="130"/>
      <c r="E928" s="130"/>
      <c r="F928" s="130"/>
      <c r="G928" s="130"/>
      <c r="H928" s="130"/>
      <c r="I928" s="130"/>
      <c r="J928" s="130"/>
      <c r="K928" s="239"/>
      <c r="L928" s="239"/>
      <c r="M928" s="130"/>
      <c r="N928" s="130"/>
      <c r="O928" s="130"/>
      <c r="P928" s="130"/>
      <c r="Q928" s="130"/>
      <c r="R928" s="130"/>
      <c r="S928" s="130"/>
      <c r="T928" s="130"/>
      <c r="U928" s="130"/>
      <c r="V928" s="130"/>
      <c r="W928" s="130"/>
    </row>
    <row r="929">
      <c r="A929" s="130"/>
      <c r="B929" s="130"/>
      <c r="C929" s="130"/>
      <c r="D929" s="130"/>
      <c r="E929" s="130"/>
      <c r="F929" s="130"/>
      <c r="G929" s="130"/>
      <c r="H929" s="130"/>
      <c r="I929" s="130"/>
      <c r="J929" s="130"/>
      <c r="K929" s="239"/>
      <c r="L929" s="239"/>
      <c r="M929" s="130"/>
      <c r="N929" s="130"/>
      <c r="O929" s="130"/>
      <c r="P929" s="130"/>
      <c r="Q929" s="130"/>
      <c r="R929" s="130"/>
      <c r="S929" s="130"/>
      <c r="T929" s="130"/>
      <c r="U929" s="130"/>
      <c r="V929" s="130"/>
      <c r="W929" s="130"/>
    </row>
    <row r="930">
      <c r="A930" s="130"/>
      <c r="B930" s="130"/>
      <c r="C930" s="130"/>
      <c r="D930" s="130"/>
      <c r="E930" s="130"/>
      <c r="F930" s="130"/>
      <c r="G930" s="130"/>
      <c r="H930" s="130"/>
      <c r="I930" s="130"/>
      <c r="J930" s="130"/>
      <c r="K930" s="239"/>
      <c r="L930" s="239"/>
      <c r="M930" s="130"/>
      <c r="N930" s="130"/>
      <c r="O930" s="130"/>
      <c r="P930" s="130"/>
      <c r="Q930" s="130"/>
      <c r="R930" s="130"/>
      <c r="S930" s="130"/>
      <c r="T930" s="130"/>
      <c r="U930" s="130"/>
      <c r="V930" s="130"/>
      <c r="W930" s="130"/>
    </row>
    <row r="931">
      <c r="A931" s="130"/>
      <c r="B931" s="130"/>
      <c r="C931" s="130"/>
      <c r="D931" s="130"/>
      <c r="E931" s="130"/>
      <c r="F931" s="130"/>
      <c r="G931" s="130"/>
      <c r="H931" s="130"/>
      <c r="I931" s="130"/>
      <c r="J931" s="130"/>
      <c r="K931" s="239"/>
      <c r="L931" s="239"/>
      <c r="M931" s="130"/>
      <c r="N931" s="130"/>
      <c r="O931" s="130"/>
      <c r="P931" s="130"/>
      <c r="Q931" s="130"/>
      <c r="R931" s="130"/>
      <c r="S931" s="130"/>
      <c r="T931" s="130"/>
      <c r="U931" s="130"/>
      <c r="V931" s="130"/>
      <c r="W931" s="130"/>
    </row>
    <row r="932">
      <c r="A932" s="130"/>
      <c r="B932" s="130"/>
      <c r="C932" s="130"/>
      <c r="D932" s="130"/>
      <c r="E932" s="130"/>
      <c r="F932" s="130"/>
      <c r="G932" s="130"/>
      <c r="H932" s="130"/>
      <c r="I932" s="130"/>
      <c r="J932" s="130"/>
      <c r="K932" s="239"/>
      <c r="L932" s="239"/>
      <c r="M932" s="130"/>
      <c r="N932" s="130"/>
      <c r="O932" s="130"/>
      <c r="P932" s="130"/>
      <c r="Q932" s="130"/>
      <c r="R932" s="130"/>
      <c r="S932" s="130"/>
      <c r="T932" s="130"/>
      <c r="U932" s="130"/>
      <c r="V932" s="130"/>
      <c r="W932" s="130"/>
    </row>
    <row r="933">
      <c r="A933" s="130"/>
      <c r="B933" s="130"/>
      <c r="C933" s="130"/>
      <c r="D933" s="130"/>
      <c r="E933" s="130"/>
      <c r="F933" s="130"/>
      <c r="G933" s="130"/>
      <c r="H933" s="130"/>
      <c r="I933" s="130"/>
      <c r="J933" s="130"/>
      <c r="K933" s="239"/>
      <c r="L933" s="239"/>
      <c r="M933" s="130"/>
      <c r="N933" s="130"/>
      <c r="O933" s="130"/>
      <c r="P933" s="130"/>
      <c r="Q933" s="130"/>
      <c r="R933" s="130"/>
      <c r="S933" s="130"/>
      <c r="T933" s="130"/>
      <c r="U933" s="130"/>
      <c r="V933" s="130"/>
      <c r="W933" s="130"/>
    </row>
    <row r="934">
      <c r="A934" s="130"/>
      <c r="B934" s="130"/>
      <c r="C934" s="130"/>
      <c r="D934" s="130"/>
      <c r="E934" s="130"/>
      <c r="F934" s="130"/>
      <c r="G934" s="130"/>
      <c r="H934" s="130"/>
      <c r="I934" s="130"/>
      <c r="J934" s="130"/>
      <c r="K934" s="239"/>
      <c r="L934" s="239"/>
      <c r="M934" s="130"/>
      <c r="N934" s="130"/>
      <c r="O934" s="130"/>
      <c r="P934" s="130"/>
      <c r="Q934" s="130"/>
      <c r="R934" s="130"/>
      <c r="S934" s="130"/>
      <c r="T934" s="130"/>
      <c r="U934" s="130"/>
      <c r="V934" s="130"/>
      <c r="W934" s="130"/>
    </row>
    <row r="935">
      <c r="A935" s="130"/>
      <c r="B935" s="130"/>
      <c r="C935" s="130"/>
      <c r="D935" s="130"/>
      <c r="E935" s="130"/>
      <c r="F935" s="130"/>
      <c r="G935" s="130"/>
      <c r="H935" s="130"/>
      <c r="I935" s="130"/>
      <c r="J935" s="130"/>
      <c r="K935" s="239"/>
      <c r="L935" s="239"/>
      <c r="M935" s="130"/>
      <c r="N935" s="130"/>
      <c r="O935" s="130"/>
      <c r="P935" s="130"/>
      <c r="Q935" s="130"/>
      <c r="R935" s="130"/>
      <c r="S935" s="130"/>
      <c r="T935" s="130"/>
      <c r="U935" s="130"/>
      <c r="V935" s="130"/>
      <c r="W935" s="130"/>
    </row>
    <row r="936">
      <c r="A936" s="130"/>
      <c r="B936" s="130"/>
      <c r="C936" s="130"/>
      <c r="D936" s="130"/>
      <c r="E936" s="130"/>
      <c r="F936" s="130"/>
      <c r="G936" s="130"/>
      <c r="H936" s="130"/>
      <c r="I936" s="130"/>
      <c r="J936" s="130"/>
      <c r="K936" s="239"/>
      <c r="L936" s="239"/>
      <c r="M936" s="130"/>
      <c r="N936" s="130"/>
      <c r="O936" s="130"/>
      <c r="P936" s="130"/>
      <c r="Q936" s="130"/>
      <c r="R936" s="130"/>
      <c r="S936" s="130"/>
      <c r="T936" s="130"/>
      <c r="U936" s="130"/>
      <c r="V936" s="130"/>
      <c r="W936" s="130"/>
    </row>
    <row r="937">
      <c r="A937" s="130"/>
      <c r="B937" s="130"/>
      <c r="C937" s="130"/>
      <c r="D937" s="130"/>
      <c r="E937" s="130"/>
      <c r="F937" s="130"/>
      <c r="G937" s="130"/>
      <c r="H937" s="130"/>
      <c r="I937" s="130"/>
      <c r="J937" s="130"/>
      <c r="K937" s="239"/>
      <c r="L937" s="239"/>
      <c r="M937" s="130"/>
      <c r="N937" s="130"/>
      <c r="O937" s="130"/>
      <c r="P937" s="130"/>
      <c r="Q937" s="130"/>
      <c r="R937" s="130"/>
      <c r="S937" s="130"/>
      <c r="T937" s="130"/>
      <c r="U937" s="130"/>
      <c r="V937" s="130"/>
      <c r="W937" s="130"/>
    </row>
    <row r="938">
      <c r="A938" s="130"/>
      <c r="B938" s="130"/>
      <c r="C938" s="130"/>
      <c r="D938" s="130"/>
      <c r="E938" s="130"/>
      <c r="F938" s="130"/>
      <c r="G938" s="130"/>
      <c r="H938" s="130"/>
      <c r="I938" s="130"/>
      <c r="J938" s="130"/>
      <c r="K938" s="239"/>
      <c r="L938" s="239"/>
      <c r="M938" s="130"/>
      <c r="N938" s="130"/>
      <c r="O938" s="130"/>
      <c r="P938" s="130"/>
      <c r="Q938" s="130"/>
      <c r="R938" s="130"/>
      <c r="S938" s="130"/>
      <c r="T938" s="130"/>
      <c r="U938" s="130"/>
      <c r="V938" s="130"/>
      <c r="W938" s="130"/>
    </row>
    <row r="939">
      <c r="A939" s="130"/>
      <c r="B939" s="130"/>
      <c r="C939" s="130"/>
      <c r="D939" s="130"/>
      <c r="E939" s="130"/>
      <c r="F939" s="130"/>
      <c r="G939" s="130"/>
      <c r="H939" s="130"/>
      <c r="I939" s="130"/>
      <c r="J939" s="130"/>
      <c r="K939" s="239"/>
      <c r="L939" s="239"/>
      <c r="M939" s="130"/>
      <c r="N939" s="130"/>
      <c r="O939" s="130"/>
      <c r="P939" s="130"/>
      <c r="Q939" s="130"/>
      <c r="R939" s="130"/>
      <c r="S939" s="130"/>
      <c r="T939" s="130"/>
      <c r="U939" s="130"/>
      <c r="V939" s="130"/>
      <c r="W939" s="130"/>
    </row>
    <row r="940">
      <c r="A940" s="130"/>
      <c r="B940" s="130"/>
      <c r="C940" s="130"/>
      <c r="D940" s="130"/>
      <c r="E940" s="130"/>
      <c r="F940" s="130"/>
      <c r="G940" s="130"/>
      <c r="H940" s="130"/>
      <c r="I940" s="130"/>
      <c r="J940" s="130"/>
      <c r="K940" s="239"/>
      <c r="L940" s="239"/>
      <c r="M940" s="130"/>
      <c r="N940" s="130"/>
      <c r="O940" s="130"/>
      <c r="P940" s="130"/>
      <c r="Q940" s="130"/>
      <c r="R940" s="130"/>
      <c r="S940" s="130"/>
      <c r="T940" s="130"/>
      <c r="U940" s="130"/>
      <c r="V940" s="130"/>
      <c r="W940" s="130"/>
    </row>
    <row r="941">
      <c r="A941" s="130"/>
      <c r="B941" s="130"/>
      <c r="C941" s="130"/>
      <c r="D941" s="130"/>
      <c r="E941" s="130"/>
      <c r="F941" s="130"/>
      <c r="G941" s="130"/>
      <c r="H941" s="130"/>
      <c r="I941" s="130"/>
      <c r="J941" s="130"/>
      <c r="K941" s="239"/>
      <c r="L941" s="239"/>
      <c r="M941" s="130"/>
      <c r="N941" s="130"/>
      <c r="O941" s="130"/>
      <c r="P941" s="130"/>
      <c r="Q941" s="130"/>
      <c r="R941" s="130"/>
      <c r="S941" s="130"/>
      <c r="T941" s="130"/>
      <c r="U941" s="130"/>
      <c r="V941" s="130"/>
      <c r="W941" s="130"/>
    </row>
    <row r="942">
      <c r="A942" s="130"/>
      <c r="B942" s="130"/>
      <c r="C942" s="130"/>
      <c r="D942" s="130"/>
      <c r="E942" s="130"/>
      <c r="F942" s="130"/>
      <c r="G942" s="130"/>
      <c r="H942" s="130"/>
      <c r="I942" s="130"/>
      <c r="J942" s="130"/>
      <c r="K942" s="239"/>
      <c r="L942" s="239"/>
      <c r="M942" s="130"/>
      <c r="N942" s="130"/>
      <c r="O942" s="130"/>
      <c r="P942" s="130"/>
      <c r="Q942" s="130"/>
      <c r="R942" s="130"/>
      <c r="S942" s="130"/>
      <c r="T942" s="130"/>
      <c r="U942" s="130"/>
      <c r="V942" s="130"/>
      <c r="W942" s="130"/>
    </row>
    <row r="943">
      <c r="A943" s="130"/>
      <c r="B943" s="130"/>
      <c r="C943" s="130"/>
      <c r="D943" s="130"/>
      <c r="E943" s="130"/>
      <c r="F943" s="130"/>
      <c r="G943" s="130"/>
      <c r="H943" s="130"/>
      <c r="I943" s="130"/>
      <c r="J943" s="130"/>
      <c r="K943" s="239"/>
      <c r="L943" s="239"/>
      <c r="M943" s="130"/>
      <c r="N943" s="130"/>
      <c r="O943" s="130"/>
      <c r="P943" s="130"/>
      <c r="Q943" s="130"/>
      <c r="R943" s="130"/>
      <c r="S943" s="130"/>
      <c r="T943" s="130"/>
      <c r="U943" s="130"/>
      <c r="V943" s="130"/>
      <c r="W943" s="130"/>
    </row>
    <row r="944">
      <c r="A944" s="130"/>
      <c r="B944" s="130"/>
      <c r="C944" s="130"/>
      <c r="D944" s="130"/>
      <c r="E944" s="130"/>
      <c r="F944" s="130"/>
      <c r="G944" s="130"/>
      <c r="H944" s="130"/>
      <c r="I944" s="130"/>
      <c r="J944" s="130"/>
      <c r="K944" s="239"/>
      <c r="L944" s="239"/>
      <c r="M944" s="130"/>
      <c r="N944" s="130"/>
      <c r="O944" s="130"/>
      <c r="P944" s="130"/>
      <c r="Q944" s="130"/>
      <c r="R944" s="130"/>
      <c r="S944" s="130"/>
      <c r="T944" s="130"/>
      <c r="U944" s="130"/>
      <c r="V944" s="130"/>
      <c r="W944" s="130"/>
    </row>
    <row r="945">
      <c r="A945" s="130"/>
      <c r="B945" s="130"/>
      <c r="C945" s="130"/>
      <c r="D945" s="130"/>
      <c r="E945" s="130"/>
      <c r="F945" s="130"/>
      <c r="G945" s="130"/>
      <c r="H945" s="130"/>
      <c r="I945" s="130"/>
      <c r="J945" s="130"/>
      <c r="K945" s="239"/>
      <c r="L945" s="239"/>
      <c r="M945" s="130"/>
      <c r="N945" s="130"/>
      <c r="O945" s="130"/>
      <c r="P945" s="130"/>
      <c r="Q945" s="130"/>
      <c r="R945" s="130"/>
      <c r="S945" s="130"/>
      <c r="T945" s="130"/>
      <c r="U945" s="130"/>
      <c r="V945" s="130"/>
      <c r="W945" s="130"/>
    </row>
    <row r="946">
      <c r="A946" s="130"/>
      <c r="B946" s="130"/>
      <c r="C946" s="130"/>
      <c r="D946" s="130"/>
      <c r="E946" s="130"/>
      <c r="F946" s="130"/>
      <c r="G946" s="130"/>
      <c r="H946" s="130"/>
      <c r="I946" s="130"/>
      <c r="J946" s="130"/>
      <c r="K946" s="239"/>
      <c r="L946" s="239"/>
      <c r="M946" s="130"/>
      <c r="N946" s="130"/>
      <c r="O946" s="130"/>
      <c r="P946" s="130"/>
      <c r="Q946" s="130"/>
      <c r="R946" s="130"/>
      <c r="S946" s="130"/>
      <c r="T946" s="130"/>
      <c r="U946" s="130"/>
      <c r="V946" s="130"/>
      <c r="W946" s="130"/>
    </row>
    <row r="947">
      <c r="A947" s="130"/>
      <c r="B947" s="130"/>
      <c r="C947" s="130"/>
      <c r="D947" s="130"/>
      <c r="E947" s="130"/>
      <c r="F947" s="130"/>
      <c r="G947" s="130"/>
      <c r="H947" s="130"/>
      <c r="I947" s="130"/>
      <c r="J947" s="130"/>
      <c r="K947" s="239"/>
      <c r="L947" s="239"/>
      <c r="M947" s="130"/>
      <c r="N947" s="130"/>
      <c r="O947" s="130"/>
      <c r="P947" s="130"/>
      <c r="Q947" s="130"/>
      <c r="R947" s="130"/>
      <c r="S947" s="130"/>
      <c r="T947" s="130"/>
      <c r="U947" s="130"/>
      <c r="V947" s="130"/>
      <c r="W947" s="130"/>
    </row>
    <row r="948">
      <c r="A948" s="130"/>
      <c r="B948" s="130"/>
      <c r="C948" s="130"/>
      <c r="D948" s="130"/>
      <c r="E948" s="130"/>
      <c r="F948" s="130"/>
      <c r="G948" s="130"/>
      <c r="H948" s="130"/>
      <c r="I948" s="130"/>
      <c r="J948" s="130"/>
      <c r="K948" s="239"/>
      <c r="L948" s="239"/>
      <c r="M948" s="130"/>
      <c r="N948" s="130"/>
      <c r="O948" s="130"/>
      <c r="P948" s="130"/>
      <c r="Q948" s="130"/>
      <c r="R948" s="130"/>
      <c r="S948" s="130"/>
      <c r="T948" s="130"/>
      <c r="U948" s="130"/>
      <c r="V948" s="130"/>
      <c r="W948" s="130"/>
    </row>
    <row r="949">
      <c r="A949" s="130"/>
      <c r="B949" s="130"/>
      <c r="C949" s="130"/>
      <c r="D949" s="130"/>
      <c r="E949" s="130"/>
      <c r="F949" s="130"/>
      <c r="G949" s="130"/>
      <c r="H949" s="130"/>
      <c r="I949" s="130"/>
      <c r="J949" s="130"/>
      <c r="K949" s="239"/>
      <c r="L949" s="239"/>
      <c r="M949" s="130"/>
      <c r="N949" s="130"/>
      <c r="O949" s="130"/>
      <c r="P949" s="130"/>
      <c r="Q949" s="130"/>
      <c r="R949" s="130"/>
      <c r="S949" s="130"/>
      <c r="T949" s="130"/>
      <c r="U949" s="130"/>
      <c r="V949" s="130"/>
      <c r="W949" s="130"/>
    </row>
    <row r="950">
      <c r="A950" s="130"/>
      <c r="B950" s="130"/>
      <c r="C950" s="130"/>
      <c r="D950" s="130"/>
      <c r="E950" s="130"/>
      <c r="F950" s="130"/>
      <c r="G950" s="130"/>
      <c r="H950" s="130"/>
      <c r="I950" s="130"/>
      <c r="J950" s="130"/>
      <c r="K950" s="239"/>
      <c r="L950" s="239"/>
      <c r="M950" s="130"/>
      <c r="N950" s="130"/>
      <c r="O950" s="130"/>
      <c r="P950" s="130"/>
      <c r="Q950" s="130"/>
      <c r="R950" s="130"/>
      <c r="S950" s="130"/>
      <c r="T950" s="130"/>
      <c r="U950" s="130"/>
      <c r="V950" s="130"/>
      <c r="W950" s="130"/>
    </row>
    <row r="951">
      <c r="A951" s="130"/>
      <c r="B951" s="130"/>
      <c r="C951" s="130"/>
      <c r="D951" s="130"/>
      <c r="E951" s="130"/>
      <c r="F951" s="130"/>
      <c r="G951" s="130"/>
      <c r="H951" s="130"/>
      <c r="I951" s="130"/>
      <c r="J951" s="130"/>
      <c r="K951" s="239"/>
      <c r="L951" s="239"/>
      <c r="M951" s="130"/>
      <c r="N951" s="130"/>
      <c r="O951" s="130"/>
      <c r="P951" s="130"/>
      <c r="Q951" s="130"/>
      <c r="R951" s="130"/>
      <c r="S951" s="130"/>
      <c r="T951" s="130"/>
      <c r="U951" s="130"/>
      <c r="V951" s="130"/>
      <c r="W951" s="130"/>
    </row>
    <row r="952">
      <c r="A952" s="130"/>
      <c r="B952" s="130"/>
      <c r="C952" s="130"/>
      <c r="D952" s="130"/>
      <c r="E952" s="130"/>
      <c r="F952" s="130"/>
      <c r="G952" s="130"/>
      <c r="H952" s="130"/>
      <c r="I952" s="130"/>
      <c r="J952" s="130"/>
      <c r="K952" s="239"/>
      <c r="L952" s="239"/>
      <c r="M952" s="130"/>
      <c r="N952" s="130"/>
      <c r="O952" s="130"/>
      <c r="P952" s="130"/>
      <c r="Q952" s="130"/>
      <c r="R952" s="130"/>
      <c r="S952" s="130"/>
      <c r="T952" s="130"/>
      <c r="U952" s="130"/>
      <c r="V952" s="130"/>
      <c r="W952" s="130"/>
    </row>
    <row r="953">
      <c r="A953" s="130"/>
      <c r="B953" s="130"/>
      <c r="C953" s="130"/>
      <c r="D953" s="130"/>
      <c r="E953" s="130"/>
      <c r="F953" s="130"/>
      <c r="G953" s="130"/>
      <c r="H953" s="130"/>
      <c r="I953" s="130"/>
      <c r="J953" s="130"/>
      <c r="K953" s="239"/>
      <c r="L953" s="239"/>
      <c r="M953" s="130"/>
      <c r="N953" s="130"/>
      <c r="O953" s="130"/>
      <c r="P953" s="130"/>
      <c r="Q953" s="130"/>
      <c r="R953" s="130"/>
      <c r="S953" s="130"/>
      <c r="T953" s="130"/>
      <c r="U953" s="130"/>
      <c r="V953" s="130"/>
      <c r="W953" s="130"/>
    </row>
    <row r="954">
      <c r="A954" s="130"/>
      <c r="B954" s="130"/>
      <c r="C954" s="130"/>
      <c r="D954" s="130"/>
      <c r="E954" s="130"/>
      <c r="F954" s="130"/>
      <c r="G954" s="130"/>
      <c r="H954" s="130"/>
      <c r="I954" s="130"/>
      <c r="J954" s="130"/>
      <c r="K954" s="239"/>
      <c r="L954" s="239"/>
      <c r="M954" s="130"/>
      <c r="N954" s="130"/>
      <c r="O954" s="130"/>
      <c r="P954" s="130"/>
      <c r="Q954" s="130"/>
      <c r="R954" s="130"/>
      <c r="S954" s="130"/>
      <c r="T954" s="130"/>
      <c r="U954" s="130"/>
      <c r="V954" s="130"/>
      <c r="W954" s="130"/>
    </row>
    <row r="955">
      <c r="A955" s="130"/>
      <c r="B955" s="130"/>
      <c r="C955" s="130"/>
      <c r="D955" s="130"/>
      <c r="E955" s="130"/>
      <c r="F955" s="130"/>
      <c r="G955" s="130"/>
      <c r="H955" s="130"/>
      <c r="I955" s="130"/>
      <c r="J955" s="130"/>
      <c r="K955" s="239"/>
      <c r="L955" s="239"/>
      <c r="M955" s="130"/>
      <c r="N955" s="130"/>
      <c r="O955" s="130"/>
      <c r="P955" s="130"/>
      <c r="Q955" s="130"/>
      <c r="R955" s="130"/>
      <c r="S955" s="130"/>
      <c r="T955" s="130"/>
      <c r="U955" s="130"/>
      <c r="V955" s="130"/>
      <c r="W955" s="130"/>
    </row>
    <row r="956">
      <c r="A956" s="130"/>
      <c r="B956" s="130"/>
      <c r="C956" s="130"/>
      <c r="D956" s="130"/>
      <c r="E956" s="130"/>
      <c r="F956" s="130"/>
      <c r="G956" s="130"/>
      <c r="H956" s="130"/>
      <c r="I956" s="130"/>
      <c r="J956" s="130"/>
      <c r="K956" s="239"/>
      <c r="L956" s="239"/>
      <c r="M956" s="130"/>
      <c r="N956" s="130"/>
      <c r="O956" s="130"/>
      <c r="P956" s="130"/>
      <c r="Q956" s="130"/>
      <c r="R956" s="130"/>
      <c r="S956" s="130"/>
      <c r="T956" s="130"/>
      <c r="U956" s="130"/>
      <c r="V956" s="130"/>
      <c r="W956" s="130"/>
    </row>
    <row r="957">
      <c r="A957" s="130"/>
      <c r="B957" s="130"/>
      <c r="C957" s="130"/>
      <c r="D957" s="130"/>
      <c r="E957" s="130"/>
      <c r="F957" s="130"/>
      <c r="G957" s="130"/>
      <c r="H957" s="130"/>
      <c r="I957" s="130"/>
      <c r="J957" s="130"/>
      <c r="K957" s="239"/>
      <c r="L957" s="239"/>
      <c r="M957" s="130"/>
      <c r="N957" s="130"/>
      <c r="O957" s="130"/>
      <c r="P957" s="130"/>
      <c r="Q957" s="130"/>
      <c r="R957" s="130"/>
      <c r="S957" s="130"/>
      <c r="T957" s="130"/>
      <c r="U957" s="130"/>
      <c r="V957" s="130"/>
      <c r="W957" s="130"/>
    </row>
    <row r="958">
      <c r="A958" s="130"/>
      <c r="B958" s="130"/>
      <c r="C958" s="130"/>
      <c r="D958" s="130"/>
      <c r="E958" s="130"/>
      <c r="F958" s="130"/>
      <c r="G958" s="130"/>
      <c r="H958" s="130"/>
      <c r="I958" s="130"/>
      <c r="J958" s="130"/>
      <c r="K958" s="239"/>
      <c r="L958" s="239"/>
      <c r="M958" s="130"/>
      <c r="N958" s="130"/>
      <c r="O958" s="130"/>
      <c r="P958" s="130"/>
      <c r="Q958" s="130"/>
      <c r="R958" s="130"/>
      <c r="S958" s="130"/>
      <c r="T958" s="130"/>
      <c r="U958" s="130"/>
      <c r="V958" s="130"/>
      <c r="W958" s="130"/>
    </row>
    <row r="959">
      <c r="A959" s="130"/>
      <c r="B959" s="130"/>
      <c r="C959" s="130"/>
      <c r="D959" s="130"/>
      <c r="E959" s="130"/>
      <c r="F959" s="130"/>
      <c r="G959" s="130"/>
      <c r="H959" s="130"/>
      <c r="I959" s="130"/>
      <c r="J959" s="130"/>
      <c r="K959" s="239"/>
      <c r="L959" s="239"/>
      <c r="M959" s="130"/>
      <c r="N959" s="130"/>
      <c r="O959" s="130"/>
      <c r="P959" s="130"/>
      <c r="Q959" s="130"/>
      <c r="R959" s="130"/>
      <c r="S959" s="130"/>
      <c r="T959" s="130"/>
      <c r="U959" s="130"/>
      <c r="V959" s="130"/>
      <c r="W959" s="130"/>
    </row>
    <row r="960">
      <c r="A960" s="130"/>
      <c r="B960" s="130"/>
      <c r="C960" s="130"/>
      <c r="D960" s="130"/>
      <c r="E960" s="130"/>
      <c r="F960" s="130"/>
      <c r="G960" s="130"/>
      <c r="H960" s="130"/>
      <c r="I960" s="130"/>
      <c r="J960" s="130"/>
      <c r="K960" s="239"/>
      <c r="L960" s="239"/>
      <c r="M960" s="130"/>
      <c r="N960" s="130"/>
      <c r="O960" s="130"/>
      <c r="P960" s="130"/>
      <c r="Q960" s="130"/>
      <c r="R960" s="130"/>
      <c r="S960" s="130"/>
      <c r="T960" s="130"/>
      <c r="U960" s="130"/>
      <c r="V960" s="130"/>
      <c r="W960" s="130"/>
    </row>
    <row r="961">
      <c r="A961" s="130"/>
      <c r="B961" s="130"/>
      <c r="C961" s="130"/>
      <c r="D961" s="130"/>
      <c r="E961" s="130"/>
      <c r="F961" s="130"/>
      <c r="G961" s="130"/>
      <c r="H961" s="130"/>
      <c r="I961" s="130"/>
      <c r="J961" s="130"/>
      <c r="K961" s="239"/>
      <c r="L961" s="239"/>
      <c r="M961" s="130"/>
      <c r="N961" s="130"/>
      <c r="O961" s="130"/>
      <c r="P961" s="130"/>
      <c r="Q961" s="130"/>
      <c r="R961" s="130"/>
      <c r="S961" s="130"/>
      <c r="T961" s="130"/>
      <c r="U961" s="130"/>
      <c r="V961" s="130"/>
      <c r="W961" s="130"/>
    </row>
    <row r="962">
      <c r="A962" s="130"/>
      <c r="B962" s="130"/>
      <c r="C962" s="130"/>
      <c r="D962" s="130"/>
      <c r="E962" s="130"/>
      <c r="F962" s="130"/>
      <c r="G962" s="130"/>
      <c r="H962" s="130"/>
      <c r="I962" s="130"/>
      <c r="J962" s="130"/>
      <c r="K962" s="239"/>
      <c r="L962" s="239"/>
      <c r="M962" s="130"/>
      <c r="N962" s="130"/>
      <c r="O962" s="130"/>
      <c r="P962" s="130"/>
      <c r="Q962" s="130"/>
      <c r="R962" s="130"/>
      <c r="S962" s="130"/>
      <c r="T962" s="130"/>
      <c r="U962" s="130"/>
      <c r="V962" s="130"/>
      <c r="W962" s="130"/>
    </row>
    <row r="963">
      <c r="A963" s="130"/>
      <c r="B963" s="130"/>
      <c r="C963" s="130"/>
      <c r="D963" s="130"/>
      <c r="E963" s="130"/>
      <c r="F963" s="130"/>
      <c r="G963" s="130"/>
      <c r="H963" s="130"/>
      <c r="I963" s="130"/>
      <c r="J963" s="130"/>
      <c r="K963" s="239"/>
      <c r="L963" s="239"/>
      <c r="M963" s="130"/>
      <c r="N963" s="130"/>
      <c r="O963" s="130"/>
      <c r="P963" s="130"/>
      <c r="Q963" s="130"/>
      <c r="R963" s="130"/>
      <c r="S963" s="130"/>
      <c r="T963" s="130"/>
      <c r="U963" s="130"/>
      <c r="V963" s="130"/>
      <c r="W963" s="130"/>
    </row>
    <row r="964">
      <c r="A964" s="130"/>
      <c r="B964" s="130"/>
      <c r="C964" s="130"/>
      <c r="D964" s="130"/>
      <c r="E964" s="130"/>
      <c r="F964" s="130"/>
      <c r="G964" s="130"/>
      <c r="H964" s="130"/>
      <c r="I964" s="130"/>
      <c r="J964" s="130"/>
      <c r="K964" s="239"/>
      <c r="L964" s="239"/>
      <c r="M964" s="130"/>
      <c r="N964" s="130"/>
      <c r="O964" s="130"/>
      <c r="P964" s="130"/>
      <c r="Q964" s="130"/>
      <c r="R964" s="130"/>
      <c r="S964" s="130"/>
      <c r="T964" s="130"/>
      <c r="U964" s="130"/>
      <c r="V964" s="130"/>
      <c r="W964" s="130"/>
    </row>
    <row r="965">
      <c r="A965" s="130"/>
      <c r="B965" s="130"/>
      <c r="C965" s="130"/>
      <c r="D965" s="130"/>
      <c r="E965" s="130"/>
      <c r="F965" s="130"/>
      <c r="G965" s="130"/>
      <c r="H965" s="130"/>
      <c r="I965" s="130"/>
      <c r="J965" s="130"/>
      <c r="K965" s="239"/>
      <c r="L965" s="239"/>
      <c r="M965" s="130"/>
      <c r="N965" s="130"/>
      <c r="O965" s="130"/>
      <c r="P965" s="130"/>
      <c r="Q965" s="130"/>
      <c r="R965" s="130"/>
      <c r="S965" s="130"/>
      <c r="T965" s="130"/>
      <c r="U965" s="130"/>
      <c r="V965" s="130"/>
      <c r="W965" s="130"/>
    </row>
    <row r="966">
      <c r="A966" s="130"/>
      <c r="B966" s="130"/>
      <c r="C966" s="130"/>
      <c r="D966" s="130"/>
      <c r="E966" s="130"/>
      <c r="F966" s="130"/>
      <c r="G966" s="130"/>
      <c r="H966" s="130"/>
      <c r="I966" s="130"/>
      <c r="J966" s="130"/>
      <c r="K966" s="239"/>
      <c r="L966" s="239"/>
      <c r="M966" s="130"/>
      <c r="N966" s="130"/>
      <c r="O966" s="130"/>
      <c r="P966" s="130"/>
      <c r="Q966" s="130"/>
      <c r="R966" s="130"/>
      <c r="S966" s="130"/>
      <c r="T966" s="130"/>
      <c r="U966" s="130"/>
      <c r="V966" s="130"/>
      <c r="W966" s="130"/>
    </row>
    <row r="967">
      <c r="A967" s="130"/>
      <c r="B967" s="130"/>
      <c r="C967" s="130"/>
      <c r="D967" s="130"/>
      <c r="E967" s="130"/>
      <c r="F967" s="130"/>
      <c r="G967" s="130"/>
      <c r="H967" s="130"/>
      <c r="I967" s="130"/>
      <c r="J967" s="130"/>
      <c r="K967" s="239"/>
      <c r="L967" s="239"/>
      <c r="M967" s="130"/>
      <c r="N967" s="130"/>
      <c r="O967" s="130"/>
      <c r="P967" s="130"/>
      <c r="Q967" s="130"/>
      <c r="R967" s="130"/>
      <c r="S967" s="130"/>
      <c r="T967" s="130"/>
      <c r="U967" s="130"/>
      <c r="V967" s="130"/>
      <c r="W967" s="130"/>
    </row>
    <row r="968">
      <c r="A968" s="130"/>
      <c r="B968" s="130"/>
      <c r="C968" s="130"/>
      <c r="D968" s="130"/>
      <c r="E968" s="130"/>
      <c r="F968" s="130"/>
      <c r="G968" s="130"/>
      <c r="H968" s="130"/>
      <c r="I968" s="130"/>
      <c r="J968" s="130"/>
      <c r="K968" s="239"/>
      <c r="L968" s="239"/>
      <c r="M968" s="130"/>
      <c r="N968" s="130"/>
      <c r="O968" s="130"/>
      <c r="P968" s="130"/>
      <c r="Q968" s="130"/>
      <c r="R968" s="130"/>
      <c r="S968" s="130"/>
      <c r="T968" s="130"/>
      <c r="U968" s="130"/>
      <c r="V968" s="130"/>
      <c r="W968" s="130"/>
    </row>
    <row r="969">
      <c r="A969" s="130"/>
      <c r="B969" s="130"/>
      <c r="C969" s="130"/>
      <c r="D969" s="130"/>
      <c r="E969" s="130"/>
      <c r="F969" s="130"/>
      <c r="G969" s="130"/>
      <c r="H969" s="130"/>
      <c r="I969" s="130"/>
      <c r="J969" s="130"/>
      <c r="K969" s="239"/>
      <c r="L969" s="239"/>
      <c r="M969" s="130"/>
      <c r="N969" s="130"/>
      <c r="O969" s="130"/>
      <c r="P969" s="130"/>
      <c r="Q969" s="130"/>
      <c r="R969" s="130"/>
      <c r="S969" s="130"/>
      <c r="T969" s="130"/>
      <c r="U969" s="130"/>
      <c r="V969" s="130"/>
      <c r="W969" s="130"/>
    </row>
    <row r="970">
      <c r="A970" s="130"/>
      <c r="B970" s="130"/>
      <c r="C970" s="130"/>
      <c r="D970" s="130"/>
      <c r="E970" s="130"/>
      <c r="F970" s="130"/>
      <c r="G970" s="130"/>
      <c r="H970" s="130"/>
      <c r="I970" s="130"/>
      <c r="J970" s="130"/>
      <c r="K970" s="239"/>
      <c r="L970" s="239"/>
      <c r="M970" s="130"/>
      <c r="N970" s="130"/>
      <c r="O970" s="130"/>
      <c r="P970" s="130"/>
      <c r="Q970" s="130"/>
      <c r="R970" s="130"/>
      <c r="S970" s="130"/>
      <c r="T970" s="130"/>
      <c r="U970" s="130"/>
      <c r="V970" s="130"/>
      <c r="W970" s="130"/>
    </row>
    <row r="971">
      <c r="A971" s="130"/>
      <c r="B971" s="130"/>
      <c r="C971" s="130"/>
      <c r="D971" s="130"/>
      <c r="E971" s="130"/>
      <c r="F971" s="130"/>
      <c r="G971" s="130"/>
      <c r="H971" s="130"/>
      <c r="I971" s="130"/>
      <c r="J971" s="130"/>
      <c r="K971" s="239"/>
      <c r="L971" s="239"/>
      <c r="M971" s="130"/>
      <c r="N971" s="130"/>
      <c r="O971" s="130"/>
      <c r="P971" s="130"/>
      <c r="Q971" s="130"/>
      <c r="R971" s="130"/>
      <c r="S971" s="130"/>
      <c r="T971" s="130"/>
      <c r="U971" s="130"/>
      <c r="V971" s="130"/>
      <c r="W971" s="130"/>
    </row>
    <row r="972">
      <c r="A972" s="130"/>
      <c r="B972" s="130"/>
      <c r="C972" s="130"/>
      <c r="D972" s="130"/>
      <c r="E972" s="130"/>
      <c r="F972" s="130"/>
      <c r="G972" s="130"/>
      <c r="H972" s="130"/>
      <c r="I972" s="130"/>
      <c r="J972" s="130"/>
      <c r="K972" s="239"/>
      <c r="L972" s="239"/>
      <c r="M972" s="130"/>
      <c r="N972" s="130"/>
      <c r="O972" s="130"/>
      <c r="P972" s="130"/>
      <c r="Q972" s="130"/>
      <c r="R972" s="130"/>
      <c r="S972" s="130"/>
      <c r="T972" s="130"/>
      <c r="U972" s="130"/>
      <c r="V972" s="130"/>
      <c r="W972" s="130"/>
    </row>
    <row r="973">
      <c r="A973" s="130"/>
      <c r="B973" s="130"/>
      <c r="C973" s="130"/>
      <c r="D973" s="130"/>
      <c r="E973" s="130"/>
      <c r="F973" s="130"/>
      <c r="G973" s="130"/>
      <c r="H973" s="130"/>
      <c r="I973" s="130"/>
      <c r="J973" s="130"/>
      <c r="K973" s="239"/>
      <c r="L973" s="239"/>
      <c r="M973" s="130"/>
      <c r="N973" s="130"/>
      <c r="O973" s="130"/>
      <c r="P973" s="130"/>
      <c r="Q973" s="130"/>
      <c r="R973" s="130"/>
      <c r="S973" s="130"/>
      <c r="T973" s="130"/>
      <c r="U973" s="130"/>
      <c r="V973" s="130"/>
      <c r="W973" s="130"/>
    </row>
    <row r="974">
      <c r="A974" s="130"/>
      <c r="B974" s="130"/>
      <c r="C974" s="130"/>
      <c r="D974" s="130"/>
      <c r="E974" s="130"/>
      <c r="F974" s="130"/>
      <c r="G974" s="130"/>
      <c r="H974" s="130"/>
      <c r="I974" s="130"/>
      <c r="J974" s="130"/>
      <c r="K974" s="239"/>
      <c r="L974" s="239"/>
      <c r="M974" s="130"/>
      <c r="N974" s="130"/>
      <c r="O974" s="130"/>
      <c r="P974" s="130"/>
      <c r="Q974" s="130"/>
      <c r="R974" s="130"/>
      <c r="S974" s="130"/>
      <c r="T974" s="130"/>
      <c r="U974" s="130"/>
      <c r="V974" s="130"/>
      <c r="W974" s="130"/>
    </row>
    <row r="975">
      <c r="A975" s="130"/>
      <c r="B975" s="130"/>
      <c r="C975" s="130"/>
      <c r="D975" s="130"/>
      <c r="E975" s="130"/>
      <c r="F975" s="130"/>
      <c r="G975" s="130"/>
      <c r="H975" s="130"/>
      <c r="I975" s="130"/>
      <c r="J975" s="130"/>
      <c r="K975" s="239"/>
      <c r="L975" s="239"/>
      <c r="M975" s="130"/>
      <c r="N975" s="130"/>
      <c r="O975" s="130"/>
      <c r="P975" s="130"/>
      <c r="Q975" s="130"/>
      <c r="R975" s="130"/>
      <c r="S975" s="130"/>
      <c r="T975" s="130"/>
      <c r="U975" s="130"/>
      <c r="V975" s="130"/>
      <c r="W975" s="130"/>
    </row>
    <row r="976">
      <c r="A976" s="130"/>
      <c r="B976" s="130"/>
      <c r="C976" s="130"/>
      <c r="D976" s="130"/>
      <c r="E976" s="130"/>
      <c r="F976" s="130"/>
      <c r="G976" s="130"/>
      <c r="H976" s="130"/>
      <c r="I976" s="130"/>
      <c r="J976" s="130"/>
      <c r="K976" s="239"/>
      <c r="L976" s="239"/>
      <c r="M976" s="130"/>
      <c r="N976" s="130"/>
      <c r="O976" s="130"/>
      <c r="P976" s="130"/>
      <c r="Q976" s="130"/>
      <c r="R976" s="130"/>
      <c r="S976" s="130"/>
      <c r="T976" s="130"/>
      <c r="U976" s="130"/>
      <c r="V976" s="130"/>
      <c r="W976" s="130"/>
    </row>
    <row r="977">
      <c r="A977" s="130"/>
      <c r="B977" s="130"/>
      <c r="C977" s="130"/>
      <c r="D977" s="130"/>
      <c r="E977" s="130"/>
      <c r="F977" s="130"/>
      <c r="G977" s="130"/>
      <c r="H977" s="130"/>
      <c r="I977" s="130"/>
      <c r="J977" s="130"/>
      <c r="K977" s="239"/>
      <c r="L977" s="239"/>
      <c r="M977" s="130"/>
      <c r="N977" s="130"/>
      <c r="O977" s="130"/>
      <c r="P977" s="130"/>
      <c r="Q977" s="130"/>
      <c r="R977" s="130"/>
      <c r="S977" s="130"/>
      <c r="T977" s="130"/>
      <c r="U977" s="130"/>
      <c r="V977" s="130"/>
      <c r="W977" s="130"/>
    </row>
    <row r="978">
      <c r="A978" s="130"/>
      <c r="B978" s="130"/>
      <c r="C978" s="130"/>
      <c r="D978" s="130"/>
      <c r="E978" s="130"/>
      <c r="F978" s="130"/>
      <c r="G978" s="130"/>
      <c r="H978" s="130"/>
      <c r="I978" s="130"/>
      <c r="J978" s="130"/>
      <c r="K978" s="239"/>
      <c r="L978" s="239"/>
      <c r="M978" s="130"/>
      <c r="N978" s="130"/>
      <c r="O978" s="130"/>
      <c r="P978" s="130"/>
      <c r="Q978" s="130"/>
      <c r="R978" s="130"/>
      <c r="S978" s="130"/>
      <c r="T978" s="130"/>
      <c r="U978" s="130"/>
      <c r="V978" s="130"/>
      <c r="W978" s="130"/>
    </row>
    <row r="979">
      <c r="A979" s="130"/>
      <c r="B979" s="130"/>
      <c r="C979" s="130"/>
      <c r="D979" s="130"/>
      <c r="E979" s="130"/>
      <c r="F979" s="130"/>
      <c r="G979" s="130"/>
      <c r="H979" s="130"/>
      <c r="I979" s="130"/>
      <c r="J979" s="130"/>
      <c r="K979" s="239"/>
      <c r="L979" s="239"/>
      <c r="M979" s="130"/>
      <c r="N979" s="130"/>
      <c r="O979" s="130"/>
      <c r="P979" s="130"/>
      <c r="Q979" s="130"/>
      <c r="R979" s="130"/>
      <c r="S979" s="130"/>
      <c r="T979" s="130"/>
      <c r="U979" s="130"/>
      <c r="V979" s="130"/>
      <c r="W979" s="130"/>
    </row>
    <row r="980">
      <c r="A980" s="130"/>
      <c r="B980" s="130"/>
      <c r="C980" s="130"/>
      <c r="D980" s="130"/>
      <c r="E980" s="130"/>
      <c r="F980" s="130"/>
      <c r="G980" s="130"/>
      <c r="H980" s="130"/>
      <c r="I980" s="130"/>
      <c r="J980" s="130"/>
      <c r="K980" s="239"/>
      <c r="L980" s="239"/>
      <c r="M980" s="130"/>
      <c r="N980" s="130"/>
      <c r="O980" s="130"/>
      <c r="P980" s="130"/>
      <c r="Q980" s="130"/>
      <c r="R980" s="130"/>
      <c r="S980" s="130"/>
      <c r="T980" s="130"/>
      <c r="U980" s="130"/>
      <c r="V980" s="130"/>
      <c r="W980" s="130"/>
    </row>
    <row r="981">
      <c r="A981" s="130"/>
      <c r="B981" s="130"/>
      <c r="C981" s="130"/>
      <c r="D981" s="130"/>
      <c r="E981" s="130"/>
      <c r="F981" s="130"/>
      <c r="G981" s="130"/>
      <c r="H981" s="130"/>
      <c r="I981" s="130"/>
      <c r="J981" s="130"/>
      <c r="K981" s="239"/>
      <c r="L981" s="239"/>
      <c r="M981" s="130"/>
      <c r="N981" s="130"/>
      <c r="O981" s="130"/>
      <c r="P981" s="130"/>
      <c r="Q981" s="130"/>
      <c r="R981" s="130"/>
      <c r="S981" s="130"/>
      <c r="T981" s="130"/>
      <c r="U981" s="130"/>
      <c r="V981" s="130"/>
      <c r="W981" s="130"/>
    </row>
    <row r="982">
      <c r="A982" s="130"/>
      <c r="B982" s="130"/>
      <c r="C982" s="130"/>
      <c r="D982" s="130"/>
      <c r="E982" s="130"/>
      <c r="F982" s="130"/>
      <c r="G982" s="130"/>
      <c r="H982" s="130"/>
      <c r="I982" s="130"/>
      <c r="J982" s="130"/>
      <c r="K982" s="239"/>
      <c r="L982" s="239"/>
      <c r="M982" s="130"/>
      <c r="N982" s="130"/>
      <c r="O982" s="130"/>
      <c r="P982" s="130"/>
      <c r="Q982" s="130"/>
      <c r="R982" s="130"/>
      <c r="S982" s="130"/>
      <c r="T982" s="130"/>
      <c r="U982" s="130"/>
      <c r="V982" s="130"/>
      <c r="W982" s="130"/>
    </row>
    <row r="983">
      <c r="A983" s="130"/>
      <c r="B983" s="130"/>
      <c r="C983" s="130"/>
      <c r="D983" s="130"/>
      <c r="E983" s="130"/>
      <c r="F983" s="130"/>
      <c r="G983" s="130"/>
      <c r="H983" s="130"/>
      <c r="I983" s="130"/>
      <c r="J983" s="130"/>
      <c r="K983" s="239"/>
      <c r="L983" s="239"/>
      <c r="M983" s="130"/>
      <c r="N983" s="130"/>
      <c r="O983" s="130"/>
      <c r="P983" s="130"/>
      <c r="Q983" s="130"/>
      <c r="R983" s="130"/>
      <c r="S983" s="130"/>
      <c r="T983" s="130"/>
      <c r="U983" s="130"/>
      <c r="V983" s="130"/>
      <c r="W983" s="130"/>
    </row>
    <row r="984">
      <c r="A984" s="130"/>
      <c r="B984" s="130"/>
      <c r="C984" s="130"/>
      <c r="D984" s="130"/>
      <c r="E984" s="130"/>
      <c r="F984" s="130"/>
      <c r="G984" s="130"/>
      <c r="H984" s="130"/>
      <c r="I984" s="130"/>
      <c r="J984" s="130"/>
      <c r="K984" s="239"/>
      <c r="L984" s="239"/>
      <c r="M984" s="130"/>
      <c r="N984" s="130"/>
      <c r="O984" s="130"/>
      <c r="P984" s="130"/>
      <c r="Q984" s="130"/>
      <c r="R984" s="130"/>
      <c r="S984" s="130"/>
      <c r="T984" s="130"/>
      <c r="U984" s="130"/>
      <c r="V984" s="130"/>
      <c r="W984" s="130"/>
    </row>
    <row r="985">
      <c r="A985" s="130"/>
      <c r="B985" s="130"/>
      <c r="C985" s="130"/>
      <c r="D985" s="130"/>
      <c r="E985" s="130"/>
      <c r="F985" s="130"/>
      <c r="G985" s="130"/>
      <c r="H985" s="130"/>
      <c r="I985" s="130"/>
      <c r="J985" s="130"/>
      <c r="K985" s="239"/>
      <c r="L985" s="239"/>
      <c r="M985" s="130"/>
      <c r="N985" s="130"/>
      <c r="O985" s="130"/>
      <c r="P985" s="130"/>
      <c r="Q985" s="130"/>
      <c r="R985" s="130"/>
      <c r="S985" s="130"/>
      <c r="T985" s="130"/>
      <c r="U985" s="130"/>
      <c r="V985" s="130"/>
      <c r="W985" s="130"/>
    </row>
    <row r="986">
      <c r="A986" s="130"/>
      <c r="B986" s="130"/>
      <c r="C986" s="130"/>
      <c r="D986" s="130"/>
      <c r="E986" s="130"/>
      <c r="F986" s="130"/>
      <c r="G986" s="130"/>
      <c r="H986" s="130"/>
      <c r="I986" s="130"/>
      <c r="J986" s="130"/>
      <c r="K986" s="239"/>
      <c r="L986" s="239"/>
      <c r="M986" s="130"/>
      <c r="N986" s="130"/>
      <c r="O986" s="130"/>
      <c r="P986" s="130"/>
      <c r="Q986" s="130"/>
      <c r="R986" s="130"/>
      <c r="S986" s="130"/>
      <c r="T986" s="130"/>
      <c r="U986" s="130"/>
      <c r="V986" s="130"/>
      <c r="W986" s="130"/>
    </row>
    <row r="987">
      <c r="A987" s="130"/>
      <c r="B987" s="130"/>
      <c r="C987" s="130"/>
      <c r="D987" s="130"/>
      <c r="E987" s="130"/>
      <c r="F987" s="130"/>
      <c r="G987" s="130"/>
      <c r="H987" s="130"/>
      <c r="I987" s="130"/>
      <c r="J987" s="130"/>
      <c r="K987" s="239"/>
      <c r="L987" s="239"/>
      <c r="M987" s="130"/>
      <c r="N987" s="130"/>
      <c r="O987" s="130"/>
      <c r="P987" s="130"/>
      <c r="Q987" s="130"/>
      <c r="R987" s="130"/>
      <c r="S987" s="130"/>
      <c r="T987" s="130"/>
      <c r="U987" s="130"/>
      <c r="V987" s="130"/>
      <c r="W987" s="130"/>
    </row>
    <row r="988">
      <c r="A988" s="130"/>
      <c r="B988" s="130"/>
      <c r="C988" s="130"/>
      <c r="D988" s="130"/>
      <c r="E988" s="130"/>
      <c r="F988" s="130"/>
      <c r="G988" s="130"/>
      <c r="H988" s="130"/>
      <c r="I988" s="130"/>
      <c r="J988" s="130"/>
      <c r="K988" s="239"/>
      <c r="L988" s="239"/>
      <c r="M988" s="130"/>
      <c r="N988" s="130"/>
      <c r="O988" s="130"/>
      <c r="P988" s="130"/>
      <c r="Q988" s="130"/>
      <c r="R988" s="130"/>
      <c r="S988" s="130"/>
      <c r="T988" s="130"/>
      <c r="U988" s="130"/>
      <c r="V988" s="130"/>
      <c r="W988" s="130"/>
    </row>
    <row r="989">
      <c r="A989" s="130"/>
      <c r="B989" s="130"/>
      <c r="C989" s="130"/>
      <c r="D989" s="130"/>
      <c r="E989" s="130"/>
      <c r="F989" s="130"/>
      <c r="G989" s="130"/>
      <c r="H989" s="130"/>
      <c r="I989" s="130"/>
      <c r="J989" s="130"/>
      <c r="K989" s="239"/>
      <c r="L989" s="239"/>
      <c r="M989" s="130"/>
      <c r="N989" s="130"/>
      <c r="O989" s="130"/>
      <c r="P989" s="130"/>
      <c r="Q989" s="130"/>
      <c r="R989" s="130"/>
      <c r="S989" s="130"/>
      <c r="T989" s="130"/>
      <c r="U989" s="130"/>
      <c r="V989" s="130"/>
      <c r="W989" s="130"/>
    </row>
    <row r="990">
      <c r="A990" s="130"/>
      <c r="B990" s="130"/>
      <c r="C990" s="130"/>
      <c r="D990" s="130"/>
      <c r="E990" s="130"/>
      <c r="F990" s="130"/>
      <c r="G990" s="130"/>
      <c r="H990" s="130"/>
      <c r="I990" s="130"/>
      <c r="J990" s="130"/>
      <c r="K990" s="239"/>
      <c r="L990" s="239"/>
      <c r="M990" s="130"/>
      <c r="N990" s="130"/>
      <c r="O990" s="130"/>
      <c r="P990" s="130"/>
      <c r="Q990" s="130"/>
      <c r="R990" s="130"/>
      <c r="S990" s="130"/>
      <c r="T990" s="130"/>
      <c r="U990" s="130"/>
      <c r="V990" s="130"/>
      <c r="W990" s="130"/>
    </row>
    <row r="991">
      <c r="A991" s="130"/>
      <c r="B991" s="130"/>
      <c r="C991" s="130"/>
      <c r="D991" s="130"/>
      <c r="E991" s="130"/>
      <c r="F991" s="130"/>
      <c r="G991" s="130"/>
      <c r="H991" s="130"/>
      <c r="I991" s="130"/>
      <c r="J991" s="130"/>
      <c r="K991" s="239"/>
      <c r="L991" s="239"/>
      <c r="M991" s="130"/>
      <c r="N991" s="130"/>
      <c r="O991" s="130"/>
      <c r="P991" s="130"/>
      <c r="Q991" s="130"/>
      <c r="R991" s="130"/>
      <c r="S991" s="130"/>
      <c r="T991" s="130"/>
      <c r="U991" s="130"/>
      <c r="V991" s="130"/>
      <c r="W991" s="130"/>
    </row>
    <row r="992">
      <c r="A992" s="130"/>
      <c r="B992" s="130"/>
      <c r="C992" s="130"/>
      <c r="D992" s="130"/>
      <c r="E992" s="130"/>
      <c r="F992" s="130"/>
      <c r="G992" s="130"/>
      <c r="H992" s="130"/>
      <c r="I992" s="130"/>
      <c r="J992" s="130"/>
      <c r="K992" s="239"/>
      <c r="L992" s="239"/>
      <c r="M992" s="130"/>
      <c r="N992" s="130"/>
      <c r="O992" s="130"/>
      <c r="P992" s="130"/>
      <c r="Q992" s="130"/>
      <c r="R992" s="130"/>
      <c r="S992" s="130"/>
      <c r="T992" s="130"/>
      <c r="U992" s="130"/>
      <c r="V992" s="130"/>
      <c r="W992" s="130"/>
    </row>
    <row r="993">
      <c r="A993" s="130"/>
      <c r="B993" s="130"/>
      <c r="C993" s="130"/>
      <c r="D993" s="130"/>
      <c r="E993" s="130"/>
      <c r="F993" s="130"/>
      <c r="G993" s="130"/>
      <c r="H993" s="130"/>
      <c r="I993" s="130"/>
      <c r="J993" s="130"/>
      <c r="K993" s="239"/>
      <c r="L993" s="239"/>
      <c r="M993" s="130"/>
      <c r="N993" s="130"/>
      <c r="O993" s="130"/>
      <c r="P993" s="130"/>
      <c r="Q993" s="130"/>
      <c r="R993" s="130"/>
      <c r="S993" s="130"/>
      <c r="T993" s="130"/>
      <c r="U993" s="130"/>
      <c r="V993" s="130"/>
      <c r="W993" s="130"/>
    </row>
    <row r="994">
      <c r="A994" s="130"/>
      <c r="B994" s="130"/>
      <c r="C994" s="130"/>
      <c r="D994" s="130"/>
      <c r="E994" s="130"/>
      <c r="F994" s="130"/>
      <c r="G994" s="130"/>
      <c r="H994" s="130"/>
      <c r="I994" s="130"/>
      <c r="J994" s="130"/>
      <c r="K994" s="239"/>
      <c r="L994" s="239"/>
      <c r="M994" s="130"/>
      <c r="N994" s="130"/>
      <c r="O994" s="130"/>
      <c r="P994" s="130"/>
      <c r="Q994" s="130"/>
      <c r="R994" s="130"/>
      <c r="S994" s="130"/>
      <c r="T994" s="130"/>
      <c r="U994" s="130"/>
      <c r="V994" s="130"/>
      <c r="W994" s="130"/>
    </row>
    <row r="995">
      <c r="A995" s="130"/>
      <c r="B995" s="130"/>
      <c r="C995" s="130"/>
      <c r="D995" s="130"/>
      <c r="E995" s="130"/>
      <c r="F995" s="130"/>
      <c r="G995" s="130"/>
      <c r="H995" s="130"/>
      <c r="I995" s="130"/>
      <c r="J995" s="130"/>
      <c r="K995" s="239"/>
      <c r="L995" s="239"/>
      <c r="M995" s="130"/>
      <c r="N995" s="130"/>
      <c r="O995" s="130"/>
      <c r="P995" s="130"/>
      <c r="Q995" s="130"/>
      <c r="R995" s="130"/>
      <c r="S995" s="130"/>
      <c r="T995" s="130"/>
      <c r="U995" s="130"/>
      <c r="V995" s="130"/>
      <c r="W995" s="130"/>
    </row>
    <row r="996">
      <c r="A996" s="130"/>
      <c r="B996" s="130"/>
      <c r="C996" s="130"/>
      <c r="D996" s="130"/>
      <c r="E996" s="130"/>
      <c r="F996" s="130"/>
      <c r="G996" s="130"/>
      <c r="H996" s="130"/>
      <c r="I996" s="130"/>
      <c r="J996" s="130"/>
      <c r="K996" s="239"/>
      <c r="L996" s="239"/>
      <c r="M996" s="130"/>
      <c r="N996" s="130"/>
      <c r="O996" s="130"/>
      <c r="P996" s="130"/>
      <c r="Q996" s="130"/>
      <c r="R996" s="130"/>
      <c r="S996" s="130"/>
      <c r="T996" s="130"/>
      <c r="U996" s="130"/>
      <c r="V996" s="130"/>
      <c r="W996" s="130"/>
    </row>
    <row r="997">
      <c r="A997" s="130"/>
      <c r="B997" s="130"/>
      <c r="C997" s="130"/>
      <c r="D997" s="130"/>
      <c r="E997" s="130"/>
      <c r="F997" s="130"/>
      <c r="G997" s="130"/>
      <c r="H997" s="130"/>
      <c r="I997" s="130"/>
      <c r="J997" s="130"/>
      <c r="K997" s="239"/>
      <c r="L997" s="239"/>
      <c r="M997" s="130"/>
      <c r="N997" s="130"/>
      <c r="O997" s="130"/>
      <c r="P997" s="130"/>
      <c r="Q997" s="130"/>
      <c r="R997" s="130"/>
      <c r="S997" s="130"/>
      <c r="T997" s="130"/>
      <c r="U997" s="130"/>
      <c r="V997" s="130"/>
      <c r="W997" s="130"/>
    </row>
    <row r="998">
      <c r="A998" s="130"/>
      <c r="B998" s="130"/>
      <c r="C998" s="130"/>
      <c r="D998" s="130"/>
      <c r="E998" s="130"/>
      <c r="F998" s="130"/>
      <c r="G998" s="130"/>
      <c r="H998" s="130"/>
      <c r="I998" s="130"/>
      <c r="J998" s="130"/>
      <c r="K998" s="239"/>
      <c r="L998" s="239"/>
      <c r="M998" s="130"/>
      <c r="N998" s="130"/>
      <c r="O998" s="130"/>
      <c r="P998" s="130"/>
      <c r="Q998" s="130"/>
      <c r="R998" s="130"/>
      <c r="S998" s="130"/>
      <c r="T998" s="130"/>
      <c r="U998" s="130"/>
      <c r="V998" s="130"/>
      <c r="W998" s="130"/>
    </row>
    <row r="999">
      <c r="A999" s="130"/>
      <c r="B999" s="130"/>
      <c r="C999" s="130"/>
      <c r="D999" s="130"/>
      <c r="E999" s="130"/>
      <c r="F999" s="130"/>
      <c r="G999" s="130"/>
      <c r="H999" s="130"/>
      <c r="I999" s="130"/>
      <c r="J999" s="130"/>
      <c r="K999" s="239"/>
      <c r="L999" s="239"/>
      <c r="M999" s="130"/>
      <c r="N999" s="130"/>
      <c r="O999" s="130"/>
      <c r="P999" s="130"/>
      <c r="Q999" s="130"/>
      <c r="R999" s="130"/>
      <c r="S999" s="130"/>
      <c r="T999" s="130"/>
      <c r="U999" s="130"/>
      <c r="V999" s="130"/>
      <c r="W999" s="130"/>
    </row>
    <row r="1000">
      <c r="A1000" s="130"/>
      <c r="B1000" s="130"/>
      <c r="C1000" s="130"/>
      <c r="D1000" s="130"/>
      <c r="E1000" s="130"/>
      <c r="F1000" s="130"/>
      <c r="G1000" s="130"/>
      <c r="H1000" s="130"/>
      <c r="I1000" s="130"/>
      <c r="J1000" s="130"/>
      <c r="K1000" s="239"/>
      <c r="L1000" s="239"/>
      <c r="M1000" s="130"/>
      <c r="N1000" s="130"/>
      <c r="O1000" s="130"/>
      <c r="P1000" s="130"/>
      <c r="Q1000" s="130"/>
      <c r="R1000" s="130"/>
      <c r="S1000" s="130"/>
      <c r="T1000" s="130"/>
      <c r="U1000" s="130"/>
      <c r="V1000" s="130"/>
      <c r="W1000" s="130"/>
    </row>
    <row r="1001">
      <c r="A1001" s="130"/>
      <c r="B1001" s="130"/>
      <c r="C1001" s="130"/>
      <c r="D1001" s="130"/>
      <c r="E1001" s="130"/>
      <c r="F1001" s="130"/>
      <c r="G1001" s="130"/>
      <c r="H1001" s="130"/>
      <c r="I1001" s="130"/>
      <c r="J1001" s="130"/>
      <c r="K1001" s="130"/>
      <c r="L1001" s="130"/>
      <c r="M1001" s="130"/>
      <c r="N1001" s="130"/>
      <c r="O1001" s="130"/>
      <c r="P1001" s="130"/>
      <c r="Q1001" s="130"/>
      <c r="R1001" s="130"/>
      <c r="S1001" s="130"/>
      <c r="T1001" s="130"/>
      <c r="U1001" s="130"/>
      <c r="V1001" s="130"/>
      <c r="W1001" s="130"/>
    </row>
    <row r="1002">
      <c r="A1002" s="130"/>
      <c r="B1002" s="130"/>
      <c r="C1002" s="130"/>
      <c r="D1002" s="130"/>
      <c r="E1002" s="130"/>
      <c r="F1002" s="130"/>
      <c r="G1002" s="130"/>
      <c r="H1002" s="130"/>
      <c r="I1002" s="130"/>
      <c r="J1002" s="130"/>
      <c r="K1002" s="130"/>
      <c r="L1002" s="130"/>
      <c r="M1002" s="130"/>
      <c r="N1002" s="130"/>
      <c r="O1002" s="130"/>
      <c r="P1002" s="130"/>
      <c r="Q1002" s="130"/>
      <c r="R1002" s="130"/>
      <c r="S1002" s="130"/>
      <c r="T1002" s="130"/>
      <c r="U1002" s="130"/>
      <c r="V1002" s="130"/>
      <c r="W1002" s="130"/>
    </row>
    <row r="1003">
      <c r="A1003" s="130"/>
      <c r="B1003" s="130"/>
      <c r="C1003" s="130"/>
      <c r="D1003" s="130"/>
      <c r="E1003" s="130"/>
      <c r="F1003" s="130"/>
      <c r="G1003" s="130"/>
      <c r="H1003" s="130"/>
      <c r="I1003" s="130"/>
      <c r="J1003" s="130"/>
      <c r="K1003" s="130"/>
      <c r="L1003" s="130"/>
      <c r="M1003" s="130"/>
      <c r="N1003" s="130"/>
      <c r="O1003" s="130"/>
      <c r="P1003" s="130"/>
      <c r="Q1003" s="130"/>
      <c r="R1003" s="130"/>
      <c r="S1003" s="130"/>
      <c r="T1003" s="130"/>
      <c r="U1003" s="130"/>
      <c r="V1003" s="130"/>
      <c r="W1003" s="130"/>
    </row>
    <row r="1004">
      <c r="A1004" s="130"/>
      <c r="B1004" s="130"/>
      <c r="C1004" s="130"/>
      <c r="D1004" s="130"/>
      <c r="E1004" s="130"/>
      <c r="F1004" s="130"/>
      <c r="G1004" s="130"/>
      <c r="H1004" s="130"/>
      <c r="I1004" s="130"/>
      <c r="J1004" s="130"/>
      <c r="K1004" s="130"/>
      <c r="L1004" s="130"/>
      <c r="M1004" s="130"/>
      <c r="N1004" s="130"/>
      <c r="O1004" s="130"/>
      <c r="P1004" s="130"/>
      <c r="Q1004" s="130"/>
      <c r="R1004" s="130"/>
      <c r="S1004" s="130"/>
      <c r="T1004" s="130"/>
      <c r="U1004" s="130"/>
      <c r="V1004" s="130"/>
      <c r="W1004" s="130"/>
    </row>
    <row r="1005">
      <c r="A1005" s="130"/>
      <c r="B1005" s="130"/>
      <c r="C1005" s="130"/>
      <c r="D1005" s="130"/>
      <c r="E1005" s="130"/>
      <c r="F1005" s="130"/>
      <c r="G1005" s="130"/>
      <c r="H1005" s="130"/>
      <c r="I1005" s="130"/>
      <c r="J1005" s="130"/>
      <c r="K1005" s="130"/>
      <c r="L1005" s="130"/>
      <c r="M1005" s="130"/>
      <c r="N1005" s="130"/>
      <c r="O1005" s="130"/>
      <c r="P1005" s="130"/>
      <c r="Q1005" s="130"/>
      <c r="R1005" s="130"/>
      <c r="S1005" s="130"/>
      <c r="T1005" s="130"/>
      <c r="U1005" s="130"/>
      <c r="V1005" s="130"/>
      <c r="W1005" s="130"/>
    </row>
    <row r="1006">
      <c r="A1006" s="130"/>
      <c r="B1006" s="130"/>
      <c r="C1006" s="130"/>
      <c r="D1006" s="130"/>
      <c r="E1006" s="130"/>
      <c r="F1006" s="130"/>
      <c r="G1006" s="130"/>
      <c r="H1006" s="130"/>
      <c r="I1006" s="130"/>
      <c r="J1006" s="130"/>
      <c r="K1006" s="130"/>
      <c r="L1006" s="130"/>
      <c r="M1006" s="130"/>
      <c r="N1006" s="130"/>
      <c r="O1006" s="130"/>
      <c r="P1006" s="130"/>
      <c r="Q1006" s="130"/>
      <c r="R1006" s="130"/>
      <c r="S1006" s="130"/>
      <c r="T1006" s="130"/>
      <c r="U1006" s="130"/>
      <c r="V1006" s="130"/>
      <c r="W1006" s="130"/>
    </row>
    <row r="1007">
      <c r="A1007" s="130"/>
      <c r="B1007" s="130"/>
      <c r="C1007" s="130"/>
      <c r="D1007" s="130"/>
      <c r="E1007" s="130"/>
      <c r="F1007" s="130"/>
      <c r="G1007" s="130"/>
      <c r="H1007" s="130"/>
      <c r="I1007" s="130"/>
      <c r="J1007" s="130"/>
      <c r="K1007" s="130"/>
      <c r="L1007" s="130"/>
      <c r="M1007" s="130"/>
      <c r="N1007" s="130"/>
      <c r="O1007" s="130"/>
      <c r="P1007" s="130"/>
      <c r="Q1007" s="130"/>
      <c r="R1007" s="130"/>
      <c r="S1007" s="130"/>
      <c r="T1007" s="130"/>
      <c r="U1007" s="130"/>
      <c r="V1007" s="130"/>
      <c r="W1007" s="130"/>
    </row>
    <row r="1008">
      <c r="A1008" s="130"/>
      <c r="B1008" s="130"/>
      <c r="C1008" s="130"/>
      <c r="D1008" s="130"/>
      <c r="E1008" s="130"/>
      <c r="F1008" s="130"/>
      <c r="G1008" s="130"/>
      <c r="H1008" s="130"/>
      <c r="I1008" s="130"/>
      <c r="J1008" s="130"/>
      <c r="K1008" s="130"/>
      <c r="L1008" s="130"/>
      <c r="M1008" s="130"/>
      <c r="N1008" s="130"/>
      <c r="O1008" s="130"/>
      <c r="P1008" s="130"/>
      <c r="Q1008" s="130"/>
      <c r="R1008" s="130"/>
      <c r="S1008" s="130"/>
      <c r="T1008" s="130"/>
      <c r="U1008" s="130"/>
      <c r="V1008" s="130"/>
      <c r="W1008" s="130"/>
    </row>
    <row r="1009">
      <c r="A1009" s="130"/>
      <c r="B1009" s="130"/>
      <c r="C1009" s="130"/>
      <c r="D1009" s="130"/>
      <c r="E1009" s="130"/>
      <c r="F1009" s="130"/>
      <c r="G1009" s="130"/>
      <c r="H1009" s="130"/>
      <c r="I1009" s="130"/>
      <c r="J1009" s="130"/>
      <c r="K1009" s="130"/>
      <c r="L1009" s="130"/>
      <c r="M1009" s="130"/>
      <c r="N1009" s="130"/>
      <c r="O1009" s="130"/>
      <c r="P1009" s="130"/>
      <c r="Q1009" s="130"/>
      <c r="R1009" s="130"/>
      <c r="S1009" s="130"/>
      <c r="T1009" s="130"/>
      <c r="U1009" s="130"/>
      <c r="V1009" s="130"/>
      <c r="W1009" s="130"/>
    </row>
    <row r="1010">
      <c r="A1010" s="130"/>
      <c r="B1010" s="130"/>
      <c r="C1010" s="130"/>
      <c r="D1010" s="130"/>
      <c r="E1010" s="130"/>
      <c r="F1010" s="130"/>
      <c r="G1010" s="130"/>
      <c r="H1010" s="130"/>
      <c r="I1010" s="130"/>
      <c r="J1010" s="130"/>
      <c r="K1010" s="130"/>
      <c r="L1010" s="130"/>
      <c r="M1010" s="130"/>
      <c r="N1010" s="130"/>
      <c r="O1010" s="130"/>
      <c r="P1010" s="130"/>
      <c r="Q1010" s="130"/>
      <c r="R1010" s="130"/>
      <c r="S1010" s="130"/>
      <c r="T1010" s="130"/>
      <c r="U1010" s="130"/>
      <c r="V1010" s="130"/>
      <c r="W1010" s="130"/>
    </row>
    <row r="1011">
      <c r="A1011" s="130"/>
      <c r="B1011" s="130"/>
      <c r="C1011" s="130"/>
      <c r="D1011" s="130"/>
      <c r="E1011" s="130"/>
      <c r="F1011" s="130"/>
      <c r="G1011" s="130"/>
      <c r="H1011" s="130"/>
      <c r="I1011" s="130"/>
      <c r="J1011" s="130"/>
      <c r="K1011" s="130"/>
      <c r="L1011" s="130"/>
      <c r="M1011" s="130"/>
      <c r="N1011" s="130"/>
      <c r="O1011" s="130"/>
      <c r="P1011" s="130"/>
      <c r="Q1011" s="130"/>
      <c r="R1011" s="130"/>
      <c r="S1011" s="130"/>
      <c r="T1011" s="130"/>
      <c r="U1011" s="130"/>
      <c r="V1011" s="130"/>
      <c r="W1011" s="130"/>
    </row>
    <row r="1012">
      <c r="A1012" s="130"/>
      <c r="B1012" s="130"/>
      <c r="C1012" s="130"/>
      <c r="D1012" s="130"/>
      <c r="E1012" s="130"/>
      <c r="F1012" s="130"/>
      <c r="G1012" s="130"/>
      <c r="H1012" s="130"/>
      <c r="I1012" s="130"/>
      <c r="J1012" s="130"/>
      <c r="K1012" s="130"/>
      <c r="L1012" s="130"/>
      <c r="M1012" s="130"/>
      <c r="N1012" s="130"/>
      <c r="O1012" s="130"/>
      <c r="P1012" s="130"/>
      <c r="Q1012" s="130"/>
      <c r="R1012" s="130"/>
      <c r="S1012" s="130"/>
      <c r="T1012" s="130"/>
      <c r="U1012" s="130"/>
      <c r="V1012" s="130"/>
      <c r="W1012" s="130"/>
    </row>
    <row r="1013">
      <c r="A1013" s="130"/>
      <c r="B1013" s="130"/>
      <c r="C1013" s="130"/>
      <c r="D1013" s="130"/>
      <c r="E1013" s="130"/>
      <c r="F1013" s="130"/>
      <c r="G1013" s="130"/>
      <c r="H1013" s="130"/>
      <c r="I1013" s="130"/>
      <c r="J1013" s="130"/>
      <c r="K1013" s="130"/>
      <c r="L1013" s="130"/>
      <c r="M1013" s="130"/>
      <c r="N1013" s="130"/>
      <c r="O1013" s="130"/>
      <c r="P1013" s="130"/>
      <c r="Q1013" s="130"/>
      <c r="R1013" s="130"/>
      <c r="S1013" s="130"/>
      <c r="T1013" s="130"/>
      <c r="U1013" s="130"/>
      <c r="V1013" s="130"/>
      <c r="W1013" s="130"/>
    </row>
    <row r="1014">
      <c r="A1014" s="130"/>
      <c r="B1014" s="130"/>
      <c r="C1014" s="130"/>
      <c r="D1014" s="130"/>
      <c r="E1014" s="130"/>
      <c r="F1014" s="130"/>
      <c r="G1014" s="130"/>
      <c r="H1014" s="130"/>
      <c r="I1014" s="130"/>
      <c r="J1014" s="130"/>
      <c r="K1014" s="130"/>
      <c r="L1014" s="130"/>
      <c r="M1014" s="130"/>
      <c r="N1014" s="130"/>
      <c r="O1014" s="130"/>
      <c r="P1014" s="130"/>
      <c r="Q1014" s="130"/>
      <c r="R1014" s="130"/>
      <c r="S1014" s="130"/>
      <c r="T1014" s="130"/>
      <c r="U1014" s="130"/>
      <c r="V1014" s="130"/>
      <c r="W1014" s="130"/>
    </row>
    <row r="1015">
      <c r="A1015" s="130"/>
      <c r="B1015" s="130"/>
      <c r="C1015" s="130"/>
      <c r="D1015" s="130"/>
      <c r="E1015" s="130"/>
      <c r="F1015" s="130"/>
      <c r="G1015" s="130"/>
      <c r="H1015" s="130"/>
      <c r="I1015" s="130"/>
      <c r="J1015" s="130"/>
      <c r="K1015" s="130"/>
      <c r="L1015" s="130"/>
      <c r="M1015" s="130"/>
      <c r="N1015" s="130"/>
      <c r="O1015" s="130"/>
      <c r="P1015" s="130"/>
      <c r="Q1015" s="130"/>
      <c r="R1015" s="130"/>
      <c r="S1015" s="130"/>
      <c r="T1015" s="130"/>
      <c r="U1015" s="130"/>
      <c r="V1015" s="130"/>
      <c r="W1015" s="130"/>
    </row>
    <row r="1016">
      <c r="A1016" s="130"/>
      <c r="B1016" s="130"/>
      <c r="C1016" s="130"/>
      <c r="D1016" s="130"/>
      <c r="E1016" s="130"/>
      <c r="F1016" s="130"/>
      <c r="G1016" s="130"/>
      <c r="H1016" s="130"/>
      <c r="I1016" s="130"/>
      <c r="J1016" s="130"/>
      <c r="K1016" s="130"/>
      <c r="L1016" s="130"/>
      <c r="M1016" s="130"/>
      <c r="N1016" s="130"/>
      <c r="O1016" s="130"/>
      <c r="P1016" s="130"/>
      <c r="Q1016" s="130"/>
      <c r="R1016" s="130"/>
      <c r="S1016" s="130"/>
      <c r="T1016" s="130"/>
      <c r="U1016" s="130"/>
      <c r="V1016" s="130"/>
      <c r="W1016" s="130"/>
    </row>
    <row r="1017">
      <c r="A1017" s="130"/>
      <c r="B1017" s="130"/>
      <c r="C1017" s="130"/>
      <c r="D1017" s="130"/>
      <c r="E1017" s="130"/>
      <c r="F1017" s="130"/>
      <c r="G1017" s="130"/>
      <c r="H1017" s="130"/>
      <c r="I1017" s="130"/>
      <c r="J1017" s="130"/>
      <c r="K1017" s="130"/>
      <c r="L1017" s="130"/>
      <c r="M1017" s="130"/>
      <c r="N1017" s="130"/>
      <c r="O1017" s="130"/>
      <c r="P1017" s="130"/>
      <c r="Q1017" s="130"/>
      <c r="R1017" s="130"/>
      <c r="S1017" s="130"/>
      <c r="T1017" s="130"/>
      <c r="U1017" s="130"/>
      <c r="V1017" s="130"/>
      <c r="W1017" s="130"/>
    </row>
    <row r="1018">
      <c r="A1018" s="130"/>
      <c r="B1018" s="130"/>
      <c r="C1018" s="130"/>
      <c r="D1018" s="130"/>
      <c r="E1018" s="130"/>
      <c r="F1018" s="130"/>
      <c r="G1018" s="130"/>
      <c r="H1018" s="130"/>
      <c r="I1018" s="130"/>
      <c r="J1018" s="130"/>
      <c r="K1018" s="130"/>
      <c r="L1018" s="130"/>
      <c r="M1018" s="130"/>
      <c r="N1018" s="130"/>
      <c r="O1018" s="130"/>
      <c r="P1018" s="130"/>
      <c r="Q1018" s="130"/>
      <c r="R1018" s="130"/>
      <c r="S1018" s="130"/>
      <c r="T1018" s="130"/>
      <c r="U1018" s="130"/>
      <c r="V1018" s="130"/>
      <c r="W1018" s="130"/>
    </row>
    <row r="1019">
      <c r="A1019" s="130"/>
      <c r="B1019" s="130"/>
      <c r="C1019" s="130"/>
      <c r="D1019" s="130"/>
      <c r="E1019" s="130"/>
      <c r="F1019" s="130"/>
      <c r="G1019" s="130"/>
      <c r="H1019" s="130"/>
      <c r="I1019" s="130"/>
      <c r="J1019" s="130"/>
      <c r="K1019" s="130"/>
      <c r="L1019" s="130"/>
      <c r="M1019" s="130"/>
      <c r="N1019" s="130"/>
      <c r="O1019" s="130"/>
      <c r="P1019" s="130"/>
      <c r="Q1019" s="130"/>
      <c r="R1019" s="130"/>
      <c r="S1019" s="130"/>
      <c r="T1019" s="130"/>
      <c r="U1019" s="130"/>
      <c r="V1019" s="130"/>
      <c r="W1019" s="130"/>
    </row>
    <row r="1020">
      <c r="A1020" s="130"/>
      <c r="B1020" s="130"/>
      <c r="C1020" s="130"/>
      <c r="D1020" s="130"/>
      <c r="E1020" s="130"/>
      <c r="F1020" s="130"/>
      <c r="G1020" s="130"/>
      <c r="H1020" s="130"/>
      <c r="I1020" s="130"/>
      <c r="J1020" s="130"/>
      <c r="K1020" s="130"/>
      <c r="L1020" s="130"/>
      <c r="M1020" s="130"/>
      <c r="N1020" s="130"/>
      <c r="O1020" s="130"/>
      <c r="P1020" s="130"/>
      <c r="Q1020" s="130"/>
      <c r="R1020" s="130"/>
      <c r="S1020" s="130"/>
      <c r="T1020" s="130"/>
      <c r="U1020" s="130"/>
      <c r="V1020" s="130"/>
      <c r="W1020" s="130"/>
    </row>
    <row r="1021">
      <c r="A1021" s="130"/>
      <c r="B1021" s="130"/>
      <c r="C1021" s="130"/>
      <c r="D1021" s="130"/>
      <c r="E1021" s="130"/>
      <c r="F1021" s="130"/>
      <c r="G1021" s="130"/>
      <c r="H1021" s="130"/>
      <c r="I1021" s="130"/>
      <c r="J1021" s="130"/>
      <c r="K1021" s="130"/>
      <c r="L1021" s="130"/>
      <c r="M1021" s="130"/>
      <c r="N1021" s="130"/>
      <c r="O1021" s="130"/>
      <c r="P1021" s="130"/>
      <c r="Q1021" s="130"/>
      <c r="R1021" s="130"/>
      <c r="S1021" s="130"/>
      <c r="T1021" s="130"/>
      <c r="U1021" s="130"/>
      <c r="V1021" s="130"/>
      <c r="W1021" s="130"/>
    </row>
    <row r="1022">
      <c r="A1022" s="130"/>
      <c r="B1022" s="130"/>
      <c r="C1022" s="130"/>
      <c r="D1022" s="130"/>
      <c r="E1022" s="130"/>
      <c r="F1022" s="130"/>
      <c r="G1022" s="130"/>
      <c r="H1022" s="130"/>
      <c r="I1022" s="130"/>
      <c r="J1022" s="130"/>
      <c r="K1022" s="130"/>
      <c r="L1022" s="130"/>
      <c r="M1022" s="130"/>
      <c r="N1022" s="130"/>
      <c r="O1022" s="130"/>
      <c r="P1022" s="130"/>
      <c r="Q1022" s="130"/>
      <c r="R1022" s="130"/>
      <c r="S1022" s="130"/>
      <c r="T1022" s="130"/>
      <c r="U1022" s="130"/>
      <c r="V1022" s="130"/>
      <c r="W1022" s="130"/>
    </row>
    <row r="1023">
      <c r="A1023" s="130"/>
      <c r="B1023" s="130"/>
      <c r="C1023" s="130"/>
      <c r="D1023" s="130"/>
      <c r="E1023" s="130"/>
      <c r="F1023" s="130"/>
      <c r="G1023" s="130"/>
      <c r="H1023" s="130"/>
      <c r="I1023" s="130"/>
      <c r="J1023" s="130"/>
      <c r="K1023" s="130"/>
      <c r="L1023" s="130"/>
      <c r="M1023" s="130"/>
      <c r="N1023" s="130"/>
      <c r="O1023" s="130"/>
      <c r="P1023" s="130"/>
      <c r="Q1023" s="130"/>
      <c r="R1023" s="130"/>
      <c r="S1023" s="130"/>
      <c r="T1023" s="130"/>
      <c r="U1023" s="130"/>
      <c r="V1023" s="130"/>
      <c r="W1023" s="130"/>
    </row>
    <row r="1024">
      <c r="A1024" s="130"/>
      <c r="B1024" s="130"/>
      <c r="C1024" s="130"/>
      <c r="D1024" s="130"/>
      <c r="E1024" s="130"/>
      <c r="F1024" s="130"/>
      <c r="G1024" s="130"/>
      <c r="H1024" s="130"/>
      <c r="I1024" s="130"/>
      <c r="J1024" s="130"/>
      <c r="K1024" s="130"/>
      <c r="L1024" s="130"/>
      <c r="M1024" s="130"/>
      <c r="N1024" s="130"/>
      <c r="O1024" s="130"/>
      <c r="P1024" s="130"/>
      <c r="Q1024" s="130"/>
      <c r="R1024" s="130"/>
      <c r="S1024" s="130"/>
      <c r="T1024" s="130"/>
      <c r="U1024" s="130"/>
      <c r="V1024" s="130"/>
      <c r="W1024" s="130"/>
    </row>
    <row r="1025">
      <c r="A1025" s="130"/>
      <c r="B1025" s="130"/>
      <c r="C1025" s="130"/>
      <c r="D1025" s="130"/>
      <c r="E1025" s="130"/>
      <c r="F1025" s="130"/>
      <c r="G1025" s="130"/>
      <c r="H1025" s="130"/>
      <c r="I1025" s="130"/>
      <c r="J1025" s="130"/>
      <c r="K1025" s="130"/>
      <c r="L1025" s="130"/>
      <c r="M1025" s="130"/>
      <c r="N1025" s="130"/>
      <c r="O1025" s="130"/>
      <c r="P1025" s="130"/>
      <c r="Q1025" s="130"/>
      <c r="R1025" s="130"/>
      <c r="S1025" s="130"/>
      <c r="T1025" s="130"/>
      <c r="U1025" s="130"/>
      <c r="V1025" s="130"/>
      <c r="W1025" s="130"/>
    </row>
    <row r="1026">
      <c r="A1026" s="130"/>
      <c r="B1026" s="130"/>
      <c r="C1026" s="130"/>
      <c r="D1026" s="130"/>
      <c r="E1026" s="130"/>
      <c r="F1026" s="130"/>
      <c r="G1026" s="130"/>
      <c r="H1026" s="130"/>
      <c r="I1026" s="130"/>
      <c r="J1026" s="130"/>
      <c r="K1026" s="130"/>
      <c r="L1026" s="130"/>
      <c r="M1026" s="130"/>
      <c r="N1026" s="130"/>
      <c r="O1026" s="130"/>
      <c r="P1026" s="130"/>
      <c r="Q1026" s="130"/>
      <c r="R1026" s="130"/>
      <c r="S1026" s="130"/>
      <c r="T1026" s="130"/>
      <c r="U1026" s="130"/>
      <c r="V1026" s="130"/>
      <c r="W1026" s="130"/>
    </row>
  </sheetData>
  <hyperlinks>
    <hyperlink r:id="rId1" ref="B10"/>
    <hyperlink r:id="rId2" ref="D10"/>
    <hyperlink r:id="rId3" ref="F10"/>
    <hyperlink r:id="rId4" ref="H10"/>
    <hyperlink r:id="rId5" ref="J10"/>
    <hyperlink r:id="rId6" ref="N10"/>
  </hyperlinks>
  <drawing r:id="rId7"/>
</worksheet>
</file>